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nvertcsv" sheetId="1" r:id="rId4"/>
    <sheet state="visible" name="Sheet1" sheetId="2" r:id="rId5"/>
  </sheets>
  <definedNames/>
  <calcPr/>
</workbook>
</file>

<file path=xl/sharedStrings.xml><?xml version="1.0" encoding="utf-8"?>
<sst xmlns="http://schemas.openxmlformats.org/spreadsheetml/2006/main" count="1525" uniqueCount="1402">
  <si>
    <t>en</t>
  </si>
  <si>
    <t>ta</t>
  </si>
  <si>
    <t>hi</t>
  </si>
  <si>
    <t>id</t>
  </si>
  <si>
    <t>ms</t>
  </si>
  <si>
    <t>de</t>
  </si>
  <si>
    <t>es</t>
  </si>
  <si>
    <t>fr</t>
  </si>
  <si>
    <t>it</t>
  </si>
  <si>
    <t>pt</t>
  </si>
  <si>
    <t>ro</t>
  </si>
  <si>
    <t>vi</t>
  </si>
  <si>
    <t>ru</t>
  </si>
  <si>
    <t>tr</t>
  </si>
  <si>
    <t>ar</t>
  </si>
  <si>
    <t>mr</t>
  </si>
  <si>
    <t>gu</t>
  </si>
  <si>
    <t>bn</t>
  </si>
  <si>
    <t>pa</t>
  </si>
  <si>
    <t>te</t>
  </si>
  <si>
    <t>kn</t>
  </si>
  <si>
    <t>ml</t>
  </si>
  <si>
    <t>th</t>
  </si>
  <si>
    <t>ko</t>
  </si>
  <si>
    <t>zh</t>
  </si>
  <si>
    <t>zh-TW</t>
  </si>
  <si>
    <t>ja</t>
  </si>
  <si>
    <t>bg</t>
  </si>
  <si>
    <t>cs</t>
  </si>
  <si>
    <t>da</t>
  </si>
  <si>
    <t>el</t>
  </si>
  <si>
    <t>et</t>
  </si>
  <si>
    <t>fi</t>
  </si>
  <si>
    <t>hr</t>
  </si>
  <si>
    <t>hu</t>
  </si>
  <si>
    <t>hy</t>
  </si>
  <si>
    <t>ca</t>
  </si>
  <si>
    <t>nl</t>
  </si>
  <si>
    <t>he</t>
  </si>
  <si>
    <t>is</t>
  </si>
  <si>
    <t>no</t>
  </si>
  <si>
    <t>fa</t>
  </si>
  <si>
    <t>pl</t>
  </si>
  <si>
    <t>sv</t>
  </si>
  <si>
    <t>uk</t>
  </si>
  <si>
    <t>zu</t>
  </si>
  <si>
    <t>sr</t>
  </si>
  <si>
    <t>home_screen_good_morning</t>
  </si>
  <si>
    <t>Good Morning</t>
  </si>
  <si>
    <t>Good Afternoon</t>
  </si>
  <si>
    <t>home_screen_good_evening</t>
  </si>
  <si>
    <t>Good Evening</t>
  </si>
  <si>
    <t>home_screen_good_night</t>
  </si>
  <si>
    <t>Good Night</t>
  </si>
  <si>
    <t>home_screen_good_day</t>
  </si>
  <si>
    <t>Good Day</t>
  </si>
  <si>
    <t>home_screen_loving_app</t>
  </si>
  <si>
    <t>Loving this app?</t>
  </si>
  <si>
    <t>home_screen_share_love</t>
  </si>
  <si>
    <t>Share your love and help us grow by rating us on the Play Store!</t>
  </si>
  <si>
    <t>home_screen_user_feedback</t>
  </si>
  <si>
    <t>User Feedback</t>
  </si>
  <si>
    <t>home_screen_rate_us</t>
  </si>
  <si>
    <t>Rate Us</t>
  </si>
  <si>
    <t>home_screen_more_apps</t>
  </si>
  <si>
    <t>More Apps</t>
  </si>
  <si>
    <t>home_screen_share_us</t>
  </si>
  <si>
    <t>Share Us</t>
  </si>
  <si>
    <t>home_screen_exit</t>
  </si>
  <si>
    <t>Exit</t>
  </si>
  <si>
    <t>home_screen_app_name</t>
  </si>
  <si>
    <t>GPS Tools</t>
  </si>
  <si>
    <t>modal_welcome</t>
  </si>
  <si>
    <t>Welcome!</t>
  </si>
  <si>
    <t>modal_name_prompt</t>
  </si>
  <si>
    <t>What should we call you?</t>
  </si>
  <si>
    <t>modal_name_placeholder</t>
  </si>
  <si>
    <t>Enter your name</t>
  </si>
  <si>
    <t>modal_save</t>
  </si>
  <si>
    <t>Save</t>
  </si>
  <si>
    <t>modal_close</t>
  </si>
  <si>
    <t>Close</t>
  </si>
  <si>
    <t>modal_congratulations</t>
  </si>
  <si>
    <t>Congratulations!</t>
  </si>
  <si>
    <t>modal_step_goal_achieved</t>
  </si>
  <si>
    <t>You've achieved your daily step goal of {{stepGoal}} steps!</t>
  </si>
  <si>
    <t>modal_current_steps</t>
  </si>
  <si>
    <t>Current steps: {{steps}}</t>
  </si>
  <si>
    <t>modal_keep_going</t>
  </si>
  <si>
    <t>Keep Going!</t>
  </si>
  <si>
    <t>modal_steps_remaining</t>
  </si>
  <si>
    <t>{{steps}} steps remaining to reach your goal</t>
  </si>
  <si>
    <t>modal_complete_percentage</t>
  </si>
  <si>
    <t>{{percentage}} % Complete</t>
  </si>
  <si>
    <t>home_screen_ongoing_trek</t>
  </si>
  <si>
    <t>Ongoing Trek Tracking</t>
  </si>
  <si>
    <t>home_screen_tap_to_view</t>
  </si>
  <si>
    <t>Tap to view details</t>
  </si>
  <si>
    <t>home_screen_current_location</t>
  </si>
  <si>
    <t>Current Location</t>
  </si>
  <si>
    <t>home_screen_trek_completed</t>
  </si>
  <si>
    <t>Trek Completed</t>
  </si>
  <si>
    <t>home_screen_view_summary</t>
  </si>
  <si>
    <t>View Summary</t>
  </si>
  <si>
    <t>tools_location_and_address</t>
  </si>
  <si>
    <t>Location &amp; Address</t>
  </si>
  <si>
    <t>tools_trekking_pro</t>
  </si>
  <si>
    <t>Trekking Pro</t>
  </si>
  <si>
    <t>tools_speed_meter</t>
  </si>
  <si>
    <t>Speed Meter</t>
  </si>
  <si>
    <t>tools_compass</t>
  </si>
  <si>
    <t>Compass</t>
  </si>
  <si>
    <t>tools_sensors</t>
  </si>
  <si>
    <t>Sensors</t>
  </si>
  <si>
    <t>tools_map_tools</t>
  </si>
  <si>
    <t>Map Tools</t>
  </si>
  <si>
    <t>tools_air_quality_index</t>
  </si>
  <si>
    <t>Air Quality Index</t>
  </si>
  <si>
    <t>tools_uv_index</t>
  </si>
  <si>
    <t>UV Index</t>
  </si>
  <si>
    <t>tools_activity_tracker</t>
  </si>
  <si>
    <t>Activity Tracker</t>
  </si>
  <si>
    <t>tools_step_tracker</t>
  </si>
  <si>
    <t>Step Tracker</t>
  </si>
  <si>
    <t>tools_gps_alarm</t>
  </si>
  <si>
    <t>GPS Alarm</t>
  </si>
  <si>
    <t>tools_gps_time</t>
  </si>
  <si>
    <t>GPS Time</t>
  </si>
  <si>
    <t>tools_level_meter</t>
  </si>
  <si>
    <t>Level Meter</t>
  </si>
  <si>
    <t>tools_locations</t>
  </si>
  <si>
    <t>Locations</t>
  </si>
  <si>
    <t>tools_weather_forecast</t>
  </si>
  <si>
    <t>Weather Forecast</t>
  </si>
  <si>
    <t>tools_satellite_map</t>
  </si>
  <si>
    <t>Satellite Map</t>
  </si>
  <si>
    <t>tools_route_optimizer</t>
  </si>
  <si>
    <t>Route Optimizer</t>
  </si>
  <si>
    <t>tools_altimeter</t>
  </si>
  <si>
    <t>Altimeter</t>
  </si>
  <si>
    <t>tools_gpx_importer_exporter</t>
  </si>
  <si>
    <t>GPX Importer/Exporter</t>
  </si>
  <si>
    <t>tools_test</t>
  </si>
  <si>
    <t>Test</t>
  </si>
  <si>
    <t>home_screen_all_tools</t>
  </si>
  <si>
    <t>All Tools</t>
  </si>
  <si>
    <t>nav_home</t>
  </si>
  <si>
    <t>Home</t>
  </si>
  <si>
    <t>nav_account</t>
  </si>
  <si>
    <t>Account</t>
  </si>
  <si>
    <t>nav_language</t>
  </si>
  <si>
    <t>Language</t>
  </si>
  <si>
    <t>nav_notifications</t>
  </si>
  <si>
    <t>Notifications</t>
  </si>
  <si>
    <t>nav_settings</t>
  </si>
  <si>
    <t>Settings</t>
  </si>
  <si>
    <t>nav_use_case</t>
  </si>
  <si>
    <t>Use Case</t>
  </si>
  <si>
    <t>nav_help_video</t>
  </si>
  <si>
    <t>Help Video</t>
  </si>
  <si>
    <t>nav_share_app</t>
  </si>
  <si>
    <t>Share App</t>
  </si>
  <si>
    <t>nav_user_feedback</t>
  </si>
  <si>
    <t>nav_error_report</t>
  </si>
  <si>
    <t>Error Report</t>
  </si>
  <si>
    <t>nav_visit_fb_page</t>
  </si>
  <si>
    <t>Visit FB Page</t>
  </si>
  <si>
    <t>nav_about_us</t>
  </si>
  <si>
    <t>About Us</t>
  </si>
  <si>
    <t>nav_privacy_policy</t>
  </si>
  <si>
    <t>Privacy Policy</t>
  </si>
  <si>
    <t>nav_choose_language</t>
  </si>
  <si>
    <t>Choose Language</t>
  </si>
  <si>
    <t>nav_unit_preferences</t>
  </si>
  <si>
    <t>Unit Preferences</t>
  </si>
  <si>
    <t>nav_customize</t>
  </si>
  <si>
    <t>Customize</t>
  </si>
  <si>
    <t>nav_preview</t>
  </si>
  <si>
    <t>Preview</t>
  </si>
  <si>
    <t>settings_general</t>
  </si>
  <si>
    <t>General Settings</t>
  </si>
  <si>
    <t>settings_show_promotion</t>
  </si>
  <si>
    <t>Show promotion offers</t>
  </si>
  <si>
    <t>settings_show_engagement</t>
  </si>
  <si>
    <t>Show app engagement notifications</t>
  </si>
  <si>
    <t>settings_show_tools_engagement</t>
  </si>
  <si>
    <t>Show tools use case engagement notifications</t>
  </si>
  <si>
    <t>settings_customize</t>
  </si>
  <si>
    <t>settings_appearance</t>
  </si>
  <si>
    <t>Appearance Settings</t>
  </si>
  <si>
    <t>settings_weather</t>
  </si>
  <si>
    <t>Weather</t>
  </si>
  <si>
    <t>settings_weather_alerts</t>
  </si>
  <si>
    <t>Weather Alerts</t>
  </si>
  <si>
    <t>settings_weather_status</t>
  </si>
  <si>
    <t>Weather Status</t>
  </si>
  <si>
    <t>settings_unit_preferences</t>
  </si>
  <si>
    <t>tool_management_title</t>
  </si>
  <si>
    <t>Manage Tools</t>
  </si>
  <si>
    <t>tool_management_welcome</t>
  </si>
  <si>
    <t>Welcome to Tool Management!</t>
  </si>
  <si>
    <t>tool_management_drag_instruction</t>
  </si>
  <si>
    <t>Hold and drag the handle to reorder tools</t>
  </si>
  <si>
    <t>tool_management_switch_instruction</t>
  </si>
  <si>
    <t>Use the switch to enable/disable tools</t>
  </si>
  <si>
    <t>tool_management_premium_instruction</t>
  </si>
  <si>
    <t>Premium features are marked with a crown</t>
  </si>
  <si>
    <t>tool_management_got_it</t>
  </si>
  <si>
    <t>Got it!</t>
  </si>
  <si>
    <t>use_case_loading</t>
  </si>
  <si>
    <t>Loading use cases...</t>
  </si>
  <si>
    <t>use_case_loading_more</t>
  </si>
  <si>
    <t>Loading more...</t>
  </si>
  <si>
    <t>use_case_no_more</t>
  </si>
  <si>
    <t>No more use cases to load</t>
  </si>
  <si>
    <t>use_case_error</t>
  </si>
  <si>
    <t>Error: {{error}}</t>
  </si>
  <si>
    <t>use_case_retry</t>
  </si>
  <si>
    <t>Retry</t>
  </si>
  <si>
    <t>feedback_good_things</t>
  </si>
  <si>
    <t>Say some good things about our app*</t>
  </si>
  <si>
    <t>feedback_bad_things</t>
  </si>
  <si>
    <t>Say some bad things about our app*</t>
  </si>
  <si>
    <t>feedback_improvements</t>
  </si>
  <si>
    <t>Improvements*</t>
  </si>
  <si>
    <t>feedback_issues</t>
  </si>
  <si>
    <t>Issues you facing*</t>
  </si>
  <si>
    <t>feedback_email</t>
  </si>
  <si>
    <t>Enter email</t>
  </si>
  <si>
    <t>feedback_consent</t>
  </si>
  <si>
    <t>I consent to share Email ID here and I understand that it will not be saved on any database and it will be used for communication purpose only.</t>
  </si>
  <si>
    <t>feedback_submit</t>
  </si>
  <si>
    <t>Submit</t>
  </si>
  <si>
    <t>feedback_submitted</t>
  </si>
  <si>
    <t>Feedback Submitted!</t>
  </si>
  <si>
    <t>feedback_invalid_email</t>
  </si>
  <si>
    <t>Please enter a valid email address</t>
  </si>
  <si>
    <t>error_name</t>
  </si>
  <si>
    <t>Enter your name*</t>
  </si>
  <si>
    <t>error_country</t>
  </si>
  <si>
    <t>Enter your country name*</t>
  </si>
  <si>
    <t>error_mobile_model</t>
  </si>
  <si>
    <t>Mobile model*</t>
  </si>
  <si>
    <t>error_details</t>
  </si>
  <si>
    <t>Enter the error details*</t>
  </si>
  <si>
    <t>error_email</t>
  </si>
  <si>
    <t>error_consent</t>
  </si>
  <si>
    <t>error_submit</t>
  </si>
  <si>
    <t>error_submitted</t>
  </si>
  <si>
    <t>Error Report Submitted!</t>
  </si>
  <si>
    <t>about_app_title</t>
  </si>
  <si>
    <t>about_version</t>
  </si>
  <si>
    <t>Version {{version}}</t>
  </si>
  <si>
    <t>about_our_apps</t>
  </si>
  <si>
    <t>Our Apps</t>
  </si>
  <si>
    <t>about_offline_map</t>
  </si>
  <si>
    <t>Offline Map Navigation</t>
  </si>
  <si>
    <t>about_offline_map_desc</t>
  </si>
  <si>
    <t>Navigate without internet</t>
  </si>
  <si>
    <t>about_vm_tracker</t>
  </si>
  <si>
    <t>VM Tracker</t>
  </si>
  <si>
    <t>about_vm_tracker_desc</t>
  </si>
  <si>
    <t>Track your location</t>
  </si>
  <si>
    <t>about_connect</t>
  </si>
  <si>
    <t>Connect With Us</t>
  </si>
  <si>
    <t>about_download</t>
  </si>
  <si>
    <t>Download Our Apps</t>
  </si>
  <si>
    <t>about_play_store</t>
  </si>
  <si>
    <t>Play Store</t>
  </si>
  <si>
    <t>privacy_title</t>
  </si>
  <si>
    <t>VirtualMaze SoftSys Private Limited Privacy Policy</t>
  </si>
  <si>
    <t>privacy_intro</t>
  </si>
  <si>
    <t>VirtualMaze SoftSys Private Limited ("VMSPL") is committed to protecting the privacy of all personal information obtained from you during your visits to our website or while using our mobile application. Our aim is to safeguard the security and privacy of all users. This policy explains our information practices and the choices you can make about the way in which VMSPL collects and uses your information.</t>
  </si>
  <si>
    <t>privacy_personal_data</t>
  </si>
  <si>
    <t>Use of Personal Data</t>
  </si>
  <si>
    <t>privacy_personal_data_content</t>
  </si>
  <si>
    <t>GPS Tools® website ({{link}}) does not automatically capture or store personal data from visitors to the site other than to log the users IP address and hostname, and session details such as the duration of the visit, pages visited and the nature of the browser used. This information does not identify you personally; it is used to help us diagnose problems with our data server, to administer our website, and to compile statistics about our visitors and their use of the site. For example, we may use this data to track which pages our users are visiting most often, or to determine which web browsers our visitors use.
Any data that is collected through our website or mobile app will not be shared to any third parties. Those data will be used in our internal operations for our website or app related functionalities or services.</t>
  </si>
  <si>
    <t>privacy_location</t>
  </si>
  <si>
    <t>Use of Location Data</t>
  </si>
  <si>
    <t>privacy_location_content</t>
  </si>
  <si>
    <t>When you use our free mobile GPS applications, we may use GPS technology (or other similar technology) to determine your current location in order to determine the city you are located within and display a location map. We will not share your current location or any other location data with other users or partners without your permission.
As GPS Tools® app is a GPS based application and it contains many tools/utilities which uses your location {{while_using}} or {{all_time}} (even in the background also).
It uses your location {{while_using}} for the following tools or purposes:
- show travelling speed (Speedometer)
- show weather and forecast at where you are
- show current location and address
- show air quality and uv index at where you are
- show direction in compass
- show satellite signal at where you are
- show weather map
It uses your location {{all_time}} (even when the app is closed or not in use) for the following tools or purposes:
- to trigger GPS Alarm (GPS Alarm)
- to log location of your device (Track &amp; Find Device)
- to show path you travelled (Trekking Pro)
For getting driving route and other places related information, we are using Google API services. For more information about their polices, you may visit {{google_privacy}}.</t>
  </si>
  <si>
    <t>privacy_cookies</t>
  </si>
  <si>
    <t>Cookies</t>
  </si>
  <si>
    <t>privacy_cookies_content</t>
  </si>
  <si>
    <t>A 'cookie' is a small data file that a website may send to your browser and that your browser may then store on your system. VMSPL does not utilize cookies in any area of the website so none will be stored in your browser as a result of navigating this site.</t>
  </si>
  <si>
    <t>privacy_external</t>
  </si>
  <si>
    <t>External Links</t>
  </si>
  <si>
    <t>privacy_external_content</t>
  </si>
  <si>
    <t>This privacy policy does not apply to third party websites that may be accessible through links from the VMSPL website. These hyperlinks are provided for your reference and convenience only and do not imply endorsement of their activities or products unless otherwise stated. We encourage you to read the privacy policies of those third parties to learn how they collect and use information about you before using the site or providing any personal data about yourself.</t>
  </si>
  <si>
    <t>privacy_changes</t>
  </si>
  <si>
    <t>Notification of Changes</t>
  </si>
  <si>
    <t>privacy_changes_content</t>
  </si>
  <si>
    <t>Any changes to this Privacy Policy will be posted here so that you will always know what information we are collecting online, how we use it and what choices you have.</t>
  </si>
  <si>
    <t>privacy_while_using</t>
  </si>
  <si>
    <t>while using the app</t>
  </si>
  <si>
    <t>privacy_all_time</t>
  </si>
  <si>
    <t>all the time</t>
  </si>
  <si>
    <t>customize_background</t>
  </si>
  <si>
    <t>Background</t>
  </si>
  <si>
    <t>customize_compass</t>
  </si>
  <si>
    <t>customize_color</t>
  </si>
  <si>
    <t>Color</t>
  </si>
  <si>
    <t>customize_background_title</t>
  </si>
  <si>
    <t>Choose Background</t>
  </si>
  <si>
    <t>customize_background_subtitle</t>
  </si>
  <si>
    <t>Select a background image or color</t>
  </si>
  <si>
    <t>customize_background_image</t>
  </si>
  <si>
    <t>Set as Background</t>
  </si>
  <si>
    <t>customize_background_color</t>
  </si>
  <si>
    <t>customize_background_gallery</t>
  </si>
  <si>
    <t>Gallery</t>
  </si>
  <si>
    <t>customize_background_camera</t>
  </si>
  <si>
    <t>Camera</t>
  </si>
  <si>
    <t>customize_background_default</t>
  </si>
  <si>
    <t>Default</t>
  </si>
  <si>
    <t>customize_background_remove</t>
  </si>
  <si>
    <t>Remove</t>
  </si>
  <si>
    <t>customize_background_preview</t>
  </si>
  <si>
    <t>customize_background_close</t>
  </si>
  <si>
    <t>customize_background_success</t>
  </si>
  <si>
    <t>Background Set Successfully!</t>
  </si>
  <si>
    <t>customize_compass_title</t>
  </si>
  <si>
    <t>Compass Settings</t>
  </si>
  <si>
    <t>customize_compass_subtitle</t>
  </si>
  <si>
    <t>Customize your compass appearance</t>
  </si>
  <si>
    <t>customize_compass_style</t>
  </si>
  <si>
    <t>Compass Style</t>
  </si>
  <si>
    <t>customize_compass_theme</t>
  </si>
  <si>
    <t>Theme</t>
  </si>
  <si>
    <t>customize_compass_size</t>
  </si>
  <si>
    <t>Size</t>
  </si>
  <si>
    <t>customize_compass_opacity</t>
  </si>
  <si>
    <t>Opacity</t>
  </si>
  <si>
    <t>customize_color_title</t>
  </si>
  <si>
    <t>Color Settings</t>
  </si>
  <si>
    <t>customize_color_subtitle</t>
  </si>
  <si>
    <t>Customize your app colors</t>
  </si>
  <si>
    <t>customize_color_primary</t>
  </si>
  <si>
    <t>Primary Color</t>
  </si>
  <si>
    <t>customize_color_secondary</t>
  </si>
  <si>
    <t>Secondary Color</t>
  </si>
  <si>
    <t>customize_color_accent</t>
  </si>
  <si>
    <t>Accent Color</t>
  </si>
  <si>
    <t>customize_color_text</t>
  </si>
  <si>
    <t>Text Color</t>
  </si>
  <si>
    <t>customize_color_background</t>
  </si>
  <si>
    <t>Background Color</t>
  </si>
  <si>
    <t>customize_color_reset</t>
  </si>
  <si>
    <t>Reset to Default</t>
  </si>
  <si>
    <t>customize_color_save</t>
  </si>
  <si>
    <t>Save Colors</t>
  </si>
  <si>
    <t>customize_color_apply</t>
  </si>
  <si>
    <t>Apply</t>
  </si>
  <si>
    <t>customize_color_remove</t>
  </si>
  <si>
    <t>customize_color_select_title</t>
  </si>
  <si>
    <t>Select</t>
  </si>
  <si>
    <t>customize_color_cancel</t>
  </si>
  <si>
    <t>Cancel</t>
  </si>
  <si>
    <t>customize_color_set</t>
  </si>
  <si>
    <t>Set Color</t>
  </si>
  <si>
    <t>customize_color_success</t>
  </si>
  <si>
    <t>Color Applied Successfully!</t>
  </si>
  <si>
    <t>units_time_format</t>
  </si>
  <si>
    <t>Time Format</t>
  </si>
  <si>
    <t>units_speed</t>
  </si>
  <si>
    <t>Speed Unit</t>
  </si>
  <si>
    <t>units_distance</t>
  </si>
  <si>
    <t>Distance Unit</t>
  </si>
  <si>
    <t>units_altitude</t>
  </si>
  <si>
    <t>Altitude Unit</t>
  </si>
  <si>
    <t>units_temperature</t>
  </si>
  <si>
    <t>Temperature Unit</t>
  </si>
  <si>
    <t>units_pressure</t>
  </si>
  <si>
    <t>Pressure Unit</t>
  </si>
  <si>
    <t>units_area</t>
  </si>
  <si>
    <t>Area Unit</t>
  </si>
  <si>
    <t>units_map_coordinates</t>
  </si>
  <si>
    <t>Map Coordinates</t>
  </si>
  <si>
    <t>units_12h</t>
  </si>
  <si>
    <t>units_24h</t>
  </si>
  <si>
    <t>units_mph</t>
  </si>
  <si>
    <t>Miles/Hour</t>
  </si>
  <si>
    <t>units_kmh</t>
  </si>
  <si>
    <t>Kilometres/Hour</t>
  </si>
  <si>
    <t>units_knot</t>
  </si>
  <si>
    <t>Knot</t>
  </si>
  <si>
    <t>units_km</t>
  </si>
  <si>
    <t>Kilometres or metres (Km or m)</t>
  </si>
  <si>
    <t>units_mi_ft</t>
  </si>
  <si>
    <t>Miles/Foot (mi or ft)</t>
  </si>
  <si>
    <t>units_mi_yd</t>
  </si>
  <si>
    <t>Miles/Yards (mi or yd)</t>
  </si>
  <si>
    <t>units_nmi_ftm</t>
  </si>
  <si>
    <t>NauticalMiles/Fathom (nmi or ftm)</t>
  </si>
  <si>
    <t>units_meters</t>
  </si>
  <si>
    <t>Meters (m)</t>
  </si>
  <si>
    <t>units_feet</t>
  </si>
  <si>
    <t>Foot (ft)</t>
  </si>
  <si>
    <t>units_yard</t>
  </si>
  <si>
    <t>Yard (yd)</t>
  </si>
  <si>
    <t>units_fahrenheit</t>
  </si>
  <si>
    <t>Fahrenheit</t>
  </si>
  <si>
    <t>units_celsius</t>
  </si>
  <si>
    <t>Celsius</t>
  </si>
  <si>
    <t>units_kelvin</t>
  </si>
  <si>
    <t>Kelvin</t>
  </si>
  <si>
    <t>units_hpa</t>
  </si>
  <si>
    <t>Hectopascal (hPa)</t>
  </si>
  <si>
    <t>units_inhg</t>
  </si>
  <si>
    <t>Inch of mercury (inHg)</t>
  </si>
  <si>
    <t>units_mmhg</t>
  </si>
  <si>
    <t>Millimeter of mercury (mmHg)</t>
  </si>
  <si>
    <t>units_sqm</t>
  </si>
  <si>
    <t>Square Metre</t>
  </si>
  <si>
    <t>units_sqft</t>
  </si>
  <si>
    <t>Square Foot</t>
  </si>
  <si>
    <t>units_sqyd</t>
  </si>
  <si>
    <t>Square Yard</t>
  </si>
  <si>
    <t>units_acre</t>
  </si>
  <si>
    <t>Acre</t>
  </si>
  <si>
    <t>units_ground</t>
  </si>
  <si>
    <t>Ground</t>
  </si>
  <si>
    <t>units_dd</t>
  </si>
  <si>
    <t>Decimal Degrees (DD)</t>
  </si>
  <si>
    <t>units_dms</t>
  </si>
  <si>
    <t>Degrees Minutes Seconds (DMS)</t>
  </si>
  <si>
    <t>units_ddm</t>
  </si>
  <si>
    <t>Degrees Decimal Minutes (DDM)</t>
  </si>
  <si>
    <t>units_utm</t>
  </si>
  <si>
    <t>UTM</t>
  </si>
  <si>
    <t>onboarding_skip</t>
  </si>
  <si>
    <t>Skip</t>
  </si>
  <si>
    <t>onboarding_next</t>
  </si>
  <si>
    <t>Next</t>
  </si>
  <si>
    <t>onboarding_get_started</t>
  </si>
  <si>
    <t>Get Started</t>
  </si>
  <si>
    <t>onboarding_slide1_title</t>
  </si>
  <si>
    <t>Welcome to GPS Tools</t>
  </si>
  <si>
    <t>onboarding_slide1_desc</t>
  </si>
  <si>
    <t>Your all-in-one GPS navigation and tracking solution</t>
  </si>
  <si>
    <t>onboarding_slide2_title</t>
  </si>
  <si>
    <t>Track Your Journey</t>
  </si>
  <si>
    <t>onboarding_slide2_desc</t>
  </si>
  <si>
    <t>Record and analyze your routes with precision</t>
  </si>
  <si>
    <t>onboarding_slide3_title</t>
  </si>
  <si>
    <t>Explore Features</t>
  </si>
  <si>
    <t>onboarding_slide3_desc</t>
  </si>
  <si>
    <t>Discover powerful tools for navigation and location tracking</t>
  </si>
  <si>
    <t>onboarding_slide4_title</t>
  </si>
  <si>
    <t>Ready to Start?</t>
  </si>
  <si>
    <t>onboarding_slide4_desc</t>
  </si>
  <si>
    <t>Begin your journey with GPS Tools today</t>
  </si>
  <si>
    <t>account_please_sign_in</t>
  </si>
  <si>
    <t>Please Sign In</t>
  </si>
  <si>
    <t>account_sign_in_to_access</t>
  </si>
  <si>
    <t>Sign in to access your account</t>
  </si>
  <si>
    <t>account_sign_in</t>
  </si>
  <si>
    <t>Sign In</t>
  </si>
  <si>
    <t>account_edit_profile</t>
  </si>
  <si>
    <t>Edit Profile</t>
  </si>
  <si>
    <t>account_settings</t>
  </si>
  <si>
    <t>account_privacy_security</t>
  </si>
  <si>
    <t>Privacy &amp; Security</t>
  </si>
  <si>
    <t>account_help_support</t>
  </si>
  <si>
    <t>Help &amp; Support</t>
  </si>
  <si>
    <t>account_logout</t>
  </si>
  <si>
    <t>Logout</t>
  </si>
  <si>
    <t>language_save</t>
  </si>
  <si>
    <t>language_success</t>
  </si>
  <si>
    <t>Language settings updated successfully</t>
  </si>
  <si>
    <t>tools_trekking_pro_desc</t>
  </si>
  <si>
    <t>Plan your route, track progress to a set goal, and monitor terrain and weather.</t>
  </si>
  <si>
    <t>tools_free_trekking</t>
  </si>
  <si>
    <t>Free Trekking Mode</t>
  </si>
  <si>
    <t>tools_free_trekking_desc</t>
  </si>
  <si>
    <t>Explore freely without a fixed path, while still tracking altitude, steps, location, and more.</t>
  </si>
  <si>
    <t>tools_view_saved_treks</t>
  </si>
  <si>
    <t>View Saved Treks</t>
  </si>
  <si>
    <t>tools_see_leaderboard</t>
  </si>
  <si>
    <t>See Leaderboard</t>
  </si>
  <si>
    <t>tools_join_facebook_community</t>
  </si>
  <si>
    <t>Join Facebook Trekking Community</t>
  </si>
  <si>
    <t>modal_ongoing_trek</t>
  </si>
  <si>
    <t>Ongoing Trek</t>
  </si>
  <si>
    <t>modal_ongoing_trek_message</t>
  </si>
  <si>
    <t>You already have an ongoing trek. Would you like to continue with your current trek?</t>
  </si>
  <si>
    <t>modal_continue_trek</t>
  </si>
  <si>
    <t>Continue Current Trek</t>
  </si>
  <si>
    <t>modal_cancel</t>
  </si>
  <si>
    <t>import_gpx_title</t>
  </si>
  <si>
    <t>My GPX Files</t>
  </si>
  <si>
    <t>components_altitude</t>
  </si>
  <si>
    <t>Altitude</t>
  </si>
  <si>
    <t>components_compass</t>
  </si>
  <si>
    <t>components_distance</t>
  </si>
  <si>
    <t>Distance</t>
  </si>
  <si>
    <t>components_step_counter</t>
  </si>
  <si>
    <t>Step Counter</t>
  </si>
  <si>
    <t>components_timer</t>
  </si>
  <si>
    <t>Timer</t>
  </si>
  <si>
    <t>components_weather</t>
  </si>
  <si>
    <t>components_elevation_graph</t>
  </si>
  <si>
    <t>Elevation Graph</t>
  </si>
  <si>
    <t>trek_status_idle</t>
  </si>
  <si>
    <t>Idle</t>
  </si>
  <si>
    <t>trek_status_started</t>
  </si>
  <si>
    <t>Started</t>
  </si>
  <si>
    <t>trek_status_paused</t>
  </si>
  <si>
    <t>Paused</t>
  </si>
  <si>
    <t>trek_status_resumed</t>
  </si>
  <si>
    <t>Resumed</t>
  </si>
  <si>
    <t>trek_status_stopped</t>
  </si>
  <si>
    <t>Stopped</t>
  </si>
  <si>
    <t>trek_ongoing</t>
  </si>
  <si>
    <t>Trek in Progress</t>
  </si>
  <si>
    <t>trek_continue_background</t>
  </si>
  <si>
    <t>Continue in Background</t>
  </si>
  <si>
    <t>trek_stop</t>
  </si>
  <si>
    <t>Stop Trek</t>
  </si>
  <si>
    <t>trek_back_home</t>
  </si>
  <si>
    <t>Back to Home</t>
  </si>
  <si>
    <t>trek_share</t>
  </si>
  <si>
    <t>Share Trek</t>
  </si>
  <si>
    <t>trek_save</t>
  </si>
  <si>
    <t>Save Trek</t>
  </si>
  <si>
    <t>trek_notes</t>
  </si>
  <si>
    <t>Notes</t>
  </si>
  <si>
    <t>trek_camera</t>
  </si>
  <si>
    <t>trek_flashlight</t>
  </si>
  <si>
    <t>Flashlight</t>
  </si>
  <si>
    <t>trek_elevation</t>
  </si>
  <si>
    <t>Elevation</t>
  </si>
  <si>
    <t>trek_distance</t>
  </si>
  <si>
    <t>trek_steps</t>
  </si>
  <si>
    <t>Steps</t>
  </si>
  <si>
    <t>trek_timer</t>
  </si>
  <si>
    <t>trek_weather</t>
  </si>
  <si>
    <t>trek_compass</t>
  </si>
  <si>
    <t>trek_info_distance_elevation</t>
  </si>
  <si>
    <t>Distance and elevation tracking</t>
  </si>
  <si>
    <t>trek_info_step_counting</t>
  </si>
  <si>
    <t>Step counting</t>
  </si>
  <si>
    <t>trek_info_weather</t>
  </si>
  <si>
    <t>Weather information</t>
  </si>
  <si>
    <t>trek_info_compass</t>
  </si>
  <si>
    <t>Compass navigation</t>
  </si>
  <si>
    <t>trek_info_notes_photos</t>
  </si>
  <si>
    <t>Notes and photos</t>
  </si>
  <si>
    <t>trek_info_start_trek</t>
  </si>
  <si>
    <t>Start Trek</t>
  </si>
  <si>
    <t>trek_info_back_home</t>
  </si>
  <si>
    <t>Back to Trek Home Screen</t>
  </si>
  <si>
    <t>trek_distance_km</t>
  </si>
  <si>
    <t>km</t>
  </si>
  <si>
    <t>trek_distance_away</t>
  </si>
  <si>
    <t>km Away</t>
  </si>
  <si>
    <t>trek_control_start</t>
  </si>
  <si>
    <t>Start</t>
  </si>
  <si>
    <t>trek_control_pause</t>
  </si>
  <si>
    <t>Pause</t>
  </si>
  <si>
    <t>trek_control_stop</t>
  </si>
  <si>
    <t>Stop</t>
  </si>
  <si>
    <t>trek_control_resume</t>
  </si>
  <si>
    <t>Resume</t>
  </si>
  <si>
    <t>notes_welcome</t>
  </si>
  <si>
    <t>Welcome to Notes!</t>
  </si>
  <si>
    <t>notes_add_point</t>
  </si>
  <si>
    <t>Add notes at any point during your trek</t>
  </si>
  <si>
    <t>notes_include_photos</t>
  </si>
  <si>
    <t>Include photos with your notes</t>
  </si>
  <si>
    <t>notes_view_history</t>
  </si>
  <si>
    <t>View your trek history</t>
  </si>
  <si>
    <t>notes_track_progress</t>
  </si>
  <si>
    <t>Track your progress</t>
  </si>
  <si>
    <t>notes_add_notes</t>
  </si>
  <si>
    <t>Add Notes</t>
  </si>
  <si>
    <t>notes_title</t>
  </si>
  <si>
    <t>notes_no_notes</t>
  </si>
  <si>
    <t>No notes were added during this trek</t>
  </si>
  <si>
    <t>notes_add_note</t>
  </si>
  <si>
    <t>Add Note</t>
  </si>
  <si>
    <t>notes_save</t>
  </si>
  <si>
    <t>notes_cancel</t>
  </si>
  <si>
    <t>notes_enter_note</t>
  </si>
  <si>
    <t>Enter your note here...</t>
  </si>
  <si>
    <t>notes_take_photo</t>
  </si>
  <si>
    <t>Take Photo</t>
  </si>
  <si>
    <t>notes_gallery</t>
  </si>
  <si>
    <t>notes_location</t>
  </si>
  <si>
    <t>Location</t>
  </si>
  <si>
    <t>notes_time</t>
  </si>
  <si>
    <t>Time</t>
  </si>
  <si>
    <t>notes_altitude</t>
  </si>
  <si>
    <t>notes_distance</t>
  </si>
  <si>
    <t>notes_steps</t>
  </si>
  <si>
    <t>notes_duration</t>
  </si>
  <si>
    <t>Duration</t>
  </si>
  <si>
    <t>notes_weather</t>
  </si>
  <si>
    <t>notes_temperature</t>
  </si>
  <si>
    <t>Temperature</t>
  </si>
  <si>
    <t>notes_humidity</t>
  </si>
  <si>
    <t>Humidity</t>
  </si>
  <si>
    <t>notes_wind_speed</t>
  </si>
  <si>
    <t>Wind Speed</t>
  </si>
  <si>
    <t>notes_wind_direction</t>
  </si>
  <si>
    <t>Wind Direction</t>
  </si>
  <si>
    <t>notes_pressure</t>
  </si>
  <si>
    <t>Pressure</t>
  </si>
  <si>
    <t>notes_visibility</t>
  </si>
  <si>
    <t>Visibility</t>
  </si>
  <si>
    <t>notes_clouds</t>
  </si>
  <si>
    <t>Clouds</t>
  </si>
  <si>
    <t>notes_rain</t>
  </si>
  <si>
    <t>Rain</t>
  </si>
  <si>
    <t>notes_snow</t>
  </si>
  <si>
    <t>Snow</t>
  </si>
  <si>
    <t>notes_uv_index</t>
  </si>
  <si>
    <t>notes_air_quality</t>
  </si>
  <si>
    <t>Air Quality</t>
  </si>
  <si>
    <t>notes_pollution</t>
  </si>
  <si>
    <t>Pollution</t>
  </si>
  <si>
    <t>notes_pollen</t>
  </si>
  <si>
    <t>Pollen</t>
  </si>
  <si>
    <t>notes_alerts</t>
  </si>
  <si>
    <t>Alerts</t>
  </si>
  <si>
    <t>notes_warnings</t>
  </si>
  <si>
    <t>Warnings</t>
  </si>
  <si>
    <t>notes_advisories</t>
  </si>
  <si>
    <t>Advisories</t>
  </si>
  <si>
    <t>notes_forecast</t>
  </si>
  <si>
    <t>Forecast</t>
  </si>
  <si>
    <t>notes_hourly</t>
  </si>
  <si>
    <t>Hourly</t>
  </si>
  <si>
    <t>notes_daily</t>
  </si>
  <si>
    <t>Daily</t>
  </si>
  <si>
    <t>notes_weekly</t>
  </si>
  <si>
    <t>Weekly</t>
  </si>
  <si>
    <t>altitude_title</t>
  </si>
  <si>
    <t>altitude_max</t>
  </si>
  <si>
    <t>Max</t>
  </si>
  <si>
    <t>note_add</t>
  </si>
  <si>
    <t>trek_start</t>
  </si>
  <si>
    <t>Trek Start</t>
  </si>
  <si>
    <t>trek_end</t>
  </si>
  <si>
    <t>Trek End</t>
  </si>
  <si>
    <t>save_modal_title</t>
  </si>
  <si>
    <t>save_modal_placeholder</t>
  </si>
  <si>
    <t>Enter trek name</t>
  </si>
  <si>
    <t>save_modal_cancel</t>
  </si>
  <si>
    <t>save_modal_save</t>
  </si>
  <si>
    <t>stats_duration</t>
  </si>
  <si>
    <t>stats_max_altitude</t>
  </si>
  <si>
    <t>Max Altitude</t>
  </si>
  <si>
    <t>stats_steps</t>
  </si>
  <si>
    <t>stats_distance</t>
  </si>
  <si>
    <t>stats_distance_unit</t>
  </si>
  <si>
    <t>steps_title</t>
  </si>
  <si>
    <t>add_note_title</t>
  </si>
  <si>
    <t>add_note_camera</t>
  </si>
  <si>
    <t>add_note_gallery</t>
  </si>
  <si>
    <t>add_note_placeholder</t>
  </si>
  <si>
    <t>Type your notes here...</t>
  </si>
  <si>
    <t>add_note_cancel</t>
  </si>
  <si>
    <t>add_note_add</t>
  </si>
  <si>
    <t>add_note_error_camera</t>
  </si>
  <si>
    <t>Failed to take photo. Please try again.</t>
  </si>
  <si>
    <t>add_note_error_gallery</t>
  </si>
  <si>
    <t>Failed to pick image. Please try again.</t>
  </si>
  <si>
    <t>add_note_error_permission</t>
  </si>
  <si>
    <t>Failed to request camera permission</t>
  </si>
  <si>
    <t>leaderboard_title</t>
  </si>
  <si>
    <t>Leaderboard</t>
  </si>
  <si>
    <t>leaderboard_subtitle</t>
  </si>
  <si>
    <t>Top 50 Peaks</t>
  </si>
  <si>
    <t>leaderboard_tab_weekly</t>
  </si>
  <si>
    <t>WEEKLY</t>
  </si>
  <si>
    <t>leaderboard_tab_monthly</t>
  </si>
  <si>
    <t>MONTHLY</t>
  </si>
  <si>
    <t>leaderboard_tab_all_time</t>
  </si>
  <si>
    <t>ALL TIME</t>
  </si>
  <si>
    <t>leaderboard_peak_unit</t>
  </si>
  <si>
    <t>m</t>
  </si>
  <si>
    <t>trek_completed_title</t>
  </si>
  <si>
    <t>trek_completed_show_elevation</t>
  </si>
  <si>
    <t>Show Elevation Graph</t>
  </si>
  <si>
    <t>trek_completed_view_notes</t>
  </si>
  <si>
    <t>View My Trek Notes</t>
  </si>
  <si>
    <t>trek_completed_save_trek</t>
  </si>
  <si>
    <t>trek_completed_share</t>
  </si>
  <si>
    <t>Share</t>
  </si>
  <si>
    <t>trek_completed_enter_name</t>
  </si>
  <si>
    <t>Please enter a trek name</t>
  </si>
  <si>
    <t>trek_completed_save_error</t>
  </si>
  <si>
    <t>Failed to save trek</t>
  </si>
  <si>
    <t>trek_completed_share_wait</t>
  </si>
  <si>
    <t>Please wait while we prepare your trek summary...</t>
  </si>
  <si>
    <t>trek_completed_share_error</t>
  </si>
  <si>
    <t>Failed to share trek summary. Please try again.</t>
  </si>
  <si>
    <t>trek_completed_save_confirm</t>
  </si>
  <si>
    <t>Save Trek?</t>
  </si>
  <si>
    <t>trek_completed_save_confirm_text</t>
  </si>
  <si>
    <t>Do you want to save this trek before closing?</t>
  </si>
  <si>
    <t>trek_completed_close</t>
  </si>
  <si>
    <t>trek_completed_save</t>
  </si>
  <si>
    <t>trek_completed_cancel</t>
  </si>
  <si>
    <t>trek_completed_you_completed</t>
  </si>
  <si>
    <t>You Completed Trek!</t>
  </si>
  <si>
    <t>trek_completed_covered</t>
  </si>
  <si>
    <t>You have covered</t>
  </si>
  <si>
    <t>trek_completed_in</t>
  </si>
  <si>
    <t>in</t>
  </si>
  <si>
    <t>trek_completed_view_stats</t>
  </si>
  <si>
    <t>View detailed trek statistics</t>
  </si>
  <si>
    <t>trek_completed_save_reference</t>
  </si>
  <si>
    <t>Save your trek for future reference</t>
  </si>
  <si>
    <t>trek_completed_share_achievement</t>
  </si>
  <si>
    <t>Share your achievement with friends</t>
  </si>
  <si>
    <t>trek_completed_view_route</t>
  </si>
  <si>
    <t>View your trek route on map</t>
  </si>
  <si>
    <t>trek_completed_view_summary</t>
  </si>
  <si>
    <t>View Trek Summary</t>
  </si>
  <si>
    <t>trek_history_title</t>
  </si>
  <si>
    <t>Trek History</t>
  </si>
  <si>
    <t>trek_history_empty</t>
  </si>
  <si>
    <t>No trek history available</t>
  </si>
  <si>
    <t>trek_history_delete_confirm</t>
  </si>
  <si>
    <t>Delete Trek</t>
  </si>
  <si>
    <t>trek_history_delete_message</t>
  </si>
  <si>
    <t>Are you sure you want to delete this trek?</t>
  </si>
  <si>
    <t>trek_history_cancel</t>
  </si>
  <si>
    <t>trek_history_delete</t>
  </si>
  <si>
    <t>Delete</t>
  </si>
  <si>
    <t>trek_history_distance_unit</t>
  </si>
  <si>
    <t>speed_meter_max_speed_today</t>
  </si>
  <si>
    <t>Max Speed Today</t>
  </si>
  <si>
    <t>speed_meter_max_speed_all_time</t>
  </si>
  <si>
    <t>Max Speed All Time</t>
  </si>
  <si>
    <t>speed_meter_reset</t>
  </si>
  <si>
    <t>Reset Speed</t>
  </si>
  <si>
    <t>speed_meter_share</t>
  </si>
  <si>
    <t>speed_meter_info</t>
  </si>
  <si>
    <t>Information</t>
  </si>
  <si>
    <t>speed_meter_trip_list</t>
  </si>
  <si>
    <t>Trip List</t>
  </si>
  <si>
    <t>speed_meter_start_recording</t>
  </si>
  <si>
    <t>Start Recording</t>
  </si>
  <si>
    <t>speed_meter_stop_recording</t>
  </si>
  <si>
    <t>Stop Recording</t>
  </si>
  <si>
    <t>speed_meter_pause</t>
  </si>
  <si>
    <t>speed_meter_resume</t>
  </si>
  <si>
    <t>speed_meter_show_map</t>
  </si>
  <si>
    <t>Show Map</t>
  </si>
  <si>
    <t>speed_meter_show_speedometer</t>
  </si>
  <si>
    <t>Show Speedometer</t>
  </si>
  <si>
    <t>speed_meter_speed_limit</t>
  </si>
  <si>
    <t>Speed Limit</t>
  </si>
  <si>
    <t>speed_meter_speed_limit_warning</t>
  </si>
  <si>
    <t>Speed Limit Warning</t>
  </si>
  <si>
    <t>speed_meter_vehicle_walking</t>
  </si>
  <si>
    <t>Walking</t>
  </si>
  <si>
    <t>speed_meter_vehicle_bicycle</t>
  </si>
  <si>
    <t>Bicycle</t>
  </si>
  <si>
    <t>speed_meter_vehicle_motorcycle</t>
  </si>
  <si>
    <t>Motorcycle</t>
  </si>
  <si>
    <t>speed_meter_vehicle_car</t>
  </si>
  <si>
    <t>Car</t>
  </si>
  <si>
    <t>save_trip_title</t>
  </si>
  <si>
    <t>Save Trip</t>
  </si>
  <si>
    <t>save_trip_name</t>
  </si>
  <si>
    <t>Trip Name</t>
  </si>
  <si>
    <t>save_trip_name_placeholder</t>
  </si>
  <si>
    <t>Enter trip name</t>
  </si>
  <si>
    <t>save_trip_start_place</t>
  </si>
  <si>
    <t>Start Place</t>
  </si>
  <si>
    <t>save_trip_start_place_placeholder</t>
  </si>
  <si>
    <t>Enter start place</t>
  </si>
  <si>
    <t>save_trip_end_place</t>
  </si>
  <si>
    <t>End Place</t>
  </si>
  <si>
    <t>save_trip_end_place_placeholder</t>
  </si>
  <si>
    <t>Enter end place</t>
  </si>
  <si>
    <t>save_trip_cancel</t>
  </si>
  <si>
    <t>save_trip_save</t>
  </si>
  <si>
    <t>save_trip_success</t>
  </si>
  <si>
    <t>Trip Saved</t>
  </si>
  <si>
    <t>save_trip_error</t>
  </si>
  <si>
    <t>Please fill in all fields</t>
  </si>
  <si>
    <t>trip_list_title</t>
  </si>
  <si>
    <t>Trips</t>
  </si>
  <si>
    <t>trip_list_no_trips</t>
  </si>
  <si>
    <t>No trips available</t>
  </si>
  <si>
    <t>trip_list_delete_confirm</t>
  </si>
  <si>
    <t>Are you sure you want to delete this trip?</t>
  </si>
  <si>
    <t>trip_list_delete_no</t>
  </si>
  <si>
    <t>No</t>
  </si>
  <si>
    <t>trip_list_delete_yes</t>
  </si>
  <si>
    <t>view_trip_start_place</t>
  </si>
  <si>
    <t>view_trip_end_place</t>
  </si>
  <si>
    <t>speed_limit_title</t>
  </si>
  <si>
    <t>Set Speed Limit</t>
  </si>
  <si>
    <t>speed_limit_select_vehicle</t>
  </si>
  <si>
    <t>Select Vehicle</t>
  </si>
  <si>
    <t>speed_limit_enter_limit</t>
  </si>
  <si>
    <t>Enter Speed Limit</t>
  </si>
  <si>
    <t>speed_limit_unit</t>
  </si>
  <si>
    <t>Unit</t>
  </si>
  <si>
    <t>speed_limit_back</t>
  </si>
  <si>
    <t>Back</t>
  </si>
  <si>
    <t>speed_limit_set</t>
  </si>
  <si>
    <t>Set Limit</t>
  </si>
  <si>
    <t>speed_limit_turn_off</t>
  </si>
  <si>
    <t>Turn Off Speed Limit</t>
  </si>
  <si>
    <t>trip_item_start</t>
  </si>
  <si>
    <t>trip_item_end</t>
  </si>
  <si>
    <t>End</t>
  </si>
  <si>
    <t>speed_analysis_title</t>
  </si>
  <si>
    <t>Speed Analysis</t>
  </si>
  <si>
    <t>speed_analysis_no_data</t>
  </si>
  <si>
    <t>No valid speed data recorded. Please start moving.</t>
  </si>
  <si>
    <t>speed_analysis_unit_kph</t>
  </si>
  <si>
    <t>kph</t>
  </si>
  <si>
    <t>speed_analysis_unit_mph</t>
  </si>
  <si>
    <t>mph</t>
  </si>
  <si>
    <t>speed_analysis_unit_knots</t>
  </si>
  <si>
    <t>knots</t>
  </si>
  <si>
    <t>map_section_duration</t>
  </si>
  <si>
    <t>map_section_distance</t>
  </si>
  <si>
    <t>map_section_max_speed</t>
  </si>
  <si>
    <t>Max Speed</t>
  </si>
  <si>
    <t>map_section_avg_speed</t>
  </si>
  <si>
    <t>Average Speed</t>
  </si>
  <si>
    <t>map_section_unit_seconds</t>
  </si>
  <si>
    <t>s</t>
  </si>
  <si>
    <t>map_section_unit_kilometers</t>
  </si>
  <si>
    <t>notification_tracked_location_not_found_title</t>
  </si>
  <si>
    <t>Tracked location not found</t>
  </si>
  <si>
    <t>notification_tracked_location_not_found_message</t>
  </si>
  <si>
    <t>You're in the same location—tracking not updated.</t>
  </si>
  <si>
    <t>notification_tracked_location_not_found_type</t>
  </si>
  <si>
    <t>warning</t>
  </si>
  <si>
    <t>compass_mode_magnetic</t>
  </si>
  <si>
    <t>Magnetic</t>
  </si>
  <si>
    <t>compass_mode_target</t>
  </si>
  <si>
    <t>Target</t>
  </si>
  <si>
    <t>compass_mode_calibrate</t>
  </si>
  <si>
    <t>Calibrate</t>
  </si>
  <si>
    <t>compass_mode_true</t>
  </si>
  <si>
    <t>compass_skin_default</t>
  </si>
  <si>
    <t>compass_skin_blue</t>
  </si>
  <si>
    <t>Blue</t>
  </si>
  <si>
    <t>compass_skin_red</t>
  </si>
  <si>
    <t>Red</t>
  </si>
  <si>
    <t>compass_skin_white</t>
  </si>
  <si>
    <t>White</t>
  </si>
  <si>
    <t>compass_skin_blue_weather</t>
  </si>
  <si>
    <t>Blue Weather</t>
  </si>
  <si>
    <t>compass_error_loading_skin</t>
  </si>
  <si>
    <t>Error loading saved skin</t>
  </si>
  <si>
    <t>compass_target_description</t>
  </si>
  <si>
    <t>Target Description</t>
  </si>
  <si>
    <t>compass_current_target</t>
  </si>
  <si>
    <t>Current Target</t>
  </si>
  <si>
    <t>compass_change_target</t>
  </si>
  <si>
    <t>Change Target</t>
  </si>
  <si>
    <t>compass_direction_north</t>
  </si>
  <si>
    <t>N</t>
  </si>
  <si>
    <t>compass_direction_south</t>
  </si>
  <si>
    <t>S</t>
  </si>
  <si>
    <t>compass_direction_east</t>
  </si>
  <si>
    <t>E</t>
  </si>
  <si>
    <t>compass_direction_west</t>
  </si>
  <si>
    <t>W</t>
  </si>
  <si>
    <t>compass_calibration_title</t>
  </si>
  <si>
    <t>How To Calibrate</t>
  </si>
  <si>
    <t>compass_calibration_well_calibrated</t>
  </si>
  <si>
    <t>Well calibrated</t>
  </si>
  <si>
    <t>compass_calibration_needs_calibration</t>
  </si>
  <si>
    <t>Needs calibration</t>
  </si>
  <si>
    <t>compass_calibration_sensors</t>
  </si>
  <si>
    <t>compass_calibration_accuracy</t>
  </si>
  <si>
    <t>Accuracy</t>
  </si>
  <si>
    <t>compass_calibration_magnetic_field</t>
  </si>
  <si>
    <t>Magnetic Field</t>
  </si>
  <si>
    <t>compass_calibration_accelerometer</t>
  </si>
  <si>
    <t>Accelerometer</t>
  </si>
  <si>
    <t>compass_calibration_high</t>
  </si>
  <si>
    <t>High</t>
  </si>
  <si>
    <t>compass_calibration_low</t>
  </si>
  <si>
    <t>Low</t>
  </si>
  <si>
    <t>compass_calibration_microtesla</t>
  </si>
  <si>
    <t>µT</t>
  </si>
  <si>
    <t>compass_calibration_instruction</t>
  </si>
  <si>
    <t>Calibrate your device by moving it in 3 direction as shown below or by moving it in 8 pattern shape.</t>
  </si>
  <si>
    <t>compass_calibration_warning</t>
  </si>
  <si>
    <t>And Keep device away from magnetic things. If sensor accuracy is still low, you did the calibration wrong or Maybe there is a problem with your device sensors.</t>
  </si>
  <si>
    <t>compass_skin_choose</t>
  </si>
  <si>
    <t>Choose Skins</t>
  </si>
  <si>
    <t>compass_skin_currently_applied</t>
  </si>
  <si>
    <t>Currently Applied</t>
  </si>
  <si>
    <t>compass_skin_apply</t>
  </si>
  <si>
    <t>compass_skin_success</t>
  </si>
  <si>
    <t>Skin Applied Successfully!</t>
  </si>
  <si>
    <t>compass_skin_pagination</t>
  </si>
  <si>
    <t>{{current}} of {{total}}</t>
  </si>
  <si>
    <t>compass_input_title</t>
  </si>
  <si>
    <t>Please enter the latitude and longitude of the target location</t>
  </si>
  <si>
    <t>compass_input_latitude</t>
  </si>
  <si>
    <t>Latitude</t>
  </si>
  <si>
    <t>compass_input_longitude</t>
  </si>
  <si>
    <t>Longitude</t>
  </si>
  <si>
    <t>compass_input_latitude_placeholder</t>
  </si>
  <si>
    <t>Enter Latitude</t>
  </si>
  <si>
    <t>compass_input_longitude_placeholder</t>
  </si>
  <si>
    <t>Enter Longitude</t>
  </si>
  <si>
    <t>compass_input_latitude_error</t>
  </si>
  <si>
    <t>Latitude must be between -90 and 90</t>
  </si>
  <si>
    <t>compass_input_longitude_error</t>
  </si>
  <si>
    <t>Longitude must be between -180 and 180</t>
  </si>
  <si>
    <t>compass_input_set_target</t>
  </si>
  <si>
    <t>Set Target</t>
  </si>
  <si>
    <t>compass_map_set_target</t>
  </si>
  <si>
    <t>compass_map_click_instruction</t>
  </si>
  <si>
    <t>Please Click on the map to set the target location</t>
  </si>
  <si>
    <t>compass_saved_locations</t>
  </si>
  <si>
    <t>Saved Location</t>
  </si>
  <si>
    <t>compass_saved_location_coordinates</t>
  </si>
  <si>
    <t>{{latitude}} , {{longitude}}</t>
  </si>
  <si>
    <t>compass_save_location_title</t>
  </si>
  <si>
    <t>Save Location</t>
  </si>
  <si>
    <t>compass_save_location_placeholder</t>
  </si>
  <si>
    <t>Enter location name</t>
  </si>
  <si>
    <t>compass_save_location_cancel</t>
  </si>
  <si>
    <t>compass_save_location_save</t>
  </si>
  <si>
    <t>save_location_title</t>
  </si>
  <si>
    <t>save_location_placeholder</t>
  </si>
  <si>
    <t>save_location_cancel</t>
  </si>
  <si>
    <t>save_location_save</t>
  </si>
  <si>
    <t>compass_magnetic_field</t>
  </si>
  <si>
    <t>compass_share_message</t>
  </si>
  <si>
    <t>Check out my compass direction!</t>
  </si>
  <si>
    <t>compass_my_direction</t>
  </si>
  <si>
    <t>My Direction</t>
  </si>
  <si>
    <t>compass_target_direction</t>
  </si>
  <si>
    <t>Target Direction</t>
  </si>
  <si>
    <t>compass_direction_northeast</t>
  </si>
  <si>
    <t>NE</t>
  </si>
  <si>
    <t>compass_direction_southeast</t>
  </si>
  <si>
    <t>SE</t>
  </si>
  <si>
    <t>compass_direction_southwest</t>
  </si>
  <si>
    <t>SW</t>
  </si>
  <si>
    <t>compass_direction_northwest</t>
  </si>
  <si>
    <t>NW</t>
  </si>
  <si>
    <t>compass_choose_target</t>
  </si>
  <si>
    <t>Choose Target</t>
  </si>
  <si>
    <t>compass_from_map</t>
  </si>
  <si>
    <t>From Map</t>
  </si>
  <si>
    <t>compass_from_saved_location</t>
  </si>
  <si>
    <t>From Saved Location</t>
  </si>
  <si>
    <t>compass_from_input</t>
  </si>
  <si>
    <t>From Input</t>
  </si>
  <si>
    <t>compass_distance</t>
  </si>
  <si>
    <t>compass_altitude</t>
  </si>
  <si>
    <t>compass_feet</t>
  </si>
  <si>
    <t>ft</t>
  </si>
  <si>
    <t>aqi_forecast_title</t>
  </si>
  <si>
    <t>7-Day Forecast</t>
  </si>
  <si>
    <t>aqi_last_updated</t>
  </si>
  <si>
    <t>Last Updated:</t>
  </si>
  <si>
    <t>aqi_refreshing</t>
  </si>
  <si>
    <t>Refreshing...</t>
  </si>
  <si>
    <t>aqi_source</t>
  </si>
  <si>
    <t>Source</t>
  </si>
  <si>
    <t>aqi_min</t>
  </si>
  <si>
    <t>Min:</t>
  </si>
  <si>
    <t>aqi_max</t>
  </si>
  <si>
    <t>Max:</t>
  </si>
  <si>
    <t>aqi_nearest_station</t>
  </si>
  <si>
    <t>Nearest station which provides polution data</t>
  </si>
  <si>
    <t>uv_index_title</t>
  </si>
  <si>
    <t>uv_refreshing</t>
  </si>
  <si>
    <t>uv_source</t>
  </si>
  <si>
    <t>uv_source_name</t>
  </si>
  <si>
    <t>OpenWeatherMap</t>
  </si>
  <si>
    <t>uv_level_low</t>
  </si>
  <si>
    <t>uv_level_moderate</t>
  </si>
  <si>
    <t>Moderate</t>
  </si>
  <si>
    <t>uv_level_high</t>
  </si>
  <si>
    <t>uv_level_very_high</t>
  </si>
  <si>
    <t>Very High</t>
  </si>
  <si>
    <t>uv_level_extreme</t>
  </si>
  <si>
    <t>Extreme</t>
  </si>
  <si>
    <t>activity_monitoring_regions</t>
  </si>
  <si>
    <t>Monitoring Regions :</t>
  </si>
  <si>
    <t>activity_view_all</t>
  </si>
  <si>
    <t>View All</t>
  </si>
  <si>
    <t>activity_no_logs</t>
  </si>
  <si>
    <t>No Activity Logs</t>
  </si>
  <si>
    <t>activity_no_logs_subtext</t>
  </si>
  <si>
    <t>Your activity logs will appear here when you enter or exit monitored regions</t>
  </si>
  <si>
    <t>activity_monitoring_regions_title</t>
  </si>
  <si>
    <t>Monitoring Regions</t>
  </si>
  <si>
    <t>activity_region_radius</t>
  </si>
  <si>
    <t>Radius: {{radius}} km</t>
  </si>
  <si>
    <t>activity_delete_region_title</t>
  </si>
  <si>
    <t>Delete Region</t>
  </si>
  <si>
    <t>activity_delete_region_message</t>
  </si>
  <si>
    <t>Are you sure you want to delete this region?</t>
  </si>
  <si>
    <t>activity_add_region</t>
  </si>
  <si>
    <t>Add Region</t>
  </si>
  <si>
    <t>activity_save_location</t>
  </si>
  <si>
    <t>activity_region_name</t>
  </si>
  <si>
    <t>Region Name</t>
  </si>
  <si>
    <t>activity_radius</t>
  </si>
  <si>
    <t>Radius</t>
  </si>
  <si>
    <t>activity_km</t>
  </si>
  <si>
    <t>step_daily_statistics</t>
  </si>
  <si>
    <t>Daily Statistics</t>
  </si>
  <si>
    <t>step_today</t>
  </si>
  <si>
    <t>Today</t>
  </si>
  <si>
    <t>step_steps</t>
  </si>
  <si>
    <t>step_goal</t>
  </si>
  <si>
    <t>Goal</t>
  </si>
  <si>
    <t>step_progress</t>
  </si>
  <si>
    <t>Progress</t>
  </si>
  <si>
    <t>step_previous_days</t>
  </si>
  <si>
    <t>Previous Days</t>
  </si>
  <si>
    <t>step_no_previous_data</t>
  </si>
  <si>
    <t>No Previous Day Data</t>
  </si>
  <si>
    <t>step_plan_walk</t>
  </si>
  <si>
    <t>Plan Walk</t>
  </si>
  <si>
    <t>step_plan_walk_desc</t>
  </si>
  <si>
    <t>Set daily goals, track progress, and view your walking history over time.</t>
  </si>
  <si>
    <t>step_set_daily_goal</t>
  </si>
  <si>
    <t>Daily Goal</t>
  </si>
  <si>
    <t>step_steps_per_day</t>
  </si>
  <si>
    <t>Steps/Day</t>
  </si>
  <si>
    <t>step_edit</t>
  </si>
  <si>
    <t>Edit</t>
  </si>
  <si>
    <t>step_choose_active_days</t>
  </si>
  <si>
    <t>Active Days</t>
  </si>
  <si>
    <t>step_all_day</t>
  </si>
  <si>
    <t>All Day</t>
  </si>
  <si>
    <t>step_set_walk_times</t>
  </si>
  <si>
    <t>Walk Times</t>
  </si>
  <si>
    <t>step_full_day</t>
  </si>
  <si>
    <t>Full Day</t>
  </si>
  <si>
    <t>step_add_walk</t>
  </si>
  <si>
    <t>+ Add Walk</t>
  </si>
  <si>
    <t>step_disable_full_day</t>
  </si>
  <si>
    <t>Disable full day to add walk time</t>
  </si>
  <si>
    <t>step_save_plan</t>
  </si>
  <si>
    <t>Save Plan</t>
  </si>
  <si>
    <t>step_add_new_walk</t>
  </si>
  <si>
    <t>Add Walk</t>
  </si>
  <si>
    <t>step_walk_name</t>
  </si>
  <si>
    <t>Name</t>
  </si>
  <si>
    <t>step_enter_walk_name</t>
  </si>
  <si>
    <t>Enter name</t>
  </si>
  <si>
    <t>step_start_time</t>
  </si>
  <si>
    <t>Start Time</t>
  </si>
  <si>
    <t>step_end_time</t>
  </si>
  <si>
    <t>End Time</t>
  </si>
  <si>
    <t>step_cancel</t>
  </si>
  <si>
    <t>step_save</t>
  </si>
  <si>
    <t>step_unsaved_changes</t>
  </si>
  <si>
    <t>Unsaved Changes</t>
  </si>
  <si>
    <t>step_save_changes</t>
  </si>
  <si>
    <t>Save changes before leaving?</t>
  </si>
  <si>
    <t>step_dont_save</t>
  </si>
  <si>
    <t>Don't Save</t>
  </si>
  <si>
    <t>step_disclaimer</t>
  </si>
  <si>
    <t>Note</t>
  </si>
  <si>
    <t>step_disclaimer_text</t>
  </si>
  <si>
    <t>Step recommendations are based on general health guidelines and BMI. Not medical advice. Consult healthcare professional for personalized guidance.</t>
  </si>
  <si>
    <t>step_got_it</t>
  </si>
  <si>
    <t>Got it</t>
  </si>
  <si>
    <t>step_calculate_steps</t>
  </si>
  <si>
    <t>Calculate Steps</t>
  </si>
  <si>
    <t>step_weight</t>
  </si>
  <si>
    <t>Weight (kg)</t>
  </si>
  <si>
    <t>step_enter_weight</t>
  </si>
  <si>
    <t>Enter weight in kg</t>
  </si>
  <si>
    <t>step_height</t>
  </si>
  <si>
    <t>Height (cm)</t>
  </si>
  <si>
    <t>step_enter_height</t>
  </si>
  <si>
    <t>Enter height in cm</t>
  </si>
  <si>
    <t>step_unit_note</t>
  </si>
  <si>
    <t>Enter weight in kg and height in cm. Example: 70 kg, 170 cm</t>
  </si>
  <si>
    <t>step_calculate</t>
  </si>
  <si>
    <t>Calculate</t>
  </si>
  <si>
    <t>step_recommended_steps</t>
  </si>
  <si>
    <t>Recommended Steps</t>
  </si>
  <si>
    <t>step_bmi_category</t>
  </si>
  <si>
    <t>BMI Category:</t>
  </si>
  <si>
    <t>step_recommended_daily</t>
  </si>
  <si>
    <t>Daily Steps:</t>
  </si>
  <si>
    <t>step_apply_steps</t>
  </si>
  <si>
    <t>step_instant_counter</t>
  </si>
  <si>
    <t>Instant Step Counter</t>
  </si>
  <si>
    <t>step_instant_counter_desc</t>
  </si>
  <si>
    <t>Start counting steps immediately. Perfect for quick walks or tracking specific activities.</t>
  </si>
  <si>
    <t>step_activity_permission_title</t>
  </si>
  <si>
    <t>Activity Recognition Permission</t>
  </si>
  <si>
    <t>step_activity_permission_message</t>
  </si>
  <si>
    <t>App needs access to your physical activity to count steps.</t>
  </si>
  <si>
    <t>step_activity_permission_allow</t>
  </si>
  <si>
    <t>Allow</t>
  </si>
  <si>
    <t>step_plan_description</t>
  </si>
  <si>
    <t>Set up your walking schedule and track your progress over time.</t>
  </si>
  <si>
    <t>step_no_active_plan</t>
  </si>
  <si>
    <t>No Active Plan</t>
  </si>
  <si>
    <t>step_set_plan</t>
  </si>
  <si>
    <t>Set Plan</t>
  </si>
  <si>
    <t>step_today_steps</t>
  </si>
  <si>
    <t>Today's Steps</t>
  </si>
  <si>
    <t>step_daily_goal</t>
  </si>
  <si>
    <t>step_complete</t>
  </si>
  <si>
    <t>Complete</t>
  </si>
  <si>
    <t>step_goal_achieved</t>
  </si>
  <si>
    <t>Goal Achieved! 🎉</t>
  </si>
  <si>
    <t>step_keep_up</t>
  </si>
  <si>
    <t>Keep up the great work!</t>
  </si>
  <si>
    <t>step_view_stats</t>
  </si>
  <si>
    <t>View Stats</t>
  </si>
  <si>
    <t>step_hide_stats</t>
  </si>
  <si>
    <t>Hide Stats</t>
  </si>
  <si>
    <t>step_show_stats</t>
  </si>
  <si>
    <t>Show Stats</t>
  </si>
  <si>
    <t>step_instant_description</t>
  </si>
  <si>
    <t>Just tap the start button, and it starts counting your steps. Whether your phone is in your hand, bag, pocket, or armband, it will count your steps.</t>
  </si>
  <si>
    <t>step_current_steps</t>
  </si>
  <si>
    <t>Current Steps</t>
  </si>
  <si>
    <t>step_start</t>
  </si>
  <si>
    <t>START</t>
  </si>
  <si>
    <t>step_stop</t>
  </si>
  <si>
    <t>STOP</t>
  </si>
  <si>
    <t>gps_alarm_title</t>
  </si>
  <si>
    <t>gps_alarm_description</t>
  </si>
  <si>
    <t>Never miss your destination again! GPS Alarm helps you reach your destination on time.</t>
  </si>
  <si>
    <t>gps_alarm_how_it_works</t>
  </si>
  <si>
    <t>How it works:</t>
  </si>
  <si>
    <t>gps_alarm_set_destination</t>
  </si>
  <si>
    <t>Set your destination on the map</t>
  </si>
  <si>
    <t>gps_alarm_get_notified</t>
  </si>
  <si>
    <t>Get notified when you're approaching your destination</t>
  </si>
  <si>
    <t>gps_alarm_works_background</t>
  </si>
  <si>
    <t>Works even when the app is in background</t>
  </si>
  <si>
    <t>gps_alarm_set_target</t>
  </si>
  <si>
    <t>SET TARGET LOCATION</t>
  </si>
  <si>
    <t>gps_alarm_location_permission_title</t>
  </si>
  <si>
    <t>Location Permissions Required</t>
  </si>
  <si>
    <t>gps_alarm_location_permission_desc</t>
  </si>
  <si>
    <t>GPS Alarm needs location permissions to track your position and notify you when you reach your destination.</t>
  </si>
  <si>
    <t>gps_alarm_we_need</t>
  </si>
  <si>
    <t>We need:</t>
  </si>
  <si>
    <t>gps_alarm_precise_location</t>
  </si>
  <si>
    <t>Precise location access to accurately track your position</t>
  </si>
  <si>
    <t>gps_alarm_background_location</t>
  </si>
  <si>
    <t>Background location access to notify you even when app is closed</t>
  </si>
  <si>
    <t>gps_alarm_enable_always</t>
  </si>
  <si>
    <t>Enable "All the time" permission for continuous tracking</t>
  </si>
  <si>
    <t>gps_alarm_after_permission</t>
  </si>
  <si>
    <t>After granting permissions, you can set your destination and get notified when you reach it.</t>
  </si>
  <si>
    <t>gps_alarm_grant_permissions</t>
  </si>
  <si>
    <t>GRANT PERMISSIONS</t>
  </si>
  <si>
    <t>gps_alarm_permission_required</t>
  </si>
  <si>
    <t>Location Permission Required</t>
  </si>
  <si>
    <t>gps_alarm_permission_message</t>
  </si>
  <si>
    <t>GPS Alarm requires location permission to work properly.</t>
  </si>
  <si>
    <t>gps_alarm_background_required</t>
  </si>
  <si>
    <t>Background Location Required</t>
  </si>
  <si>
    <t>gps_alarm_background_message</t>
  </si>
  <si>
    <t>GPS Alarm needs background location access to notify you when you reach your destination.</t>
  </si>
  <si>
    <t>gps_alarm_error</t>
  </si>
  <si>
    <t>Error</t>
  </si>
  <si>
    <t>gps_alarm_error_message</t>
  </si>
  <si>
    <t>Failed to set alarm. Please try again.</t>
  </si>
  <si>
    <t>gps_alarm_from_map</t>
  </si>
  <si>
    <t>gps_alarm_from_saved</t>
  </si>
  <si>
    <t>gps_alarm_set_alarm</t>
  </si>
  <si>
    <t>Set Alarm</t>
  </si>
  <si>
    <t>gps_alarm_permission_required_title</t>
  </si>
  <si>
    <t>Permission Required</t>
  </si>
  <si>
    <t>gps_alarm_permission_required_message</t>
  </si>
  <si>
    <t>Background location permission is required for geofencing. Would you like to open settings?</t>
  </si>
  <si>
    <t>gps_alarm_cancel</t>
  </si>
  <si>
    <t>gps_alarm_open_settings</t>
  </si>
  <si>
    <t>Open Settings</t>
  </si>
  <si>
    <t>gps_alarm_error_title</t>
  </si>
  <si>
    <t>gps_alarm_monitoring_regions</t>
  </si>
  <si>
    <t>gps_alarm_region</t>
  </si>
  <si>
    <t>Region</t>
  </si>
  <si>
    <t>gps_alarm_radius</t>
  </si>
  <si>
    <t>gps_alarm_km</t>
  </si>
  <si>
    <t>gps_alarm_delete_region</t>
  </si>
  <si>
    <t>gps_alarm_delete_confirm</t>
  </si>
  <si>
    <t>gps_alarm_location_details</t>
  </si>
  <si>
    <t>Location Details</t>
  </si>
  <si>
    <t>gps_alarm_latitude</t>
  </si>
  <si>
    <t>Lat</t>
  </si>
  <si>
    <t>gps_alarm_longitude</t>
  </si>
  <si>
    <t>Long</t>
  </si>
  <si>
    <t>gps_alarm_radius_m</t>
  </si>
  <si>
    <t>gps_alarm_vibration</t>
  </si>
  <si>
    <t>Vibrate</t>
  </si>
  <si>
    <t>gps_alarm_select_ringtone</t>
  </si>
  <si>
    <t>Ringtone</t>
  </si>
  <si>
    <t>gps_alarm_delete_alarm</t>
  </si>
  <si>
    <t>gps_alarm_delete_alarm_title</t>
  </si>
  <si>
    <t>Delete Alarm</t>
  </si>
  <si>
    <t>gps_alarm_delete_alarm_confirm</t>
  </si>
  <si>
    <t>Delete this alarm?</t>
  </si>
  <si>
    <t>gps_alarm_manage</t>
  </si>
  <si>
    <t>Manage</t>
  </si>
  <si>
    <t>gps_alarm_set</t>
  </si>
  <si>
    <t>Set</t>
  </si>
  <si>
    <t>gps_time_title</t>
  </si>
  <si>
    <t>gps_time_description</t>
  </si>
  <si>
    <t>GPS, Global Positioning System time, is the atomic time scale implemented by the atomic clocks in the GPS ground control stations and the GPS satellites themselves</t>
  </si>
  <si>
    <t>gps_time_device_time</t>
  </si>
  <si>
    <t>Device Time</t>
  </si>
  <si>
    <t>gps_time_waiting</t>
  </si>
  <si>
    <t>Waiting for a GPS signal</t>
  </si>
  <si>
    <t>gps_time_error</t>
  </si>
  <si>
    <t>Failed to get GPS time</t>
  </si>
  <si>
    <t>gps_time_permission_title</t>
  </si>
  <si>
    <t>Location Permission</t>
  </si>
  <si>
    <t>gps_time_permission_message</t>
  </si>
  <si>
    <t>This app needs access to your location to get GPS time.</t>
  </si>
  <si>
    <t>gps_time_permission_ask_later</t>
  </si>
  <si>
    <t>Ask Me Later</t>
  </si>
  <si>
    <t>gps_time_permission_cancel</t>
  </si>
  <si>
    <t>gps_time_permission_ok</t>
  </si>
  <si>
    <t>OK</t>
  </si>
  <si>
    <t>gps_time_permission_error</t>
  </si>
  <si>
    <t>Location permission not granted</t>
  </si>
  <si>
    <t>satellite_loading</t>
  </si>
  <si>
    <t>Loading satellite data...</t>
  </si>
  <si>
    <t>satellite_stale_data</t>
  </si>
  <si>
    <t>Data may be stale (Last update: {{time}}s ago)</t>
  </si>
  <si>
    <t>satellite_direction</t>
  </si>
  <si>
    <t>{{angle}}°</t>
  </si>
  <si>
    <t>satellite_detail_loading</t>
  </si>
  <si>
    <t>satellite_detail_export</t>
  </si>
  <si>
    <t>Export to CSV</t>
  </si>
  <si>
    <t>satellite_detail_export_success</t>
  </si>
  <si>
    <t>Export Successful</t>
  </si>
  <si>
    <t>satellite_detail_export_failed</t>
  </si>
  <si>
    <t>Export Failed</t>
  </si>
  <si>
    <t>satellite_detail_file_saved</t>
  </si>
  <si>
    <t>File saved to: {{path}}</t>
  </si>
  <si>
    <t>satellite_detail_error</t>
  </si>
  <si>
    <t>Error: {{message}}</t>
  </si>
  <si>
    <t>satellite_detail_number</t>
  </si>
  <si>
    <t>Satellite Number: {{number}}</t>
  </si>
  <si>
    <t>satellite_detail_signal_strength</t>
  </si>
  <si>
    <t>Signal Strength: {{quality}}</t>
  </si>
  <si>
    <t>satellite_detail_elevation</t>
  </si>
  <si>
    <t>Elevation: {{value}}°</t>
  </si>
  <si>
    <t>satellite_detail_azimuth</t>
  </si>
  <si>
    <t>Azimuth: {{value}}°</t>
  </si>
  <si>
    <t>satellite_detail_used_in_fix</t>
  </si>
  <si>
    <t>Used in Fix: {{value}}</t>
  </si>
  <si>
    <t>satellite_detail_signal_no</t>
  </si>
  <si>
    <t>No Signal</t>
  </si>
  <si>
    <t>satellite_detail_signal_poor</t>
  </si>
  <si>
    <t>Poor</t>
  </si>
  <si>
    <t>satellite_detail_signal_fair</t>
  </si>
  <si>
    <t>Fair</t>
  </si>
  <si>
    <t>satellite_detail_signal_good</t>
  </si>
  <si>
    <t>Good</t>
  </si>
  <si>
    <t>satellite_detail_signal_excellent</t>
  </si>
  <si>
    <t>Excellent</t>
  </si>
  <si>
    <t>satellite_detail_yes</t>
  </si>
  <si>
    <t>Yes</t>
  </si>
  <si>
    <t>satellite_detail_no</t>
  </si>
  <si>
    <t>satellite_detail_na</t>
  </si>
  <si>
    <t>N/A</t>
  </si>
  <si>
    <t>satellite_map_title</t>
  </si>
  <si>
    <t>satellite_map_snr_poor</t>
  </si>
  <si>
    <t>Poor (&lt;10)</t>
  </si>
  <si>
    <t>satellite_map_snr_fair</t>
  </si>
  <si>
    <t>Fair (10-20)</t>
  </si>
  <si>
    <t>satellite_map_snr_good</t>
  </si>
  <si>
    <t>Good (20-30)</t>
  </si>
  <si>
    <t>satellite_map_snr_excellent</t>
  </si>
  <si>
    <t>Excellent (&gt;30)</t>
  </si>
  <si>
    <t>altimeter_loading</t>
  </si>
  <si>
    <t>Loading...</t>
  </si>
  <si>
    <t>altimeter_accuracy</t>
  </si>
  <si>
    <t>altimeter_accuracy_high</t>
  </si>
  <si>
    <t>altimeter_accuracy_na</t>
  </si>
  <si>
    <t>altimeter_error</t>
  </si>
  <si>
    <t>altimeter_error_fetch</t>
  </si>
  <si>
    <t>Failed to fetch altitude data</t>
  </si>
  <si>
    <t>altimeter_ok</t>
  </si>
  <si>
    <t>altimeter_units_meters</t>
  </si>
  <si>
    <t>altimeter_units_feet</t>
  </si>
  <si>
    <t>Feet (ft)</t>
  </si>
  <si>
    <t>altimeter_units_yards</t>
  </si>
  <si>
    <t>Yards (yd)</t>
  </si>
  <si>
    <t>altimeter_mode_location</t>
  </si>
  <si>
    <t>Location Altimeter</t>
  </si>
  <si>
    <t>altimeter_mode_gps</t>
  </si>
  <si>
    <t>GPS Altimeter</t>
  </si>
  <si>
    <t>altimeter_view_peaks</t>
  </si>
  <si>
    <t>View Top Peaks</t>
  </si>
  <si>
    <t>gpx_importer_exporter</t>
  </si>
  <si>
    <t>gpx_all_files</t>
  </si>
  <si>
    <t>All GPX Files</t>
  </si>
  <si>
    <t>gpx_my_file</t>
  </si>
  <si>
    <t>My File</t>
  </si>
  <si>
    <t>gpx_loading</t>
  </si>
  <si>
    <t>Loading GPX file...</t>
  </si>
  <si>
    <t>gpx_save_confirm</t>
  </si>
  <si>
    <t>Are you sure you want to save the {{title}} GPX file ?</t>
  </si>
  <si>
    <t>gpx_cancel</t>
  </si>
  <si>
    <t>gpx_save</t>
  </si>
  <si>
    <t>gpx_file_saved</t>
  </si>
  <si>
    <t>File saved successfully</t>
  </si>
  <si>
    <t>gpx_file_saved_desc</t>
  </si>
  <si>
    <t>File has been saved successfully</t>
  </si>
  <si>
    <t>gpx_error_saving</t>
  </si>
  <si>
    <t>Error saving GPX file</t>
  </si>
  <si>
    <t>gpx_no_file</t>
  </si>
  <si>
    <t>No GPX file found</t>
  </si>
  <si>
    <t>gpx_error_handling</t>
  </si>
  <si>
    <t>Error handling file</t>
  </si>
  <si>
    <t>gpx_detail_file_saved</t>
  </si>
  <si>
    <t>GPX file Saved</t>
  </si>
  <si>
    <t>gpx_detail_share_public</t>
  </si>
  <si>
    <t>Share GPX file Publicly</t>
  </si>
  <si>
    <t>gpx_detail_title</t>
  </si>
  <si>
    <t>Title</t>
  </si>
  <si>
    <t>gpx_detail_description</t>
  </si>
  <si>
    <t>Description</t>
  </si>
  <si>
    <t>gpx_detail_cancel</t>
  </si>
  <si>
    <t>gpx_detail_share</t>
  </si>
  <si>
    <t>gpx_detail_ok</t>
  </si>
  <si>
    <t>gpx_detail_share_message</t>
  </si>
  <si>
    <t>Check out this GPX file from GPS Tools app: {{title}}.gpx</t>
  </si>
  <si>
    <t>gpx_detail_no_file</t>
  </si>
  <si>
    <t>No GPX file to share</t>
  </si>
  <si>
    <t>gpx_info_title</t>
  </si>
  <si>
    <t>GPX Information</t>
  </si>
  <si>
    <t>gpx_info_statistics</t>
  </si>
  <si>
    <t>Statistics</t>
  </si>
  <si>
    <t>gpx_info_length</t>
  </si>
  <si>
    <t>Length:</t>
  </si>
  <si>
    <t>gpx_info_elevation_diff</t>
  </si>
  <si>
    <t>Elevation difference:</t>
  </si>
  <si>
    <t>gpx_info_start</t>
  </si>
  <si>
    <t>Start:</t>
  </si>
  <si>
    <t>gpx_info_end</t>
  </si>
  <si>
    <t>End:</t>
  </si>
  <si>
    <t>gpx_info_duration</t>
  </si>
  <si>
    <t>Duration:</t>
  </si>
  <si>
    <t>gpx_info_avg_speed</t>
  </si>
  <si>
    <t>Average Speed:</t>
  </si>
  <si>
    <t>gpx_info_max_speed</t>
  </si>
  <si>
    <t>Max Speed:</t>
  </si>
  <si>
    <t>gpx_info_max_elevation</t>
  </si>
  <si>
    <t>Max elevation:</t>
  </si>
  <si>
    <t>gpx_info_min_elevation</t>
  </si>
  <si>
    <t>Min elevation:</t>
  </si>
  <si>
    <t>gpx_info_file_info</t>
  </si>
  <si>
    <t>File Information</t>
  </si>
  <si>
    <t>gpx_info_file_name</t>
  </si>
  <si>
    <t>File Name:</t>
  </si>
  <si>
    <t>gpx_info_file_path</t>
  </si>
  <si>
    <t>File Path:</t>
  </si>
  <si>
    <t>gpx_info_file_size</t>
  </si>
  <si>
    <t>File Size:</t>
  </si>
  <si>
    <t>gpx_info_author</t>
  </si>
  <si>
    <t>Author:</t>
  </si>
  <si>
    <t>gpx_info_created</t>
  </si>
  <si>
    <t>Created:</t>
  </si>
  <si>
    <t>gpx_info_unknown</t>
  </si>
  <si>
    <t>Unknown</t>
  </si>
  <si>
    <t>gpx_info_meters</t>
  </si>
  <si>
    <t>gpx_info_meters_per_sec</t>
  </si>
  <si>
    <t>m/s</t>
  </si>
  <si>
    <t>gpx_info_kb</t>
  </si>
  <si>
    <t>KB</t>
  </si>
  <si>
    <t>gpx_file_imported_by_you</t>
  </si>
  <si>
    <t>Imported by You</t>
  </si>
  <si>
    <t>gpx_file_shared_by</t>
  </si>
  <si>
    <t>Shared by {{name}}</t>
  </si>
  <si>
    <t>gpx_file_distance</t>
  </si>
  <si>
    <t>{{distance}} km</t>
  </si>
  <si>
    <t>gpx_file_time_ago</t>
  </si>
  <si>
    <t>{{time}} ago</t>
  </si>
  <si>
    <t>gpx_file_likes</t>
  </si>
  <si>
    <t>{{count}} likes</t>
  </si>
  <si>
    <t>gpx_file_downloads</t>
  </si>
  <si>
    <t>{{count}} downloads</t>
  </si>
  <si>
    <t>gpx_file_delete</t>
  </si>
  <si>
    <t>gpx_file_download</t>
  </si>
  <si>
    <t>Download</t>
  </si>
  <si>
    <t>gpx_file_like</t>
  </si>
  <si>
    <t>Like</t>
  </si>
  <si>
    <t>gpx_file_placeholder</t>
  </si>
  <si>
    <t>--</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</si>
</sst>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color theme="1"/>
      <name val="Times New Roman"/>
    </font>
    <font>
      <color theme="1"/>
      <name val="Arial"/>
      <scheme val="minor"/>
    </font>
  </fonts>
  <fills count="2">
    <fill>
      <patternFill patternType="none"/>
    </fill>
    <fill>
      <patternFill patternType="lightGray"/>
    </fill>
  </fills>
  <borders count="1">
    <border/>
  </borders>
  <cellStyleXfs count="1">
    <xf borderId="0" fillId="0" fontId="0" numFmtId="0" applyAlignment="1" applyFont="1"/>
  </cellStyleXfs>
  <cellXfs count="5">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Font="1"/>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9.13"/>
    <col customWidth="1" min="4" max="4" width="36.75"/>
    <col customWidth="1" min="7" max="7" width="13.88"/>
  </cols>
  <sheetData>
    <row r="1">
      <c r="A1" s="1" t="str">
        <f>UPPER("KEY")</f>
        <v>KEY</v>
      </c>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20</v>
      </c>
      <c r="W1" s="1" t="s">
        <v>21</v>
      </c>
      <c r="X1" s="1" t="s">
        <v>22</v>
      </c>
      <c r="Y1" s="1" t="s">
        <v>23</v>
      </c>
      <c r="Z1" s="1" t="s">
        <v>24</v>
      </c>
      <c r="AA1" s="1" t="s">
        <v>25</v>
      </c>
      <c r="AB1" s="1" t="s">
        <v>26</v>
      </c>
      <c r="AC1" s="1" t="s">
        <v>27</v>
      </c>
      <c r="AD1" s="1" t="s">
        <v>28</v>
      </c>
      <c r="AE1" s="1" t="s">
        <v>29</v>
      </c>
      <c r="AF1" s="1" t="s">
        <v>30</v>
      </c>
      <c r="AG1" s="1" t="s">
        <v>31</v>
      </c>
      <c r="AH1" s="1" t="s">
        <v>32</v>
      </c>
      <c r="AI1" s="1" t="s">
        <v>33</v>
      </c>
      <c r="AJ1" s="1" t="s">
        <v>34</v>
      </c>
      <c r="AK1" s="1" t="s">
        <v>35</v>
      </c>
      <c r="AL1" s="1" t="s">
        <v>36</v>
      </c>
      <c r="AM1" s="1" t="s">
        <v>37</v>
      </c>
      <c r="AN1" s="1" t="s">
        <v>38</v>
      </c>
      <c r="AO1" s="1" t="s">
        <v>39</v>
      </c>
      <c r="AP1" s="1" t="s">
        <v>40</v>
      </c>
      <c r="AQ1" s="1" t="s">
        <v>41</v>
      </c>
      <c r="AR1" s="1" t="s">
        <v>42</v>
      </c>
      <c r="AS1" s="1" t="s">
        <v>43</v>
      </c>
      <c r="AT1" s="1" t="s">
        <v>44</v>
      </c>
      <c r="AU1" s="1" t="s">
        <v>45</v>
      </c>
      <c r="AV1" s="1" t="s">
        <v>46</v>
      </c>
      <c r="AW1" s="1"/>
      <c r="AX1" s="2"/>
      <c r="AY1" s="2"/>
    </row>
    <row r="2">
      <c r="A2" s="3" t="s">
        <v>47</v>
      </c>
      <c r="B2" s="3" t="s">
        <v>48</v>
      </c>
      <c r="C2" s="4" t="str">
        <f>IFERROR(__xludf.DUMMYFUNCTION("GOOGLETRANSLATE(B2,""en"",""ta"")"),"காலை வணக்கம்")</f>
        <v>காலை வணக்கம்</v>
      </c>
      <c r="D2" s="4" t="str">
        <f>IFERROR(__xludf.DUMMYFUNCTION("GOOGLETRANSLATE(B2,""en"",""hi"")"),"शुभ प्रभात")</f>
        <v>शुभ प्रभात</v>
      </c>
      <c r="E2" s="4" t="str">
        <f>IFERROR(__xludf.DUMMYFUNCTION("GOOGLETRANSLATE(B2,""en"",""id"")"),"Selamat pagi")</f>
        <v>Selamat pagi</v>
      </c>
      <c r="F2" s="4" t="str">
        <f>IFERROR(__xludf.DUMMYFUNCTION("GOOGLETRANSLATE(B2,""en"",""ms"")"),"Selamat Pagi")</f>
        <v>Selamat Pagi</v>
      </c>
      <c r="G2" s="4" t="str">
        <f>IFERROR(__xludf.DUMMYFUNCTION("GOOGLETRANSLATE(B2,""en"",""de"")"),"Guten Morgen")</f>
        <v>Guten Morgen</v>
      </c>
      <c r="H2" s="4" t="str">
        <f>IFERROR(__xludf.DUMMYFUNCTION("GOOGLETRANSLATE(B2,""en"",""es"")"),"Buen día")</f>
        <v>Buen día</v>
      </c>
      <c r="I2" s="4" t="str">
        <f>IFERROR(__xludf.DUMMYFUNCTION("GOOGLETRANSLATE(B2,""en"",""fr"")"),"Bonjour")</f>
        <v>Bonjour</v>
      </c>
      <c r="J2" s="4" t="str">
        <f>IFERROR(__xludf.DUMMYFUNCTION("GOOGLETRANSLATE(B2,""en"",""it"")"),"Buongiorno")</f>
        <v>Buongiorno</v>
      </c>
      <c r="K2" s="4" t="str">
        <f>IFERROR(__xludf.DUMMYFUNCTION("GOOGLETRANSLATE(B2,""en"",""pt"")"),"Bom dia")</f>
        <v>Bom dia</v>
      </c>
      <c r="L2" s="4" t="str">
        <f>IFERROR(__xludf.DUMMYFUNCTION("GOOGLETRANSLATE(B2,""en"",""ro"")"),"Bună dimineaţa")</f>
        <v>Bună dimineaţa</v>
      </c>
      <c r="M2" s="4" t="str">
        <f>IFERROR(__xludf.DUMMYFUNCTION("GOOGLETRANSLATE(B2,""en"",""vi"")"),"Chào buổi sáng")</f>
        <v>Chào buổi sáng</v>
      </c>
      <c r="N2" s="4" t="str">
        <f>IFERROR(__xludf.DUMMYFUNCTION("GOOGLETRANSLATE(B2,""en"",""ru"")"),"Доброе утро")</f>
        <v>Доброе утро</v>
      </c>
      <c r="O2" s="4" t="str">
        <f>IFERROR(__xludf.DUMMYFUNCTION("GOOGLETRANSLATE(B2,""en"",""tr"")"),"Günaydın")</f>
        <v>Günaydın</v>
      </c>
      <c r="P2" s="4" t="str">
        <f>IFERROR(__xludf.DUMMYFUNCTION("GOOGLETRANSLATE(B2,""en"",""ar"")"),"صباح الخير")</f>
        <v>صباح الخير</v>
      </c>
      <c r="Q2" s="4" t="str">
        <f>IFERROR(__xludf.DUMMYFUNCTION("GOOGLETRANSLATE(B2,""en"",""mr"")"),"शुभ सकाळ")</f>
        <v>शुभ सकाळ</v>
      </c>
      <c r="R2" s="4" t="str">
        <f>IFERROR(__xludf.DUMMYFUNCTION("GOOGLETRANSLATE(B2,""en"",""gu"")"),"શુભ સવાર")</f>
        <v>શુભ સવાર</v>
      </c>
      <c r="S2" s="4" t="str">
        <f>IFERROR(__xludf.DUMMYFUNCTION("GOOGLETRANSLATE(B2,""en"",""bn"")"),"শুভ সকাল")</f>
        <v>শুভ সকাল</v>
      </c>
      <c r="T2" s="4" t="str">
        <f>IFERROR(__xludf.DUMMYFUNCTION("GOOGLETRANSLATE(B2,""en"",""pa"")"),"ਸ਼ੁਭ ਸਵੇਰ")</f>
        <v>ਸ਼ੁਭ ਸਵੇਰ</v>
      </c>
      <c r="U2" s="4" t="str">
        <f>IFERROR(__xludf.DUMMYFUNCTION("GOOGLETRANSLATE(B2,""en"",""te"")"),"శుభోదయం")</f>
        <v>శుభోదయం</v>
      </c>
      <c r="V2" s="4" t="str">
        <f>IFERROR(__xludf.DUMMYFUNCTION("GOOGLETRANSLATE(B2,""en"",""kn"")"),"ಶುಭೋದಯ")</f>
        <v>ಶುಭೋದಯ</v>
      </c>
      <c r="W2" s="4" t="str">
        <f>IFERROR(__xludf.DUMMYFUNCTION("GOOGLETRANSLATE(B2,""en"",""ml"")"),"സുപ്രഭാതം")</f>
        <v>സുപ്രഭാതം</v>
      </c>
      <c r="X2" s="4" t="str">
        <f>IFERROR(__xludf.DUMMYFUNCTION("GOOGLETRANSLATE(B2,""en"",""th"")"),"สวัสดีตอนเช้า")</f>
        <v>สวัสดีตอนเช้า</v>
      </c>
      <c r="Y2" s="4" t="str">
        <f>IFERROR(__xludf.DUMMYFUNCTION("GOOGLETRANSLATE(B2,""en"",""ko"")"),"좋은 아침이에요")</f>
        <v>좋은 아침이에요</v>
      </c>
      <c r="Z2" s="4" t="str">
        <f>IFERROR(__xludf.DUMMYFUNCTION("GOOGLETRANSLATE(B2,""en"",""zh"")"),"早上好")</f>
        <v>早上好</v>
      </c>
      <c r="AA2" s="4" t="str">
        <f>IFERROR(__xludf.DUMMYFUNCTION("GOOGLETRANSLATE(B2,""en"",""zh-TW"")"),"早安")</f>
        <v>早安</v>
      </c>
      <c r="AB2" s="4" t="str">
        <f>IFERROR(__xludf.DUMMYFUNCTION("GOOGLETRANSLATE(B2,""en"",""ja"")"),"おはよう")</f>
        <v>おはよう</v>
      </c>
      <c r="AC2" s="4" t="str">
        <f>IFERROR(__xludf.DUMMYFUNCTION("GOOGLETRANSLATE(B2,""en"",""bg"")"),"добро утро")</f>
        <v>добро утро</v>
      </c>
      <c r="AD2" s="4" t="str">
        <f>IFERROR(__xludf.DUMMYFUNCTION("GOOGLETRANSLATE(B2,""en"",""cs"")"),"Dobré ráno")</f>
        <v>Dobré ráno</v>
      </c>
      <c r="AE2" s="4" t="str">
        <f>IFERROR(__xludf.DUMMYFUNCTION("GOOGLETRANSLATE(B2,""en"",""da"")"),"Godmorgen")</f>
        <v>Godmorgen</v>
      </c>
      <c r="AF2" s="4" t="str">
        <f>IFERROR(__xludf.DUMMYFUNCTION("GOOGLETRANSLATE(B2,""en"",""el"")"),"Καλημέρα")</f>
        <v>Καλημέρα</v>
      </c>
      <c r="AG2" s="4" t="str">
        <f>IFERROR(__xludf.DUMMYFUNCTION("GOOGLETRANSLATE(B2,""en"",""et"")"),"Tere hommikust")</f>
        <v>Tere hommikust</v>
      </c>
      <c r="AH2" s="4" t="str">
        <f>IFERROR(__xludf.DUMMYFUNCTION("GOOGLETRANSLATE(B2,""en"",""fi"")"),"Hyvää huomenta")</f>
        <v>Hyvää huomenta</v>
      </c>
      <c r="AI2" s="4" t="str">
        <f>IFERROR(__xludf.DUMMYFUNCTION("GOOGLETRANSLATE(B2,""en"",""hr"")"),"Dobro jutro")</f>
        <v>Dobro jutro</v>
      </c>
      <c r="AJ2" s="4" t="str">
        <f>IFERROR(__xludf.DUMMYFUNCTION("GOOGLETRANSLATE(B2,""en"",""hu"")"),"Jó reggelt")</f>
        <v>Jó reggelt</v>
      </c>
      <c r="AK2" s="4" t="str">
        <f>IFERROR(__xludf.DUMMYFUNCTION("GOOGLETRANSLATE(B2,""en"",""hy"")"),"Բարի լույս")</f>
        <v>Բարի լույս</v>
      </c>
      <c r="AL2" s="4" t="str">
        <f>IFERROR(__xludf.DUMMYFUNCTION("GOOGLETRANSLATE(B2,""en"",""ca"")"),"Bon dia")</f>
        <v>Bon dia</v>
      </c>
      <c r="AM2" s="4" t="str">
        <f>IFERROR(__xludf.DUMMYFUNCTION("GOOGLETRANSLATE(B2,""en"",""nl"")"),"Goedemorgen")</f>
        <v>Goedemorgen</v>
      </c>
      <c r="AN2" s="4" t="str">
        <f>IFERROR(__xludf.DUMMYFUNCTION("GOOGLETRANSLATE(B2,""en"",""he"")"),"בוקר טוב")</f>
        <v>בוקר טוב</v>
      </c>
      <c r="AO2" s="4" t="str">
        <f>IFERROR(__xludf.DUMMYFUNCTION("GOOGLETRANSLATE(B2,""en"",""is"")"),"Góðan daginn")</f>
        <v>Góðan daginn</v>
      </c>
      <c r="AP2" s="4" t="str">
        <f>IFERROR(__xludf.DUMMYFUNCTION("GOOGLETRANSLATE(B2,""en"",""no"")"),"God morgen")</f>
        <v>God morgen</v>
      </c>
      <c r="AQ2" s="4" t="str">
        <f>IFERROR(__xludf.DUMMYFUNCTION("GOOGLETRANSLATE(B2,""en"",""fa"")"),"صبح بخیر")</f>
        <v>صبح بخیر</v>
      </c>
      <c r="AR2" s="4" t="str">
        <f>IFERROR(__xludf.DUMMYFUNCTION("GOOGLETRANSLATE(B2,""en"",""pl"")"),"Dzień dobry")</f>
        <v>Dzień dobry</v>
      </c>
      <c r="AS2" s="4" t="str">
        <f>IFERROR(__xludf.DUMMYFUNCTION("GOOGLETRANSLATE(B2,""en"",""sv"")"),"God morgon")</f>
        <v>God morgon</v>
      </c>
      <c r="AT2" s="4" t="str">
        <f>IFERROR(__xludf.DUMMYFUNCTION("GOOGLETRANSLATE(B2,""en"",""uk"")"),"Доброго ранку")</f>
        <v>Доброго ранку</v>
      </c>
      <c r="AU2" s="4" t="str">
        <f>IFERROR(__xludf.DUMMYFUNCTION("GOOGLETRANSLATE(B2,""en"",""zu"")"),"Sawubona")</f>
        <v>Sawubona</v>
      </c>
      <c r="AV2" s="4" t="str">
        <f>IFERROR(__xludf.DUMMYFUNCTION("GOOGLETRANSLATE(B2,""en"",""sr"")"),"Добро јутро")</f>
        <v>Добро јутро</v>
      </c>
    </row>
    <row r="3">
      <c r="A3" s="3" t="s">
        <v>47</v>
      </c>
      <c r="B3" s="3" t="s">
        <v>49</v>
      </c>
      <c r="C3" s="4" t="str">
        <f>IFERROR(__xludf.DUMMYFUNCTION("GOOGLETRANSLATE(B3,""en"",""ta"")"),"நல்ல மதியம்")</f>
        <v>நல்ல மதியம்</v>
      </c>
      <c r="D3" s="4" t="str">
        <f>IFERROR(__xludf.DUMMYFUNCTION("GOOGLETRANSLATE(B3,""en"",""hi"")"),"शुभ दोपहर")</f>
        <v>शुभ दोपहर</v>
      </c>
      <c r="E3" s="4" t="str">
        <f>IFERROR(__xludf.DUMMYFUNCTION("GOOGLETRANSLATE(B3,""en"",""id"")"),"Selamat siang")</f>
        <v>Selamat siang</v>
      </c>
      <c r="F3" s="4" t="str">
        <f>IFERROR(__xludf.DUMMYFUNCTION("GOOGLETRANSLATE(B3,""en"",""ms"")"),"Selamat Petang")</f>
        <v>Selamat Petang</v>
      </c>
      <c r="G3" s="4" t="str">
        <f>IFERROR(__xludf.DUMMYFUNCTION("GOOGLETRANSLATE(B3,""en"",""de"")"),"Guten Tag")</f>
        <v>Guten Tag</v>
      </c>
      <c r="H3" s="4" t="str">
        <f>IFERROR(__xludf.DUMMYFUNCTION("GOOGLETRANSLATE(B3,""en"",""es"")"),"Buenas tardes")</f>
        <v>Buenas tardes</v>
      </c>
      <c r="I3" s="4" t="str">
        <f>IFERROR(__xludf.DUMMYFUNCTION("GOOGLETRANSLATE(B3,""en"",""fr"")"),"Bon après-midi")</f>
        <v>Bon après-midi</v>
      </c>
      <c r="J3" s="4" t="str">
        <f>IFERROR(__xludf.DUMMYFUNCTION("GOOGLETRANSLATE(B3,""en"",""it"")"),"Buon pomeriggio")</f>
        <v>Buon pomeriggio</v>
      </c>
      <c r="K3" s="4" t="str">
        <f>IFERROR(__xludf.DUMMYFUNCTION("GOOGLETRANSLATE(B3,""en"",""pt"")"),"Boa tarde")</f>
        <v>Boa tarde</v>
      </c>
      <c r="L3" s="4" t="str">
        <f>IFERROR(__xludf.DUMMYFUNCTION("GOOGLETRANSLATE(B3,""en"",""ro"")"),"Bună ziua")</f>
        <v>Bună ziua</v>
      </c>
      <c r="M3" s="4" t="str">
        <f>IFERROR(__xludf.DUMMYFUNCTION("GOOGLETRANSLATE(B3,""en"",""vi"")"),"Chào buổi chiều")</f>
        <v>Chào buổi chiều</v>
      </c>
      <c r="N3" s="4" t="str">
        <f>IFERROR(__xludf.DUMMYFUNCTION("GOOGLETRANSLATE(B3,""en"",""ru"")"),"Добрый день")</f>
        <v>Добрый день</v>
      </c>
      <c r="O3" s="4" t="str">
        <f>IFERROR(__xludf.DUMMYFUNCTION("GOOGLETRANSLATE(B3,""en"",""tr"")"),"Tünaydın")</f>
        <v>Tünaydın</v>
      </c>
      <c r="P3" s="4" t="str">
        <f>IFERROR(__xludf.DUMMYFUNCTION("GOOGLETRANSLATE(B3,""en"",""ar"")"),"مساء الخير")</f>
        <v>مساء الخير</v>
      </c>
      <c r="Q3" s="4" t="str">
        <f>IFERROR(__xludf.DUMMYFUNCTION("GOOGLETRANSLATE(B3,""en"",""mr"")"),"शुभ दुपार")</f>
        <v>शुभ दुपार</v>
      </c>
      <c r="R3" s="4" t="str">
        <f>IFERROR(__xludf.DUMMYFUNCTION("GOOGLETRANSLATE(B3,""en"",""gu"")"),"શુભ બપોર")</f>
        <v>શુભ બપોર</v>
      </c>
      <c r="S3" s="4" t="str">
        <f>IFERROR(__xludf.DUMMYFUNCTION("GOOGLETRANSLATE(B3,""en"",""bn"")"),"শুভ বিকাল")</f>
        <v>শুভ বিকাল</v>
      </c>
      <c r="T3" s="4" t="str">
        <f>IFERROR(__xludf.DUMMYFUNCTION("GOOGLETRANSLATE(B3,""en"",""pa"")"),"ਨਮਸਕਾਰ")</f>
        <v>ਨਮਸਕਾਰ</v>
      </c>
      <c r="U3" s="4" t="str">
        <f>IFERROR(__xludf.DUMMYFUNCTION("GOOGLETRANSLATE(B3,""en"",""te"")"),"శుభ మధ్యాహ్నం")</f>
        <v>శుభ మధ్యాహ్నం</v>
      </c>
      <c r="V3" s="4" t="str">
        <f>IFERROR(__xludf.DUMMYFUNCTION("GOOGLETRANSLATE(B3,""en"",""kn"")"),"ಶುಭ ಮಧ್ಯಾಹ್ನ")</f>
        <v>ಶುಭ ಮಧ್ಯಾಹ್ನ</v>
      </c>
      <c r="W3" s="4" t="str">
        <f>IFERROR(__xludf.DUMMYFUNCTION("GOOGLETRANSLATE(B3,""en"",""ml"")"),"ഗുഡ് ആഫ്റ്റർനൂൺ")</f>
        <v>ഗുഡ് ആഫ്റ്റർനൂൺ</v>
      </c>
      <c r="X3" s="4" t="str">
        <f>IFERROR(__xludf.DUMMYFUNCTION("GOOGLETRANSLATE(B3,""en"",""th"")"),"สวัสดีตอนบ่าย")</f>
        <v>สวัสดีตอนบ่าย</v>
      </c>
      <c r="Y3" s="4" t="str">
        <f>IFERROR(__xludf.DUMMYFUNCTION("GOOGLETRANSLATE(B3,""en"",""ko"")"),"좋은 오후에요")</f>
        <v>좋은 오후에요</v>
      </c>
      <c r="Z3" s="4" t="str">
        <f>IFERROR(__xludf.DUMMYFUNCTION("GOOGLETRANSLATE(B3,""en"",""zh"")"),"下午好")</f>
        <v>下午好</v>
      </c>
      <c r="AA3" s="4" t="str">
        <f>IFERROR(__xludf.DUMMYFUNCTION("GOOGLETRANSLATE(B3,""en"",""zh-TW"")"),"午安")</f>
        <v>午安</v>
      </c>
      <c r="AB3" s="4" t="str">
        <f>IFERROR(__xludf.DUMMYFUNCTION("GOOGLETRANSLATE(B3,""en"",""ja"")"),"こんにちは")</f>
        <v>こんにちは</v>
      </c>
      <c r="AC3" s="4" t="str">
        <f>IFERROR(__xludf.DUMMYFUNCTION("GOOGLETRANSLATE(B3,""en"",""bg"")"),"добър следобед")</f>
        <v>добър следобед</v>
      </c>
      <c r="AD3" s="4" t="str">
        <f>IFERROR(__xludf.DUMMYFUNCTION("GOOGLETRANSLATE(B3,""en"",""cs"")"),"Dobré odpoledne")</f>
        <v>Dobré odpoledne</v>
      </c>
      <c r="AE3" s="4" t="str">
        <f>IFERROR(__xludf.DUMMYFUNCTION("GOOGLETRANSLATE(B3,""en"",""da"")"),"God eftermiddag")</f>
        <v>God eftermiddag</v>
      </c>
      <c r="AF3" s="4" t="str">
        <f>IFERROR(__xludf.DUMMYFUNCTION("GOOGLETRANSLATE(B3,""en"",""el"")"),"Καλημέρα")</f>
        <v>Καλημέρα</v>
      </c>
      <c r="AG3" s="4" t="str">
        <f>IFERROR(__xludf.DUMMYFUNCTION("GOOGLETRANSLATE(B3,""en"",""et"")"),"Tere pärastlõunast")</f>
        <v>Tere pärastlõunast</v>
      </c>
      <c r="AH3" s="4" t="str">
        <f>IFERROR(__xludf.DUMMYFUNCTION("GOOGLETRANSLATE(B3,""en"",""fi"")"),"Hyvää iltapäivää")</f>
        <v>Hyvää iltapäivää</v>
      </c>
      <c r="AI3" s="4" t="str">
        <f>IFERROR(__xludf.DUMMYFUNCTION("GOOGLETRANSLATE(B3,""en"",""hr"")"),"Dobar dan")</f>
        <v>Dobar dan</v>
      </c>
      <c r="AJ3" s="4" t="str">
        <f>IFERROR(__xludf.DUMMYFUNCTION("GOOGLETRANSLATE(B3,""en"",""hu"")"),"Jó napot")</f>
        <v>Jó napot</v>
      </c>
      <c r="AK3" s="4" t="str">
        <f>IFERROR(__xludf.DUMMYFUNCTION("GOOGLETRANSLATE(B3,""en"",""hy"")"),"Բարի կեսօր")</f>
        <v>Բարի կեսօր</v>
      </c>
      <c r="AL3" s="4" t="str">
        <f>IFERROR(__xludf.DUMMYFUNCTION("GOOGLETRANSLATE(B3,""en"",""ca"")"),"Bona tarda")</f>
        <v>Bona tarda</v>
      </c>
      <c r="AM3" s="4" t="str">
        <f>IFERROR(__xludf.DUMMYFUNCTION("GOOGLETRANSLATE(B3,""en"",""nl"")"),"Goedemiddag")</f>
        <v>Goedemiddag</v>
      </c>
      <c r="AN3" s="4" t="str">
        <f>IFERROR(__xludf.DUMMYFUNCTION("GOOGLETRANSLATE(B3,""en"",""he"")"),"צהריים טובים")</f>
        <v>צהריים טובים</v>
      </c>
      <c r="AO3" s="4" t="str">
        <f>IFERROR(__xludf.DUMMYFUNCTION("GOOGLETRANSLATE(B3,""en"",""is"")"),"Góðan daginn")</f>
        <v>Góðan daginn</v>
      </c>
      <c r="AP3" s="4" t="str">
        <f>IFERROR(__xludf.DUMMYFUNCTION("GOOGLETRANSLATE(B3,""en"",""no"")"),"God ettermiddag")</f>
        <v>God ettermiddag</v>
      </c>
      <c r="AQ3" s="4" t="str">
        <f>IFERROR(__xludf.DUMMYFUNCTION("GOOGLETRANSLATE(B3,""en"",""fa"")"),"ظهر بخیر")</f>
        <v>ظهر بخیر</v>
      </c>
      <c r="AR3" s="4" t="str">
        <f>IFERROR(__xludf.DUMMYFUNCTION("GOOGLETRANSLATE(B3,""en"",""pl"")"),"Dzień dobry")</f>
        <v>Dzień dobry</v>
      </c>
      <c r="AS3" s="4" t="str">
        <f>IFERROR(__xludf.DUMMYFUNCTION("GOOGLETRANSLATE(B3,""en"",""sv"")"),"God eftermiddag")</f>
        <v>God eftermiddag</v>
      </c>
      <c r="AT3" s="4" t="str">
        <f>IFERROR(__xludf.DUMMYFUNCTION("GOOGLETRANSLATE(B3,""en"",""uk"")"),"Доброго дня")</f>
        <v>Доброго дня</v>
      </c>
      <c r="AU3" s="4" t="str">
        <f>IFERROR(__xludf.DUMMYFUNCTION("GOOGLETRANSLATE(B3,""en"",""zu"")"),"Sawubona")</f>
        <v>Sawubona</v>
      </c>
      <c r="AV3" s="4" t="str">
        <f>IFERROR(__xludf.DUMMYFUNCTION("GOOGLETRANSLATE(B3,""en"",""sr"")"),"Добар дан")</f>
        <v>Добар дан</v>
      </c>
    </row>
    <row r="4">
      <c r="A4" s="3" t="s">
        <v>50</v>
      </c>
      <c r="B4" s="3" t="s">
        <v>51</v>
      </c>
      <c r="C4" s="4" t="str">
        <f>IFERROR(__xludf.DUMMYFUNCTION("GOOGLETRANSLATE(B4,""en"",""ta"")"),"நல்ல மாலை")</f>
        <v>நல்ல மாலை</v>
      </c>
      <c r="D4" s="4" t="str">
        <f>IFERROR(__xludf.DUMMYFUNCTION("GOOGLETRANSLATE(B4,""en"",""hi"")"),"शुभ संध्या")</f>
        <v>शुभ संध्या</v>
      </c>
      <c r="E4" s="4" t="str">
        <f>IFERROR(__xludf.DUMMYFUNCTION("GOOGLETRANSLATE(B4,""en"",""id"")"),"Selamat malam")</f>
        <v>Selamat malam</v>
      </c>
      <c r="F4" s="4" t="str">
        <f>IFERROR(__xludf.DUMMYFUNCTION("GOOGLETRANSLATE(B4,""en"",""ms"")"),"Selamat Petang")</f>
        <v>Selamat Petang</v>
      </c>
      <c r="G4" s="4" t="str">
        <f>IFERROR(__xludf.DUMMYFUNCTION("GOOGLETRANSLATE(B4,""en"",""de"")"),"Guten Abend")</f>
        <v>Guten Abend</v>
      </c>
      <c r="H4" s="4" t="str">
        <f>IFERROR(__xludf.DUMMYFUNCTION("GOOGLETRANSLATE(B4,""en"",""es"")"),"Buenas noches")</f>
        <v>Buenas noches</v>
      </c>
      <c r="I4" s="4" t="str">
        <f>IFERROR(__xludf.DUMMYFUNCTION("GOOGLETRANSLATE(B4,""en"",""fr"")"),"Bonne soirée")</f>
        <v>Bonne soirée</v>
      </c>
      <c r="J4" s="4" t="str">
        <f>IFERROR(__xludf.DUMMYFUNCTION("GOOGLETRANSLATE(B4,""en"",""it"")"),"Buonasera")</f>
        <v>Buonasera</v>
      </c>
      <c r="K4" s="4" t="str">
        <f>IFERROR(__xludf.DUMMYFUNCTION("GOOGLETRANSLATE(B4,""en"",""pt"")"),"Boa noite")</f>
        <v>Boa noite</v>
      </c>
      <c r="L4" s="4" t="str">
        <f>IFERROR(__xludf.DUMMYFUNCTION("GOOGLETRANSLATE(B4,""en"",""ro"")"),"Bună seara")</f>
        <v>Bună seara</v>
      </c>
      <c r="M4" s="4" t="str">
        <f>IFERROR(__xludf.DUMMYFUNCTION("GOOGLETRANSLATE(B4,""en"",""vi"")"),"Buổi tối vui vẻ")</f>
        <v>Buổi tối vui vẻ</v>
      </c>
      <c r="N4" s="4" t="str">
        <f>IFERROR(__xludf.DUMMYFUNCTION("GOOGLETRANSLATE(B4,""en"",""ru"")"),"Добрый вечер")</f>
        <v>Добрый вечер</v>
      </c>
      <c r="O4" s="4" t="str">
        <f>IFERROR(__xludf.DUMMYFUNCTION("GOOGLETRANSLATE(B4,""en"",""tr"")"),"İyi akşamlar")</f>
        <v>İyi akşamlar</v>
      </c>
      <c r="P4" s="4" t="str">
        <f>IFERROR(__xludf.DUMMYFUNCTION("GOOGLETRANSLATE(B4,""en"",""ar"")"),"مساء الخير")</f>
        <v>مساء الخير</v>
      </c>
      <c r="Q4" s="4" t="str">
        <f>IFERROR(__xludf.DUMMYFUNCTION("GOOGLETRANSLATE(B4,""en"",""mr"")"),"शुभ संध्याकाळ")</f>
        <v>शुभ संध्याकाळ</v>
      </c>
      <c r="R4" s="4" t="str">
        <f>IFERROR(__xludf.DUMMYFUNCTION("GOOGLETRANSLATE(B4,""en"",""gu"")"),"શુભ સાંજ")</f>
        <v>શુભ સાંજ</v>
      </c>
      <c r="S4" s="4" t="str">
        <f>IFERROR(__xludf.DUMMYFUNCTION("GOOGLETRANSLATE(B4,""en"",""bn"")"),"শুভ সন্ধ্যা")</f>
        <v>শুভ সন্ধ্যা</v>
      </c>
      <c r="T4" s="4" t="str">
        <f>IFERROR(__xludf.DUMMYFUNCTION("GOOGLETRANSLATE(B4,""en"",""pa"")"),"ਸਤ ਸ੍ਰੀ ਅਕਾਲ")</f>
        <v>ਸਤ ਸ੍ਰੀ ਅਕਾਲ</v>
      </c>
      <c r="U4" s="4" t="str">
        <f>IFERROR(__xludf.DUMMYFUNCTION("GOOGLETRANSLATE(B4,""en"",""te"")"),"శుభ సాయంత్రం")</f>
        <v>శుభ సాయంత్రం</v>
      </c>
      <c r="V4" s="4" t="str">
        <f>IFERROR(__xludf.DUMMYFUNCTION("GOOGLETRANSLATE(B4,""en"",""kn"")"),"ಶುಭ ಸಂಜೆ")</f>
        <v>ಶುಭ ಸಂಜೆ</v>
      </c>
      <c r="W4" s="4" t="str">
        <f>IFERROR(__xludf.DUMMYFUNCTION("GOOGLETRANSLATE(B4,""en"",""ml"")"),"ഗുഡ് ഈവനിംഗ്")</f>
        <v>ഗുഡ് ഈവനിംഗ്</v>
      </c>
      <c r="X4" s="4" t="str">
        <f>IFERROR(__xludf.DUMMYFUNCTION("GOOGLETRANSLATE(B4,""en"",""th"")"),"สวัสดีตอนเย็น")</f>
        <v>สวัสดีตอนเย็น</v>
      </c>
      <c r="Y4" s="4" t="str">
        <f>IFERROR(__xludf.DUMMYFUNCTION("GOOGLETRANSLATE(B4,""en"",""ko"")"),"좋은 저녁이에요")</f>
        <v>좋은 저녁이에요</v>
      </c>
      <c r="Z4" s="4" t="str">
        <f>IFERROR(__xludf.DUMMYFUNCTION("GOOGLETRANSLATE(B4,""en"",""zh"")"),"晚上好")</f>
        <v>晚上好</v>
      </c>
      <c r="AA4" s="4" t="str">
        <f>IFERROR(__xludf.DUMMYFUNCTION("GOOGLETRANSLATE(B4,""en"",""zh-TW"")"),"晚安")</f>
        <v>晚安</v>
      </c>
      <c r="AB4" s="4" t="str">
        <f>IFERROR(__xludf.DUMMYFUNCTION("GOOGLETRANSLATE(B4,""en"",""ja"")"),"こんばんは")</f>
        <v>こんばんは</v>
      </c>
      <c r="AC4" s="4" t="str">
        <f>IFERROR(__xludf.DUMMYFUNCTION("GOOGLETRANSLATE(B4,""en"",""bg"")"),"добър вечер")</f>
        <v>добър вечер</v>
      </c>
      <c r="AD4" s="4" t="str">
        <f>IFERROR(__xludf.DUMMYFUNCTION("GOOGLETRANSLATE(B4,""en"",""cs"")"),"Dobrý večer")</f>
        <v>Dobrý večer</v>
      </c>
      <c r="AE4" s="4" t="str">
        <f>IFERROR(__xludf.DUMMYFUNCTION("GOOGLETRANSLATE(B4,""en"",""da"")"),"God aften")</f>
        <v>God aften</v>
      </c>
      <c r="AF4" s="4" t="str">
        <f>IFERROR(__xludf.DUMMYFUNCTION("GOOGLETRANSLATE(B4,""en"",""el"")"),"Καλησπέρα")</f>
        <v>Καλησπέρα</v>
      </c>
      <c r="AG4" s="4" t="str">
        <f>IFERROR(__xludf.DUMMYFUNCTION("GOOGLETRANSLATE(B4,""en"",""et"")"),"Tere õhtust")</f>
        <v>Tere õhtust</v>
      </c>
      <c r="AH4" s="4" t="str">
        <f>IFERROR(__xludf.DUMMYFUNCTION("GOOGLETRANSLATE(B4,""en"",""fi"")"),"Hyvää iltaa")</f>
        <v>Hyvää iltaa</v>
      </c>
      <c r="AI4" s="4" t="str">
        <f>IFERROR(__xludf.DUMMYFUNCTION("GOOGLETRANSLATE(B4,""en"",""hr"")"),"Dobra večer")</f>
        <v>Dobra večer</v>
      </c>
      <c r="AJ4" s="4" t="str">
        <f>IFERROR(__xludf.DUMMYFUNCTION("GOOGLETRANSLATE(B4,""en"",""hu"")"),"Jó estét")</f>
        <v>Jó estét</v>
      </c>
      <c r="AK4" s="4" t="str">
        <f>IFERROR(__xludf.DUMMYFUNCTION("GOOGLETRANSLATE(B4,""en"",""hy"")"),"Բարի երեկո")</f>
        <v>Բարի երեկո</v>
      </c>
      <c r="AL4" s="4" t="str">
        <f>IFERROR(__xludf.DUMMYFUNCTION("GOOGLETRANSLATE(B4,""en"",""ca"")"),"Bona tarda")</f>
        <v>Bona tarda</v>
      </c>
      <c r="AM4" s="4" t="str">
        <f>IFERROR(__xludf.DUMMYFUNCTION("GOOGLETRANSLATE(B4,""en"",""nl"")"),"Goedeavond")</f>
        <v>Goedeavond</v>
      </c>
      <c r="AN4" s="4" t="str">
        <f>IFERROR(__xludf.DUMMYFUNCTION("GOOGLETRANSLATE(B4,""en"",""he"")"),"ערב טוב")</f>
        <v>ערב טוב</v>
      </c>
      <c r="AO4" s="4" t="str">
        <f>IFERROR(__xludf.DUMMYFUNCTION("GOOGLETRANSLATE(B4,""en"",""is"")"),"Gott kvöld")</f>
        <v>Gott kvöld</v>
      </c>
      <c r="AP4" s="4" t="str">
        <f>IFERROR(__xludf.DUMMYFUNCTION("GOOGLETRANSLATE(B4,""en"",""no"")"),"God kveld")</f>
        <v>God kveld</v>
      </c>
      <c r="AQ4" s="4" t="str">
        <f>IFERROR(__xludf.DUMMYFUNCTION("GOOGLETRANSLATE(B4,""en"",""fa"")"),"عصر بخیر")</f>
        <v>عصر بخیر</v>
      </c>
      <c r="AR4" s="4" t="str">
        <f>IFERROR(__xludf.DUMMYFUNCTION("GOOGLETRANSLATE(B4,""en"",""pl"")"),"Dobry wieczór")</f>
        <v>Dobry wieczór</v>
      </c>
      <c r="AS4" s="4" t="str">
        <f>IFERROR(__xludf.DUMMYFUNCTION("GOOGLETRANSLATE(B4,""en"",""sv"")"),"God afton")</f>
        <v>God afton</v>
      </c>
      <c r="AT4" s="4" t="str">
        <f>IFERROR(__xludf.DUMMYFUNCTION("GOOGLETRANSLATE(B4,""en"",""uk"")"),"Добрий вечір")</f>
        <v>Добрий вечір</v>
      </c>
      <c r="AU4" s="4" t="str">
        <f>IFERROR(__xludf.DUMMYFUNCTION("GOOGLETRANSLATE(B4,""en"",""zu"")"),"Sawubona")</f>
        <v>Sawubona</v>
      </c>
      <c r="AV4" s="4" t="str">
        <f>IFERROR(__xludf.DUMMYFUNCTION("GOOGLETRANSLATE(B4,""en"",""sr"")"),"Добро вече")</f>
        <v>Добро вече</v>
      </c>
    </row>
    <row r="5">
      <c r="A5" s="3" t="s">
        <v>52</v>
      </c>
      <c r="B5" s="3" t="s">
        <v>53</v>
      </c>
      <c r="C5" s="4" t="str">
        <f>IFERROR(__xludf.DUMMYFUNCTION("GOOGLETRANSLATE(B5,""en"",""ta"")"),"குட் நைட்")</f>
        <v>குட் நைட்</v>
      </c>
      <c r="D5" s="4" t="str">
        <f>IFERROR(__xludf.DUMMYFUNCTION("GOOGLETRANSLATE(B5,""en"",""hi"")"),"शुभ रात्रि")</f>
        <v>शुभ रात्रि</v>
      </c>
      <c r="E5" s="4" t="str">
        <f>IFERROR(__xludf.DUMMYFUNCTION("GOOGLETRANSLATE(B5,""en"",""id"")"),"Selamat malam")</f>
        <v>Selamat malam</v>
      </c>
      <c r="F5" s="4" t="str">
        <f>IFERROR(__xludf.DUMMYFUNCTION("GOOGLETRANSLATE(B5,""en"",""ms"")"),"Selamat Malam")</f>
        <v>Selamat Malam</v>
      </c>
      <c r="G5" s="4" t="str">
        <f>IFERROR(__xludf.DUMMYFUNCTION("GOOGLETRANSLATE(B5,""en"",""de"")"),"Gute Nacht")</f>
        <v>Gute Nacht</v>
      </c>
      <c r="H5" s="4" t="str">
        <f>IFERROR(__xludf.DUMMYFUNCTION("GOOGLETRANSLATE(B5,""en"",""es"")"),"Buenas noches")</f>
        <v>Buenas noches</v>
      </c>
      <c r="I5" s="4" t="str">
        <f>IFERROR(__xludf.DUMMYFUNCTION("GOOGLETRANSLATE(B5,""en"",""fr"")"),"Bonne nuit")</f>
        <v>Bonne nuit</v>
      </c>
      <c r="J5" s="4" t="str">
        <f>IFERROR(__xludf.DUMMYFUNCTION("GOOGLETRANSLATE(B5,""en"",""it"")"),"Buona notte")</f>
        <v>Buona notte</v>
      </c>
      <c r="K5" s="4" t="str">
        <f>IFERROR(__xludf.DUMMYFUNCTION("GOOGLETRANSLATE(B5,""en"",""pt"")"),"Boa noite")</f>
        <v>Boa noite</v>
      </c>
      <c r="L5" s="4" t="str">
        <f>IFERROR(__xludf.DUMMYFUNCTION("GOOGLETRANSLATE(B5,""en"",""ro"")"),"Noapte bună")</f>
        <v>Noapte bună</v>
      </c>
      <c r="M5" s="4" t="str">
        <f>IFERROR(__xludf.DUMMYFUNCTION("GOOGLETRANSLATE(B5,""en"",""vi"")"),"Chúc ngủ ngon")</f>
        <v>Chúc ngủ ngon</v>
      </c>
      <c r="N5" s="4" t="str">
        <f>IFERROR(__xludf.DUMMYFUNCTION("GOOGLETRANSLATE(B5,""en"",""ru"")"),"Спокойной ночи")</f>
        <v>Спокойной ночи</v>
      </c>
      <c r="O5" s="4" t="str">
        <f>IFERROR(__xludf.DUMMYFUNCTION("GOOGLETRANSLATE(B5,""en"",""tr"")"),"İyi geceler")</f>
        <v>İyi geceler</v>
      </c>
      <c r="P5" s="4" t="str">
        <f>IFERROR(__xludf.DUMMYFUNCTION("GOOGLETRANSLATE(B5,""en"",""ar"")"),"طاب مساؤك")</f>
        <v>طاب مساؤك</v>
      </c>
      <c r="Q5" s="4" t="str">
        <f>IFERROR(__xludf.DUMMYFUNCTION("GOOGLETRANSLATE(B5,""en"",""mr"")"),"शुभ रात्री")</f>
        <v>शुभ रात्री</v>
      </c>
      <c r="R5" s="4" t="str">
        <f>IFERROR(__xludf.DUMMYFUNCTION("GOOGLETRANSLATE(B5,""en"",""gu"")"),"શુભ રાત્રિ")</f>
        <v>શુભ રાત્રિ</v>
      </c>
      <c r="S5" s="4" t="str">
        <f>IFERROR(__xludf.DUMMYFUNCTION("GOOGLETRANSLATE(B5,""en"",""bn"")"),"শুভ রাত্রি")</f>
        <v>শুভ রাত্রি</v>
      </c>
      <c r="T5" s="4" t="str">
        <f>IFERROR(__xludf.DUMMYFUNCTION("GOOGLETRANSLATE(B5,""en"",""pa"")"),"ਸ਼ੁਭ ਰਾਤ")</f>
        <v>ਸ਼ੁਭ ਰਾਤ</v>
      </c>
      <c r="U5" s="4" t="str">
        <f>IFERROR(__xludf.DUMMYFUNCTION("GOOGLETRANSLATE(B5,""en"",""te"")"),"గుడ్ నైట్")</f>
        <v>గుడ్ నైట్</v>
      </c>
      <c r="V5" s="4" t="str">
        <f>IFERROR(__xludf.DUMMYFUNCTION("GOOGLETRANSLATE(B5,""en"",""kn"")"),"ಶುಭ ರಾತ್ರಿ")</f>
        <v>ಶುಭ ರಾತ್ರಿ</v>
      </c>
      <c r="W5" s="4" t="str">
        <f>IFERROR(__xludf.DUMMYFUNCTION("GOOGLETRANSLATE(B5,""en"",""ml"")"),"ശുഭ രാത്രി")</f>
        <v>ശുഭ രാത്രി</v>
      </c>
      <c r="X5" s="4" t="str">
        <f>IFERROR(__xludf.DUMMYFUNCTION("GOOGLETRANSLATE(B5,""en"",""th"")"),"ราตรีสวัสดิ์")</f>
        <v>ราตรีสวัสดิ์</v>
      </c>
      <c r="Y5" s="4" t="str">
        <f>IFERROR(__xludf.DUMMYFUNCTION("GOOGLETRANSLATE(B5,""en"",""ko"")"),"안녕히 주무세요")</f>
        <v>안녕히 주무세요</v>
      </c>
      <c r="Z5" s="4" t="str">
        <f>IFERROR(__xludf.DUMMYFUNCTION("GOOGLETRANSLATE(B5,""en"",""zh"")"),"晚安")</f>
        <v>晚安</v>
      </c>
      <c r="AA5" s="4" t="str">
        <f>IFERROR(__xludf.DUMMYFUNCTION("GOOGLETRANSLATE(B5,""en"",""zh-TW"")"),"晚安")</f>
        <v>晚安</v>
      </c>
      <c r="AB5" s="4" t="str">
        <f>IFERROR(__xludf.DUMMYFUNCTION("GOOGLETRANSLATE(B5,""en"",""ja"")"),"おやすみ")</f>
        <v>おやすみ</v>
      </c>
      <c r="AC5" s="4" t="str">
        <f>IFERROR(__xludf.DUMMYFUNCTION("GOOGLETRANSLATE(B5,""en"",""bg"")"),"лека нощ")</f>
        <v>лека нощ</v>
      </c>
      <c r="AD5" s="4" t="str">
        <f>IFERROR(__xludf.DUMMYFUNCTION("GOOGLETRANSLATE(B5,""en"",""cs"")"),"Dobrou noc")</f>
        <v>Dobrou noc</v>
      </c>
      <c r="AE5" s="4" t="str">
        <f>IFERROR(__xludf.DUMMYFUNCTION("GOOGLETRANSLATE(B5,""en"",""da"")"),"Godnat")</f>
        <v>Godnat</v>
      </c>
      <c r="AF5" s="4" t="str">
        <f>IFERROR(__xludf.DUMMYFUNCTION("GOOGLETRANSLATE(B5,""en"",""el"")"),"Καληνύχτα")</f>
        <v>Καληνύχτα</v>
      </c>
      <c r="AG5" s="4" t="str">
        <f>IFERROR(__xludf.DUMMYFUNCTION("GOOGLETRANSLATE(B5,""en"",""et"")"),"Head ööd")</f>
        <v>Head ööd</v>
      </c>
      <c r="AH5" s="4" t="str">
        <f>IFERROR(__xludf.DUMMYFUNCTION("GOOGLETRANSLATE(B5,""en"",""fi"")"),"Hyvää yötä")</f>
        <v>Hyvää yötä</v>
      </c>
      <c r="AI5" s="4" t="str">
        <f>IFERROR(__xludf.DUMMYFUNCTION("GOOGLETRANSLATE(B5,""en"",""hr"")"),"Laku noć")</f>
        <v>Laku noć</v>
      </c>
      <c r="AJ5" s="4" t="str">
        <f>IFERROR(__xludf.DUMMYFUNCTION("GOOGLETRANSLATE(B5,""en"",""hu"")"),"Jó éjszakát")</f>
        <v>Jó éjszakát</v>
      </c>
      <c r="AK5" s="4" t="str">
        <f>IFERROR(__xludf.DUMMYFUNCTION("GOOGLETRANSLATE(B5,""en"",""hy"")"),"Բարի գիշեր")</f>
        <v>Բարի գիշեր</v>
      </c>
      <c r="AL5" s="4" t="str">
        <f>IFERROR(__xludf.DUMMYFUNCTION("GOOGLETRANSLATE(B5,""en"",""ca"")"),"Bona nit")</f>
        <v>Bona nit</v>
      </c>
      <c r="AM5" s="4" t="str">
        <f>IFERROR(__xludf.DUMMYFUNCTION("GOOGLETRANSLATE(B5,""en"",""nl"")"),"Welterusten")</f>
        <v>Welterusten</v>
      </c>
      <c r="AN5" s="4" t="str">
        <f>IFERROR(__xludf.DUMMYFUNCTION("GOOGLETRANSLATE(B5,""en"",""he"")"),"לילה טוב")</f>
        <v>לילה טוב</v>
      </c>
      <c r="AO5" s="4" t="str">
        <f>IFERROR(__xludf.DUMMYFUNCTION("GOOGLETRANSLATE(B5,""en"",""is"")"),"Góða nótt")</f>
        <v>Góða nótt</v>
      </c>
      <c r="AP5" s="4" t="str">
        <f>IFERROR(__xludf.DUMMYFUNCTION("GOOGLETRANSLATE(B5,""en"",""no"")"),"God natt")</f>
        <v>God natt</v>
      </c>
      <c r="AQ5" s="4" t="str">
        <f>IFERROR(__xludf.DUMMYFUNCTION("GOOGLETRANSLATE(B5,""en"",""fa"")"),"شب بخیر")</f>
        <v>شب بخیر</v>
      </c>
      <c r="AR5" s="4" t="str">
        <f>IFERROR(__xludf.DUMMYFUNCTION("GOOGLETRANSLATE(B5,""en"",""pl"")"),"Dobranoc")</f>
        <v>Dobranoc</v>
      </c>
      <c r="AS5" s="4" t="str">
        <f>IFERROR(__xludf.DUMMYFUNCTION("GOOGLETRANSLATE(B5,""en"",""sv"")"),"God natt")</f>
        <v>God natt</v>
      </c>
      <c r="AT5" s="4" t="str">
        <f>IFERROR(__xludf.DUMMYFUNCTION("GOOGLETRANSLATE(B5,""en"",""uk"")"),"Доброї ночі")</f>
        <v>Доброї ночі</v>
      </c>
      <c r="AU5" s="4" t="str">
        <f>IFERROR(__xludf.DUMMYFUNCTION("GOOGLETRANSLATE(B5,""en"",""zu"")"),"Ulale kahle")</f>
        <v>Ulale kahle</v>
      </c>
      <c r="AV5" s="4" t="str">
        <f>IFERROR(__xludf.DUMMYFUNCTION("GOOGLETRANSLATE(B5,""en"",""sr"")"),"Лаку ноћ")</f>
        <v>Лаку ноћ</v>
      </c>
    </row>
    <row r="6">
      <c r="A6" s="3" t="s">
        <v>54</v>
      </c>
      <c r="B6" s="3" t="s">
        <v>55</v>
      </c>
      <c r="C6" s="4" t="str">
        <f>IFERROR(__xludf.DUMMYFUNCTION("GOOGLETRANSLATE(B6,""en"",""ta"")"),"நல்ல நாள்")</f>
        <v>நல்ல நாள்</v>
      </c>
      <c r="D6" s="4" t="str">
        <f>IFERROR(__xludf.DUMMYFUNCTION("GOOGLETRANSLATE(B6,""en"",""hi"")"),"शुभ दिन")</f>
        <v>शुभ दिन</v>
      </c>
      <c r="E6" s="4" t="str">
        <f>IFERROR(__xludf.DUMMYFUNCTION("GOOGLETRANSLATE(B6,""en"",""id"")"),"Selamat tinggal")</f>
        <v>Selamat tinggal</v>
      </c>
      <c r="F6" s="4" t="str">
        <f>IFERROR(__xludf.DUMMYFUNCTION("GOOGLETRANSLATE(B6,""en"",""ms"")"),"Selamat Hari")</f>
        <v>Selamat Hari</v>
      </c>
      <c r="G6" s="4" t="str">
        <f>IFERROR(__xludf.DUMMYFUNCTION("GOOGLETRANSLATE(B6,""en"",""de"")"),"Guten Tag")</f>
        <v>Guten Tag</v>
      </c>
      <c r="H6" s="4" t="str">
        <f>IFERROR(__xludf.DUMMYFUNCTION("GOOGLETRANSLATE(B6,""en"",""es"")"),"Buen día")</f>
        <v>Buen día</v>
      </c>
      <c r="I6" s="4" t="str">
        <f>IFERROR(__xludf.DUMMYFUNCTION("GOOGLETRANSLATE(B6,""en"",""fr"")"),"Bonne journée")</f>
        <v>Bonne journée</v>
      </c>
      <c r="J6" s="4" t="str">
        <f>IFERROR(__xludf.DUMMYFUNCTION("GOOGLETRANSLATE(B6,""en"",""it"")"),"Buona giornata")</f>
        <v>Buona giornata</v>
      </c>
      <c r="K6" s="4" t="str">
        <f>IFERROR(__xludf.DUMMYFUNCTION("GOOGLETRANSLATE(B6,""en"",""pt"")"),"Bom dia")</f>
        <v>Bom dia</v>
      </c>
      <c r="L6" s="4" t="str">
        <f>IFERROR(__xludf.DUMMYFUNCTION("GOOGLETRANSLATE(B6,""en"",""ro"")"),"Bună ziua")</f>
        <v>Bună ziua</v>
      </c>
      <c r="M6" s="4" t="str">
        <f>IFERROR(__xludf.DUMMYFUNCTION("GOOGLETRANSLATE(B6,""en"",""vi"")"),"Chào buổi sáng")</f>
        <v>Chào buổi sáng</v>
      </c>
      <c r="N6" s="4" t="str">
        <f>IFERROR(__xludf.DUMMYFUNCTION("GOOGLETRANSLATE(B6,""en"",""ru"")"),"Добрый день")</f>
        <v>Добрый день</v>
      </c>
      <c r="O6" s="4" t="str">
        <f>IFERROR(__xludf.DUMMYFUNCTION("GOOGLETRANSLATE(B6,""en"",""tr"")"),"İyi günler")</f>
        <v>İyi günler</v>
      </c>
      <c r="P6" s="4" t="str">
        <f>IFERROR(__xludf.DUMMYFUNCTION("GOOGLETRANSLATE(B6,""en"",""ar"")"),"يوم جيد")</f>
        <v>يوم جيد</v>
      </c>
      <c r="Q6" s="4" t="str">
        <f>IFERROR(__xludf.DUMMYFUNCTION("GOOGLETRANSLATE(B6,""en"",""mr"")"),"शुभ दिवस")</f>
        <v>शुभ दिवस</v>
      </c>
      <c r="R6" s="4" t="str">
        <f>IFERROR(__xludf.DUMMYFUNCTION("GOOGLETRANSLATE(B6,""en"",""gu"")"),"શુભ દિવસ")</f>
        <v>શુભ દિવસ</v>
      </c>
      <c r="S6" s="4" t="str">
        <f>IFERROR(__xludf.DUMMYFUNCTION("GOOGLETRANSLATE(B6,""en"",""bn"")"),"শুভ দিন")</f>
        <v>শুভ দিন</v>
      </c>
      <c r="T6" s="4" t="str">
        <f>IFERROR(__xludf.DUMMYFUNCTION("GOOGLETRANSLATE(B6,""en"",""pa"")"),"ਚੰਗਾ ਦਿਨ")</f>
        <v>ਚੰਗਾ ਦਿਨ</v>
      </c>
      <c r="U6" s="4" t="str">
        <f>IFERROR(__xludf.DUMMYFUNCTION("GOOGLETRANSLATE(B6,""en"",""te"")"),"మంచి రోజు")</f>
        <v>మంచి రోజు</v>
      </c>
      <c r="V6" s="4" t="str">
        <f>IFERROR(__xludf.DUMMYFUNCTION("GOOGLETRANSLATE(B6,""en"",""kn"")"),"ಶುಭ ದಿನ")</f>
        <v>ಶುಭ ದಿನ</v>
      </c>
      <c r="W6" s="4" t="str">
        <f>IFERROR(__xludf.DUMMYFUNCTION("GOOGLETRANSLATE(B6,""en"",""ml"")"),"നല്ല ദിവസം")</f>
        <v>നല്ല ദിവസം</v>
      </c>
      <c r="X6" s="4" t="str">
        <f>IFERROR(__xludf.DUMMYFUNCTION("GOOGLETRANSLATE(B6,""en"",""th"")"),"สวัสดี")</f>
        <v>สวัสดี</v>
      </c>
      <c r="Y6" s="4" t="str">
        <f>IFERROR(__xludf.DUMMYFUNCTION("GOOGLETRANSLATE(B6,""en"",""ko"")"),"안녕하세요")</f>
        <v>안녕하세요</v>
      </c>
      <c r="Z6" s="4" t="str">
        <f>IFERROR(__xludf.DUMMYFUNCTION("GOOGLETRANSLATE(B6,""en"",""zh"")"),"再会")</f>
        <v>再会</v>
      </c>
      <c r="AA6" s="4" t="str">
        <f>IFERROR(__xludf.DUMMYFUNCTION("GOOGLETRANSLATE(B6,""en"",""zh-TW"")"),"再會")</f>
        <v>再會</v>
      </c>
      <c r="AB6" s="4" t="str">
        <f>IFERROR(__xludf.DUMMYFUNCTION("GOOGLETRANSLATE(B6,""en"",""ja"")"),"良い一日")</f>
        <v>良い一日</v>
      </c>
      <c r="AC6" s="4" t="str">
        <f>IFERROR(__xludf.DUMMYFUNCTION("GOOGLETRANSLATE(B6,""en"",""bg"")"),"добър ден")</f>
        <v>добър ден</v>
      </c>
      <c r="AD6" s="4" t="str">
        <f>IFERROR(__xludf.DUMMYFUNCTION("GOOGLETRANSLATE(B6,""en"",""cs"")"),"Dobrý den")</f>
        <v>Dobrý den</v>
      </c>
      <c r="AE6" s="4" t="str">
        <f>IFERROR(__xludf.DUMMYFUNCTION("GOOGLETRANSLATE(B6,""en"",""da"")"),"God dag")</f>
        <v>God dag</v>
      </c>
      <c r="AF6" s="4" t="str">
        <f>IFERROR(__xludf.DUMMYFUNCTION("GOOGLETRANSLATE(B6,""en"",""el"")"),"Καλημέρα")</f>
        <v>Καλημέρα</v>
      </c>
      <c r="AG6" s="4" t="str">
        <f>IFERROR(__xludf.DUMMYFUNCTION("GOOGLETRANSLATE(B6,""en"",""et"")"),"Head päeva")</f>
        <v>Head päeva</v>
      </c>
      <c r="AH6" s="4" t="str">
        <f>IFERROR(__xludf.DUMMYFUNCTION("GOOGLETRANSLATE(B6,""en"",""fi"")"),"Hyvää päivää")</f>
        <v>Hyvää päivää</v>
      </c>
      <c r="AI6" s="4" t="str">
        <f>IFERROR(__xludf.DUMMYFUNCTION("GOOGLETRANSLATE(B6,""en"",""hr"")"),"Dobar dan")</f>
        <v>Dobar dan</v>
      </c>
      <c r="AJ6" s="4" t="str">
        <f>IFERROR(__xludf.DUMMYFUNCTION("GOOGLETRANSLATE(B6,""en"",""hu"")"),"Jó napot kívánok")</f>
        <v>Jó napot kívánok</v>
      </c>
      <c r="AK6" s="4" t="str">
        <f>IFERROR(__xludf.DUMMYFUNCTION("GOOGLETRANSLATE(B6,""en"",""hy"")"),"Բարի օր")</f>
        <v>Բարի օր</v>
      </c>
      <c r="AL6" s="4" t="str">
        <f>IFERROR(__xludf.DUMMYFUNCTION("GOOGLETRANSLATE(B6,""en"",""ca"")"),"Bon dia")</f>
        <v>Bon dia</v>
      </c>
      <c r="AM6" s="4" t="str">
        <f>IFERROR(__xludf.DUMMYFUNCTION("GOOGLETRANSLATE(B6,""en"",""nl"")"),"Goededag")</f>
        <v>Goededag</v>
      </c>
      <c r="AN6" s="4" t="str">
        <f>IFERROR(__xludf.DUMMYFUNCTION("GOOGLETRANSLATE(B6,""en"",""he"")"),"יום טוב")</f>
        <v>יום טוב</v>
      </c>
      <c r="AO6" s="4" t="str">
        <f>IFERROR(__xludf.DUMMYFUNCTION("GOOGLETRANSLATE(B6,""en"",""is"")"),"Góðan dag")</f>
        <v>Góðan dag</v>
      </c>
      <c r="AP6" s="4" t="str">
        <f>IFERROR(__xludf.DUMMYFUNCTION("GOOGLETRANSLATE(B6,""en"",""no"")"),"God dag")</f>
        <v>God dag</v>
      </c>
      <c r="AQ6" s="4" t="str">
        <f>IFERROR(__xludf.DUMMYFUNCTION("GOOGLETRANSLATE(B6,""en"",""fa"")"),"روز بخیر")</f>
        <v>روز بخیر</v>
      </c>
      <c r="AR6" s="4" t="str">
        <f>IFERROR(__xludf.DUMMYFUNCTION("GOOGLETRANSLATE(B6,""en"",""pl"")"),"Dzień dobry")</f>
        <v>Dzień dobry</v>
      </c>
      <c r="AS6" s="4" t="str">
        <f>IFERROR(__xludf.DUMMYFUNCTION("GOOGLETRANSLATE(B6,""en"",""sv"")"),"God dag")</f>
        <v>God dag</v>
      </c>
      <c r="AT6" s="4" t="str">
        <f>IFERROR(__xludf.DUMMYFUNCTION("GOOGLETRANSLATE(B6,""en"",""uk"")"),"доброго дня")</f>
        <v>доброго дня</v>
      </c>
      <c r="AU6" s="4" t="str">
        <f>IFERROR(__xludf.DUMMYFUNCTION("GOOGLETRANSLATE(B6,""en"",""zu"")"),"Usuku oluhle")</f>
        <v>Usuku oluhle</v>
      </c>
      <c r="AV6" s="4" t="str">
        <f>IFERROR(__xludf.DUMMYFUNCTION("GOOGLETRANSLATE(B6,""en"",""sr"")"),"Добар дан")</f>
        <v>Добар дан</v>
      </c>
    </row>
    <row r="7">
      <c r="A7" s="3" t="s">
        <v>56</v>
      </c>
      <c r="B7" s="3" t="s">
        <v>57</v>
      </c>
      <c r="C7" s="4" t="str">
        <f>IFERROR(__xludf.DUMMYFUNCTION("GOOGLETRANSLATE(B7,""en"",""ta"")"),"இந்த பயன்பாட்டை விரும்புகிறீர்களா?")</f>
        <v>இந்த பயன்பாட்டை விரும்புகிறீர்களா?</v>
      </c>
      <c r="D7" s="4" t="str">
        <f>IFERROR(__xludf.DUMMYFUNCTION("GOOGLETRANSLATE(B7,""en"",""hi"")"),"क्या आपको यह ऐप पसंद है?")</f>
        <v>क्या आपको यह ऐप पसंद है?</v>
      </c>
      <c r="E7" s="4" t="str">
        <f>IFERROR(__xludf.DUMMYFUNCTION("GOOGLETRANSLATE(B7,""en"",""id"")"),"Menyukai aplikasi ini?")</f>
        <v>Menyukai aplikasi ini?</v>
      </c>
      <c r="F7" s="4" t="str">
        <f>IFERROR(__xludf.DUMMYFUNCTION("GOOGLETRANSLATE(B7,""en"",""ms"")"),"Suka aplikasi ini?")</f>
        <v>Suka aplikasi ini?</v>
      </c>
      <c r="G7" s="4" t="str">
        <f>IFERROR(__xludf.DUMMYFUNCTION("GOOGLETRANSLATE(B7,""en"",""de"")"),"Gefällt Ihnen diese App?")</f>
        <v>Gefällt Ihnen diese App?</v>
      </c>
      <c r="H7" s="4" t="str">
        <f>IFERROR(__xludf.DUMMYFUNCTION("GOOGLETRANSLATE(B7,""en"",""es"")"),"¿Te encanta esta aplicación?")</f>
        <v>¿Te encanta esta aplicación?</v>
      </c>
      <c r="I7" s="4" t="str">
        <f>IFERROR(__xludf.DUMMYFUNCTION("GOOGLETRANSLATE(B7,""en"",""fr"")"),"Vous aimez cette application ?")</f>
        <v>Vous aimez cette application ?</v>
      </c>
      <c r="J7" s="4" t="str">
        <f>IFERROR(__xludf.DUMMYFUNCTION("GOOGLETRANSLATE(B7,""en"",""it"")"),"Ti piace questa app?")</f>
        <v>Ti piace questa app?</v>
      </c>
      <c r="K7" s="4" t="str">
        <f>IFERROR(__xludf.DUMMYFUNCTION("GOOGLETRANSLATE(B7,""en"",""pt"")"),"Gostou deste aplicativo?")</f>
        <v>Gostou deste aplicativo?</v>
      </c>
      <c r="L7" s="4" t="str">
        <f>IFERROR(__xludf.DUMMYFUNCTION("GOOGLETRANSLATE(B7,""en"",""ro"")"),"Îți place această aplicație?")</f>
        <v>Îți place această aplicație?</v>
      </c>
      <c r="M7" s="4" t="str">
        <f>IFERROR(__xludf.DUMMYFUNCTION("GOOGLETRANSLATE(B7,""en"",""vi"")"),"Bạn có thích ứng dụng này không?")</f>
        <v>Bạn có thích ứng dụng này không?</v>
      </c>
      <c r="N7" s="4" t="str">
        <f>IFERROR(__xludf.DUMMYFUNCTION("GOOGLETRANSLATE(B7,""en"",""ru"")"),"Вам нравится это приложение?")</f>
        <v>Вам нравится это приложение?</v>
      </c>
      <c r="O7" s="4" t="str">
        <f>IFERROR(__xludf.DUMMYFUNCTION("GOOGLETRANSLATE(B7,""en"",""tr"")"),"Bu uygulamayı seviyor musunuz?")</f>
        <v>Bu uygulamayı seviyor musunuz?</v>
      </c>
      <c r="P7" s="4" t="str">
        <f>IFERROR(__xludf.DUMMYFUNCTION("GOOGLETRANSLATE(B7,""en"",""ar"")"),"هل تحب هذا التطبيق؟")</f>
        <v>هل تحب هذا التطبيق؟</v>
      </c>
      <c r="Q7" s="4" t="str">
        <f>IFERROR(__xludf.DUMMYFUNCTION("GOOGLETRANSLATE(B7,""en"",""mr"")"),"हे ॲप आवडते?")</f>
        <v>हे ॲप आवडते?</v>
      </c>
      <c r="R7" s="4" t="str">
        <f>IFERROR(__xludf.DUMMYFUNCTION("GOOGLETRANSLATE(B7,""en"",""gu"")"),"આ એપ્લિકેશનને પ્રેમ કરો છો?")</f>
        <v>આ એપ્લિકેશનને પ્રેમ કરો છો?</v>
      </c>
      <c r="S7" s="4" t="str">
        <f>IFERROR(__xludf.DUMMYFUNCTION("GOOGLETRANSLATE(B7,""en"",""bn"")"),"এই অ্যাপ্লিকেশন প্রেম?")</f>
        <v>এই অ্যাপ্লিকেশন প্রেম?</v>
      </c>
      <c r="T7" s="4" t="str">
        <f>IFERROR(__xludf.DUMMYFUNCTION("GOOGLETRANSLATE(B7,""en"",""pa"")"),"ਇਸ ਐਪ ਨੂੰ ਪਿਆਰ ਕਰ ਰਹੇ ਹੋ?")</f>
        <v>ਇਸ ਐਪ ਨੂੰ ਪਿਆਰ ਕਰ ਰਹੇ ਹੋ?</v>
      </c>
      <c r="U7" s="4" t="str">
        <f>IFERROR(__xludf.DUMMYFUNCTION("GOOGLETRANSLATE(B7,""en"",""te"")"),"ఈ యాప్‌ను ఇష్టపడుతున్నారా?")</f>
        <v>ఈ యాప్‌ను ఇష్టపడుతున్నారా?</v>
      </c>
      <c r="V7" s="4" t="str">
        <f>IFERROR(__xludf.DUMMYFUNCTION("GOOGLETRANSLATE(B7,""en"",""kn"")"),"ಈ ಅಪ್ಲಿಕೇಶನ್ ಅನ್ನು ಪ್ರೀತಿಸುತ್ತಿರುವಿರಾ?")</f>
        <v>ಈ ಅಪ್ಲಿಕೇಶನ್ ಅನ್ನು ಪ್ರೀತಿಸುತ್ತಿರುವಿರಾ?</v>
      </c>
      <c r="W7" s="4" t="str">
        <f>IFERROR(__xludf.DUMMYFUNCTION("GOOGLETRANSLATE(B7,""en"",""ml"")"),"ഈ ആപ്പ് ഇഷ്‌ടപ്പെടുന്നുണ്ടോ?")</f>
        <v>ഈ ആപ്പ് ഇഷ്‌ടപ്പെടുന്നുണ്ടോ?</v>
      </c>
      <c r="X7" s="4" t="str">
        <f>IFERROR(__xludf.DUMMYFUNCTION("GOOGLETRANSLATE(B7,""en"",""th"")"),"ชอบแอปนี้ใช่ไหม?")</f>
        <v>ชอบแอปนี้ใช่ไหม?</v>
      </c>
      <c r="Y7" s="4" t="str">
        <f>IFERROR(__xludf.DUMMYFUNCTION("GOOGLETRANSLATE(B7,""en"",""ko"")"),"이 앱이 마음에 드시나요?")</f>
        <v>이 앱이 마음에 드시나요?</v>
      </c>
      <c r="Z7" s="4" t="str">
        <f>IFERROR(__xludf.DUMMYFUNCTION("GOOGLETRANSLATE(B7,""en"",""zh"")"),"喜欢这个应用程序吗？")</f>
        <v>喜欢这个应用程序吗？</v>
      </c>
      <c r="AA7" s="4" t="str">
        <f>IFERROR(__xludf.DUMMYFUNCTION("GOOGLETRANSLATE(B7,""en"",""zh-TW"")"),"喜歡這個應用程式嗎？")</f>
        <v>喜歡這個應用程式嗎？</v>
      </c>
      <c r="AB7" s="4" t="str">
        <f>IFERROR(__xludf.DUMMYFUNCTION("GOOGLETRANSLATE(B7,""en"",""ja"")"),"このアプリがお気に召しましたか?")</f>
        <v>このアプリがお気に召しましたか?</v>
      </c>
      <c r="AC7" s="4" t="str">
        <f>IFERROR(__xludf.DUMMYFUNCTION("GOOGLETRANSLATE(B7,""en"",""bg"")"),"Обичате ли това приложение?")</f>
        <v>Обичате ли това приложение?</v>
      </c>
      <c r="AD7" s="4" t="str">
        <f>IFERROR(__xludf.DUMMYFUNCTION("GOOGLETRANSLATE(B7,""en"",""cs"")"),"Líbí se vám tato aplikace?")</f>
        <v>Líbí se vám tato aplikace?</v>
      </c>
      <c r="AE7" s="4" t="str">
        <f>IFERROR(__xludf.DUMMYFUNCTION("GOOGLETRANSLATE(B7,""en"",""da"")"),"Elsker du denne app?")</f>
        <v>Elsker du denne app?</v>
      </c>
      <c r="AF7" s="4" t="str">
        <f>IFERROR(__xludf.DUMMYFUNCTION("GOOGLETRANSLATE(B7,""en"",""el"")"),"Σας αρέσει αυτή η εφαρμογή;")</f>
        <v>Σας αρέσει αυτή η εφαρμογή;</v>
      </c>
      <c r="AG7" s="4" t="str">
        <f>IFERROR(__xludf.DUMMYFUNCTION("GOOGLETRANSLATE(B7,""en"",""et"")"),"Kas teile meeldib see rakendus?")</f>
        <v>Kas teile meeldib see rakendus?</v>
      </c>
      <c r="AH7" s="4" t="str">
        <f>IFERROR(__xludf.DUMMYFUNCTION("GOOGLETRANSLATE(B7,""en"",""fi"")"),"Pidätkö tästä sovelluksesta?")</f>
        <v>Pidätkö tästä sovelluksesta?</v>
      </c>
      <c r="AI7" s="4" t="str">
        <f>IFERROR(__xludf.DUMMYFUNCTION("GOOGLETRANSLATE(B7,""en"",""hr"")"),"Sviđa vam se ova aplikacija?")</f>
        <v>Sviđa vam se ova aplikacija?</v>
      </c>
      <c r="AJ7" s="4" t="str">
        <f>IFERROR(__xludf.DUMMYFUNCTION("GOOGLETRANSLATE(B7,""en"",""hu"")"),"Szereted ezt az alkalmazást?")</f>
        <v>Szereted ezt az alkalmazást?</v>
      </c>
      <c r="AK7" s="4" t="str">
        <f>IFERROR(__xludf.DUMMYFUNCTION("GOOGLETRANSLATE(B7,""en"",""hy"")"),"Սիրու՞մ եք այս հավելվածը:")</f>
        <v>Սիրու՞մ եք այս հավելվածը:</v>
      </c>
      <c r="AL7" s="4" t="str">
        <f>IFERROR(__xludf.DUMMYFUNCTION("GOOGLETRANSLATE(B7,""en"",""ca"")"),"T'agrada aquesta aplicació?")</f>
        <v>T'agrada aquesta aplicació?</v>
      </c>
      <c r="AM7" s="4" t="str">
        <f>IFERROR(__xludf.DUMMYFUNCTION("GOOGLETRANSLATE(B7,""en"",""nl"")"),"Vindt u deze app leuk?")</f>
        <v>Vindt u deze app leuk?</v>
      </c>
      <c r="AN7" s="4" t="str">
        <f>IFERROR(__xludf.DUMMYFUNCTION("GOOGLETRANSLATE(B7,""en"",""he"")"),"אוהבים את האפליקציה הזו?")</f>
        <v>אוהבים את האפליקציה הזו?</v>
      </c>
      <c r="AO7" s="4" t="str">
        <f>IFERROR(__xludf.DUMMYFUNCTION("GOOGLETRANSLATE(B7,""en"",""is"")"),"Elskarðu þetta app?")</f>
        <v>Elskarðu þetta app?</v>
      </c>
      <c r="AP7" s="4" t="str">
        <f>IFERROR(__xludf.DUMMYFUNCTION("GOOGLETRANSLATE(B7,""en"",""no"")"),"Elsker du denne appen?")</f>
        <v>Elsker du denne appen?</v>
      </c>
      <c r="AQ7" s="4" t="str">
        <f>IFERROR(__xludf.DUMMYFUNCTION("GOOGLETRANSLATE(B7,""en"",""fa"")"),"این برنامه را دوست دارید؟")</f>
        <v>این برنامه را دوست دارید؟</v>
      </c>
      <c r="AR7" s="4" t="str">
        <f>IFERROR(__xludf.DUMMYFUNCTION("GOOGLETRANSLATE(B7,""en"",""pl"")"),"Podoba Ci się ta aplikacja?")</f>
        <v>Podoba Ci się ta aplikacja?</v>
      </c>
      <c r="AS7" s="4" t="str">
        <f>IFERROR(__xludf.DUMMYFUNCTION("GOOGLETRANSLATE(B7,""en"",""sv"")"),"Älskar du den här appen?")</f>
        <v>Älskar du den här appen?</v>
      </c>
      <c r="AT7" s="4" t="str">
        <f>IFERROR(__xludf.DUMMYFUNCTION("GOOGLETRANSLATE(B7,""en"",""uk"")"),"Любите цю програму?")</f>
        <v>Любите цю програму?</v>
      </c>
      <c r="AU7" s="4" t="str">
        <f>IFERROR(__xludf.DUMMYFUNCTION("GOOGLETRANSLATE(B7,""en"",""zu"")"),"Uthanda lolu hlelo lokusebenza?")</f>
        <v>Uthanda lolu hlelo lokusebenza?</v>
      </c>
      <c r="AV7" s="4" t="str">
        <f>IFERROR(__xludf.DUMMYFUNCTION("GOOGLETRANSLATE(B7,""en"",""sr"")"),"Волите ову апликацију?")</f>
        <v>Волите ову апликацију?</v>
      </c>
    </row>
    <row r="8">
      <c r="A8" s="3" t="s">
        <v>58</v>
      </c>
      <c r="B8" s="3" t="s">
        <v>59</v>
      </c>
      <c r="C8" s="4" t="str">
        <f>IFERROR(__xludf.DUMMYFUNCTION("GOOGLETRANSLATE(B8,""en"",""ta"")"),"உங்கள் அன்பைப் பகிர்ந்து, Play Store இல் எங்களை மதிப்பிடுவதன் மூலம் எங்களை வளர உதவுங்கள்!")</f>
        <v>உங்கள் அன்பைப் பகிர்ந்து, Play Store இல் எங்களை மதிப்பிடுவதன் மூலம் எங்களை வளர உதவுங்கள்!</v>
      </c>
      <c r="D8" s="4" t="str">
        <f>IFERROR(__xludf.DUMMYFUNCTION("GOOGLETRANSLATE(B8,""en"",""hi"")"),"अपना प्यार साझा करें और प्ले स्टोर पर हमें रेटिंग देकर हमारी वृद्धि में सहायता करें!")</f>
        <v>अपना प्यार साझा करें और प्ले स्टोर पर हमें रेटिंग देकर हमारी वृद्धि में सहायता करें!</v>
      </c>
      <c r="E8" s="4" t="str">
        <f>IFERROR(__xludf.DUMMYFUNCTION("GOOGLETRANSLATE(B8,""en"",""id"")"),"Bagikan cinta Anda dan bantu kami berkembang dengan memberi kami penilaian di Play Store!")</f>
        <v>Bagikan cinta Anda dan bantu kami berkembang dengan memberi kami penilaian di Play Store!</v>
      </c>
      <c r="F8" s="4" t="str">
        <f>IFERROR(__xludf.DUMMYFUNCTION("GOOGLETRANSLATE(B8,""en"",""ms"")"),"Kongsi kasih sayang anda dan bantu kami berkembang dengan menilai kami di Gedung Play!")</f>
        <v>Kongsi kasih sayang anda dan bantu kami berkembang dengan menilai kami di Gedung Play!</v>
      </c>
      <c r="G8" s="4" t="str">
        <f>IFERROR(__xludf.DUMMYFUNCTION("GOOGLETRANSLATE(B8,""en"",""de"")"),"Teilen Sie Ihre Liebe und helfen Sie uns zu wachsen, indem Sie uns im Play Store bewerten!")</f>
        <v>Teilen Sie Ihre Liebe und helfen Sie uns zu wachsen, indem Sie uns im Play Store bewerten!</v>
      </c>
      <c r="H8" s="4" t="str">
        <f>IFERROR(__xludf.DUMMYFUNCTION("GOOGLETRANSLATE(B8,""en"",""es"")"),"¡Comparte tu amor y ayúdanos a crecer calificándonos en Play Store!")</f>
        <v>¡Comparte tu amor y ayúdanos a crecer calificándonos en Play Store!</v>
      </c>
      <c r="I8" s="4" t="str">
        <f>IFERROR(__xludf.DUMMYFUNCTION("GOOGLETRANSLATE(B8,""en"",""fr"")"),"Partagez votre amour et aidez-nous à grandir en nous évaluant sur le Play Store !")</f>
        <v>Partagez votre amour et aidez-nous à grandir en nous évaluant sur le Play Store !</v>
      </c>
      <c r="J8" s="4" t="str">
        <f>IFERROR(__xludf.DUMMYFUNCTION("GOOGLETRANSLATE(B8,""en"",""it"")"),"Condividi il tuo amore e aiutaci a crescere valutandoci sul Play Store!")</f>
        <v>Condividi il tuo amore e aiutaci a crescere valutandoci sul Play Store!</v>
      </c>
      <c r="K8" s="4" t="str">
        <f>IFERROR(__xludf.DUMMYFUNCTION("GOOGLETRANSLATE(B8,""en"",""pt"")"),"Compartilhe seu amor e nos ajude a crescer avaliando-nos na Play Store!")</f>
        <v>Compartilhe seu amor e nos ajude a crescer avaliando-nos na Play Store!</v>
      </c>
      <c r="L8" s="4" t="str">
        <f>IFERROR(__xludf.DUMMYFUNCTION("GOOGLETRANSLATE(B8,""en"",""ro"")"),"Împărtășește-ți dragostea și ajută-ne să creștem evaluându-ne pe Magazinul Play!")</f>
        <v>Împărtășește-ți dragostea și ajută-ne să creștem evaluându-ne pe Magazinul Play!</v>
      </c>
      <c r="M8" s="4" t="str">
        <f>IFERROR(__xludf.DUMMYFUNCTION("GOOGLETRANSLATE(B8,""en"",""vi"")"),"Hãy chia sẻ tình yêu của bạn và giúp chúng tôi phát triển bằng cách đánh giá chúng tôi trên Play Store!")</f>
        <v>Hãy chia sẻ tình yêu của bạn và giúp chúng tôi phát triển bằng cách đánh giá chúng tôi trên Play Store!</v>
      </c>
      <c r="N8" s="4" t="str">
        <f>IFERROR(__xludf.DUMMYFUNCTION("GOOGLETRANSLATE(B8,""en"",""ru"")"),"Поделитесь своей любовью и помогите нам расти, поставив нам оценку в Play Store!")</f>
        <v>Поделитесь своей любовью и помогите нам расти, поставив нам оценку в Play Store!</v>
      </c>
      <c r="O8" s="4" t="str">
        <f>IFERROR(__xludf.DUMMYFUNCTION("GOOGLETRANSLATE(B8,""en"",""tr"")"),"Sevginizi paylaşın ve Play Store'da bizi derecelendirerek büyümemize yardımcı olun!")</f>
        <v>Sevginizi paylaşın ve Play Store'da bizi derecelendirerek büyümemize yardımcı olun!</v>
      </c>
      <c r="P8" s="4" t="str">
        <f>IFERROR(__xludf.DUMMYFUNCTION("GOOGLETRANSLATE(B8,""en"",""ar"")"),"شارك حبك وساعدنا على النمو من خلال تقييمنا على متجر Play!")</f>
        <v>شارك حبك وساعدنا على النمو من خلال تقييمنا على متجر Play!</v>
      </c>
      <c r="Q8" s="4" t="str">
        <f>IFERROR(__xludf.DUMMYFUNCTION("GOOGLETRANSLATE(B8,""en"",""mr"")"),"तुमचे प्रेम शेअर करा आणि आम्हाला Play Store वर रेटिंग देऊन वाढण्यास मदत करा!")</f>
        <v>तुमचे प्रेम शेअर करा आणि आम्हाला Play Store वर रेटिंग देऊन वाढण्यास मदत करा!</v>
      </c>
      <c r="R8" s="4" t="str">
        <f>IFERROR(__xludf.DUMMYFUNCTION("GOOGLETRANSLATE(B8,""en"",""gu"")"),"તમારો પ્રેમ શેર કરો અને અમને પ્લે સ્ટોર પર રેટિંગ આપીને વધવા માટે મદદ કરો!")</f>
        <v>તમારો પ્રેમ શેર કરો અને અમને પ્લે સ્ટોર પર રેટિંગ આપીને વધવા માટે મદદ કરો!</v>
      </c>
      <c r="S8" s="4" t="str">
        <f>IFERROR(__xludf.DUMMYFUNCTION("GOOGLETRANSLATE(B8,""en"",""bn"")"),"আপনার ভালবাসা শেয়ার করুন এবং প্লে স্টোরে রেটিং দিয়ে আমাদের বাড়াতে সাহায্য করুন!")</f>
        <v>আপনার ভালবাসা শেয়ার করুন এবং প্লে স্টোরে রেটিং দিয়ে আমাদের বাড়াতে সাহায্য করুন!</v>
      </c>
      <c r="T8" s="4" t="str">
        <f>IFERROR(__xludf.DUMMYFUNCTION("GOOGLETRANSLATE(B8,""en"",""pa"")"),"ਆਪਣਾ ਪਿਆਰ ਸਾਂਝਾ ਕਰੋ ਅਤੇ ਪਲੇ ਸਟੋਰ 'ਤੇ ਸਾਨੂੰ ਰੇਟਿੰਗ ਦੇ ਕੇ ਵਧਣ ਵਿੱਚ ਸਾਡੀ ਮਦਦ ਕਰੋ!")</f>
        <v>ਆਪਣਾ ਪਿਆਰ ਸਾਂਝਾ ਕਰੋ ਅਤੇ ਪਲੇ ਸਟੋਰ 'ਤੇ ਸਾਨੂੰ ਰੇਟਿੰਗ ਦੇ ਕੇ ਵਧਣ ਵਿੱਚ ਸਾਡੀ ਮਦਦ ਕਰੋ!</v>
      </c>
      <c r="U8" s="4" t="str">
        <f>IFERROR(__xludf.DUMMYFUNCTION("GOOGLETRANSLATE(B8,""en"",""te"")"),"మీ ప్రేమను పంచుకోండి మరియు Play స్టోర్‌లో మాకు రేటింగ్ ఇవ్వడం ద్వారా మాకు ఎదగడంలో సహాయపడండి!")</f>
        <v>మీ ప్రేమను పంచుకోండి మరియు Play స్టోర్‌లో మాకు రేటింగ్ ఇవ్వడం ద్వారా మాకు ఎదగడంలో సహాయపడండి!</v>
      </c>
      <c r="V8" s="4" t="str">
        <f>IFERROR(__xludf.DUMMYFUNCTION("GOOGLETRANSLATE(B8,""en"",""kn"")"),"ನಿಮ್ಮ ಪ್ರೀತಿಯನ್ನು ಹಂಚಿಕೊಳ್ಳಿ ಮತ್ತು Play Store ನಲ್ಲಿ ನಮ್ಮನ್ನು ರೇಟಿಂಗ್ ಮಾಡುವ ಮೂಲಕ ನಮಗೆ ಬೆಳೆಯಲು ಸಹಾಯ ಮಾಡಿ!")</f>
        <v>ನಿಮ್ಮ ಪ್ರೀತಿಯನ್ನು ಹಂಚಿಕೊಳ್ಳಿ ಮತ್ತು Play Store ನಲ್ಲಿ ನಮ್ಮನ್ನು ರೇಟಿಂಗ್ ಮಾಡುವ ಮೂಲಕ ನಮಗೆ ಬೆಳೆಯಲು ಸಹಾಯ ಮಾಡಿ!</v>
      </c>
      <c r="W8" s="4" t="str">
        <f>IFERROR(__xludf.DUMMYFUNCTION("GOOGLETRANSLATE(B8,""en"",""ml"")"),"Play Store-ൽ ഞങ്ങളെ റേറ്റുചെയ്യുന്നതിലൂടെ നിങ്ങളുടെ സ്നേഹം പങ്കിടുകയും വളരാൻ ഞങ്ങളെ സഹായിക്കുകയും ചെയ്യുക!")</f>
        <v>Play Store-ൽ ഞങ്ങളെ റേറ്റുചെയ്യുന്നതിലൂടെ നിങ്ങളുടെ സ്നേഹം പങ്കിടുകയും വളരാൻ ഞങ്ങളെ സഹായിക്കുകയും ചെയ്യുക!</v>
      </c>
      <c r="X8" s="4" t="str">
        <f>IFERROR(__xludf.DUMMYFUNCTION("GOOGLETRANSLATE(B8,""en"",""th"")"),"แบ่งปันความรักของคุณและช่วยให้เราเติบโตโดยการให้คะแนนเราบน Play Store!")</f>
        <v>แบ่งปันความรักของคุณและช่วยให้เราเติบโตโดยการให้คะแนนเราบน Play Store!</v>
      </c>
      <c r="Y8" s="4" t="str">
        <f>IFERROR(__xludf.DUMMYFUNCTION("GOOGLETRANSLATE(B8,""en"",""ko"")"),"여러분의 사랑을 공유하고 Play 스토어에서 우리를 평가하여 우리의 성장을 도와주세요!")</f>
        <v>여러분의 사랑을 공유하고 Play 스토어에서 우리를 평가하여 우리의 성장을 도와주세요!</v>
      </c>
      <c r="Z8" s="4" t="str">
        <f>IFERROR(__xludf.DUMMYFUNCTION("GOOGLETRANSLATE(B8,""en"",""zh"")"),"分享您的喜爱并通过在 Play Store 上对我们进行评分来帮助我们成长！")</f>
        <v>分享您的喜爱并通过在 Play Store 上对我们进行评分来帮助我们成长！</v>
      </c>
      <c r="AA8" s="4" t="str">
        <f>IFERROR(__xludf.DUMMYFUNCTION("GOOGLETRANSLATE(B8,""en"",""zh-TW"")"),"分享您的喜愛並透過在 Play Store 上對我們進行評分來幫助我們成長！")</f>
        <v>分享您的喜愛並透過在 Play Store 上對我們進行評分來幫助我們成長！</v>
      </c>
      <c r="AB8" s="4" t="str">
        <f>IFERROR(__xludf.DUMMYFUNCTION("GOOGLETRANSLATE(B8,""en"",""ja"")"),"Play ストアで評価して、あなたの愛情を共有し、私たちの成長にご協力ください。")</f>
        <v>Play ストアで評価して、あなたの愛情を共有し、私たちの成長にご協力ください。</v>
      </c>
      <c r="AC8" s="4" t="str">
        <f>IFERROR(__xludf.DUMMYFUNCTION("GOOGLETRANSLATE(B8,""en"",""bg"")"),"Споделете любовта си и ни помогнете да растем, като ни оцените в Play Store!")</f>
        <v>Споделете любовта си и ни помогнете да растем, като ни оцените в Play Store!</v>
      </c>
      <c r="AD8" s="4" t="str">
        <f>IFERROR(__xludf.DUMMYFUNCTION("GOOGLETRANSLATE(B8,""en"",""cs"")"),"Sdílejte svou lásku a pomozte nám růst tím, že nás ohodnotíte v Obchodě Play!")</f>
        <v>Sdílejte svou lásku a pomozte nám růst tím, že nás ohodnotíte v Obchodě Play!</v>
      </c>
      <c r="AE8" s="4" t="str">
        <f>IFERROR(__xludf.DUMMYFUNCTION("GOOGLETRANSLATE(B8,""en"",""da"")"),"Del din kærlighed og hjælp os med at vokse ved at bedømme os i Play Butik!")</f>
        <v>Del din kærlighed og hjælp os med at vokse ved at bedømme os i Play Butik!</v>
      </c>
      <c r="AF8" s="4" t="str">
        <f>IFERROR(__xludf.DUMMYFUNCTION("GOOGLETRANSLATE(B8,""en"",""el"")"),"Μοιραστείτε την αγάπη σας και βοηθήστε μας να αναπτυχθούμε αξιολογώντας μας στο Play Store!")</f>
        <v>Μοιραστείτε την αγάπη σας και βοηθήστε μας να αναπτυχθούμε αξιολογώντας μας στο Play Store!</v>
      </c>
      <c r="AG8" s="4" t="str">
        <f>IFERROR(__xludf.DUMMYFUNCTION("GOOGLETRANSLATE(B8,""en"",""et"")"),"Jagage oma armastust ja aidake meil kasvada, hinnates meid Play poes!")</f>
        <v>Jagage oma armastust ja aidake meil kasvada, hinnates meid Play poes!</v>
      </c>
      <c r="AH8" s="4" t="str">
        <f>IFERROR(__xludf.DUMMYFUNCTION("GOOGLETRANSLATE(B8,""en"",""fi"")"),"Jaa rakkautesi ja auta meitä kasvamaan arvioimalla meidät Play Kaupassa!")</f>
        <v>Jaa rakkautesi ja auta meitä kasvamaan arvioimalla meidät Play Kaupassa!</v>
      </c>
      <c r="AI8" s="4" t="str">
        <f>IFERROR(__xludf.DUMMYFUNCTION("GOOGLETRANSLATE(B8,""en"",""hr"")"),"Podijelite svoju ljubav i pomozite nam rasti tako što ćete nas ocijeniti u Trgovini Play!")</f>
        <v>Podijelite svoju ljubav i pomozite nam rasti tako što ćete nas ocijeniti u Trgovini Play!</v>
      </c>
      <c r="AJ8" s="4" t="str">
        <f>IFERROR(__xludf.DUMMYFUNCTION("GOOGLETRANSLATE(B8,""en"",""hu"")"),"Oszd meg szeretetedet, és segíts növekedésünknek úgy, hogy értékelsz minket a Play Áruházban!")</f>
        <v>Oszd meg szeretetedet, és segíts növekedésünknek úgy, hogy értékelsz minket a Play Áruházban!</v>
      </c>
      <c r="AK8" s="4" t="str">
        <f>IFERROR(__xludf.DUMMYFUNCTION("GOOGLETRANSLATE(B8,""en"",""hy"")"),"Կիսեք ձեր սերը և օգնեք մեզ աճել՝ գնահատելով մեզ Play Store-ում:")</f>
        <v>Կիսեք ձեր սերը և օգնեք մեզ աճել՝ գնահատելով մեզ Play Store-ում:</v>
      </c>
      <c r="AL8" s="4" t="str">
        <f>IFERROR(__xludf.DUMMYFUNCTION("GOOGLETRANSLATE(B8,""en"",""ca"")"),"Comparteix el teu amor i ajuda'ns a créixer puntuant-nos a Play Store!")</f>
        <v>Comparteix el teu amor i ajuda'ns a créixer puntuant-nos a Play Store!</v>
      </c>
      <c r="AM8" s="4" t="str">
        <f>IFERROR(__xludf.DUMMYFUNCTION("GOOGLETRANSLATE(B8,""en"",""nl"")"),"Deel je waardering en help ons groeien door ons te beoordelen in de Play Store!")</f>
        <v>Deel je waardering en help ons groeien door ons te beoordelen in de Play Store!</v>
      </c>
      <c r="AN8" s="4" t="str">
        <f>IFERROR(__xludf.DUMMYFUNCTION("GOOGLETRANSLATE(B8,""en"",""he"")"),"שתף את אהבתך ועזור לנו לצמוח על ידי דירוגנו בחנות Play!")</f>
        <v>שתף את אהבתך ועזור לנו לצמוח על ידי דירוגנו בחנות Play!</v>
      </c>
      <c r="AO8" s="4" t="str">
        <f>IFERROR(__xludf.DUMMYFUNCTION("GOOGLETRANSLATE(B8,""en"",""is"")"),"Deildu ást þinni og hjálpaðu okkur að vaxa með því að gefa okkur einkunn í Play Store!")</f>
        <v>Deildu ást þinni og hjálpaðu okkur að vaxa með því að gefa okkur einkunn í Play Store!</v>
      </c>
      <c r="AP8" s="4" t="str">
        <f>IFERROR(__xludf.DUMMYFUNCTION("GOOGLETRANSLATE(B8,""en"",""no"")"),"Del kjærligheten din og hjelp oss å vokse ved å rangere oss i Play Store!")</f>
        <v>Del kjærligheten din og hjelp oss å vokse ved å rangere oss i Play Store!</v>
      </c>
      <c r="AQ8" s="4" t="str">
        <f>IFERROR(__xludf.DUMMYFUNCTION("GOOGLETRANSLATE(B8,""en"",""fa"")"),"عشق خود را به اشتراک بگذارید و با رتبه دادن به ما در فروشگاه Play به رشد ما کمک کنید!")</f>
        <v>عشق خود را به اشتراک بگذارید و با رتبه دادن به ما در فروشگاه Play به رشد ما کمک کنید!</v>
      </c>
      <c r="AR8" s="4" t="str">
        <f>IFERROR(__xludf.DUMMYFUNCTION("GOOGLETRANSLATE(B8,""en"",""pl"")"),"Podziel się swoją miłością i pomóż nam się rozwijać, oceniając nas w Play Store!")</f>
        <v>Podziel się swoją miłością i pomóż nam się rozwijać, oceniając nas w Play Store!</v>
      </c>
      <c r="AS8" s="4" t="str">
        <f>IFERROR(__xludf.DUMMYFUNCTION("GOOGLETRANSLATE(B8,""en"",""sv"")"),"Dela din kärlek och hjälp oss att växa genom att betygsätta oss i Play Butik!")</f>
        <v>Dela din kärlek och hjälp oss att växa genom att betygsätta oss i Play Butik!</v>
      </c>
      <c r="AT8" s="4" t="str">
        <f>IFERROR(__xludf.DUMMYFUNCTION("GOOGLETRANSLATE(B8,""en"",""uk"")"),"Поділіться своєю любов'ю та допоможіть нам розвиватися, оцінивши нас у Play Store!")</f>
        <v>Поділіться своєю любов'ю та допоможіть нам розвиватися, оцінивши нас у Play Store!</v>
      </c>
      <c r="AU8" s="4" t="str">
        <f>IFERROR(__xludf.DUMMYFUNCTION("GOOGLETRANSLATE(B8,""en"",""zu"")"),"Yabelana ngothando lwakho futhi usisize sikhule ngokusilinganisa ku-Google Play Isitolo!")</f>
        <v>Yabelana ngothando lwakho futhi usisize sikhule ngokusilinganisa ku-Google Play Isitolo!</v>
      </c>
      <c r="AV8" s="4" t="str">
        <f>IFERROR(__xludf.DUMMYFUNCTION("GOOGLETRANSLATE(B8,""en"",""sr"")"),"Поделите своју љубав и помозите нам да растемо тако што ћете нас оценити у Плаи продавници!")</f>
        <v>Поделите своју љубав и помозите нам да растемо тако што ћете нас оценити у Плаи продавници!</v>
      </c>
    </row>
    <row r="9">
      <c r="A9" s="3" t="s">
        <v>60</v>
      </c>
      <c r="B9" s="3" t="s">
        <v>61</v>
      </c>
      <c r="C9" s="4" t="str">
        <f>IFERROR(__xludf.DUMMYFUNCTION("GOOGLETRANSLATE(B9,""en"",""ta"")"),"பயனர் கருத்து")</f>
        <v>பயனர் கருத்து</v>
      </c>
      <c r="D9" s="4" t="str">
        <f>IFERROR(__xludf.DUMMYFUNCTION("GOOGLETRANSLATE(B9,""en"",""hi"")"),"उपयोगकर्ता प्रतिसाद")</f>
        <v>उपयोगकर्ता प्रतिसाद</v>
      </c>
      <c r="E9" s="4" t="str">
        <f>IFERROR(__xludf.DUMMYFUNCTION("GOOGLETRANSLATE(B9,""en"",""id"")"),"Umpan Balik Pengguna")</f>
        <v>Umpan Balik Pengguna</v>
      </c>
      <c r="F9" s="4" t="str">
        <f>IFERROR(__xludf.DUMMYFUNCTION("GOOGLETRANSLATE(B9,""en"",""ms"")"),"Maklum Balas Pengguna")</f>
        <v>Maklum Balas Pengguna</v>
      </c>
      <c r="G9" s="4" t="str">
        <f>IFERROR(__xludf.DUMMYFUNCTION("GOOGLETRANSLATE(B9,""en"",""de"")"),"Benutzerfeedback")</f>
        <v>Benutzerfeedback</v>
      </c>
      <c r="H9" s="4" t="str">
        <f>IFERROR(__xludf.DUMMYFUNCTION("GOOGLETRANSLATE(B9,""en"",""es"")"),"Comentarios de los usuarios")</f>
        <v>Comentarios de los usuarios</v>
      </c>
      <c r="I9" s="4" t="str">
        <f>IFERROR(__xludf.DUMMYFUNCTION("GOOGLETRANSLATE(B9,""en"",""fr"")"),"Commentaires des utilisateurs")</f>
        <v>Commentaires des utilisateurs</v>
      </c>
      <c r="J9" s="4" t="str">
        <f>IFERROR(__xludf.DUMMYFUNCTION("GOOGLETRANSLATE(B9,""en"",""it"")"),"Feedback degli utenti")</f>
        <v>Feedback degli utenti</v>
      </c>
      <c r="K9" s="4" t="str">
        <f>IFERROR(__xludf.DUMMYFUNCTION("GOOGLETRANSLATE(B9,""en"",""pt"")"),"Comentários do usuário")</f>
        <v>Comentários do usuário</v>
      </c>
      <c r="L9" s="4" t="str">
        <f>IFERROR(__xludf.DUMMYFUNCTION("GOOGLETRANSLATE(B9,""en"",""ro"")"),"Feedback utilizator")</f>
        <v>Feedback utilizator</v>
      </c>
      <c r="M9" s="4" t="str">
        <f>IFERROR(__xludf.DUMMYFUNCTION("GOOGLETRANSLATE(B9,""en"",""vi"")"),"Phản hồi của người dùng")</f>
        <v>Phản hồi của người dùng</v>
      </c>
      <c r="N9" s="4" t="str">
        <f>IFERROR(__xludf.DUMMYFUNCTION("GOOGLETRANSLATE(B9,""en"",""ru"")"),"Отзывы пользователей")</f>
        <v>Отзывы пользователей</v>
      </c>
      <c r="O9" s="4" t="str">
        <f>IFERROR(__xludf.DUMMYFUNCTION("GOOGLETRANSLATE(B9,""en"",""tr"")"),"Kullanıcı Geri Bildirimi")</f>
        <v>Kullanıcı Geri Bildirimi</v>
      </c>
      <c r="P9" s="4" t="str">
        <f>IFERROR(__xludf.DUMMYFUNCTION("GOOGLETRANSLATE(B9,""en"",""ar"")"),"تعليقات المستخدم")</f>
        <v>تعليقات المستخدم</v>
      </c>
      <c r="Q9" s="4" t="str">
        <f>IFERROR(__xludf.DUMMYFUNCTION("GOOGLETRANSLATE(B9,""en"",""mr"")"),"वापरकर्ता अभिप्राय")</f>
        <v>वापरकर्ता अभिप्राय</v>
      </c>
      <c r="R9" s="4" t="str">
        <f>IFERROR(__xludf.DUMMYFUNCTION("GOOGLETRANSLATE(B9,""en"",""gu"")"),"વપરાશકર્તા પ્રતિસાદ")</f>
        <v>વપરાશકર્તા પ્રતિસાદ</v>
      </c>
      <c r="S9" s="4" t="str">
        <f>IFERROR(__xludf.DUMMYFUNCTION("GOOGLETRANSLATE(B9,""en"",""bn"")"),"ব্যবহারকারীর প্রতিক্রিয়া")</f>
        <v>ব্যবহারকারীর প্রতিক্রিয়া</v>
      </c>
      <c r="T9" s="4" t="str">
        <f>IFERROR(__xludf.DUMMYFUNCTION("GOOGLETRANSLATE(B9,""en"",""pa"")"),"ਯੂਜ਼ਰ ਫੀਡਬੈਕ")</f>
        <v>ਯੂਜ਼ਰ ਫੀਡਬੈਕ</v>
      </c>
      <c r="U9" s="4" t="str">
        <f>IFERROR(__xludf.DUMMYFUNCTION("GOOGLETRANSLATE(B9,""en"",""te"")"),"వినియోగదారు అభిప్రాయం")</f>
        <v>వినియోగదారు అభిప్రాయం</v>
      </c>
      <c r="V9" s="4" t="str">
        <f>IFERROR(__xludf.DUMMYFUNCTION("GOOGLETRANSLATE(B9,""en"",""kn"")"),"ಬಳಕೆದಾರರ ಪ್ರತಿಕ್ರಿಯೆ")</f>
        <v>ಬಳಕೆದಾರರ ಪ್ರತಿಕ್ರಿಯೆ</v>
      </c>
      <c r="W9" s="4" t="str">
        <f>IFERROR(__xludf.DUMMYFUNCTION("GOOGLETRANSLATE(B9,""en"",""ml"")"),"ഉപയോക്തൃ ഫീഡ്ബാക്ക്")</f>
        <v>ഉപയോക്തൃ ഫീഡ്ബാക്ക്</v>
      </c>
      <c r="X9" s="4" t="str">
        <f>IFERROR(__xludf.DUMMYFUNCTION("GOOGLETRANSLATE(B9,""en"",""th"")"),"ความคิดเห็นของผู้ใช้")</f>
        <v>ความคิดเห็นของผู้ใช้</v>
      </c>
      <c r="Y9" s="4" t="str">
        <f>IFERROR(__xludf.DUMMYFUNCTION("GOOGLETRANSLATE(B9,""en"",""ko"")"),"사용자 피드백")</f>
        <v>사용자 피드백</v>
      </c>
      <c r="Z9" s="4" t="str">
        <f>IFERROR(__xludf.DUMMYFUNCTION("GOOGLETRANSLATE(B9,""en"",""zh"")"),"用户反馈")</f>
        <v>用户反馈</v>
      </c>
      <c r="AA9" s="4" t="str">
        <f>IFERROR(__xludf.DUMMYFUNCTION("GOOGLETRANSLATE(B9,""en"",""zh-TW"")"),"使用者回饋")</f>
        <v>使用者回饋</v>
      </c>
      <c r="AB9" s="4" t="str">
        <f>IFERROR(__xludf.DUMMYFUNCTION("GOOGLETRANSLATE(B9,""en"",""ja"")"),"ユーザーフィードバック")</f>
        <v>ユーザーフィードバック</v>
      </c>
      <c r="AC9" s="4" t="str">
        <f>IFERROR(__xludf.DUMMYFUNCTION("GOOGLETRANSLATE(B9,""en"",""bg"")"),"Потребителски отзиви")</f>
        <v>Потребителски отзиви</v>
      </c>
      <c r="AD9" s="4" t="str">
        <f>IFERROR(__xludf.DUMMYFUNCTION("GOOGLETRANSLATE(B9,""en"",""cs"")"),"Uživatelská zpětná vazba")</f>
        <v>Uživatelská zpětná vazba</v>
      </c>
      <c r="AE9" s="4" t="str">
        <f>IFERROR(__xludf.DUMMYFUNCTION("GOOGLETRANSLATE(B9,""en"",""da"")"),"Brugerfeedback")</f>
        <v>Brugerfeedback</v>
      </c>
      <c r="AF9" s="4" t="str">
        <f>IFERROR(__xludf.DUMMYFUNCTION("GOOGLETRANSLATE(B9,""en"",""el"")"),"Σχόλια χρήστη")</f>
        <v>Σχόλια χρήστη</v>
      </c>
      <c r="AG9" s="4" t="str">
        <f>IFERROR(__xludf.DUMMYFUNCTION("GOOGLETRANSLATE(B9,""en"",""et"")"),"Kasutajate tagasiside")</f>
        <v>Kasutajate tagasiside</v>
      </c>
      <c r="AH9" s="4" t="str">
        <f>IFERROR(__xludf.DUMMYFUNCTION("GOOGLETRANSLATE(B9,""en"",""fi"")"),"Käyttäjien palaute")</f>
        <v>Käyttäjien palaute</v>
      </c>
      <c r="AI9" s="4" t="str">
        <f>IFERROR(__xludf.DUMMYFUNCTION("GOOGLETRANSLATE(B9,""en"",""hr"")"),"Povratne informacije korisnika")</f>
        <v>Povratne informacije korisnika</v>
      </c>
      <c r="AJ9" s="4" t="str">
        <f>IFERROR(__xludf.DUMMYFUNCTION("GOOGLETRANSLATE(B9,""en"",""hu"")"),"Felhasználói visszajelzés")</f>
        <v>Felhasználói visszajelzés</v>
      </c>
      <c r="AK9" s="4" t="str">
        <f>IFERROR(__xludf.DUMMYFUNCTION("GOOGLETRANSLATE(B9,""en"",""hy"")"),"Օգտատիրոջ հետադարձ կապ")</f>
        <v>Օգտատիրոջ հետադարձ կապ</v>
      </c>
      <c r="AL9" s="4" t="str">
        <f>IFERROR(__xludf.DUMMYFUNCTION("GOOGLETRANSLATE(B9,""en"",""ca"")"),"Comentaris dels usuaris")</f>
        <v>Comentaris dels usuaris</v>
      </c>
      <c r="AM9" s="4" t="str">
        <f>IFERROR(__xludf.DUMMYFUNCTION("GOOGLETRANSLATE(B9,""en"",""nl"")"),"Gebruikersfeedback")</f>
        <v>Gebruikersfeedback</v>
      </c>
      <c r="AN9" s="4" t="str">
        <f>IFERROR(__xludf.DUMMYFUNCTION("GOOGLETRANSLATE(B9,""en"",""he"")"),"משוב משתמש")</f>
        <v>משוב משתמש</v>
      </c>
      <c r="AO9" s="4" t="str">
        <f>IFERROR(__xludf.DUMMYFUNCTION("GOOGLETRANSLATE(B9,""en"",""is"")"),"Viðbrögð notenda")</f>
        <v>Viðbrögð notenda</v>
      </c>
      <c r="AP9" s="4" t="str">
        <f>IFERROR(__xludf.DUMMYFUNCTION("GOOGLETRANSLATE(B9,""en"",""no"")"),"Tilbakemelding fra bruker")</f>
        <v>Tilbakemelding fra bruker</v>
      </c>
      <c r="AQ9" s="4" t="str">
        <f>IFERROR(__xludf.DUMMYFUNCTION("GOOGLETRANSLATE(B9,""en"",""fa"")"),"بازخورد کاربر")</f>
        <v>بازخورد کاربر</v>
      </c>
      <c r="AR9" s="4" t="str">
        <f>IFERROR(__xludf.DUMMYFUNCTION("GOOGLETRANSLATE(B9,""en"",""pl"")"),"Opinie użytkowników")</f>
        <v>Opinie użytkowników</v>
      </c>
      <c r="AS9" s="4" t="str">
        <f>IFERROR(__xludf.DUMMYFUNCTION("GOOGLETRANSLATE(B9,""en"",""sv"")"),"Användarfeedback")</f>
        <v>Användarfeedback</v>
      </c>
      <c r="AT9" s="4" t="str">
        <f>IFERROR(__xludf.DUMMYFUNCTION("GOOGLETRANSLATE(B9,""en"",""uk"")"),"Відгуки користувачів")</f>
        <v>Відгуки користувачів</v>
      </c>
      <c r="AU9" s="4" t="str">
        <f>IFERROR(__xludf.DUMMYFUNCTION("GOOGLETRANSLATE(B9,""en"",""zu"")"),"Impendulo yomsebenzisi")</f>
        <v>Impendulo yomsebenzisi</v>
      </c>
      <c r="AV9" s="4" t="str">
        <f>IFERROR(__xludf.DUMMYFUNCTION("GOOGLETRANSLATE(B9,""en"",""sr"")"),"Повратне информације корисника")</f>
        <v>Повратне информације корисника</v>
      </c>
    </row>
    <row r="10">
      <c r="A10" s="3" t="s">
        <v>62</v>
      </c>
      <c r="B10" s="3" t="s">
        <v>63</v>
      </c>
      <c r="C10" s="4" t="str">
        <f>IFERROR(__xludf.DUMMYFUNCTION("GOOGLETRANSLATE(B10,""en"",""ta"")"),"எங்களை மதிப்பிடு")</f>
        <v>எங்களை மதிப்பிடு</v>
      </c>
      <c r="D10" s="4" t="str">
        <f>IFERROR(__xludf.DUMMYFUNCTION("GOOGLETRANSLATE(B10,""en"",""hi"")"),"हमें रेटिंग दें")</f>
        <v>हमें रेटिंग दें</v>
      </c>
      <c r="E10" s="4" t="str">
        <f>IFERROR(__xludf.DUMMYFUNCTION("GOOGLETRANSLATE(B10,""en"",""id"")"),"Nilai Kami")</f>
        <v>Nilai Kami</v>
      </c>
      <c r="F10" s="4" t="str">
        <f>IFERROR(__xludf.DUMMYFUNCTION("GOOGLETRANSLATE(B10,""en"",""ms"")"),"Nilaikan Kami")</f>
        <v>Nilaikan Kami</v>
      </c>
      <c r="G10" s="4" t="str">
        <f>IFERROR(__xludf.DUMMYFUNCTION("GOOGLETRANSLATE(B10,""en"",""de"")"),"Bewerten Sie uns")</f>
        <v>Bewerten Sie uns</v>
      </c>
      <c r="H10" s="4" t="str">
        <f>IFERROR(__xludf.DUMMYFUNCTION("GOOGLETRANSLATE(B10,""en"",""es"")"),"Calificanos")</f>
        <v>Calificanos</v>
      </c>
      <c r="I10" s="4" t="str">
        <f>IFERROR(__xludf.DUMMYFUNCTION("GOOGLETRANSLATE(B10,""en"",""fr"")"),"Évaluez-nous")</f>
        <v>Évaluez-nous</v>
      </c>
      <c r="J10" s="4" t="str">
        <f>IFERROR(__xludf.DUMMYFUNCTION("GOOGLETRANSLATE(B10,""en"",""it"")"),"Votaci")</f>
        <v>Votaci</v>
      </c>
      <c r="K10" s="4" t="str">
        <f>IFERROR(__xludf.DUMMYFUNCTION("GOOGLETRANSLATE(B10,""en"",""pt"")"),"Avalie-nos")</f>
        <v>Avalie-nos</v>
      </c>
      <c r="L10" s="4" t="str">
        <f>IFERROR(__xludf.DUMMYFUNCTION("GOOGLETRANSLATE(B10,""en"",""ro"")"),"Evaluează-ne")</f>
        <v>Evaluează-ne</v>
      </c>
      <c r="M10" s="4" t="str">
        <f>IFERROR(__xludf.DUMMYFUNCTION("GOOGLETRANSLATE(B10,""en"",""vi"")"),"Đánh giá chúng tôi")</f>
        <v>Đánh giá chúng tôi</v>
      </c>
      <c r="N10" s="4" t="str">
        <f>IFERROR(__xludf.DUMMYFUNCTION("GOOGLETRANSLATE(B10,""en"",""ru"")"),"Оцените нас")</f>
        <v>Оцените нас</v>
      </c>
      <c r="O10" s="4" t="str">
        <f>IFERROR(__xludf.DUMMYFUNCTION("GOOGLETRANSLATE(B10,""en"",""tr"")"),"Bizi Derecelendirin")</f>
        <v>Bizi Derecelendirin</v>
      </c>
      <c r="P10" s="4" t="str">
        <f>IFERROR(__xludf.DUMMYFUNCTION("GOOGLETRANSLATE(B10,""en"",""ar"")"),"قيمنا")</f>
        <v>قيمنا</v>
      </c>
      <c r="Q10" s="4" t="str">
        <f>IFERROR(__xludf.DUMMYFUNCTION("GOOGLETRANSLATE(B10,""en"",""mr"")"),"आम्हाला रेट करा")</f>
        <v>आम्हाला रेट करा</v>
      </c>
      <c r="R10" s="4" t="str">
        <f>IFERROR(__xludf.DUMMYFUNCTION("GOOGLETRANSLATE(B10,""en"",""gu"")"),"અમને રેટ કરો")</f>
        <v>અમને રેટ કરો</v>
      </c>
      <c r="S10" s="4" t="str">
        <f>IFERROR(__xludf.DUMMYFUNCTION("GOOGLETRANSLATE(B10,""en"",""bn"")"),"আমাদের রেট")</f>
        <v>আমাদের রেট</v>
      </c>
      <c r="T10" s="4" t="str">
        <f>IFERROR(__xludf.DUMMYFUNCTION("GOOGLETRANSLATE(B10,""en"",""pa"")"),"ਸਾਨੂੰ ਦਰਜਾ ਦਿਓ")</f>
        <v>ਸਾਨੂੰ ਦਰਜਾ ਦਿਓ</v>
      </c>
      <c r="U10" s="4" t="str">
        <f>IFERROR(__xludf.DUMMYFUNCTION("GOOGLETRANSLATE(B10,""en"",""te"")"),"మాకు రేట్ చేయండి")</f>
        <v>మాకు రేట్ చేయండి</v>
      </c>
      <c r="V10" s="4" t="str">
        <f>IFERROR(__xludf.DUMMYFUNCTION("GOOGLETRANSLATE(B10,""en"",""kn"")"),"ನಮ್ಮನ್ನು ರೇಟ್ ಮಾಡಿ")</f>
        <v>ನಮ್ಮನ್ನು ರೇಟ್ ಮಾಡಿ</v>
      </c>
      <c r="W10" s="4" t="str">
        <f>IFERROR(__xludf.DUMMYFUNCTION("GOOGLETRANSLATE(B10,""en"",""ml"")"),"ഞങ്ങളെ റേറ്റുചെയ്യുക")</f>
        <v>ഞങ്ങളെ റേറ്റുചെയ്യുക</v>
      </c>
      <c r="X10" s="4" t="str">
        <f>IFERROR(__xludf.DUMMYFUNCTION("GOOGLETRANSLATE(B10,""en"",""th"")"),"ให้คะแนนเรา")</f>
        <v>ให้คะแนนเรา</v>
      </c>
      <c r="Y10" s="4" t="str">
        <f>IFERROR(__xludf.DUMMYFUNCTION("GOOGLETRANSLATE(B10,""en"",""ko"")"),"우리를 평가해주세요")</f>
        <v>우리를 평가해주세요</v>
      </c>
      <c r="Z10" s="4" t="str">
        <f>IFERROR(__xludf.DUMMYFUNCTION("GOOGLETRANSLATE(B10,""en"",""zh"")"),"评价我们")</f>
        <v>评价我们</v>
      </c>
      <c r="AA10" s="4" t="str">
        <f>IFERROR(__xludf.DUMMYFUNCTION("GOOGLETRANSLATE(B10,""en"",""zh-TW"")"),"評價我們")</f>
        <v>評價我們</v>
      </c>
      <c r="AB10" s="4" t="str">
        <f>IFERROR(__xludf.DUMMYFUNCTION("GOOGLETRANSLATE(B10,""en"",""ja"")"),"評価してください")</f>
        <v>評価してください</v>
      </c>
      <c r="AC10" s="4" t="str">
        <f>IFERROR(__xludf.DUMMYFUNCTION("GOOGLETRANSLATE(B10,""en"",""bg"")"),"Оценете ни")</f>
        <v>Оценете ни</v>
      </c>
      <c r="AD10" s="4" t="str">
        <f>IFERROR(__xludf.DUMMYFUNCTION("GOOGLETRANSLATE(B10,""en"",""cs"")"),"Ohodnoťte nás")</f>
        <v>Ohodnoťte nás</v>
      </c>
      <c r="AE10" s="4" t="str">
        <f>IFERROR(__xludf.DUMMYFUNCTION("GOOGLETRANSLATE(B10,""en"",""da"")"),"Bedøm os")</f>
        <v>Bedøm os</v>
      </c>
      <c r="AF10" s="4" t="str">
        <f>IFERROR(__xludf.DUMMYFUNCTION("GOOGLETRANSLATE(B10,""en"",""el"")"),"Αξιολογήστε μας")</f>
        <v>Αξιολογήστε μας</v>
      </c>
      <c r="AG10" s="4" t="str">
        <f>IFERROR(__xludf.DUMMYFUNCTION("GOOGLETRANSLATE(B10,""en"",""et"")"),"Hinda meid")</f>
        <v>Hinda meid</v>
      </c>
      <c r="AH10" s="4" t="str">
        <f>IFERROR(__xludf.DUMMYFUNCTION("GOOGLETRANSLATE(B10,""en"",""fi"")"),"Arvioi meidät")</f>
        <v>Arvioi meidät</v>
      </c>
      <c r="AI10" s="4" t="str">
        <f>IFERROR(__xludf.DUMMYFUNCTION("GOOGLETRANSLATE(B10,""en"",""hr"")"),"Ocijenite nas")</f>
        <v>Ocijenite nas</v>
      </c>
      <c r="AJ10" s="4" t="str">
        <f>IFERROR(__xludf.DUMMYFUNCTION("GOOGLETRANSLATE(B10,""en"",""hu"")"),"Értékeljen minket")</f>
        <v>Értékeljen minket</v>
      </c>
      <c r="AK10" s="4" t="str">
        <f>IFERROR(__xludf.DUMMYFUNCTION("GOOGLETRANSLATE(B10,""en"",""hy"")"),"Գնահատեք մեզ")</f>
        <v>Գնահատեք մեզ</v>
      </c>
      <c r="AL10" s="4" t="str">
        <f>IFERROR(__xludf.DUMMYFUNCTION("GOOGLETRANSLATE(B10,""en"",""ca"")"),"Valora'ns")</f>
        <v>Valora'ns</v>
      </c>
      <c r="AM10" s="4" t="str">
        <f>IFERROR(__xludf.DUMMYFUNCTION("GOOGLETRANSLATE(B10,""en"",""nl"")"),"Beoordeel ons")</f>
        <v>Beoordeel ons</v>
      </c>
      <c r="AN10" s="4" t="str">
        <f>IFERROR(__xludf.DUMMYFUNCTION("GOOGLETRANSLATE(B10,""en"",""he"")"),"דרג אותנו")</f>
        <v>דרג אותנו</v>
      </c>
      <c r="AO10" s="4" t="str">
        <f>IFERROR(__xludf.DUMMYFUNCTION("GOOGLETRANSLATE(B10,""en"",""is"")"),"Gefðu okkur einkunn")</f>
        <v>Gefðu okkur einkunn</v>
      </c>
      <c r="AP10" s="4" t="str">
        <f>IFERROR(__xludf.DUMMYFUNCTION("GOOGLETRANSLATE(B10,""en"",""no"")"),"Vurder oss")</f>
        <v>Vurder oss</v>
      </c>
      <c r="AQ10" s="4" t="str">
        <f>IFERROR(__xludf.DUMMYFUNCTION("GOOGLETRANSLATE(B10,""en"",""fa"")"),"به ما امتیاز دهید")</f>
        <v>به ما امتیاز دهید</v>
      </c>
      <c r="AR10" s="4" t="str">
        <f>IFERROR(__xludf.DUMMYFUNCTION("GOOGLETRANSLATE(B10,""en"",""pl"")"),"Oceń nas")</f>
        <v>Oceń nas</v>
      </c>
      <c r="AS10" s="4" t="str">
        <f>IFERROR(__xludf.DUMMYFUNCTION("GOOGLETRANSLATE(B10,""en"",""sv"")"),"Betygsätt oss")</f>
        <v>Betygsätt oss</v>
      </c>
      <c r="AT10" s="4" t="str">
        <f>IFERROR(__xludf.DUMMYFUNCTION("GOOGLETRANSLATE(B10,""en"",""uk"")"),"Оцініть нас")</f>
        <v>Оцініть нас</v>
      </c>
      <c r="AU10" s="4" t="str">
        <f>IFERROR(__xludf.DUMMYFUNCTION("GOOGLETRANSLATE(B10,""en"",""zu"")"),"Linganisa Us")</f>
        <v>Linganisa Us</v>
      </c>
      <c r="AV10" s="4" t="str">
        <f>IFERROR(__xludf.DUMMYFUNCTION("GOOGLETRANSLATE(B10,""en"",""sr"")"),"Оцените нас")</f>
        <v>Оцените нас</v>
      </c>
    </row>
    <row r="11">
      <c r="A11" s="3" t="s">
        <v>64</v>
      </c>
      <c r="B11" s="3" t="s">
        <v>65</v>
      </c>
      <c r="C11" s="4" t="str">
        <f>IFERROR(__xludf.DUMMYFUNCTION("GOOGLETRANSLATE(B11,""en"",""ta"")"),"மேலும் பயன்பாடுகள்")</f>
        <v>மேலும் பயன்பாடுகள்</v>
      </c>
      <c r="D11" s="4" t="str">
        <f>IFERROR(__xludf.DUMMYFUNCTION("GOOGLETRANSLATE(B11,""en"",""hi"")"),"और ऐप")</f>
        <v>और ऐप</v>
      </c>
      <c r="E11" s="4" t="str">
        <f>IFERROR(__xludf.DUMMYFUNCTION("GOOGLETRANSLATE(B11,""en"",""id"")"),"Aplikasi Lainnya")</f>
        <v>Aplikasi Lainnya</v>
      </c>
      <c r="F11" s="4" t="str">
        <f>IFERROR(__xludf.DUMMYFUNCTION("GOOGLETRANSLATE(B11,""en"",""ms"")"),"Lagi Apl")</f>
        <v>Lagi Apl</v>
      </c>
      <c r="G11" s="4" t="str">
        <f>IFERROR(__xludf.DUMMYFUNCTION("GOOGLETRANSLATE(B11,""en"",""de"")"),"Weitere Apps")</f>
        <v>Weitere Apps</v>
      </c>
      <c r="H11" s="4" t="str">
        <f>IFERROR(__xludf.DUMMYFUNCTION("GOOGLETRANSLATE(B11,""en"",""es"")"),"Más aplicaciones")</f>
        <v>Más aplicaciones</v>
      </c>
      <c r="I11" s="4" t="str">
        <f>IFERROR(__xludf.DUMMYFUNCTION("GOOGLETRANSLATE(B11,""en"",""fr"")"),"Plus d'applications")</f>
        <v>Plus d'applications</v>
      </c>
      <c r="J11" s="4" t="str">
        <f>IFERROR(__xludf.DUMMYFUNCTION("GOOGLETRANSLATE(B11,""en"",""it"")"),"Altre app")</f>
        <v>Altre app</v>
      </c>
      <c r="K11" s="4" t="str">
        <f>IFERROR(__xludf.DUMMYFUNCTION("GOOGLETRANSLATE(B11,""en"",""pt"")"),"Mais aplicativos")</f>
        <v>Mais aplicativos</v>
      </c>
      <c r="L11" s="4" t="str">
        <f>IFERROR(__xludf.DUMMYFUNCTION("GOOGLETRANSLATE(B11,""en"",""ro"")"),"Mai multe aplicații")</f>
        <v>Mai multe aplicații</v>
      </c>
      <c r="M11" s="4" t="str">
        <f>IFERROR(__xludf.DUMMYFUNCTION("GOOGLETRANSLATE(B11,""en"",""vi"")"),"Thêm ứng dụng")</f>
        <v>Thêm ứng dụng</v>
      </c>
      <c r="N11" s="4" t="str">
        <f>IFERROR(__xludf.DUMMYFUNCTION("GOOGLETRANSLATE(B11,""en"",""ru"")"),"Больше приложений")</f>
        <v>Больше приложений</v>
      </c>
      <c r="O11" s="4" t="str">
        <f>IFERROR(__xludf.DUMMYFUNCTION("GOOGLETRANSLATE(B11,""en"",""tr"")"),"Daha Fazla Uygulama")</f>
        <v>Daha Fazla Uygulama</v>
      </c>
      <c r="P11" s="4" t="str">
        <f>IFERROR(__xludf.DUMMYFUNCTION("GOOGLETRANSLATE(B11,""en"",""ar"")"),"المزيد من التطبيقات")</f>
        <v>المزيد من التطبيقات</v>
      </c>
      <c r="Q11" s="4" t="str">
        <f>IFERROR(__xludf.DUMMYFUNCTION("GOOGLETRANSLATE(B11,""en"",""mr"")"),"अधिक ॲप्स")</f>
        <v>अधिक ॲप्स</v>
      </c>
      <c r="R11" s="4" t="str">
        <f>IFERROR(__xludf.DUMMYFUNCTION("GOOGLETRANSLATE(B11,""en"",""gu"")"),"વધુ એપ્સ")</f>
        <v>વધુ એપ્સ</v>
      </c>
      <c r="S11" s="4" t="str">
        <f>IFERROR(__xludf.DUMMYFUNCTION("GOOGLETRANSLATE(B11,""en"",""bn"")"),"আরও অ্যাপ")</f>
        <v>আরও অ্যাপ</v>
      </c>
      <c r="T11" s="4" t="str">
        <f>IFERROR(__xludf.DUMMYFUNCTION("GOOGLETRANSLATE(B11,""en"",""pa"")"),"ਹੋਰ ਐਪਾਂ")</f>
        <v>ਹੋਰ ਐਪਾਂ</v>
      </c>
      <c r="U11" s="4" t="str">
        <f>IFERROR(__xludf.DUMMYFUNCTION("GOOGLETRANSLATE(B11,""en"",""te"")"),"మరిన్ని యాప్‌లు")</f>
        <v>మరిన్ని యాప్‌లు</v>
      </c>
      <c r="V11" s="4" t="str">
        <f>IFERROR(__xludf.DUMMYFUNCTION("GOOGLETRANSLATE(B11,""en"",""kn"")"),"ಇನ್ನಷ್ಟು ಅಪ್ಲಿಕೇಶನ್‌ಗಳು")</f>
        <v>ಇನ್ನಷ್ಟು ಅಪ್ಲಿಕೇಶನ್‌ಗಳು</v>
      </c>
      <c r="W11" s="4" t="str">
        <f>IFERROR(__xludf.DUMMYFUNCTION("GOOGLETRANSLATE(B11,""en"",""ml"")"),"കൂടുതൽ ആപ്പുകൾ")</f>
        <v>കൂടുതൽ ആപ്പുകൾ</v>
      </c>
      <c r="X11" s="4" t="str">
        <f>IFERROR(__xludf.DUMMYFUNCTION("GOOGLETRANSLATE(B11,""en"",""th"")"),"แอปเพิ่มเติม")</f>
        <v>แอปเพิ่มเติม</v>
      </c>
      <c r="Y11" s="4" t="str">
        <f>IFERROR(__xludf.DUMMYFUNCTION("GOOGLETRANSLATE(B11,""en"",""ko"")"),"더 많은 앱")</f>
        <v>더 많은 앱</v>
      </c>
      <c r="Z11" s="4" t="str">
        <f>IFERROR(__xludf.DUMMYFUNCTION("GOOGLETRANSLATE(B11,""en"",""zh"")"),"更多应用")</f>
        <v>更多应用</v>
      </c>
      <c r="AA11" s="4" t="str">
        <f>IFERROR(__xludf.DUMMYFUNCTION("GOOGLETRANSLATE(B11,""en"",""zh-TW"")"),"更多應用")</f>
        <v>更多應用</v>
      </c>
      <c r="AB11" s="4" t="str">
        <f>IFERROR(__xludf.DUMMYFUNCTION("GOOGLETRANSLATE(B11,""en"",""ja"")"),"その他のアプリ")</f>
        <v>その他のアプリ</v>
      </c>
      <c r="AC11" s="4" t="str">
        <f>IFERROR(__xludf.DUMMYFUNCTION("GOOGLETRANSLATE(B11,""en"",""bg"")"),"Още приложения")</f>
        <v>Още приложения</v>
      </c>
      <c r="AD11" s="4" t="str">
        <f>IFERROR(__xludf.DUMMYFUNCTION("GOOGLETRANSLATE(B11,""en"",""cs"")"),"Další aplikace")</f>
        <v>Další aplikace</v>
      </c>
      <c r="AE11" s="4" t="str">
        <f>IFERROR(__xludf.DUMMYFUNCTION("GOOGLETRANSLATE(B11,""en"",""da"")"),"Flere apps")</f>
        <v>Flere apps</v>
      </c>
      <c r="AF11" s="4" t="str">
        <f>IFERROR(__xludf.DUMMYFUNCTION("GOOGLETRANSLATE(B11,""en"",""el"")"),"Περισσότερες εφαρμογές")</f>
        <v>Περισσότερες εφαρμογές</v>
      </c>
      <c r="AG11" s="4" t="str">
        <f>IFERROR(__xludf.DUMMYFUNCTION("GOOGLETRANSLATE(B11,""en"",""et"")"),"Rohkem rakendusi")</f>
        <v>Rohkem rakendusi</v>
      </c>
      <c r="AH11" s="4" t="str">
        <f>IFERROR(__xludf.DUMMYFUNCTION("GOOGLETRANSLATE(B11,""en"",""fi"")"),"Lisää sovelluksia")</f>
        <v>Lisää sovelluksia</v>
      </c>
      <c r="AI11" s="4" t="str">
        <f>IFERROR(__xludf.DUMMYFUNCTION("GOOGLETRANSLATE(B11,""en"",""hr"")"),"Više aplikacija")</f>
        <v>Više aplikacija</v>
      </c>
      <c r="AJ11" s="4" t="str">
        <f>IFERROR(__xludf.DUMMYFUNCTION("GOOGLETRANSLATE(B11,""en"",""hu"")"),"További alkalmazások")</f>
        <v>További alkalmazások</v>
      </c>
      <c r="AK11" s="4" t="str">
        <f>IFERROR(__xludf.DUMMYFUNCTION("GOOGLETRANSLATE(B11,""en"",""hy"")"),"Լրացուցիչ հավելվածներ")</f>
        <v>Լրացուցիչ հավելվածներ</v>
      </c>
      <c r="AL11" s="4" t="str">
        <f>IFERROR(__xludf.DUMMYFUNCTION("GOOGLETRANSLATE(B11,""en"",""ca"")"),"Més aplicacions")</f>
        <v>Més aplicacions</v>
      </c>
      <c r="AM11" s="4" t="str">
        <f>IFERROR(__xludf.DUMMYFUNCTION("GOOGLETRANSLATE(B11,""en"",""nl"")"),"Meer apps")</f>
        <v>Meer apps</v>
      </c>
      <c r="AN11" s="4" t="str">
        <f>IFERROR(__xludf.DUMMYFUNCTION("GOOGLETRANSLATE(B11,""en"",""he"")"),"אפליקציות נוספות")</f>
        <v>אפליקציות נוספות</v>
      </c>
      <c r="AO11" s="4" t="str">
        <f>IFERROR(__xludf.DUMMYFUNCTION("GOOGLETRANSLATE(B11,""en"",""is"")"),"Fleiri forrit")</f>
        <v>Fleiri forrit</v>
      </c>
      <c r="AP11" s="4" t="str">
        <f>IFERROR(__xludf.DUMMYFUNCTION("GOOGLETRANSLATE(B11,""en"",""no"")"),"Flere apper")</f>
        <v>Flere apper</v>
      </c>
      <c r="AQ11" s="4" t="str">
        <f>IFERROR(__xludf.DUMMYFUNCTION("GOOGLETRANSLATE(B11,""en"",""fa"")"),"برنامه های بیشتر")</f>
        <v>برنامه های بیشتر</v>
      </c>
      <c r="AR11" s="4" t="str">
        <f>IFERROR(__xludf.DUMMYFUNCTION("GOOGLETRANSLATE(B11,""en"",""pl"")"),"Więcej aplikacji")</f>
        <v>Więcej aplikacji</v>
      </c>
      <c r="AS11" s="4" t="str">
        <f>IFERROR(__xludf.DUMMYFUNCTION("GOOGLETRANSLATE(B11,""en"",""sv"")"),"Fler appar")</f>
        <v>Fler appar</v>
      </c>
      <c r="AT11" s="4" t="str">
        <f>IFERROR(__xludf.DUMMYFUNCTION("GOOGLETRANSLATE(B11,""en"",""uk"")"),"Більше програм")</f>
        <v>Більше програм</v>
      </c>
      <c r="AU11" s="4" t="str">
        <f>IFERROR(__xludf.DUMMYFUNCTION("GOOGLETRANSLATE(B11,""en"",""zu"")"),"Izinhlelo zokusebenza eziningi")</f>
        <v>Izinhlelo zokusebenza eziningi</v>
      </c>
      <c r="AV11" s="4" t="str">
        <f>IFERROR(__xludf.DUMMYFUNCTION("GOOGLETRANSLATE(B11,""en"",""sr"")"),"Више апликација")</f>
        <v>Више апликација</v>
      </c>
    </row>
    <row r="12">
      <c r="A12" s="3" t="s">
        <v>66</v>
      </c>
      <c r="B12" s="3" t="s">
        <v>67</v>
      </c>
      <c r="C12" s="4" t="str">
        <f>IFERROR(__xludf.DUMMYFUNCTION("GOOGLETRANSLATE(B12,""en"",""ta"")"),"எங்களைப் பகிரவும்")</f>
        <v>எங்களைப் பகிரவும்</v>
      </c>
      <c r="D12" s="4" t="str">
        <f>IFERROR(__xludf.DUMMYFUNCTION("GOOGLETRANSLATE(B12,""en"",""hi"")"),"हमें साझा करें")</f>
        <v>हमें साझा करें</v>
      </c>
      <c r="E12" s="4" t="str">
        <f>IFERROR(__xludf.DUMMYFUNCTION("GOOGLETRANSLATE(B12,""en"",""id"")"),"Bagikan Kami")</f>
        <v>Bagikan Kami</v>
      </c>
      <c r="F12" s="4" t="str">
        <f>IFERROR(__xludf.DUMMYFUNCTION("GOOGLETRANSLATE(B12,""en"",""ms"")"),"Kongsi Kami")</f>
        <v>Kongsi Kami</v>
      </c>
      <c r="G12" s="4" t="str">
        <f>IFERROR(__xludf.DUMMYFUNCTION("GOOGLETRANSLATE(B12,""en"",""de"")"),"Teilen Sie uns")</f>
        <v>Teilen Sie uns</v>
      </c>
      <c r="H12" s="4" t="str">
        <f>IFERROR(__xludf.DUMMYFUNCTION("GOOGLETRANSLATE(B12,""en"",""es"")"),"Comparte con nosotros")</f>
        <v>Comparte con nosotros</v>
      </c>
      <c r="I12" s="4" t="str">
        <f>IFERROR(__xludf.DUMMYFUNCTION("GOOGLETRANSLATE(B12,""en"",""fr"")"),"Partagez-nous")</f>
        <v>Partagez-nous</v>
      </c>
      <c r="J12" s="4" t="str">
        <f>IFERROR(__xludf.DUMMYFUNCTION("GOOGLETRANSLATE(B12,""en"",""it"")"),"Condividici")</f>
        <v>Condividici</v>
      </c>
      <c r="K12" s="4" t="str">
        <f>IFERROR(__xludf.DUMMYFUNCTION("GOOGLETRANSLATE(B12,""en"",""pt"")"),"Compartilhe conosco")</f>
        <v>Compartilhe conosco</v>
      </c>
      <c r="L12" s="4" t="str">
        <f>IFERROR(__xludf.DUMMYFUNCTION("GOOGLETRANSLATE(B12,""en"",""ro"")"),"Distribuiți-ne")</f>
        <v>Distribuiți-ne</v>
      </c>
      <c r="M12" s="4" t="str">
        <f>IFERROR(__xludf.DUMMYFUNCTION("GOOGLETRANSLATE(B12,""en"",""vi"")"),"Chia sẻ chúng tôi")</f>
        <v>Chia sẻ chúng tôi</v>
      </c>
      <c r="N12" s="4" t="str">
        <f>IFERROR(__xludf.DUMMYFUNCTION("GOOGLETRANSLATE(B12,""en"",""ru"")"),"Поделитесь с нами")</f>
        <v>Поделитесь с нами</v>
      </c>
      <c r="O12" s="4" t="str">
        <f>IFERROR(__xludf.DUMMYFUNCTION("GOOGLETRANSLATE(B12,""en"",""tr"")"),"Bizi Paylaşın")</f>
        <v>Bizi Paylaşın</v>
      </c>
      <c r="P12" s="4" t="str">
        <f>IFERROR(__xludf.DUMMYFUNCTION("GOOGLETRANSLATE(B12,""en"",""ar"")"),"شاركنا")</f>
        <v>شاركنا</v>
      </c>
      <c r="Q12" s="4" t="str">
        <f>IFERROR(__xludf.DUMMYFUNCTION("GOOGLETRANSLATE(B12,""en"",""mr"")"),"आम्हाला शेअर करा")</f>
        <v>आम्हाला शेअर करा</v>
      </c>
      <c r="R12" s="4" t="str">
        <f>IFERROR(__xludf.DUMMYFUNCTION("GOOGLETRANSLATE(B12,""en"",""gu"")"),"અમને શેર કરો")</f>
        <v>અમને શેર કરો</v>
      </c>
      <c r="S12" s="4" t="str">
        <f>IFERROR(__xludf.DUMMYFUNCTION("GOOGLETRANSLATE(B12,""en"",""bn"")"),"আমাদের শেয়ার করুন")</f>
        <v>আমাদের শেয়ার করুন</v>
      </c>
      <c r="T12" s="4" t="str">
        <f>IFERROR(__xludf.DUMMYFUNCTION("GOOGLETRANSLATE(B12,""en"",""pa"")"),"ਸਾਡੇ ਨਾਲ ਸਾਂਝਾ ਕਰੋ")</f>
        <v>ਸਾਡੇ ਨਾਲ ਸਾਂਝਾ ਕਰੋ</v>
      </c>
      <c r="U12" s="4" t="str">
        <f>IFERROR(__xludf.DUMMYFUNCTION("GOOGLETRANSLATE(B12,""en"",""te"")"),"మమ్మల్ని భాగస్వామ్యం చేయండి")</f>
        <v>మమ్మల్ని భాగస్వామ్యం చేయండి</v>
      </c>
      <c r="V12" s="4" t="str">
        <f>IFERROR(__xludf.DUMMYFUNCTION("GOOGLETRANSLATE(B12,""en"",""kn"")"),"ನಮ್ಮನ್ನು ಹಂಚಿಕೊಳ್ಳಿ")</f>
        <v>ನಮ್ಮನ್ನು ಹಂಚಿಕೊಳ್ಳಿ</v>
      </c>
      <c r="W12" s="4" t="str">
        <f>IFERROR(__xludf.DUMMYFUNCTION("GOOGLETRANSLATE(B12,""en"",""ml"")"),"ഞങ്ങളെ പങ്കിടുക")</f>
        <v>ഞങ്ങളെ പങ്കിടുക</v>
      </c>
      <c r="X12" s="4" t="str">
        <f>IFERROR(__xludf.DUMMYFUNCTION("GOOGLETRANSLATE(B12,""en"",""th"")"),"แบ่งปันกับเรา")</f>
        <v>แบ่งปันกับเรา</v>
      </c>
      <c r="Y12" s="4" t="str">
        <f>IFERROR(__xludf.DUMMYFUNCTION("GOOGLETRANSLATE(B12,""en"",""ko"")"),"우리를 공유하세요")</f>
        <v>우리를 공유하세요</v>
      </c>
      <c r="Z12" s="4" t="str">
        <f>IFERROR(__xludf.DUMMYFUNCTION("GOOGLETRANSLATE(B12,""en"",""zh"")"),"分享我们")</f>
        <v>分享我们</v>
      </c>
      <c r="AA12" s="4" t="str">
        <f>IFERROR(__xludf.DUMMYFUNCTION("GOOGLETRANSLATE(B12,""en"",""zh-TW"")"),"分享我們")</f>
        <v>分享我們</v>
      </c>
      <c r="AB12" s="4" t="str">
        <f>IFERROR(__xludf.DUMMYFUNCTION("GOOGLETRANSLATE(B12,""en"",""ja"")"),"シェアする")</f>
        <v>シェアする</v>
      </c>
      <c r="AC12" s="4" t="str">
        <f>IFERROR(__xludf.DUMMYFUNCTION("GOOGLETRANSLATE(B12,""en"",""bg"")"),"Споделете с нас")</f>
        <v>Споделете с нас</v>
      </c>
      <c r="AD12" s="4" t="str">
        <f>IFERROR(__xludf.DUMMYFUNCTION("GOOGLETRANSLATE(B12,""en"",""cs"")"),"Sdílejte nás")</f>
        <v>Sdílejte nás</v>
      </c>
      <c r="AE12" s="4" t="str">
        <f>IFERROR(__xludf.DUMMYFUNCTION("GOOGLETRANSLATE(B12,""en"",""da"")"),"Del os")</f>
        <v>Del os</v>
      </c>
      <c r="AF12" s="4" t="str">
        <f>IFERROR(__xludf.DUMMYFUNCTION("GOOGLETRANSLATE(B12,""en"",""el"")"),"Μοιραστείτε μας")</f>
        <v>Μοιραστείτε μας</v>
      </c>
      <c r="AG12" s="4" t="str">
        <f>IFERROR(__xludf.DUMMYFUNCTION("GOOGLETRANSLATE(B12,""en"",""et"")"),"Jagage meid")</f>
        <v>Jagage meid</v>
      </c>
      <c r="AH12" s="4" t="str">
        <f>IFERROR(__xludf.DUMMYFUNCTION("GOOGLETRANSLATE(B12,""en"",""fi"")"),"Jaa meille")</f>
        <v>Jaa meille</v>
      </c>
      <c r="AI12" s="4" t="str">
        <f>IFERROR(__xludf.DUMMYFUNCTION("GOOGLETRANSLATE(B12,""en"",""hr"")"),"Podijelite nas")</f>
        <v>Podijelite nas</v>
      </c>
      <c r="AJ12" s="4" t="str">
        <f>IFERROR(__xludf.DUMMYFUNCTION("GOOGLETRANSLATE(B12,""en"",""hu"")"),"Oszd meg velünk")</f>
        <v>Oszd meg velünk</v>
      </c>
      <c r="AK12" s="4" t="str">
        <f>IFERROR(__xludf.DUMMYFUNCTION("GOOGLETRANSLATE(B12,""en"",""hy"")"),"Կիսվեք մեզ հետ")</f>
        <v>Կիսվեք մեզ հետ</v>
      </c>
      <c r="AL12" s="4" t="str">
        <f>IFERROR(__xludf.DUMMYFUNCTION("GOOGLETRANSLATE(B12,""en"",""ca"")"),"Comparteix-nos")</f>
        <v>Comparteix-nos</v>
      </c>
      <c r="AM12" s="4" t="str">
        <f>IFERROR(__xludf.DUMMYFUNCTION("GOOGLETRANSLATE(B12,""en"",""nl"")"),"Deel ons")</f>
        <v>Deel ons</v>
      </c>
      <c r="AN12" s="4" t="str">
        <f>IFERROR(__xludf.DUMMYFUNCTION("GOOGLETRANSLATE(B12,""en"",""he"")"),"שתפו אותנו")</f>
        <v>שתפו אותנו</v>
      </c>
      <c r="AO12" s="4" t="str">
        <f>IFERROR(__xludf.DUMMYFUNCTION("GOOGLETRANSLATE(B12,""en"",""is"")"),"Deildu okkur")</f>
        <v>Deildu okkur</v>
      </c>
      <c r="AP12" s="4" t="str">
        <f>IFERROR(__xludf.DUMMYFUNCTION("GOOGLETRANSLATE(B12,""en"",""no"")"),"Del oss")</f>
        <v>Del oss</v>
      </c>
      <c r="AQ12" s="4" t="str">
        <f>IFERROR(__xludf.DUMMYFUNCTION("GOOGLETRANSLATE(B12,""en"",""fa"")"),"ما را به اشتراک بگذارید")</f>
        <v>ما را به اشتراک بگذارید</v>
      </c>
      <c r="AR12" s="4" t="str">
        <f>IFERROR(__xludf.DUMMYFUNCTION("GOOGLETRANSLATE(B12,""en"",""pl"")"),"Podziel się z nami")</f>
        <v>Podziel się z nami</v>
      </c>
      <c r="AS12" s="4" t="str">
        <f>IFERROR(__xludf.DUMMYFUNCTION("GOOGLETRANSLATE(B12,""en"",""sv"")"),"Dela oss")</f>
        <v>Dela oss</v>
      </c>
      <c r="AT12" s="4" t="str">
        <f>IFERROR(__xludf.DUMMYFUNCTION("GOOGLETRANSLATE(B12,""en"",""uk"")"),"Поділіться з нами")</f>
        <v>Поділіться з нами</v>
      </c>
      <c r="AU12" s="4" t="str">
        <f>IFERROR(__xludf.DUMMYFUNCTION("GOOGLETRANSLATE(B12,""en"",""zu"")"),"Yabelana nathi")</f>
        <v>Yabelana nathi</v>
      </c>
      <c r="AV12" s="4" t="str">
        <f>IFERROR(__xludf.DUMMYFUNCTION("GOOGLETRANSLATE(B12,""en"",""sr"")"),"Делите нас")</f>
        <v>Делите нас</v>
      </c>
    </row>
    <row r="13">
      <c r="A13" s="3" t="s">
        <v>68</v>
      </c>
      <c r="B13" s="3" t="s">
        <v>69</v>
      </c>
      <c r="C13" s="4" t="str">
        <f>IFERROR(__xludf.DUMMYFUNCTION("GOOGLETRANSLATE(B13,""en"",""ta"")"),"வெளியேறு")</f>
        <v>வெளியேறு</v>
      </c>
      <c r="D13" s="4" t="str">
        <f>IFERROR(__xludf.DUMMYFUNCTION("GOOGLETRANSLATE(B13,""en"",""hi"")"),"बाहर निकलना")</f>
        <v>बाहर निकलना</v>
      </c>
      <c r="E13" s="4" t="str">
        <f>IFERROR(__xludf.DUMMYFUNCTION("GOOGLETRANSLATE(B13,""en"",""id"")"),"KELUAR")</f>
        <v>KELUAR</v>
      </c>
      <c r="F13" s="4" t="str">
        <f>IFERROR(__xludf.DUMMYFUNCTION("GOOGLETRANSLATE(B13,""en"",""ms"")"),"Keluar")</f>
        <v>Keluar</v>
      </c>
      <c r="G13" s="4" t="str">
        <f>IFERROR(__xludf.DUMMYFUNCTION("GOOGLETRANSLATE(B13,""en"",""de"")"),"Ausfahrt")</f>
        <v>Ausfahrt</v>
      </c>
      <c r="H13" s="4" t="str">
        <f>IFERROR(__xludf.DUMMYFUNCTION("GOOGLETRANSLATE(B13,""en"",""es"")"),"Salida")</f>
        <v>Salida</v>
      </c>
      <c r="I13" s="4" t="str">
        <f>IFERROR(__xludf.DUMMYFUNCTION("GOOGLETRANSLATE(B13,""en"",""fr"")"),"Sortie")</f>
        <v>Sortie</v>
      </c>
      <c r="J13" s="4" t="str">
        <f>IFERROR(__xludf.DUMMYFUNCTION("GOOGLETRANSLATE(B13,""en"",""it"")"),"Uscita")</f>
        <v>Uscita</v>
      </c>
      <c r="K13" s="4" t="str">
        <f>IFERROR(__xludf.DUMMYFUNCTION("GOOGLETRANSLATE(B13,""en"",""pt"")"),"Saída")</f>
        <v>Saída</v>
      </c>
      <c r="L13" s="4" t="str">
        <f>IFERROR(__xludf.DUMMYFUNCTION("GOOGLETRANSLATE(B13,""en"",""ro"")"),"Ieșire")</f>
        <v>Ieșire</v>
      </c>
      <c r="M13" s="4" t="str">
        <f>IFERROR(__xludf.DUMMYFUNCTION("GOOGLETRANSLATE(B13,""en"",""vi"")"),"Ra")</f>
        <v>Ra</v>
      </c>
      <c r="N13" s="4" t="str">
        <f>IFERROR(__xludf.DUMMYFUNCTION("GOOGLETRANSLATE(B13,""en"",""ru"")"),"Выход")</f>
        <v>Выход</v>
      </c>
      <c r="O13" s="4" t="str">
        <f>IFERROR(__xludf.DUMMYFUNCTION("GOOGLETRANSLATE(B13,""en"",""tr"")"),"Çıkış")</f>
        <v>Çıkış</v>
      </c>
      <c r="P13" s="4" t="str">
        <f>IFERROR(__xludf.DUMMYFUNCTION("GOOGLETRANSLATE(B13,""en"",""ar"")"),"مخرج")</f>
        <v>مخرج</v>
      </c>
      <c r="Q13" s="4" t="str">
        <f>IFERROR(__xludf.DUMMYFUNCTION("GOOGLETRANSLATE(B13,""en"",""mr"")"),"बाहेर पडा")</f>
        <v>बाहेर पडा</v>
      </c>
      <c r="R13" s="4" t="str">
        <f>IFERROR(__xludf.DUMMYFUNCTION("GOOGLETRANSLATE(B13,""en"",""gu"")"),"બહાર નીકળો")</f>
        <v>બહાર નીકળો</v>
      </c>
      <c r="S13" s="4" t="str">
        <f>IFERROR(__xludf.DUMMYFUNCTION("GOOGLETRANSLATE(B13,""en"",""bn"")"),"প্রস্থান করুন")</f>
        <v>প্রস্থান করুন</v>
      </c>
      <c r="T13" s="4" t="str">
        <f>IFERROR(__xludf.DUMMYFUNCTION("GOOGLETRANSLATE(B13,""en"",""pa"")"),"ਨਿਕਾਸ")</f>
        <v>ਨਿਕਾਸ</v>
      </c>
      <c r="U13" s="4" t="str">
        <f>IFERROR(__xludf.DUMMYFUNCTION("GOOGLETRANSLATE(B13,""en"",""te"")"),"నిష్క్రమించు")</f>
        <v>నిష్క్రమించు</v>
      </c>
      <c r="V13" s="4" t="str">
        <f>IFERROR(__xludf.DUMMYFUNCTION("GOOGLETRANSLATE(B13,""en"",""kn"")"),"ನಿರ್ಗಮಿಸಿ")</f>
        <v>ನಿರ್ಗಮಿಸಿ</v>
      </c>
      <c r="W13" s="4" t="str">
        <f>IFERROR(__xludf.DUMMYFUNCTION("GOOGLETRANSLATE(B13,""en"",""ml"")"),"പുറത്ത്")</f>
        <v>പുറത്ത്</v>
      </c>
      <c r="X13" s="4" t="str">
        <f>IFERROR(__xludf.DUMMYFUNCTION("GOOGLETRANSLATE(B13,""en"",""th"")"),"ทางออก")</f>
        <v>ทางออก</v>
      </c>
      <c r="Y13" s="4" t="str">
        <f>IFERROR(__xludf.DUMMYFUNCTION("GOOGLETRANSLATE(B13,""en"",""ko"")"),"출구")</f>
        <v>출구</v>
      </c>
      <c r="Z13" s="4" t="str">
        <f>IFERROR(__xludf.DUMMYFUNCTION("GOOGLETRANSLATE(B13,""en"",""zh"")"),"出口")</f>
        <v>出口</v>
      </c>
      <c r="AA13" s="4" t="str">
        <f>IFERROR(__xludf.DUMMYFUNCTION("GOOGLETRANSLATE(B13,""en"",""zh-TW"")"),"出口")</f>
        <v>出口</v>
      </c>
      <c r="AB13" s="4" t="str">
        <f>IFERROR(__xludf.DUMMYFUNCTION("GOOGLETRANSLATE(B13,""en"",""ja"")"),"出口")</f>
        <v>出口</v>
      </c>
      <c r="AC13" s="4" t="str">
        <f>IFERROR(__xludf.DUMMYFUNCTION("GOOGLETRANSLATE(B13,""en"",""bg"")"),"Изход")</f>
        <v>Изход</v>
      </c>
      <c r="AD13" s="4" t="str">
        <f>IFERROR(__xludf.DUMMYFUNCTION("GOOGLETRANSLATE(B13,""en"",""cs"")"),"Výstup")</f>
        <v>Výstup</v>
      </c>
      <c r="AE13" s="4" t="str">
        <f>IFERROR(__xludf.DUMMYFUNCTION("GOOGLETRANSLATE(B13,""en"",""da"")"),"Udgang")</f>
        <v>Udgang</v>
      </c>
      <c r="AF13" s="4" t="str">
        <f>IFERROR(__xludf.DUMMYFUNCTION("GOOGLETRANSLATE(B13,""en"",""el"")"),"Εξοδος")</f>
        <v>Εξοδος</v>
      </c>
      <c r="AG13" s="4" t="str">
        <f>IFERROR(__xludf.DUMMYFUNCTION("GOOGLETRANSLATE(B13,""en"",""et"")"),"Välju")</f>
        <v>Välju</v>
      </c>
      <c r="AH13" s="4" t="str">
        <f>IFERROR(__xludf.DUMMYFUNCTION("GOOGLETRANSLATE(B13,""en"",""fi"")"),"Poistu")</f>
        <v>Poistu</v>
      </c>
      <c r="AI13" s="4" t="str">
        <f>IFERROR(__xludf.DUMMYFUNCTION("GOOGLETRANSLATE(B13,""en"",""hr"")"),"Izlaz ")</f>
        <v>Izlaz </v>
      </c>
      <c r="AJ13" s="4" t="str">
        <f>IFERROR(__xludf.DUMMYFUNCTION("GOOGLETRANSLATE(B13,""en"",""hu"")"),"Kijárat")</f>
        <v>Kijárat</v>
      </c>
      <c r="AK13" s="4" t="str">
        <f>IFERROR(__xludf.DUMMYFUNCTION("GOOGLETRANSLATE(B13,""en"",""hy"")"),"Ելք")</f>
        <v>Ելք</v>
      </c>
      <c r="AL13" s="4" t="str">
        <f>IFERROR(__xludf.DUMMYFUNCTION("GOOGLETRANSLATE(B13,""en"",""ca"")"),"Sortida")</f>
        <v>Sortida</v>
      </c>
      <c r="AM13" s="4" t="str">
        <f>IFERROR(__xludf.DUMMYFUNCTION("GOOGLETRANSLATE(B13,""en"",""nl"")"),"Uitgang")</f>
        <v>Uitgang</v>
      </c>
      <c r="AN13" s="4" t="str">
        <f>IFERROR(__xludf.DUMMYFUNCTION("GOOGLETRANSLATE(B13,""en"",""he"")"),"יְצִיאָה")</f>
        <v>יְצִיאָה</v>
      </c>
      <c r="AO13" s="4" t="str">
        <f>IFERROR(__xludf.DUMMYFUNCTION("GOOGLETRANSLATE(B13,""en"",""is"")"),"Hætta")</f>
        <v>Hætta</v>
      </c>
      <c r="AP13" s="4" t="str">
        <f>IFERROR(__xludf.DUMMYFUNCTION("GOOGLETRANSLATE(B13,""en"",""no"")"),"Gå")</f>
        <v>Gå</v>
      </c>
      <c r="AQ13" s="4" t="str">
        <f>IFERROR(__xludf.DUMMYFUNCTION("GOOGLETRANSLATE(B13,""en"",""fa"")"),"خارج شوید")</f>
        <v>خارج شوید</v>
      </c>
      <c r="AR13" s="4" t="str">
        <f>IFERROR(__xludf.DUMMYFUNCTION("GOOGLETRANSLATE(B13,""en"",""pl"")"),"Wyjście")</f>
        <v>Wyjście</v>
      </c>
      <c r="AS13" s="4" t="str">
        <f>IFERROR(__xludf.DUMMYFUNCTION("GOOGLETRANSLATE(B13,""en"",""sv"")"),"Utgång")</f>
        <v>Utgång</v>
      </c>
      <c r="AT13" s="4" t="str">
        <f>IFERROR(__xludf.DUMMYFUNCTION("GOOGLETRANSLATE(B13,""en"",""uk"")"),"Вихід")</f>
        <v>Вихід</v>
      </c>
      <c r="AU13" s="4" t="str">
        <f>IFERROR(__xludf.DUMMYFUNCTION("GOOGLETRANSLATE(B13,""en"",""zu"")"),"Phuma")</f>
        <v>Phuma</v>
      </c>
      <c r="AV13" s="4" t="str">
        <f>IFERROR(__xludf.DUMMYFUNCTION("GOOGLETRANSLATE(B13,""en"",""sr"")"),"Изађи")</f>
        <v>Изађи</v>
      </c>
    </row>
    <row r="14">
      <c r="A14" s="3" t="s">
        <v>70</v>
      </c>
      <c r="B14" s="3" t="s">
        <v>71</v>
      </c>
      <c r="C14" s="4" t="str">
        <f>IFERROR(__xludf.DUMMYFUNCTION("GOOGLETRANSLATE(B14,""en"",""ta"")"),"ஜிபிஎஸ் கருவிகள்")</f>
        <v>ஜிபிஎஸ் கருவிகள்</v>
      </c>
      <c r="D14" s="4" t="str">
        <f>IFERROR(__xludf.DUMMYFUNCTION("GOOGLETRANSLATE(B14,""en"",""hi"")"),"जीपीएस उपकरण")</f>
        <v>जीपीएस उपकरण</v>
      </c>
      <c r="E14" s="4" t="str">
        <f>IFERROR(__xludf.DUMMYFUNCTION("GOOGLETRANSLATE(B14,""en"",""id"")"),"Alat GPS")</f>
        <v>Alat GPS</v>
      </c>
      <c r="F14" s="4" t="str">
        <f>IFERROR(__xludf.DUMMYFUNCTION("GOOGLETRANSLATE(B14,""en"",""ms"")"),"Alat GPS")</f>
        <v>Alat GPS</v>
      </c>
      <c r="G14" s="4" t="str">
        <f>IFERROR(__xludf.DUMMYFUNCTION("GOOGLETRANSLATE(B14,""en"",""de"")"),"GPS-Tools")</f>
        <v>GPS-Tools</v>
      </c>
      <c r="H14" s="4" t="str">
        <f>IFERROR(__xludf.DUMMYFUNCTION("GOOGLETRANSLATE(B14,""en"",""es"")"),"Herramientas GPS")</f>
        <v>Herramientas GPS</v>
      </c>
      <c r="I14" s="4" t="str">
        <f>IFERROR(__xludf.DUMMYFUNCTION("GOOGLETRANSLATE(B14,""en"",""fr"")"),"Outils GPS")</f>
        <v>Outils GPS</v>
      </c>
      <c r="J14" s="4" t="str">
        <f>IFERROR(__xludf.DUMMYFUNCTION("GOOGLETRANSLATE(B14,""en"",""it"")"),"Strumenti GPS")</f>
        <v>Strumenti GPS</v>
      </c>
      <c r="K14" s="4" t="str">
        <f>IFERROR(__xludf.DUMMYFUNCTION("GOOGLETRANSLATE(B14,""en"",""pt"")"),"Ferramentas GPS")</f>
        <v>Ferramentas GPS</v>
      </c>
      <c r="L14" s="4" t="str">
        <f>IFERROR(__xludf.DUMMYFUNCTION("GOOGLETRANSLATE(B14,""en"",""ro"")"),"Instrumente GPS")</f>
        <v>Instrumente GPS</v>
      </c>
      <c r="M14" s="4" t="str">
        <f>IFERROR(__xludf.DUMMYFUNCTION("GOOGLETRANSLATE(B14,""en"",""vi"")"),"Công cụ GPS")</f>
        <v>Công cụ GPS</v>
      </c>
      <c r="N14" s="4" t="str">
        <f>IFERROR(__xludf.DUMMYFUNCTION("GOOGLETRANSLATE(B14,""en"",""ru"")"),"GPS-инструменты")</f>
        <v>GPS-инструменты</v>
      </c>
      <c r="O14" s="4" t="str">
        <f>IFERROR(__xludf.DUMMYFUNCTION("GOOGLETRANSLATE(B14,""en"",""tr"")"),"GPS Araçları")</f>
        <v>GPS Araçları</v>
      </c>
      <c r="P14" s="4" t="str">
        <f>IFERROR(__xludf.DUMMYFUNCTION("GOOGLETRANSLATE(B14,""en"",""ar"")"),"أدوات نظام تحديد المواقع العالمي (GPS)")</f>
        <v>أدوات نظام تحديد المواقع العالمي (GPS)</v>
      </c>
      <c r="Q14" s="4" t="str">
        <f>IFERROR(__xludf.DUMMYFUNCTION("GOOGLETRANSLATE(B14,""en"",""mr"")"),"जीपीएस साधने")</f>
        <v>जीपीएस साधने</v>
      </c>
      <c r="R14" s="4" t="str">
        <f>IFERROR(__xludf.DUMMYFUNCTION("GOOGLETRANSLATE(B14,""en"",""gu"")"),"જીપીએસ સાધનો")</f>
        <v>જીપીએસ સાધનો</v>
      </c>
      <c r="S14" s="4" t="str">
        <f>IFERROR(__xludf.DUMMYFUNCTION("GOOGLETRANSLATE(B14,""en"",""bn"")"),"জিপিএস টুলস")</f>
        <v>জিপিএস টুলস</v>
      </c>
      <c r="T14" s="4" t="str">
        <f>IFERROR(__xludf.DUMMYFUNCTION("GOOGLETRANSLATE(B14,""en"",""pa"")"),"GPS ਟੂਲ")</f>
        <v>GPS ਟੂਲ</v>
      </c>
      <c r="U14" s="4" t="str">
        <f>IFERROR(__xludf.DUMMYFUNCTION("GOOGLETRANSLATE(B14,""en"",""te"")"),"GPS సాధనాలు")</f>
        <v>GPS సాధనాలు</v>
      </c>
      <c r="V14" s="4" t="str">
        <f>IFERROR(__xludf.DUMMYFUNCTION("GOOGLETRANSLATE(B14,""en"",""kn"")"),"GPS ಪರಿಕರಗಳು")</f>
        <v>GPS ಪರಿಕರಗಳು</v>
      </c>
      <c r="W14" s="4" t="str">
        <f>IFERROR(__xludf.DUMMYFUNCTION("GOOGLETRANSLATE(B14,""en"",""ml"")"),"ജിപിഎസ് ടൂളുകൾ")</f>
        <v>ജിപിഎസ് ടൂളുകൾ</v>
      </c>
      <c r="X14" s="4" t="str">
        <f>IFERROR(__xludf.DUMMYFUNCTION("GOOGLETRANSLATE(B14,""en"",""th"")"),"เครื่องมือ GPS")</f>
        <v>เครื่องมือ GPS</v>
      </c>
      <c r="Y14" s="4" t="str">
        <f>IFERROR(__xludf.DUMMYFUNCTION("GOOGLETRANSLATE(B14,""en"",""ko"")"),"GPS 도구")</f>
        <v>GPS 도구</v>
      </c>
      <c r="Z14" s="4" t="str">
        <f>IFERROR(__xludf.DUMMYFUNCTION("GOOGLETRANSLATE(B14,""en"",""zh"")"),"GPS工具")</f>
        <v>GPS工具</v>
      </c>
      <c r="AA14" s="4" t="str">
        <f>IFERROR(__xludf.DUMMYFUNCTION("GOOGLETRANSLATE(B14,""en"",""zh-TW"")"),"GPS工具")</f>
        <v>GPS工具</v>
      </c>
      <c r="AB14" s="4" t="str">
        <f>IFERROR(__xludf.DUMMYFUNCTION("GOOGLETRANSLATE(B14,""en"",""ja"")"),"GPSツール")</f>
        <v>GPSツール</v>
      </c>
      <c r="AC14" s="4" t="str">
        <f>IFERROR(__xludf.DUMMYFUNCTION("GOOGLETRANSLATE(B14,""en"",""bg"")"),"GPS инструменти")</f>
        <v>GPS инструменти</v>
      </c>
      <c r="AD14" s="4" t="str">
        <f>IFERROR(__xludf.DUMMYFUNCTION("GOOGLETRANSLATE(B14,""en"",""cs"")"),"GPS nástroje")</f>
        <v>GPS nástroje</v>
      </c>
      <c r="AE14" s="4" t="str">
        <f>IFERROR(__xludf.DUMMYFUNCTION("GOOGLETRANSLATE(B14,""en"",""da"")"),"GPS værktøjer")</f>
        <v>GPS værktøjer</v>
      </c>
      <c r="AF14" s="4" t="str">
        <f>IFERROR(__xludf.DUMMYFUNCTION("GOOGLETRANSLATE(B14,""en"",""el"")"),"Εργαλεία GPS")</f>
        <v>Εργαλεία GPS</v>
      </c>
      <c r="AG14" s="4" t="str">
        <f>IFERROR(__xludf.DUMMYFUNCTION("GOOGLETRANSLATE(B14,""en"",""et"")"),"GPS-tööriistad")</f>
        <v>GPS-tööriistad</v>
      </c>
      <c r="AH14" s="4" t="str">
        <f>IFERROR(__xludf.DUMMYFUNCTION("GOOGLETRANSLATE(B14,""en"",""fi"")"),"GPS-työkalut")</f>
        <v>GPS-työkalut</v>
      </c>
      <c r="AI14" s="4" t="str">
        <f>IFERROR(__xludf.DUMMYFUNCTION("GOOGLETRANSLATE(B14,""en"",""hr"")"),"GPS alati")</f>
        <v>GPS alati</v>
      </c>
      <c r="AJ14" s="4" t="str">
        <f>IFERROR(__xludf.DUMMYFUNCTION("GOOGLETRANSLATE(B14,""en"",""hu"")"),"GPS eszközök")</f>
        <v>GPS eszközök</v>
      </c>
      <c r="AK14" s="4" t="str">
        <f>IFERROR(__xludf.DUMMYFUNCTION("GOOGLETRANSLATE(B14,""en"",""hy"")"),"GPS գործիքներ")</f>
        <v>GPS գործիքներ</v>
      </c>
      <c r="AL14" s="4" t="str">
        <f>IFERROR(__xludf.DUMMYFUNCTION("GOOGLETRANSLATE(B14,""en"",""ca"")"),"Eines GPS")</f>
        <v>Eines GPS</v>
      </c>
      <c r="AM14" s="4" t="str">
        <f>IFERROR(__xludf.DUMMYFUNCTION("GOOGLETRANSLATE(B14,""en"",""nl"")"),"GPS-hulpmiddelen")</f>
        <v>GPS-hulpmiddelen</v>
      </c>
      <c r="AN14" s="4" t="str">
        <f>IFERROR(__xludf.DUMMYFUNCTION("GOOGLETRANSLATE(B14,""en"",""he"")"),"כלי GPS")</f>
        <v>כלי GPS</v>
      </c>
      <c r="AO14" s="4" t="str">
        <f>IFERROR(__xludf.DUMMYFUNCTION("GOOGLETRANSLATE(B14,""en"",""is"")"),"GPS verkfæri")</f>
        <v>GPS verkfæri</v>
      </c>
      <c r="AP14" s="4" t="str">
        <f>IFERROR(__xludf.DUMMYFUNCTION("GOOGLETRANSLATE(B14,""en"",""no"")"),"GPS-verktøy")</f>
        <v>GPS-verktøy</v>
      </c>
      <c r="AQ14" s="4" t="str">
        <f>IFERROR(__xludf.DUMMYFUNCTION("GOOGLETRANSLATE(B14,""en"",""fa"")"),"ابزارهای GPS")</f>
        <v>ابزارهای GPS</v>
      </c>
      <c r="AR14" s="4" t="str">
        <f>IFERROR(__xludf.DUMMYFUNCTION("GOOGLETRANSLATE(B14,""en"",""pl"")"),"Narzędzia GPS")</f>
        <v>Narzędzia GPS</v>
      </c>
      <c r="AS14" s="4" t="str">
        <f>IFERROR(__xludf.DUMMYFUNCTION("GOOGLETRANSLATE(B14,""en"",""sv"")"),"GPS-verktyg")</f>
        <v>GPS-verktyg</v>
      </c>
      <c r="AT14" s="4" t="str">
        <f>IFERROR(__xludf.DUMMYFUNCTION("GOOGLETRANSLATE(B14,""en"",""uk"")"),"Інструменти GPS")</f>
        <v>Інструменти GPS</v>
      </c>
      <c r="AU14" s="4" t="str">
        <f>IFERROR(__xludf.DUMMYFUNCTION("GOOGLETRANSLATE(B14,""en"",""zu"")"),"Amathuluzi e-GPS")</f>
        <v>Amathuluzi e-GPS</v>
      </c>
      <c r="AV14" s="4" t="str">
        <f>IFERROR(__xludf.DUMMYFUNCTION("GOOGLETRANSLATE(B14,""en"",""sr"")"),"ГПС алати")</f>
        <v>ГПС алати</v>
      </c>
    </row>
    <row r="15">
      <c r="A15" s="3" t="s">
        <v>72</v>
      </c>
      <c r="B15" s="3" t="s">
        <v>73</v>
      </c>
      <c r="C15" s="4" t="str">
        <f>IFERROR(__xludf.DUMMYFUNCTION("GOOGLETRANSLATE(B15,""en"",""ta"")"),"வருக!")</f>
        <v>வருக!</v>
      </c>
      <c r="D15" s="4" t="str">
        <f>IFERROR(__xludf.DUMMYFUNCTION("GOOGLETRANSLATE(B15,""en"",""hi"")"),"स्वागत!")</f>
        <v>स्वागत!</v>
      </c>
      <c r="E15" s="4" t="str">
        <f>IFERROR(__xludf.DUMMYFUNCTION("GOOGLETRANSLATE(B15,""en"",""id"")"),"Selamat datang!")</f>
        <v>Selamat datang!</v>
      </c>
      <c r="F15" s="4" t="str">
        <f>IFERROR(__xludf.DUMMYFUNCTION("GOOGLETRANSLATE(B15,""en"",""ms"")"),"Selamat datang!")</f>
        <v>Selamat datang!</v>
      </c>
      <c r="G15" s="4" t="str">
        <f>IFERROR(__xludf.DUMMYFUNCTION("GOOGLETRANSLATE(B15,""en"",""de"")"),"Willkommen!")</f>
        <v>Willkommen!</v>
      </c>
      <c r="H15" s="4" t="str">
        <f>IFERROR(__xludf.DUMMYFUNCTION("GOOGLETRANSLATE(B15,""en"",""es"")"),"¡Bienvenido!")</f>
        <v>¡Bienvenido!</v>
      </c>
      <c r="I15" s="4" t="str">
        <f>IFERROR(__xludf.DUMMYFUNCTION("GOOGLETRANSLATE(B15,""en"",""fr"")"),"Accueillir!")</f>
        <v>Accueillir!</v>
      </c>
      <c r="J15" s="4" t="str">
        <f>IFERROR(__xludf.DUMMYFUNCTION("GOOGLETRANSLATE(B15,""en"",""it"")"),"Benvenuto!")</f>
        <v>Benvenuto!</v>
      </c>
      <c r="K15" s="4" t="str">
        <f>IFERROR(__xludf.DUMMYFUNCTION("GOOGLETRANSLATE(B15,""en"",""pt"")"),"Bem-vindo!")</f>
        <v>Bem-vindo!</v>
      </c>
      <c r="L15" s="4" t="str">
        <f>IFERROR(__xludf.DUMMYFUNCTION("GOOGLETRANSLATE(B15,""en"",""ro"")"),"Bun venit!")</f>
        <v>Bun venit!</v>
      </c>
      <c r="M15" s="4" t="str">
        <f>IFERROR(__xludf.DUMMYFUNCTION("GOOGLETRANSLATE(B15,""en"",""vi"")"),"Chào mừng!")</f>
        <v>Chào mừng!</v>
      </c>
      <c r="N15" s="4" t="str">
        <f>IFERROR(__xludf.DUMMYFUNCTION("GOOGLETRANSLATE(B15,""en"",""ru"")"),"Добро пожаловать!")</f>
        <v>Добро пожаловать!</v>
      </c>
      <c r="O15" s="4" t="str">
        <f>IFERROR(__xludf.DUMMYFUNCTION("GOOGLETRANSLATE(B15,""en"",""tr"")"),"Hoş geldin!")</f>
        <v>Hoş geldin!</v>
      </c>
      <c r="P15" s="4" t="str">
        <f>IFERROR(__xludf.DUMMYFUNCTION("GOOGLETRANSLATE(B15,""en"",""ar"")"),"مرحباً!")</f>
        <v>مرحباً!</v>
      </c>
      <c r="Q15" s="4" t="str">
        <f>IFERROR(__xludf.DUMMYFUNCTION("GOOGLETRANSLATE(B15,""en"",""mr"")"),"स्वागत आहे!")</f>
        <v>स्वागत आहे!</v>
      </c>
      <c r="R15" s="4" t="str">
        <f>IFERROR(__xludf.DUMMYFUNCTION("GOOGLETRANSLATE(B15,""en"",""gu"")"),"સ્વાગત છે!")</f>
        <v>સ્વાગત છે!</v>
      </c>
      <c r="S15" s="4" t="str">
        <f>IFERROR(__xludf.DUMMYFUNCTION("GOOGLETRANSLATE(B15,""en"",""bn"")"),"স্বাগতম!")</f>
        <v>স্বাগতম!</v>
      </c>
      <c r="T15" s="4" t="str">
        <f>IFERROR(__xludf.DUMMYFUNCTION("GOOGLETRANSLATE(B15,""en"",""pa"")"),"ਜੀ ਆਇਆਂ ਨੂੰ!")</f>
        <v>ਜੀ ਆਇਆਂ ਨੂੰ!</v>
      </c>
      <c r="U15" s="4" t="str">
        <f>IFERROR(__xludf.DUMMYFUNCTION("GOOGLETRANSLATE(B15,""en"",""te"")"),"స్వాగతం!")</f>
        <v>స్వాగతం!</v>
      </c>
      <c r="V15" s="4" t="str">
        <f>IFERROR(__xludf.DUMMYFUNCTION("GOOGLETRANSLATE(B15,""en"",""kn"")"),"ಸ್ವಾಗತ!")</f>
        <v>ಸ್ವಾಗತ!</v>
      </c>
      <c r="W15" s="4" t="str">
        <f>IFERROR(__xludf.DUMMYFUNCTION("GOOGLETRANSLATE(B15,""en"",""ml"")"),"സ്വാഗതം!")</f>
        <v>സ്വാഗതം!</v>
      </c>
      <c r="X15" s="4" t="str">
        <f>IFERROR(__xludf.DUMMYFUNCTION("GOOGLETRANSLATE(B15,""en"",""th"")"),"ยินดีต้อนรับ!")</f>
        <v>ยินดีต้อนรับ!</v>
      </c>
      <c r="Y15" s="4" t="str">
        <f>IFERROR(__xludf.DUMMYFUNCTION("GOOGLETRANSLATE(B15,""en"",""ko"")"),"환영!")</f>
        <v>환영!</v>
      </c>
      <c r="Z15" s="4" t="str">
        <f>IFERROR(__xludf.DUMMYFUNCTION("GOOGLETRANSLATE(B15,""en"",""zh"")"),"欢迎！")</f>
        <v>欢迎！</v>
      </c>
      <c r="AA15" s="4" t="str">
        <f>IFERROR(__xludf.DUMMYFUNCTION("GOOGLETRANSLATE(B15,""en"",""zh-TW"")"),"歡迎！")</f>
        <v>歡迎！</v>
      </c>
      <c r="AB15" s="4" t="str">
        <f>IFERROR(__xludf.DUMMYFUNCTION("GOOGLETRANSLATE(B15,""en"",""ja"")"),"いらっしゃいませ！")</f>
        <v>いらっしゃいませ！</v>
      </c>
      <c r="AC15" s="4" t="str">
        <f>IFERROR(__xludf.DUMMYFUNCTION("GOOGLETRANSLATE(B15,""en"",""bg"")"),"Добре дошли!")</f>
        <v>Добре дошли!</v>
      </c>
      <c r="AD15" s="4" t="str">
        <f>IFERROR(__xludf.DUMMYFUNCTION("GOOGLETRANSLATE(B15,""en"",""cs"")"),"Vítejte!")</f>
        <v>Vítejte!</v>
      </c>
      <c r="AE15" s="4" t="str">
        <f>IFERROR(__xludf.DUMMYFUNCTION("GOOGLETRANSLATE(B15,""en"",""da"")"),"Velkomst!")</f>
        <v>Velkomst!</v>
      </c>
      <c r="AF15" s="4" t="str">
        <f>IFERROR(__xludf.DUMMYFUNCTION("GOOGLETRANSLATE(B15,""en"",""el"")"),"Καλωσόρισμα!")</f>
        <v>Καλωσόρισμα!</v>
      </c>
      <c r="AG15" s="4" t="str">
        <f>IFERROR(__xludf.DUMMYFUNCTION("GOOGLETRANSLATE(B15,""en"",""et"")"),"Tere tulemast!")</f>
        <v>Tere tulemast!</v>
      </c>
      <c r="AH15" s="4" t="str">
        <f>IFERROR(__xludf.DUMMYFUNCTION("GOOGLETRANSLATE(B15,""en"",""fi"")"),"Tervetuloa!")</f>
        <v>Tervetuloa!</v>
      </c>
      <c r="AI15" s="4" t="str">
        <f>IFERROR(__xludf.DUMMYFUNCTION("GOOGLETRANSLATE(B15,""en"",""hr"")"),"Dobrodošli!")</f>
        <v>Dobrodošli!</v>
      </c>
      <c r="AJ15" s="4" t="str">
        <f>IFERROR(__xludf.DUMMYFUNCTION("GOOGLETRANSLATE(B15,""en"",""hu"")"),"Üdvözöljük!")</f>
        <v>Üdvözöljük!</v>
      </c>
      <c r="AK15" s="4" t="str">
        <f>IFERROR(__xludf.DUMMYFUNCTION("GOOGLETRANSLATE(B15,""en"",""hy"")"),"Բարի գալուստ")</f>
        <v>Բարի գալուստ</v>
      </c>
      <c r="AL15" s="4" t="str">
        <f>IFERROR(__xludf.DUMMYFUNCTION("GOOGLETRANSLATE(B15,""en"",""ca"")"),"Benvingut!")</f>
        <v>Benvingut!</v>
      </c>
      <c r="AM15" s="4" t="str">
        <f>IFERROR(__xludf.DUMMYFUNCTION("GOOGLETRANSLATE(B15,""en"",""nl"")"),"Welkom!")</f>
        <v>Welkom!</v>
      </c>
      <c r="AN15" s="4" t="str">
        <f>IFERROR(__xludf.DUMMYFUNCTION("GOOGLETRANSLATE(B15,""en"",""he"")"),"קַבָּלַת פָּנִים!")</f>
        <v>קַבָּלַת פָּנִים!</v>
      </c>
      <c r="AO15" s="4" t="str">
        <f>IFERROR(__xludf.DUMMYFUNCTION("GOOGLETRANSLATE(B15,""en"",""is"")"),"Velkomin!")</f>
        <v>Velkomin!</v>
      </c>
      <c r="AP15" s="4" t="str">
        <f>IFERROR(__xludf.DUMMYFUNCTION("GOOGLETRANSLATE(B15,""en"",""no"")"),"Velkomst!")</f>
        <v>Velkomst!</v>
      </c>
      <c r="AQ15" s="4" t="str">
        <f>IFERROR(__xludf.DUMMYFUNCTION("GOOGLETRANSLATE(B15,""en"",""fa"")"),"خوش آمدید!")</f>
        <v>خوش آمدید!</v>
      </c>
      <c r="AR15" s="4" t="str">
        <f>IFERROR(__xludf.DUMMYFUNCTION("GOOGLETRANSLATE(B15,""en"",""pl"")"),"Powitanie!")</f>
        <v>Powitanie!</v>
      </c>
      <c r="AS15" s="4" t="str">
        <f>IFERROR(__xludf.DUMMYFUNCTION("GOOGLETRANSLATE(B15,""en"",""sv"")"),"Välkomna!")</f>
        <v>Välkomna!</v>
      </c>
      <c r="AT15" s="4" t="str">
        <f>IFERROR(__xludf.DUMMYFUNCTION("GOOGLETRANSLATE(B15,""en"",""uk"")"),"Ласкаво просимо!")</f>
        <v>Ласкаво просимо!</v>
      </c>
      <c r="AU15" s="4" t="str">
        <f>IFERROR(__xludf.DUMMYFUNCTION("GOOGLETRANSLATE(B15,""en"",""zu"")"),"Siyakwamukela!")</f>
        <v>Siyakwamukela!</v>
      </c>
      <c r="AV15" s="4" t="str">
        <f>IFERROR(__xludf.DUMMYFUNCTION("GOOGLETRANSLATE(B15,""en"",""sr"")"),"Добродошли!")</f>
        <v>Добродошли!</v>
      </c>
    </row>
    <row r="16">
      <c r="A16" s="3" t="s">
        <v>74</v>
      </c>
      <c r="B16" s="3" t="s">
        <v>75</v>
      </c>
      <c r="C16" s="4" t="str">
        <f>IFERROR(__xludf.DUMMYFUNCTION("GOOGLETRANSLATE(B16,""en"",""ta"")"),"நாங்கள் உங்களை என்ன அழைக்க வேண்டும்?")</f>
        <v>நாங்கள் உங்களை என்ன அழைக்க வேண்டும்?</v>
      </c>
      <c r="D16" s="4" t="str">
        <f>IFERROR(__xludf.DUMMYFUNCTION("GOOGLETRANSLATE(B16,""en"",""hi"")"),"हम आपको क्या कहें?")</f>
        <v>हम आपको क्या कहें?</v>
      </c>
      <c r="E16" s="4" t="str">
        <f>IFERROR(__xludf.DUMMYFUNCTION("GOOGLETRANSLATE(B16,""en"",""id"")"),"Kami harus memanggilmu apa?")</f>
        <v>Kami harus memanggilmu apa?</v>
      </c>
      <c r="F16" s="4" t="str">
        <f>IFERROR(__xludf.DUMMYFUNCTION("GOOGLETRANSLATE(B16,""en"",""ms"")"),"Apa yang patut kami panggil awak?")</f>
        <v>Apa yang patut kami panggil awak?</v>
      </c>
      <c r="G16" s="4" t="str">
        <f>IFERROR(__xludf.DUMMYFUNCTION("GOOGLETRANSLATE(B16,""en"",""de"")"),"Wie dürfen wir dich nennen?")</f>
        <v>Wie dürfen wir dich nennen?</v>
      </c>
      <c r="H16" s="4" t="str">
        <f>IFERROR(__xludf.DUMMYFUNCTION("GOOGLETRANSLATE(B16,""en"",""es"")"),"¿Cómo deberíamos llamarte?")</f>
        <v>¿Cómo deberíamos llamarte?</v>
      </c>
      <c r="I16" s="4" t="str">
        <f>IFERROR(__xludf.DUMMYFUNCTION("GOOGLETRANSLATE(B16,""en"",""fr"")"),"Comment devrions-nous vous appeler ?")</f>
        <v>Comment devrions-nous vous appeler ?</v>
      </c>
      <c r="J16" s="4" t="str">
        <f>IFERROR(__xludf.DUMMYFUNCTION("GOOGLETRANSLATE(B16,""en"",""it"")"),"Come dovremmo chiamarti?")</f>
        <v>Come dovremmo chiamarti?</v>
      </c>
      <c r="K16" s="4" t="str">
        <f>IFERROR(__xludf.DUMMYFUNCTION("GOOGLETRANSLATE(B16,""en"",""pt"")"),"Como devemos chamá-lo?")</f>
        <v>Como devemos chamá-lo?</v>
      </c>
      <c r="L16" s="4" t="str">
        <f>IFERROR(__xludf.DUMMYFUNCTION("GOOGLETRANSLATE(B16,""en"",""ro"")"),"Cum ar trebui să vă numim?")</f>
        <v>Cum ar trebui să vă numim?</v>
      </c>
      <c r="M16" s="4" t="str">
        <f>IFERROR(__xludf.DUMMYFUNCTION("GOOGLETRANSLATE(B16,""en"",""vi"")"),"Chúng tôi nên gọi bạn là gì?")</f>
        <v>Chúng tôi nên gọi bạn là gì?</v>
      </c>
      <c r="N16" s="4" t="str">
        <f>IFERROR(__xludf.DUMMYFUNCTION("GOOGLETRANSLATE(B16,""en"",""ru"")"),"Как нам вас называть?")</f>
        <v>Как нам вас называть?</v>
      </c>
      <c r="O16" s="4" t="str">
        <f>IFERROR(__xludf.DUMMYFUNCTION("GOOGLETRANSLATE(B16,""en"",""tr"")"),"Sana ne diye hitap edelim?")</f>
        <v>Sana ne diye hitap edelim?</v>
      </c>
      <c r="P16" s="4" t="str">
        <f>IFERROR(__xludf.DUMMYFUNCTION("GOOGLETRANSLATE(B16,""en"",""ar"")"),"ماذا يجب أن نسميك؟")</f>
        <v>ماذا يجب أن نسميك؟</v>
      </c>
      <c r="Q16" s="4" t="str">
        <f>IFERROR(__xludf.DUMMYFUNCTION("GOOGLETRANSLATE(B16,""en"",""mr"")"),"आम्ही तुम्हाला काय बोलावे?")</f>
        <v>आम्ही तुम्हाला काय बोलावे?</v>
      </c>
      <c r="R16" s="4" t="str">
        <f>IFERROR(__xludf.DUMMYFUNCTION("GOOGLETRANSLATE(B16,""en"",""gu"")"),"અમે તમને શું કહીએ?")</f>
        <v>અમે તમને શું કહીએ?</v>
      </c>
      <c r="S16" s="4" t="str">
        <f>IFERROR(__xludf.DUMMYFUNCTION("GOOGLETRANSLATE(B16,""en"",""bn"")"),"আমরা আপনাকে কি কল করা উচিত?")</f>
        <v>আমরা আপনাকে কি কল করা উচিত?</v>
      </c>
      <c r="T16" s="4" t="str">
        <f>IFERROR(__xludf.DUMMYFUNCTION("GOOGLETRANSLATE(B16,""en"",""pa"")"),"ਅਸੀਂ ਤੁਹਾਨੂੰ ਕੀ ਬੁਲਾਵਾਂਗੇ?")</f>
        <v>ਅਸੀਂ ਤੁਹਾਨੂੰ ਕੀ ਬੁਲਾਵਾਂਗੇ?</v>
      </c>
      <c r="U16" s="4" t="str">
        <f>IFERROR(__xludf.DUMMYFUNCTION("GOOGLETRANSLATE(B16,""en"",""te"")"),"మేము మిమ్మల్ని ఏమని పిలవాలి?")</f>
        <v>మేము మిమ్మల్ని ఏమని పిలవాలి?</v>
      </c>
      <c r="V16" s="4" t="str">
        <f>IFERROR(__xludf.DUMMYFUNCTION("GOOGLETRANSLATE(B16,""en"",""kn"")"),"ನಾವು ನಿಮ್ಮನ್ನು ಏನು ಕರೆಯಬೇಕು?")</f>
        <v>ನಾವು ನಿಮ್ಮನ್ನು ಏನು ಕರೆಯಬೇಕು?</v>
      </c>
      <c r="W16" s="4" t="str">
        <f>IFERROR(__xludf.DUMMYFUNCTION("GOOGLETRANSLATE(B16,""en"",""ml"")"),"ഞങ്ങൾ നിങ്ങളെ എന്ത് വിളിക്കണം?")</f>
        <v>ഞങ്ങൾ നിങ്ങളെ എന്ത് വിളിക്കണം?</v>
      </c>
      <c r="X16" s="4" t="str">
        <f>IFERROR(__xludf.DUMMYFUNCTION("GOOGLETRANSLATE(B16,""en"",""th"")"),"เราควรเรียกคุณว่าอะไร?")</f>
        <v>เราควรเรียกคุณว่าอะไร?</v>
      </c>
      <c r="Y16" s="4" t="str">
        <f>IFERROR(__xludf.DUMMYFUNCTION("GOOGLETRANSLATE(B16,""en"",""ko"")"),"당신을 뭐라고 부르면 좋을까요?")</f>
        <v>당신을 뭐라고 부르면 좋을까요?</v>
      </c>
      <c r="Z16" s="4" t="str">
        <f>IFERROR(__xludf.DUMMYFUNCTION("GOOGLETRANSLATE(B16,""en"",""zh"")"),"我们该怎么称呼您？")</f>
        <v>我们该怎么称呼您？</v>
      </c>
      <c r="AA16" s="4" t="str">
        <f>IFERROR(__xludf.DUMMYFUNCTION("GOOGLETRANSLATE(B16,""en"",""zh-TW"")"),"我們該怎麼稱呼您？")</f>
        <v>我們該怎麼稱呼您？</v>
      </c>
      <c r="AB16" s="4" t="str">
        <f>IFERROR(__xludf.DUMMYFUNCTION("GOOGLETRANSLATE(B16,""en"",""ja"")"),"あなたを何とお呼びすればいいでしょうか？")</f>
        <v>あなたを何とお呼びすればいいでしょうか？</v>
      </c>
      <c r="AC16" s="4" t="str">
        <f>IFERROR(__xludf.DUMMYFUNCTION("GOOGLETRANSLATE(B16,""en"",""bg"")"),"Как да те наричаме?")</f>
        <v>Как да те наричаме?</v>
      </c>
      <c r="AD16" s="4" t="str">
        <f>IFERROR(__xludf.DUMMYFUNCTION("GOOGLETRANSLATE(B16,""en"",""cs"")"),"Jak vám máme říkat?")</f>
        <v>Jak vám máme říkat?</v>
      </c>
      <c r="AE16" s="4" t="str">
        <f>IFERROR(__xludf.DUMMYFUNCTION("GOOGLETRANSLATE(B16,""en"",""da"")"),"Hvad skal vi kalde dig?")</f>
        <v>Hvad skal vi kalde dig?</v>
      </c>
      <c r="AF16" s="4" t="str">
        <f>IFERROR(__xludf.DUMMYFUNCTION("GOOGLETRANSLATE(B16,""en"",""el"")"),"Πώς να σε λέμε;")</f>
        <v>Πώς να σε λέμε;</v>
      </c>
      <c r="AG16" s="4" t="str">
        <f>IFERROR(__xludf.DUMMYFUNCTION("GOOGLETRANSLATE(B16,""en"",""et"")"),"Kuidas peaksime teid kutsuma?")</f>
        <v>Kuidas peaksime teid kutsuma?</v>
      </c>
      <c r="AH16" s="4" t="str">
        <f>IFERROR(__xludf.DUMMYFUNCTION("GOOGLETRANSLATE(B16,""en"",""fi"")"),"Miksi meidän pitäisi kutsua sinua?")</f>
        <v>Miksi meidän pitäisi kutsua sinua?</v>
      </c>
      <c r="AI16" s="4" t="str">
        <f>IFERROR(__xludf.DUMMYFUNCTION("GOOGLETRANSLATE(B16,""en"",""hr"")"),"Kako da te zovemo?")</f>
        <v>Kako da te zovemo?</v>
      </c>
      <c r="AJ16" s="4" t="str">
        <f>IFERROR(__xludf.DUMMYFUNCTION("GOOGLETRANSLATE(B16,""en"",""hu"")"),"Minek nevezzünk?")</f>
        <v>Minek nevezzünk?</v>
      </c>
      <c r="AK16" s="4" t="str">
        <f>IFERROR(__xludf.DUMMYFUNCTION("GOOGLETRANSLATE(B16,""en"",""hy"")"),"Ի՞նչ կոչենք քեզ։")</f>
        <v>Ի՞նչ կոչենք քեզ։</v>
      </c>
      <c r="AL16" s="4" t="str">
        <f>IFERROR(__xludf.DUMMYFUNCTION("GOOGLETRANSLATE(B16,""en"",""ca"")"),"Com t'hem de dir?")</f>
        <v>Com t'hem de dir?</v>
      </c>
      <c r="AM16" s="4" t="str">
        <f>IFERROR(__xludf.DUMMYFUNCTION("GOOGLETRANSLATE(B16,""en"",""nl"")"),"Hoe moeten we je noemen?")</f>
        <v>Hoe moeten we je noemen?</v>
      </c>
      <c r="AN16" s="4" t="str">
        <f>IFERROR(__xludf.DUMMYFUNCTION("GOOGLETRANSLATE(B16,""en"",""he"")"),"איך אנחנו צריכים לקרוא לך?")</f>
        <v>איך אנחנו צריכים לקרוא לך?</v>
      </c>
      <c r="AO16" s="4" t="str">
        <f>IFERROR(__xludf.DUMMYFUNCTION("GOOGLETRANSLATE(B16,""en"",""is"")"),"Hvað eigum við að kalla þig?")</f>
        <v>Hvað eigum við að kalla þig?</v>
      </c>
      <c r="AP16" s="4" t="str">
        <f>IFERROR(__xludf.DUMMYFUNCTION("GOOGLETRANSLATE(B16,""en"",""no"")"),"Hva skal vi kalle deg?")</f>
        <v>Hva skal vi kalle deg?</v>
      </c>
      <c r="AQ16" s="4" t="str">
        <f>IFERROR(__xludf.DUMMYFUNCTION("GOOGLETRANSLATE(B16,""en"",""fa"")"),"شما را چه صدا کنیم؟")</f>
        <v>شما را چه صدا کنیم؟</v>
      </c>
      <c r="AR16" s="4" t="str">
        <f>IFERROR(__xludf.DUMMYFUNCTION("GOOGLETRANSLATE(B16,""en"",""pl"")"),"Jak mamy Cię nazywać?")</f>
        <v>Jak mamy Cię nazywać?</v>
      </c>
      <c r="AS16" s="4" t="str">
        <f>IFERROR(__xludf.DUMMYFUNCTION("GOOGLETRANSLATE(B16,""en"",""sv"")"),"Vad ska vi kalla dig?")</f>
        <v>Vad ska vi kalla dig?</v>
      </c>
      <c r="AT16" s="4" t="str">
        <f>IFERROR(__xludf.DUMMYFUNCTION("GOOGLETRANSLATE(B16,""en"",""uk"")"),"Як нам вас називати?")</f>
        <v>Як нам вас називати?</v>
      </c>
      <c r="AU16" s="4" t="str">
        <f>IFERROR(__xludf.DUMMYFUNCTION("GOOGLETRANSLATE(B16,""en"",""zu"")"),"Kufanele sikubize ngani?")</f>
        <v>Kufanele sikubize ngani?</v>
      </c>
      <c r="AV16" s="4" t="str">
        <f>IFERROR(__xludf.DUMMYFUNCTION("GOOGLETRANSLATE(B16,""en"",""sr"")"),"Како да те зовемо?")</f>
        <v>Како да те зовемо?</v>
      </c>
    </row>
    <row r="17">
      <c r="A17" s="3" t="s">
        <v>76</v>
      </c>
      <c r="B17" s="3" t="s">
        <v>77</v>
      </c>
      <c r="C17" s="4" t="str">
        <f>IFERROR(__xludf.DUMMYFUNCTION("GOOGLETRANSLATE(B17,""en"",""ta"")"),"உங்கள் பெயரை உள்ளிடவும்")</f>
        <v>உங்கள் பெயரை உள்ளிடவும்</v>
      </c>
      <c r="D17" s="4" t="str">
        <f>IFERROR(__xludf.DUMMYFUNCTION("GOOGLETRANSLATE(B17,""en"",""hi"")"),"अपना नाम दर्ज करें")</f>
        <v>अपना नाम दर्ज करें</v>
      </c>
      <c r="E17" s="4" t="str">
        <f>IFERROR(__xludf.DUMMYFUNCTION("GOOGLETRANSLATE(B17,""en"",""id"")"),"Masukkan nama Anda")</f>
        <v>Masukkan nama Anda</v>
      </c>
      <c r="F17" s="4" t="str">
        <f>IFERROR(__xludf.DUMMYFUNCTION("GOOGLETRANSLATE(B17,""en"",""ms"")"),"Masukkan nama anda")</f>
        <v>Masukkan nama anda</v>
      </c>
      <c r="G17" s="4" t="str">
        <f>IFERROR(__xludf.DUMMYFUNCTION("GOOGLETRANSLATE(B17,""en"",""de"")"),"Geben Sie Ihren Namen ein")</f>
        <v>Geben Sie Ihren Namen ein</v>
      </c>
      <c r="H17" s="4" t="str">
        <f>IFERROR(__xludf.DUMMYFUNCTION("GOOGLETRANSLATE(B17,""en"",""es"")"),"Introduce tu nombre")</f>
        <v>Introduce tu nombre</v>
      </c>
      <c r="I17" s="4" t="str">
        <f>IFERROR(__xludf.DUMMYFUNCTION("GOOGLETRANSLATE(B17,""en"",""fr"")"),"Entrez votre nom")</f>
        <v>Entrez votre nom</v>
      </c>
      <c r="J17" s="4" t="str">
        <f>IFERROR(__xludf.DUMMYFUNCTION("GOOGLETRANSLATE(B17,""en"",""it"")"),"Inserisci il tuo nome")</f>
        <v>Inserisci il tuo nome</v>
      </c>
      <c r="K17" s="4" t="str">
        <f>IFERROR(__xludf.DUMMYFUNCTION("GOOGLETRANSLATE(B17,""en"",""pt"")"),"Digite seu nome")</f>
        <v>Digite seu nome</v>
      </c>
      <c r="L17" s="4" t="str">
        <f>IFERROR(__xludf.DUMMYFUNCTION("GOOGLETRANSLATE(B17,""en"",""ro"")"),"Introduceți numele dvs")</f>
        <v>Introduceți numele dvs</v>
      </c>
      <c r="M17" s="4" t="str">
        <f>IFERROR(__xludf.DUMMYFUNCTION("GOOGLETRANSLATE(B17,""en"",""vi"")"),"Nhập tên của bạn")</f>
        <v>Nhập tên của bạn</v>
      </c>
      <c r="N17" s="4" t="str">
        <f>IFERROR(__xludf.DUMMYFUNCTION("GOOGLETRANSLATE(B17,""en"",""ru"")"),"Введите свое имя")</f>
        <v>Введите свое имя</v>
      </c>
      <c r="O17" s="4" t="str">
        <f>IFERROR(__xludf.DUMMYFUNCTION("GOOGLETRANSLATE(B17,""en"",""tr"")"),"Adınızı girin")</f>
        <v>Adınızı girin</v>
      </c>
      <c r="P17" s="4" t="str">
        <f>IFERROR(__xludf.DUMMYFUNCTION("GOOGLETRANSLATE(B17,""en"",""ar"")"),"أدخل اسمك")</f>
        <v>أدخل اسمك</v>
      </c>
      <c r="Q17" s="4" t="str">
        <f>IFERROR(__xludf.DUMMYFUNCTION("GOOGLETRANSLATE(B17,""en"",""mr"")"),"आपले नाव प्रविष्ट करा")</f>
        <v>आपले नाव प्रविष्ट करा</v>
      </c>
      <c r="R17" s="4" t="str">
        <f>IFERROR(__xludf.DUMMYFUNCTION("GOOGLETRANSLATE(B17,""en"",""gu"")"),"તમારું નામ દાખલ કરો")</f>
        <v>તમારું નામ દાખલ કરો</v>
      </c>
      <c r="S17" s="4" t="str">
        <f>IFERROR(__xludf.DUMMYFUNCTION("GOOGLETRANSLATE(B17,""en"",""bn"")"),"আপনার নাম লিখুন")</f>
        <v>আপনার নাম লিখুন</v>
      </c>
      <c r="T17" s="4" t="str">
        <f>IFERROR(__xludf.DUMMYFUNCTION("GOOGLETRANSLATE(B17,""en"",""pa"")"),"ਆਪਣਾ ਨਾਮ ਦਰਜ ਕਰੋ")</f>
        <v>ਆਪਣਾ ਨਾਮ ਦਰਜ ਕਰੋ</v>
      </c>
      <c r="U17" s="4" t="str">
        <f>IFERROR(__xludf.DUMMYFUNCTION("GOOGLETRANSLATE(B17,""en"",""te"")"),"మీ పేరును నమోదు చేయండి")</f>
        <v>మీ పేరును నమోదు చేయండి</v>
      </c>
      <c r="V17" s="4" t="str">
        <f>IFERROR(__xludf.DUMMYFUNCTION("GOOGLETRANSLATE(B17,""en"",""kn"")"),"ನಿಮ್ಮ ಹೆಸರನ್ನು ನಮೂದಿಸಿ")</f>
        <v>ನಿಮ್ಮ ಹೆಸರನ್ನು ನಮೂದಿಸಿ</v>
      </c>
      <c r="W17" s="4" t="str">
        <f>IFERROR(__xludf.DUMMYFUNCTION("GOOGLETRANSLATE(B17,""en"",""ml"")"),"നിങ്ങളുടെ പേര് നൽകുക")</f>
        <v>നിങ്ങളുടെ പേര് നൽകുക</v>
      </c>
      <c r="X17" s="4" t="str">
        <f>IFERROR(__xludf.DUMMYFUNCTION("GOOGLETRANSLATE(B17,""en"",""th"")"),"กรุณากรอกชื่อของคุณ")</f>
        <v>กรุณากรอกชื่อของคุณ</v>
      </c>
      <c r="Y17" s="4" t="str">
        <f>IFERROR(__xludf.DUMMYFUNCTION("GOOGLETRANSLATE(B17,""en"",""ko"")"),"이름을 입력하세요")</f>
        <v>이름을 입력하세요</v>
      </c>
      <c r="Z17" s="4" t="str">
        <f>IFERROR(__xludf.DUMMYFUNCTION("GOOGLETRANSLATE(B17,""en"",""zh"")"),"输入您的姓名")</f>
        <v>输入您的姓名</v>
      </c>
      <c r="AA17" s="4" t="str">
        <f>IFERROR(__xludf.DUMMYFUNCTION("GOOGLETRANSLATE(B17,""en"",""zh-TW"")"),"輸入您的姓名")</f>
        <v>輸入您的姓名</v>
      </c>
      <c r="AB17" s="4" t="str">
        <f>IFERROR(__xludf.DUMMYFUNCTION("GOOGLETRANSLATE(B17,""en"",""ja"")"),"名前を入力してください")</f>
        <v>名前を入力してください</v>
      </c>
      <c r="AC17" s="4" t="str">
        <f>IFERROR(__xludf.DUMMYFUNCTION("GOOGLETRANSLATE(B17,""en"",""bg"")"),"Въведете вашето име")</f>
        <v>Въведете вашето име</v>
      </c>
      <c r="AD17" s="4" t="str">
        <f>IFERROR(__xludf.DUMMYFUNCTION("GOOGLETRANSLATE(B17,""en"",""cs"")"),"Zadejte své jméno")</f>
        <v>Zadejte své jméno</v>
      </c>
      <c r="AE17" s="4" t="str">
        <f>IFERROR(__xludf.DUMMYFUNCTION("GOOGLETRANSLATE(B17,""en"",""da"")"),"Indtast dit navn")</f>
        <v>Indtast dit navn</v>
      </c>
      <c r="AF17" s="4" t="str">
        <f>IFERROR(__xludf.DUMMYFUNCTION("GOOGLETRANSLATE(B17,""en"",""el"")"),"Εισαγάγετε το όνομά σας")</f>
        <v>Εισαγάγετε το όνομά σας</v>
      </c>
      <c r="AG17" s="4" t="str">
        <f>IFERROR(__xludf.DUMMYFUNCTION("GOOGLETRANSLATE(B17,""en"",""et"")"),"Sisestage oma nimi")</f>
        <v>Sisestage oma nimi</v>
      </c>
      <c r="AH17" s="4" t="str">
        <f>IFERROR(__xludf.DUMMYFUNCTION("GOOGLETRANSLATE(B17,""en"",""fi"")"),"Kirjoita nimesi")</f>
        <v>Kirjoita nimesi</v>
      </c>
      <c r="AI17" s="4" t="str">
        <f>IFERROR(__xludf.DUMMYFUNCTION("GOOGLETRANSLATE(B17,""en"",""hr"")"),"Unesite svoje ime")</f>
        <v>Unesite svoje ime</v>
      </c>
      <c r="AJ17" s="4" t="str">
        <f>IFERROR(__xludf.DUMMYFUNCTION("GOOGLETRANSLATE(B17,""en"",""hu"")"),"Írja be a nevét")</f>
        <v>Írja be a nevét</v>
      </c>
      <c r="AK17" s="4" t="str">
        <f>IFERROR(__xludf.DUMMYFUNCTION("GOOGLETRANSLATE(B17,""en"",""hy"")"),"Մուտքագրեք ձեր անունը")</f>
        <v>Մուտքագրեք ձեր անունը</v>
      </c>
      <c r="AL17" s="4" t="str">
        <f>IFERROR(__xludf.DUMMYFUNCTION("GOOGLETRANSLATE(B17,""en"",""ca"")"),"Introduïu el vostre nom")</f>
        <v>Introduïu el vostre nom</v>
      </c>
      <c r="AM17" s="4" t="str">
        <f>IFERROR(__xludf.DUMMYFUNCTION("GOOGLETRANSLATE(B17,""en"",""nl"")"),"Voer uw naam in")</f>
        <v>Voer uw naam in</v>
      </c>
      <c r="AN17" s="4" t="str">
        <f>IFERROR(__xludf.DUMMYFUNCTION("GOOGLETRANSLATE(B17,""en"",""he"")"),"הזן את שמך")</f>
        <v>הזן את שמך</v>
      </c>
      <c r="AO17" s="4" t="str">
        <f>IFERROR(__xludf.DUMMYFUNCTION("GOOGLETRANSLATE(B17,""en"",""is"")"),"Sláðu inn nafnið þitt")</f>
        <v>Sláðu inn nafnið þitt</v>
      </c>
      <c r="AP17" s="4" t="str">
        <f>IFERROR(__xludf.DUMMYFUNCTION("GOOGLETRANSLATE(B17,""en"",""no"")"),"Skriv inn navnet ditt")</f>
        <v>Skriv inn navnet ditt</v>
      </c>
      <c r="AQ17" s="4" t="str">
        <f>IFERROR(__xludf.DUMMYFUNCTION("GOOGLETRANSLATE(B17,""en"",""fa"")"),"نام خود را وارد کنید")</f>
        <v>نام خود را وارد کنید</v>
      </c>
      <c r="AR17" s="4" t="str">
        <f>IFERROR(__xludf.DUMMYFUNCTION("GOOGLETRANSLATE(B17,""en"",""pl"")"),"Wpisz swoje imię")</f>
        <v>Wpisz swoje imię</v>
      </c>
      <c r="AS17" s="4" t="str">
        <f>IFERROR(__xludf.DUMMYFUNCTION("GOOGLETRANSLATE(B17,""en"",""sv"")"),"Ange ditt namn")</f>
        <v>Ange ditt namn</v>
      </c>
      <c r="AT17" s="4" t="str">
        <f>IFERROR(__xludf.DUMMYFUNCTION("GOOGLETRANSLATE(B17,""en"",""uk"")"),"Введіть своє ім'я")</f>
        <v>Введіть своє ім'я</v>
      </c>
      <c r="AU17" s="4" t="str">
        <f>IFERROR(__xludf.DUMMYFUNCTION("GOOGLETRANSLATE(B17,""en"",""zu"")"),"Faka igama lakho")</f>
        <v>Faka igama lakho</v>
      </c>
      <c r="AV17" s="4" t="str">
        <f>IFERROR(__xludf.DUMMYFUNCTION("GOOGLETRANSLATE(B17,""en"",""sr"")"),"Унесите своје име")</f>
        <v>Унесите своје име</v>
      </c>
    </row>
    <row r="18">
      <c r="A18" s="3" t="s">
        <v>78</v>
      </c>
      <c r="B18" s="3" t="s">
        <v>79</v>
      </c>
      <c r="C18" s="4" t="str">
        <f>IFERROR(__xludf.DUMMYFUNCTION("GOOGLETRANSLATE(B18,""en"",""ta"")"),"சேமிக்கவும்")</f>
        <v>சேமிக்கவும்</v>
      </c>
      <c r="D18" s="4" t="str">
        <f>IFERROR(__xludf.DUMMYFUNCTION("GOOGLETRANSLATE(B18,""en"",""hi"")"),"बचाना")</f>
        <v>बचाना</v>
      </c>
      <c r="E18" s="4" t="str">
        <f>IFERROR(__xludf.DUMMYFUNCTION("GOOGLETRANSLATE(B18,""en"",""id"")"),"Menyimpan")</f>
        <v>Menyimpan</v>
      </c>
      <c r="F18" s="4" t="str">
        <f>IFERROR(__xludf.DUMMYFUNCTION("GOOGLETRANSLATE(B18,""en"",""ms"")"),"Jimat")</f>
        <v>Jimat</v>
      </c>
      <c r="G18" s="4" t="str">
        <f>IFERROR(__xludf.DUMMYFUNCTION("GOOGLETRANSLATE(B18,""en"",""de"")"),"Speichern")</f>
        <v>Speichern</v>
      </c>
      <c r="H18" s="4" t="str">
        <f>IFERROR(__xludf.DUMMYFUNCTION("GOOGLETRANSLATE(B18,""en"",""es"")"),"Ahorrar")</f>
        <v>Ahorrar</v>
      </c>
      <c r="I18" s="4" t="str">
        <f>IFERROR(__xludf.DUMMYFUNCTION("GOOGLETRANSLATE(B18,""en"",""fr"")"),"Sauvegarder")</f>
        <v>Sauvegarder</v>
      </c>
      <c r="J18" s="4" t="str">
        <f>IFERROR(__xludf.DUMMYFUNCTION("GOOGLETRANSLATE(B18,""en"",""it"")"),"Salva")</f>
        <v>Salva</v>
      </c>
      <c r="K18" s="4" t="str">
        <f>IFERROR(__xludf.DUMMYFUNCTION("GOOGLETRANSLATE(B18,""en"",""pt"")"),"Salvar")</f>
        <v>Salvar</v>
      </c>
      <c r="L18" s="4" t="str">
        <f>IFERROR(__xludf.DUMMYFUNCTION("GOOGLETRANSLATE(B18,""en"",""ro"")"),"Salva")</f>
        <v>Salva</v>
      </c>
      <c r="M18" s="4" t="str">
        <f>IFERROR(__xludf.DUMMYFUNCTION("GOOGLETRANSLATE(B18,""en"",""vi"")"),"Cứu")</f>
        <v>Cứu</v>
      </c>
      <c r="N18" s="4" t="str">
        <f>IFERROR(__xludf.DUMMYFUNCTION("GOOGLETRANSLATE(B18,""en"",""ru"")"),"Сохранять")</f>
        <v>Сохранять</v>
      </c>
      <c r="O18" s="4" t="str">
        <f>IFERROR(__xludf.DUMMYFUNCTION("GOOGLETRANSLATE(B18,""en"",""tr"")"),"Kaydetmek")</f>
        <v>Kaydetmek</v>
      </c>
      <c r="P18" s="4" t="str">
        <f>IFERROR(__xludf.DUMMYFUNCTION("GOOGLETRANSLATE(B18,""en"",""ar"")"),"يحفظ")</f>
        <v>يحفظ</v>
      </c>
      <c r="Q18" s="4" t="str">
        <f>IFERROR(__xludf.DUMMYFUNCTION("GOOGLETRANSLATE(B18,""en"",""mr"")"),"जतन करा")</f>
        <v>जतन करा</v>
      </c>
      <c r="R18" s="4" t="str">
        <f>IFERROR(__xludf.DUMMYFUNCTION("GOOGLETRANSLATE(B18,""en"",""gu"")"),"સાચવો")</f>
        <v>સાચવો</v>
      </c>
      <c r="S18" s="4" t="str">
        <f>IFERROR(__xludf.DUMMYFUNCTION("GOOGLETRANSLATE(B18,""en"",""bn"")"),"সংরক্ষণ করুন")</f>
        <v>সংরক্ষণ করুন</v>
      </c>
      <c r="T18" s="4" t="str">
        <f>IFERROR(__xludf.DUMMYFUNCTION("GOOGLETRANSLATE(B18,""en"",""pa"")"),"ਸੇਵ ਕਰੋ")</f>
        <v>ਸੇਵ ਕਰੋ</v>
      </c>
      <c r="U18" s="4" t="str">
        <f>IFERROR(__xludf.DUMMYFUNCTION("GOOGLETRANSLATE(B18,""en"",""te"")"),"సేవ్ చేయండి")</f>
        <v>సేవ్ చేయండి</v>
      </c>
      <c r="V18" s="4" t="str">
        <f>IFERROR(__xludf.DUMMYFUNCTION("GOOGLETRANSLATE(B18,""en"",""kn"")"),"ಉಳಿಸಿ")</f>
        <v>ಉಳಿಸಿ</v>
      </c>
      <c r="W18" s="4" t="str">
        <f>IFERROR(__xludf.DUMMYFUNCTION("GOOGLETRANSLATE(B18,""en"",""ml"")"),"സംരക്ഷിക്കുക")</f>
        <v>സംരക്ഷിക്കുക</v>
      </c>
      <c r="X18" s="4" t="str">
        <f>IFERROR(__xludf.DUMMYFUNCTION("GOOGLETRANSLATE(B18,""en"",""th"")"),"บันทึก")</f>
        <v>บันทึก</v>
      </c>
      <c r="Y18" s="4" t="str">
        <f>IFERROR(__xludf.DUMMYFUNCTION("GOOGLETRANSLATE(B18,""en"",""ko"")"),"구하다")</f>
        <v>구하다</v>
      </c>
      <c r="Z18" s="4" t="str">
        <f>IFERROR(__xludf.DUMMYFUNCTION("GOOGLETRANSLATE(B18,""en"",""zh"")"),"节省")</f>
        <v>节省</v>
      </c>
      <c r="AA18" s="4" t="str">
        <f>IFERROR(__xludf.DUMMYFUNCTION("GOOGLETRANSLATE(B18,""en"",""zh-TW"")"),"節省")</f>
        <v>節省</v>
      </c>
      <c r="AB18" s="4" t="str">
        <f>IFERROR(__xludf.DUMMYFUNCTION("GOOGLETRANSLATE(B18,""en"",""ja"")"),"保存")</f>
        <v>保存</v>
      </c>
      <c r="AC18" s="4" t="str">
        <f>IFERROR(__xludf.DUMMYFUNCTION("GOOGLETRANSLATE(B18,""en"",""bg"")"),"Запазване")</f>
        <v>Запазване</v>
      </c>
      <c r="AD18" s="4" t="str">
        <f>IFERROR(__xludf.DUMMYFUNCTION("GOOGLETRANSLATE(B18,""en"",""cs"")"),"Uložit")</f>
        <v>Uložit</v>
      </c>
      <c r="AE18" s="4" t="str">
        <f>IFERROR(__xludf.DUMMYFUNCTION("GOOGLETRANSLATE(B18,""en"",""da"")"),"Spare")</f>
        <v>Spare</v>
      </c>
      <c r="AF18" s="4" t="str">
        <f>IFERROR(__xludf.DUMMYFUNCTION("GOOGLETRANSLATE(B18,""en"",""el"")"),"Εκτός")</f>
        <v>Εκτός</v>
      </c>
      <c r="AG18" s="4" t="str">
        <f>IFERROR(__xludf.DUMMYFUNCTION("GOOGLETRANSLATE(B18,""en"",""et"")"),"Salvesta")</f>
        <v>Salvesta</v>
      </c>
      <c r="AH18" s="4" t="str">
        <f>IFERROR(__xludf.DUMMYFUNCTION("GOOGLETRANSLATE(B18,""en"",""fi"")"),"Tallentaa")</f>
        <v>Tallentaa</v>
      </c>
      <c r="AI18" s="4" t="str">
        <f>IFERROR(__xludf.DUMMYFUNCTION("GOOGLETRANSLATE(B18,""en"",""hr"")"),"Uštedjeti")</f>
        <v>Uštedjeti</v>
      </c>
      <c r="AJ18" s="4" t="str">
        <f>IFERROR(__xludf.DUMMYFUNCTION("GOOGLETRANSLATE(B18,""en"",""hu"")"),"Megtakarítás")</f>
        <v>Megtakarítás</v>
      </c>
      <c r="AK18" s="4" t="str">
        <f>IFERROR(__xludf.DUMMYFUNCTION("GOOGLETRANSLATE(B18,""en"",""hy"")"),"Պահպանել")</f>
        <v>Պահպանել</v>
      </c>
      <c r="AL18" s="4" t="str">
        <f>IFERROR(__xludf.DUMMYFUNCTION("GOOGLETRANSLATE(B18,""en"",""ca"")"),"Desa")</f>
        <v>Desa</v>
      </c>
      <c r="AM18" s="4" t="str">
        <f>IFERROR(__xludf.DUMMYFUNCTION("GOOGLETRANSLATE(B18,""en"",""nl"")"),"Redden")</f>
        <v>Redden</v>
      </c>
      <c r="AN18" s="4" t="str">
        <f>IFERROR(__xludf.DUMMYFUNCTION("GOOGLETRANSLATE(B18,""en"",""he"")"),"לְהַצִיל")</f>
        <v>לְהַצִיל</v>
      </c>
      <c r="AO18" s="4" t="str">
        <f>IFERROR(__xludf.DUMMYFUNCTION("GOOGLETRANSLATE(B18,""en"",""is"")"),"Vista")</f>
        <v>Vista</v>
      </c>
      <c r="AP18" s="4" t="str">
        <f>IFERROR(__xludf.DUMMYFUNCTION("GOOGLETRANSLATE(B18,""en"",""no"")"),"Spare")</f>
        <v>Spare</v>
      </c>
      <c r="AQ18" s="4" t="str">
        <f>IFERROR(__xludf.DUMMYFUNCTION("GOOGLETRANSLATE(B18,""en"",""fa"")"),"ذخیره کنید")</f>
        <v>ذخیره کنید</v>
      </c>
      <c r="AR18" s="4" t="str">
        <f>IFERROR(__xludf.DUMMYFUNCTION("GOOGLETRANSLATE(B18,""en"",""pl"")"),"Ratować")</f>
        <v>Ratować</v>
      </c>
      <c r="AS18" s="4" t="str">
        <f>IFERROR(__xludf.DUMMYFUNCTION("GOOGLETRANSLATE(B18,""en"",""sv"")"),"Spara")</f>
        <v>Spara</v>
      </c>
      <c r="AT18" s="4" t="str">
        <f>IFERROR(__xludf.DUMMYFUNCTION("GOOGLETRANSLATE(B18,""en"",""uk"")"),"зберегти")</f>
        <v>зберегти</v>
      </c>
      <c r="AU18" s="4" t="str">
        <f>IFERROR(__xludf.DUMMYFUNCTION("GOOGLETRANSLATE(B18,""en"",""zu"")"),"Londoloza")</f>
        <v>Londoloza</v>
      </c>
      <c r="AV18" s="4" t="str">
        <f>IFERROR(__xludf.DUMMYFUNCTION("GOOGLETRANSLATE(B18,""en"",""sr"")"),"Сачувај")</f>
        <v>Сачувај</v>
      </c>
    </row>
    <row r="19">
      <c r="A19" s="3" t="s">
        <v>80</v>
      </c>
      <c r="B19" s="3" t="s">
        <v>81</v>
      </c>
      <c r="C19" s="4" t="str">
        <f>IFERROR(__xludf.DUMMYFUNCTION("GOOGLETRANSLATE(B19,""en"",""ta"")"),"மூடு")</f>
        <v>மூடு</v>
      </c>
      <c r="D19" s="4" t="str">
        <f>IFERROR(__xludf.DUMMYFUNCTION("GOOGLETRANSLATE(B19,""en"",""hi"")"),"बंद करना")</f>
        <v>बंद करना</v>
      </c>
      <c r="E19" s="4" t="str">
        <f>IFERROR(__xludf.DUMMYFUNCTION("GOOGLETRANSLATE(B19,""en"",""id"")"),"Menutup")</f>
        <v>Menutup</v>
      </c>
      <c r="F19" s="4" t="str">
        <f>IFERROR(__xludf.DUMMYFUNCTION("GOOGLETRANSLATE(B19,""en"",""ms"")"),"tutup")</f>
        <v>tutup</v>
      </c>
      <c r="G19" s="4" t="str">
        <f>IFERROR(__xludf.DUMMYFUNCTION("GOOGLETRANSLATE(B19,""en"",""de"")"),"Schließen")</f>
        <v>Schließen</v>
      </c>
      <c r="H19" s="4" t="str">
        <f>IFERROR(__xludf.DUMMYFUNCTION("GOOGLETRANSLATE(B19,""en"",""es"")"),"Cerca")</f>
        <v>Cerca</v>
      </c>
      <c r="I19" s="4" t="str">
        <f>IFERROR(__xludf.DUMMYFUNCTION("GOOGLETRANSLATE(B19,""en"",""fr"")"),"Fermer")</f>
        <v>Fermer</v>
      </c>
      <c r="J19" s="4" t="str">
        <f>IFERROR(__xludf.DUMMYFUNCTION("GOOGLETRANSLATE(B19,""en"",""it"")"),"Vicino")</f>
        <v>Vicino</v>
      </c>
      <c r="K19" s="4" t="str">
        <f>IFERROR(__xludf.DUMMYFUNCTION("GOOGLETRANSLATE(B19,""en"",""pt"")"),"Fechar")</f>
        <v>Fechar</v>
      </c>
      <c r="L19" s="4" t="str">
        <f>IFERROR(__xludf.DUMMYFUNCTION("GOOGLETRANSLATE(B19,""en"",""ro"")"),"Aproape")</f>
        <v>Aproape</v>
      </c>
      <c r="M19" s="4" t="str">
        <f>IFERROR(__xludf.DUMMYFUNCTION("GOOGLETRANSLATE(B19,""en"",""vi"")"),"Đóng")</f>
        <v>Đóng</v>
      </c>
      <c r="N19" s="4" t="str">
        <f>IFERROR(__xludf.DUMMYFUNCTION("GOOGLETRANSLATE(B19,""en"",""ru"")"),"Закрывать")</f>
        <v>Закрывать</v>
      </c>
      <c r="O19" s="4" t="str">
        <f>IFERROR(__xludf.DUMMYFUNCTION("GOOGLETRANSLATE(B19,""en"",""tr"")"),"Kapalı")</f>
        <v>Kapalı</v>
      </c>
      <c r="P19" s="4" t="str">
        <f>IFERROR(__xludf.DUMMYFUNCTION("GOOGLETRANSLATE(B19,""en"",""ar"")"),"يغلق")</f>
        <v>يغلق</v>
      </c>
      <c r="Q19" s="4" t="str">
        <f>IFERROR(__xludf.DUMMYFUNCTION("GOOGLETRANSLATE(B19,""en"",""mr"")"),"बंद करा")</f>
        <v>बंद करा</v>
      </c>
      <c r="R19" s="4" t="str">
        <f>IFERROR(__xludf.DUMMYFUNCTION("GOOGLETRANSLATE(B19,""en"",""gu"")"),"બંધ કરો")</f>
        <v>બંધ કરો</v>
      </c>
      <c r="S19" s="4" t="str">
        <f>IFERROR(__xludf.DUMMYFUNCTION("GOOGLETRANSLATE(B19,""en"",""bn"")"),"বন্ধ")</f>
        <v>বন্ধ</v>
      </c>
      <c r="T19" s="4" t="str">
        <f>IFERROR(__xludf.DUMMYFUNCTION("GOOGLETRANSLATE(B19,""en"",""pa"")"),"ਬੰਦ ਕਰੋ")</f>
        <v>ਬੰਦ ਕਰੋ</v>
      </c>
      <c r="U19" s="4" t="str">
        <f>IFERROR(__xludf.DUMMYFUNCTION("GOOGLETRANSLATE(B19,""en"",""te"")"),"మూసివేయి")</f>
        <v>మూసివేయి</v>
      </c>
      <c r="V19" s="4" t="str">
        <f>IFERROR(__xludf.DUMMYFUNCTION("GOOGLETRANSLATE(B19,""en"",""kn"")"),"ಮುಚ್ಚಿ")</f>
        <v>ಮುಚ್ಚಿ</v>
      </c>
      <c r="W19" s="4" t="str">
        <f>IFERROR(__xludf.DUMMYFUNCTION("GOOGLETRANSLATE(B19,""en"",""ml"")"),"അടയ്ക്കുക")</f>
        <v>അടയ്ക്കുക</v>
      </c>
      <c r="X19" s="4" t="str">
        <f>IFERROR(__xludf.DUMMYFUNCTION("GOOGLETRANSLATE(B19,""en"",""th"")"),"ปิด")</f>
        <v>ปิด</v>
      </c>
      <c r="Y19" s="4" t="str">
        <f>IFERROR(__xludf.DUMMYFUNCTION("GOOGLETRANSLATE(B19,""en"",""ko"")"),"닫다")</f>
        <v>닫다</v>
      </c>
      <c r="Z19" s="4" t="str">
        <f>IFERROR(__xludf.DUMMYFUNCTION("GOOGLETRANSLATE(B19,""en"",""zh"")"),"关闭")</f>
        <v>关闭</v>
      </c>
      <c r="AA19" s="4" t="str">
        <f>IFERROR(__xludf.DUMMYFUNCTION("GOOGLETRANSLATE(B19,""en"",""zh-TW"")"),"關閉")</f>
        <v>關閉</v>
      </c>
      <c r="AB19" s="4" t="str">
        <f>IFERROR(__xludf.DUMMYFUNCTION("GOOGLETRANSLATE(B19,""en"",""ja"")"),"近い")</f>
        <v>近い</v>
      </c>
      <c r="AC19" s="4" t="str">
        <f>IFERROR(__xludf.DUMMYFUNCTION("GOOGLETRANSLATE(B19,""en"",""bg"")"),"затвори")</f>
        <v>затвори</v>
      </c>
      <c r="AD19" s="4" t="str">
        <f>IFERROR(__xludf.DUMMYFUNCTION("GOOGLETRANSLATE(B19,""en"",""cs"")"),"Blízko")</f>
        <v>Blízko</v>
      </c>
      <c r="AE19" s="4" t="str">
        <f>IFERROR(__xludf.DUMMYFUNCTION("GOOGLETRANSLATE(B19,""en"",""da"")"),"Tæt")</f>
        <v>Tæt</v>
      </c>
      <c r="AF19" s="4" t="str">
        <f>IFERROR(__xludf.DUMMYFUNCTION("GOOGLETRANSLATE(B19,""en"",""el"")"),"Κοντά")</f>
        <v>Κοντά</v>
      </c>
      <c r="AG19" s="4" t="str">
        <f>IFERROR(__xludf.DUMMYFUNCTION("GOOGLETRANSLATE(B19,""en"",""et"")"),"Sule")</f>
        <v>Sule</v>
      </c>
      <c r="AH19" s="4" t="str">
        <f>IFERROR(__xludf.DUMMYFUNCTION("GOOGLETRANSLATE(B19,""en"",""fi"")"),"Lähellä")</f>
        <v>Lähellä</v>
      </c>
      <c r="AI19" s="4" t="str">
        <f>IFERROR(__xludf.DUMMYFUNCTION("GOOGLETRANSLATE(B19,""en"",""hr"")"),"Zatvoriti")</f>
        <v>Zatvoriti</v>
      </c>
      <c r="AJ19" s="4" t="str">
        <f>IFERROR(__xludf.DUMMYFUNCTION("GOOGLETRANSLATE(B19,""en"",""hu"")"),"Közeli")</f>
        <v>Közeli</v>
      </c>
      <c r="AK19" s="4" t="str">
        <f>IFERROR(__xludf.DUMMYFUNCTION("GOOGLETRANSLATE(B19,""en"",""hy"")"),"Փակել")</f>
        <v>Փակել</v>
      </c>
      <c r="AL19" s="4" t="str">
        <f>IFERROR(__xludf.DUMMYFUNCTION("GOOGLETRANSLATE(B19,""en"",""ca"")"),"Tancar")</f>
        <v>Tancar</v>
      </c>
      <c r="AM19" s="4" t="str">
        <f>IFERROR(__xludf.DUMMYFUNCTION("GOOGLETRANSLATE(B19,""en"",""nl"")"),"Dichtbij")</f>
        <v>Dichtbij</v>
      </c>
      <c r="AN19" s="4" t="str">
        <f>IFERROR(__xludf.DUMMYFUNCTION("GOOGLETRANSLATE(B19,""en"",""he"")"),"לִסְגוֹר")</f>
        <v>לִסְגוֹר</v>
      </c>
      <c r="AO19" s="4" t="str">
        <f>IFERROR(__xludf.DUMMYFUNCTION("GOOGLETRANSLATE(B19,""en"",""is"")"),"Loka")</f>
        <v>Loka</v>
      </c>
      <c r="AP19" s="4" t="str">
        <f>IFERROR(__xludf.DUMMYFUNCTION("GOOGLETRANSLATE(B19,""en"",""no"")"),"Lukke")</f>
        <v>Lukke</v>
      </c>
      <c r="AQ19" s="4" t="str">
        <f>IFERROR(__xludf.DUMMYFUNCTION("GOOGLETRANSLATE(B19,""en"",""fa"")"),"بستن")</f>
        <v>بستن</v>
      </c>
      <c r="AR19" s="4" t="str">
        <f>IFERROR(__xludf.DUMMYFUNCTION("GOOGLETRANSLATE(B19,""en"",""pl"")"),"Zamknąć")</f>
        <v>Zamknąć</v>
      </c>
      <c r="AS19" s="4" t="str">
        <f>IFERROR(__xludf.DUMMYFUNCTION("GOOGLETRANSLATE(B19,""en"",""sv"")"),"Nära")</f>
        <v>Nära</v>
      </c>
      <c r="AT19" s="4" t="str">
        <f>IFERROR(__xludf.DUMMYFUNCTION("GOOGLETRANSLATE(B19,""en"",""uk"")"),"Закрити")</f>
        <v>Закрити</v>
      </c>
      <c r="AU19" s="4" t="str">
        <f>IFERROR(__xludf.DUMMYFUNCTION("GOOGLETRANSLATE(B19,""en"",""zu"")"),"Vala")</f>
        <v>Vala</v>
      </c>
      <c r="AV19" s="4" t="str">
        <f>IFERROR(__xludf.DUMMYFUNCTION("GOOGLETRANSLATE(B19,""en"",""sr"")"),"Затвори")</f>
        <v>Затвори</v>
      </c>
    </row>
    <row r="20">
      <c r="A20" s="3" t="s">
        <v>82</v>
      </c>
      <c r="B20" s="3" t="s">
        <v>83</v>
      </c>
      <c r="C20" s="4" t="str">
        <f>IFERROR(__xludf.DUMMYFUNCTION("GOOGLETRANSLATE(B20,""en"",""ta"")"),"வாழ்த்துகள்!")</f>
        <v>வாழ்த்துகள்!</v>
      </c>
      <c r="D20" s="4" t="str">
        <f>IFERROR(__xludf.DUMMYFUNCTION("GOOGLETRANSLATE(B20,""en"",""hi"")"),"बधाई हो!")</f>
        <v>बधाई हो!</v>
      </c>
      <c r="E20" s="4" t="str">
        <f>IFERROR(__xludf.DUMMYFUNCTION("GOOGLETRANSLATE(B20,""en"",""id"")"),"Selamat!")</f>
        <v>Selamat!</v>
      </c>
      <c r="F20" s="4" t="str">
        <f>IFERROR(__xludf.DUMMYFUNCTION("GOOGLETRANSLATE(B20,""en"",""ms"")"),"tahniah!")</f>
        <v>tahniah!</v>
      </c>
      <c r="G20" s="4" t="str">
        <f>IFERROR(__xludf.DUMMYFUNCTION("GOOGLETRANSLATE(B20,""en"",""de"")"),"Glückwunsch!")</f>
        <v>Glückwunsch!</v>
      </c>
      <c r="H20" s="4" t="str">
        <f>IFERROR(__xludf.DUMMYFUNCTION("GOOGLETRANSLATE(B20,""en"",""es"")"),"¡Felicidades!")</f>
        <v>¡Felicidades!</v>
      </c>
      <c r="I20" s="4" t="str">
        <f>IFERROR(__xludf.DUMMYFUNCTION("GOOGLETRANSLATE(B20,""en"",""fr"")"),"Félicitations!")</f>
        <v>Félicitations!</v>
      </c>
      <c r="J20" s="4" t="str">
        <f>IFERROR(__xludf.DUMMYFUNCTION("GOOGLETRANSLATE(B20,""en"",""it"")"),"Congratulazioni!")</f>
        <v>Congratulazioni!</v>
      </c>
      <c r="K20" s="4" t="str">
        <f>IFERROR(__xludf.DUMMYFUNCTION("GOOGLETRANSLATE(B20,""en"",""pt"")"),"Parabéns!")</f>
        <v>Parabéns!</v>
      </c>
      <c r="L20" s="4" t="str">
        <f>IFERROR(__xludf.DUMMYFUNCTION("GOOGLETRANSLATE(B20,""en"",""ro"")"),"Felicitări!")</f>
        <v>Felicitări!</v>
      </c>
      <c r="M20" s="4" t="str">
        <f>IFERROR(__xludf.DUMMYFUNCTION("GOOGLETRANSLATE(B20,""en"",""vi"")"),"Chúc mừng!")</f>
        <v>Chúc mừng!</v>
      </c>
      <c r="N20" s="4" t="str">
        <f>IFERROR(__xludf.DUMMYFUNCTION("GOOGLETRANSLATE(B20,""en"",""ru"")"),"Поздравляю!")</f>
        <v>Поздравляю!</v>
      </c>
      <c r="O20" s="4" t="str">
        <f>IFERROR(__xludf.DUMMYFUNCTION("GOOGLETRANSLATE(B20,""en"",""tr"")"),"Tebrikler!")</f>
        <v>Tebrikler!</v>
      </c>
      <c r="P20" s="4" t="str">
        <f>IFERROR(__xludf.DUMMYFUNCTION("GOOGLETRANSLATE(B20,""en"",""ar"")"),"مبروك!")</f>
        <v>مبروك!</v>
      </c>
      <c r="Q20" s="4" t="str">
        <f>IFERROR(__xludf.DUMMYFUNCTION("GOOGLETRANSLATE(B20,""en"",""mr"")"),"अभिनंदन!")</f>
        <v>अभिनंदन!</v>
      </c>
      <c r="R20" s="4" t="str">
        <f>IFERROR(__xludf.DUMMYFUNCTION("GOOGLETRANSLATE(B20,""en"",""gu"")"),"અભિનંદન!")</f>
        <v>અભિનંદન!</v>
      </c>
      <c r="S20" s="4" t="str">
        <f>IFERROR(__xludf.DUMMYFUNCTION("GOOGLETRANSLATE(B20,""en"",""bn"")"),"অভিনন্দন!")</f>
        <v>অভিনন্দন!</v>
      </c>
      <c r="T20" s="4" t="str">
        <f>IFERROR(__xludf.DUMMYFUNCTION("GOOGLETRANSLATE(B20,""en"",""pa"")"),"ਵਧਾਈਆਂ!")</f>
        <v>ਵਧਾਈਆਂ!</v>
      </c>
      <c r="U20" s="4" t="str">
        <f>IFERROR(__xludf.DUMMYFUNCTION("GOOGLETRANSLATE(B20,""en"",""te"")"),"అభినందనలు!")</f>
        <v>అభినందనలు!</v>
      </c>
      <c r="V20" s="4" t="str">
        <f>IFERROR(__xludf.DUMMYFUNCTION("GOOGLETRANSLATE(B20,""en"",""kn"")"),"ಅಭಿನಂದನೆಗಳು!")</f>
        <v>ಅಭಿನಂದನೆಗಳು!</v>
      </c>
      <c r="W20" s="4" t="str">
        <f>IFERROR(__xludf.DUMMYFUNCTION("GOOGLETRANSLATE(B20,""en"",""ml"")"),"അഭിനന്ദനങ്ങൾ!")</f>
        <v>അഭിനന്ദനങ്ങൾ!</v>
      </c>
      <c r="X20" s="4" t="str">
        <f>IFERROR(__xludf.DUMMYFUNCTION("GOOGLETRANSLATE(B20,""en"",""th"")"),"ยินดีด้วย!")</f>
        <v>ยินดีด้วย!</v>
      </c>
      <c r="Y20" s="4" t="str">
        <f>IFERROR(__xludf.DUMMYFUNCTION("GOOGLETRANSLATE(B20,""en"",""ko"")"),"축하해요!")</f>
        <v>축하해요!</v>
      </c>
      <c r="Z20" s="4" t="str">
        <f>IFERROR(__xludf.DUMMYFUNCTION("GOOGLETRANSLATE(B20,""en"",""zh"")"),"恭喜！")</f>
        <v>恭喜！</v>
      </c>
      <c r="AA20" s="4" t="str">
        <f>IFERROR(__xludf.DUMMYFUNCTION("GOOGLETRANSLATE(B20,""en"",""zh-TW"")"),"恭喜！")</f>
        <v>恭喜！</v>
      </c>
      <c r="AB20" s="4" t="str">
        <f>IFERROR(__xludf.DUMMYFUNCTION("GOOGLETRANSLATE(B20,""en"",""ja"")"),"おめでとう！")</f>
        <v>おめでとう！</v>
      </c>
      <c r="AC20" s="4" t="str">
        <f>IFERROR(__xludf.DUMMYFUNCTION("GOOGLETRANSLATE(B20,""en"",""bg"")"),"честито!")</f>
        <v>честито!</v>
      </c>
      <c r="AD20" s="4" t="str">
        <f>IFERROR(__xludf.DUMMYFUNCTION("GOOGLETRANSLATE(B20,""en"",""cs"")"),"Gratuluji!")</f>
        <v>Gratuluji!</v>
      </c>
      <c r="AE20" s="4" t="str">
        <f>IFERROR(__xludf.DUMMYFUNCTION("GOOGLETRANSLATE(B20,""en"",""da"")"),"Tillykke!")</f>
        <v>Tillykke!</v>
      </c>
      <c r="AF20" s="4" t="str">
        <f>IFERROR(__xludf.DUMMYFUNCTION("GOOGLETRANSLATE(B20,""en"",""el"")"),"Συγχαρητήρια!")</f>
        <v>Συγχαρητήρια!</v>
      </c>
      <c r="AG20" s="4" t="str">
        <f>IFERROR(__xludf.DUMMYFUNCTION("GOOGLETRANSLATE(B20,""en"",""et"")"),"Palju õnne!")</f>
        <v>Palju õnne!</v>
      </c>
      <c r="AH20" s="4" t="str">
        <f>IFERROR(__xludf.DUMMYFUNCTION("GOOGLETRANSLATE(B20,""en"",""fi"")"),"Onnittelut!")</f>
        <v>Onnittelut!</v>
      </c>
      <c r="AI20" s="4" t="str">
        <f>IFERROR(__xludf.DUMMYFUNCTION("GOOGLETRANSLATE(B20,""en"",""hr"")"),"čestitamo!")</f>
        <v>čestitamo!</v>
      </c>
      <c r="AJ20" s="4" t="str">
        <f>IFERROR(__xludf.DUMMYFUNCTION("GOOGLETRANSLATE(B20,""en"",""hu"")"),"Gratulálok!")</f>
        <v>Gratulálok!</v>
      </c>
      <c r="AK20" s="4" t="str">
        <f>IFERROR(__xludf.DUMMYFUNCTION("GOOGLETRANSLATE(B20,""en"",""hy"")"),"Շնորհավորում եմ:")</f>
        <v>Շնորհավորում եմ:</v>
      </c>
      <c r="AL20" s="4" t="str">
        <f>IFERROR(__xludf.DUMMYFUNCTION("GOOGLETRANSLATE(B20,""en"",""ca"")"),"Felicitats!")</f>
        <v>Felicitats!</v>
      </c>
      <c r="AM20" s="4" t="str">
        <f>IFERROR(__xludf.DUMMYFUNCTION("GOOGLETRANSLATE(B20,""en"",""nl"")"),"Gefeliciteerd!")</f>
        <v>Gefeliciteerd!</v>
      </c>
      <c r="AN20" s="4" t="str">
        <f>IFERROR(__xludf.DUMMYFUNCTION("GOOGLETRANSLATE(B20,""en"",""he"")"),"מזל טוב!")</f>
        <v>מזל טוב!</v>
      </c>
      <c r="AO20" s="4" t="str">
        <f>IFERROR(__xludf.DUMMYFUNCTION("GOOGLETRANSLATE(B20,""en"",""is"")"),"Til hamingju!")</f>
        <v>Til hamingju!</v>
      </c>
      <c r="AP20" s="4" t="str">
        <f>IFERROR(__xludf.DUMMYFUNCTION("GOOGLETRANSLATE(B20,""en"",""no"")"),"Gratulerer!")</f>
        <v>Gratulerer!</v>
      </c>
      <c r="AQ20" s="4" t="str">
        <f>IFERROR(__xludf.DUMMYFUNCTION("GOOGLETRANSLATE(B20,""en"",""fa"")"),"تبریک می گویم!")</f>
        <v>تبریک می گویم!</v>
      </c>
      <c r="AR20" s="4" t="str">
        <f>IFERROR(__xludf.DUMMYFUNCTION("GOOGLETRANSLATE(B20,""en"",""pl"")"),"Gratulacje!")</f>
        <v>Gratulacje!</v>
      </c>
      <c r="AS20" s="4" t="str">
        <f>IFERROR(__xludf.DUMMYFUNCTION("GOOGLETRANSLATE(B20,""en"",""sv"")"),"Grattis!")</f>
        <v>Grattis!</v>
      </c>
      <c r="AT20" s="4" t="str">
        <f>IFERROR(__xludf.DUMMYFUNCTION("GOOGLETRANSLATE(B20,""en"",""uk"")"),"Щиро вітаю!")</f>
        <v>Щиро вітаю!</v>
      </c>
      <c r="AU20" s="4" t="str">
        <f>IFERROR(__xludf.DUMMYFUNCTION("GOOGLETRANSLATE(B20,""en"",""zu"")"),"Siyakuhalalisela!")</f>
        <v>Siyakuhalalisela!</v>
      </c>
      <c r="AV20" s="4" t="str">
        <f>IFERROR(__xludf.DUMMYFUNCTION("GOOGLETRANSLATE(B20,""en"",""sr"")"),"Честитамо!")</f>
        <v>Честитамо!</v>
      </c>
    </row>
    <row r="21">
      <c r="A21" s="3" t="s">
        <v>84</v>
      </c>
      <c r="B21" s="3" t="s">
        <v>85</v>
      </c>
      <c r="C21" s="4" t="str">
        <f>IFERROR(__xludf.DUMMYFUNCTION("GOOGLETRANSLATE(B21,""en"",""ta"")"),"உங்கள் தினசரி படி இலக்கான {{stepGoal}} படிகளை அடைந்துவிட்டீர்கள்!")</f>
        <v>உங்கள் தினசரி படி இலக்கான {{stepGoal}} படிகளை அடைந்துவிட்டீர்கள்!</v>
      </c>
      <c r="D21" s="4" t="str">
        <f>IFERROR(__xludf.DUMMYFUNCTION("GOOGLETRANSLATE(B21,""en"",""hi"")"),"आपने अपना दैनिक कदम लक्ष्य {{stepGoal}} हासिल कर लिया है!")</f>
        <v>आपने अपना दैनिक कदम लक्ष्य {{stepGoal}} हासिल कर लिया है!</v>
      </c>
      <c r="E21" s="4" t="str">
        <f>IFERROR(__xludf.DUMMYFUNCTION("GOOGLETRANSLATE(B21,""en"",""id"")"),"Anda telah mencapai target langkah harian Anda sejumlah {{stepGoal}} langkah!")</f>
        <v>Anda telah mencapai target langkah harian Anda sejumlah {{stepGoal}} langkah!</v>
      </c>
      <c r="F21" s="4" t="str">
        <f>IFERROR(__xludf.DUMMYFUNCTION("GOOGLETRANSLATE(B21,""en"",""ms"")"),"Anda telah mencapai matlamat langkah harian anda iaitu {{stepGoal}} langkah!")</f>
        <v>Anda telah mencapai matlamat langkah harian anda iaitu {{stepGoal}} langkah!</v>
      </c>
      <c r="G21" s="4" t="str">
        <f>IFERROR(__xludf.DUMMYFUNCTION("GOOGLETRANSLATE(B21,""en"",""de"")"),"Sie haben Ihr tägliches Schrittziel von {{stepGoal}} Schritten erreicht!")</f>
        <v>Sie haben Ihr tägliches Schrittziel von {{stepGoal}} Schritten erreicht!</v>
      </c>
      <c r="H21" s="4" t="str">
        <f>IFERROR(__xludf.DUMMYFUNCTION("GOOGLETRANSLATE(B21,""en"",""es"")"),"¡Has alcanzado tu objetivo diario de pasos de {{stepGoal}} pasos!")</f>
        <v>¡Has alcanzado tu objetivo diario de pasos de {{stepGoal}} pasos!</v>
      </c>
      <c r="I21" s="4" t="str">
        <f>IFERROR(__xludf.DUMMYFUNCTION("GOOGLETRANSLATE(B21,""en"",""fr"")"),"Vous avez atteint votre objectif quotidien de {{stepGoal}} pas !")</f>
        <v>Vous avez atteint votre objectif quotidien de {{stepGoal}} pas !</v>
      </c>
      <c r="J21" s="4" t="str">
        <f>IFERROR(__xludf.DUMMYFUNCTION("GOOGLETRANSLATE(B21,""en"",""it"")"),"Hai raggiunto il tuo obiettivo giornaliero di {{stepGoal}} passi!")</f>
        <v>Hai raggiunto il tuo obiettivo giornaliero di {{stepGoal}} passi!</v>
      </c>
      <c r="K21" s="4" t="str">
        <f>IFERROR(__xludf.DUMMYFUNCTION("GOOGLETRANSLATE(B21,""en"",""pt"")"),"Você atingiu sua meta diária de {{stepGoal}} passos!")</f>
        <v>Você atingiu sua meta diária de {{stepGoal}} passos!</v>
      </c>
      <c r="L21" s="4" t="str">
        <f>IFERROR(__xludf.DUMMYFUNCTION("GOOGLETRANSLATE(B21,""en"",""ro"")"),"V-ați atins obiectivul zilnic de {{stepGoal}} pași!")</f>
        <v>V-ați atins obiectivul zilnic de {{stepGoal}} pași!</v>
      </c>
      <c r="M21" s="4" t="str">
        <f>IFERROR(__xludf.DUMMYFUNCTION("GOOGLETRANSLATE(B21,""en"",""vi"")"),"Bạn đã đạt được mục tiêu đi bộ mỗi ngày là {{stepGoal}} bước!")</f>
        <v>Bạn đã đạt được mục tiêu đi bộ mỗi ngày là {{stepGoal}} bước!</v>
      </c>
      <c r="N21" s="4" t="str">
        <f>IFERROR(__xludf.DUMMYFUNCTION("GOOGLETRANSLATE(B21,""en"",""ru"")"),"Вы достигли своей ежедневной цели по шагам — {{stepGoal}} шагов!")</f>
        <v>Вы достигли своей ежедневной цели по шагам — {{stepGoal}} шагов!</v>
      </c>
      <c r="O21" s="4" t="str">
        <f>IFERROR(__xludf.DUMMYFUNCTION("GOOGLETRANSLATE(B21,""en"",""tr"")"),"Günlük adım hedefinize {{stepGoal}} adımla ulaştınız!")</f>
        <v>Günlük adım hedefinize {{stepGoal}} adımla ulaştınız!</v>
      </c>
      <c r="P21" s="4" t="str">
        <f>IFERROR(__xludf.DUMMYFUNCTION("GOOGLETRANSLATE(B21,""en"",""ar"")"),"لقد حققت هدفك اليومي من الخطوات وهو {{stepGoal}} خطوة!")</f>
        <v>لقد حققت هدفك اليومي من الخطوات وهو {{stepGoal}} خطوة!</v>
      </c>
      <c r="Q21" s="4" t="str">
        <f>IFERROR(__xludf.DUMMYFUNCTION("GOOGLETRANSLATE(B21,""en"",""mr"")"),"तुम्ही तुमचे दररोजचे {{stepGoal}} चरणांचे ध्येय गाठले आहे!")</f>
        <v>तुम्ही तुमचे दररोजचे {{stepGoal}} चरणांचे ध्येय गाठले आहे!</v>
      </c>
      <c r="R21" s="4" t="str">
        <f>IFERROR(__xludf.DUMMYFUNCTION("GOOGLETRANSLATE(B21,""en"",""gu"")"),"તમે તમારું {{stepGoal}} પગલાંનું દૈનિક પગલું લક્ષ્ય હાંસલ કર્યું છે!")</f>
        <v>તમે તમારું {{stepGoal}} પગલાંનું દૈનિક પગલું લક્ષ્ય હાંસલ કર્યું છે!</v>
      </c>
      <c r="S21" s="4" t="str">
        <f>IFERROR(__xludf.DUMMYFUNCTION("GOOGLETRANSLATE(B21,""en"",""bn"")"),"আপনি আপনার প্রতিদিনের {{stepGoal}}টি ধাপের লক্ষ্য অর্জন করেছেন!")</f>
        <v>আপনি আপনার প্রতিদিনের {{stepGoal}}টি ধাপের লক্ষ্য অর্জন করেছেন!</v>
      </c>
      <c r="T21" s="4" t="str">
        <f>IFERROR(__xludf.DUMMYFUNCTION("GOOGLETRANSLATE(B21,""en"",""pa"")"),"ਤੁਸੀਂ {{stepGoal}} ਕਦਮਾਂ ਦਾ ਆਪਣਾ ਰੋਜ਼ਾਨਾ ਕਦਮ ਦਾ ਟੀਚਾ ਪ੍ਰਾਪਤ ਕਰ ਲਿਆ ਹੈ!")</f>
        <v>ਤੁਸੀਂ {{stepGoal}} ਕਦਮਾਂ ਦਾ ਆਪਣਾ ਰੋਜ਼ਾਨਾ ਕਦਮ ਦਾ ਟੀਚਾ ਪ੍ਰਾਪਤ ਕਰ ਲਿਆ ਹੈ!</v>
      </c>
      <c r="U21" s="4" t="str">
        <f>IFERROR(__xludf.DUMMYFUNCTION("GOOGLETRANSLATE(B21,""en"",""te"")"),"మీరు మీ రోజువారీ దశల {{stepGoal}} దశల లక్ష్యాన్ని సాధించారు!")</f>
        <v>మీరు మీ రోజువారీ దశల {{stepGoal}} దశల లక్ష్యాన్ని సాధించారు!</v>
      </c>
      <c r="V21" s="4" t="str">
        <f>IFERROR(__xludf.DUMMYFUNCTION("GOOGLETRANSLATE(B21,""en"",""kn"")"),"ನಿಮ್ಮ ದೈನಂದಿನ ಹಂತದ ಗುರಿಯಾದ {{stepGoal}} ಹಂತಗಳನ್ನು ನೀವು ಸಾಧಿಸಿರುವಿರಿ!")</f>
        <v>ನಿಮ್ಮ ದೈನಂದಿನ ಹಂತದ ಗುರಿಯಾದ {{stepGoal}} ಹಂತಗಳನ್ನು ನೀವು ಸಾಧಿಸಿರುವಿರಿ!</v>
      </c>
      <c r="W21" s="4" t="str">
        <f>IFERROR(__xludf.DUMMYFUNCTION("GOOGLETRANSLATE(B21,""en"",""ml"")"),"നിങ്ങളുടെ പ്രതിദിന ഘട്ടമായ {{stepGoal}} ഘട്ടങ്ങൾ നിങ്ങൾ നേടിയിരിക്കുന്നു!")</f>
        <v>നിങ്ങളുടെ പ്രതിദിന ഘട്ടമായ {{stepGoal}} ഘട്ടങ്ങൾ നിങ്ങൾ നേടിയിരിക്കുന്നു!</v>
      </c>
      <c r="X21" s="4" t="str">
        <f>IFERROR(__xludf.DUMMYFUNCTION("GOOGLETRANSLATE(B21,""en"",""th"")"),"คุณบรรลุเป้าหมายจำนวนก้าวรายวันของคุณแล้ว {{stepGoal}} ก้าว!")</f>
        <v>คุณบรรลุเป้าหมายจำนวนก้าวรายวันของคุณแล้ว {{stepGoal}} ก้าว!</v>
      </c>
      <c r="Y21" s="4" t="str">
        <f>IFERROR(__xludf.DUMMYFUNCTION("GOOGLETRANSLATE(B21,""en"",""ko"")"),"일일 걸음 수 목표인 {{stepGoal}}걸음을 달성했습니다!")</f>
        <v>일일 걸음 수 목표인 {{stepGoal}}걸음을 달성했습니다!</v>
      </c>
      <c r="Z21" s="4" t="str">
        <f>IFERROR(__xludf.DUMMYFUNCTION("GOOGLETRANSLATE(B21,""en"",""zh"")"),"您已达成每日步数目标 {{stepGoal}} 步！")</f>
        <v>您已达成每日步数目标 {{stepGoal}} 步！</v>
      </c>
      <c r="AA21" s="4" t="str">
        <f>IFERROR(__xludf.DUMMYFUNCTION("GOOGLETRANSLATE(B21,""en"",""zh-TW"")"),"您已達成每日步數目標 {{stepGoal}} 步！")</f>
        <v>您已達成每日步數目標 {{stepGoal}} 步！</v>
      </c>
      <c r="AB21" s="4" t="str">
        <f>IFERROR(__xludf.DUMMYFUNCTION("GOOGLETRANSLATE(B21,""en"",""ja"")"),"毎日の歩数目標である {{stepGoal}} 歩を達成しました!")</f>
        <v>毎日の歩数目標である {{stepGoal}} 歩を達成しました!</v>
      </c>
      <c r="AC21" s="4" t="str">
        <f>IFERROR(__xludf.DUMMYFUNCTION("GOOGLETRANSLATE(B21,""en"",""bg"")"),"Постигнахте дневната си цел от {{stepGoal}} крачки!")</f>
        <v>Постигнахте дневната си цел от {{stepGoal}} крачки!</v>
      </c>
      <c r="AD21" s="4" t="str">
        <f>IFERROR(__xludf.DUMMYFUNCTION("GOOGLETRANSLATE(B21,""en"",""cs"")"),"Dosáhli jste svého denního cílového počtu {{stepGoal}} kroků!")</f>
        <v>Dosáhli jste svého denního cílového počtu {{stepGoal}} kroků!</v>
      </c>
      <c r="AE21" s="4" t="str">
        <f>IFERROR(__xludf.DUMMYFUNCTION("GOOGLETRANSLATE(B21,""en"",""da"")"),"Du har nået dit daglige trinmål på {{stepGoal}} trin!")</f>
        <v>Du har nået dit daglige trinmål på {{stepGoal}} trin!</v>
      </c>
      <c r="AF21" s="4" t="str">
        <f>IFERROR(__xludf.DUMMYFUNCTION("GOOGLETRANSLATE(B21,""en"",""el"")"),"Πετύχατε τον ημερήσιο στόχο βημάτων σας για {{stepGoal}} βήματα!")</f>
        <v>Πετύχατε τον ημερήσιο στόχο βημάτων σας για {{stepGoal}} βήματα!</v>
      </c>
      <c r="AG21" s="4" t="str">
        <f>IFERROR(__xludf.DUMMYFUNCTION("GOOGLETRANSLATE(B21,""en"",""et"")"),"Olete saavutanud oma igapäevase sammu eesmärgi ({{stepGoal}} sammu)!")</f>
        <v>Olete saavutanud oma igapäevase sammu eesmärgi ({{stepGoal}} sammu)!</v>
      </c>
      <c r="AH21" s="4" t="str">
        <f>IFERROR(__xludf.DUMMYFUNCTION("GOOGLETRANSLATE(B21,""en"",""fi"")"),"Olet saavuttanut päivittäisen askeltavoitteesi, joka on {{stepGoal}} askelta!")</f>
        <v>Olet saavuttanut päivittäisen askeltavoitteesi, joka on {{stepGoal}} askelta!</v>
      </c>
      <c r="AI21" s="4" t="str">
        <f>IFERROR(__xludf.DUMMYFUNCTION("GOOGLETRANSLATE(B21,""en"",""hr"")"),"Postigli ste svoj dnevni cilj od {{stepGoal}} koraka!")</f>
        <v>Postigli ste svoj dnevni cilj od {{stepGoal}} koraka!</v>
      </c>
      <c r="AJ21" s="4" t="str">
        <f>IFERROR(__xludf.DUMMYFUNCTION("GOOGLETRANSLATE(B21,""en"",""hu"")"),"Elérte a napi {{stepGoal}} lépéses lépéscélját!")</f>
        <v>Elérte a napi {{stepGoal}} lépéses lépéscélját!</v>
      </c>
      <c r="AK21" s="4" t="str">
        <f>IFERROR(__xludf.DUMMYFUNCTION("GOOGLETRANSLATE(B21,""en"",""hy"")"),"Դուք հասել եք ձեր ամենօրյա քայլի նպատակին՝ {{stepGoal}} քայլ:")</f>
        <v>Դուք հասել եք ձեր ամենօրյա քայլի նպատակին՝ {{stepGoal}} քայլ:</v>
      </c>
      <c r="AL21" s="4" t="str">
        <f>IFERROR(__xludf.DUMMYFUNCTION("GOOGLETRANSLATE(B21,""en"",""ca"")"),"Heu assolit el vostre objectiu diari de {{stepGoal}} passos!")</f>
        <v>Heu assolit el vostre objectiu diari de {{stepGoal}} passos!</v>
      </c>
      <c r="AM21" s="4" t="str">
        <f>IFERROR(__xludf.DUMMYFUNCTION("GOOGLETRANSLATE(B21,""en"",""nl"")"),"Je hebt je dagelijkse stapdoel van {{stepGoal}} stappen bereikt!")</f>
        <v>Je hebt je dagelijkse stapdoel van {{stepGoal}} stappen bereikt!</v>
      </c>
      <c r="AN21" s="4" t="str">
        <f>IFERROR(__xludf.DUMMYFUNCTION("GOOGLETRANSLATE(B21,""en"",""he"")"),"השגת את יעד הצעד היומי שלך של {{stepGoal}} צעדים!")</f>
        <v>השגת את יעד הצעד היומי שלך של {{stepGoal}} צעדים!</v>
      </c>
      <c r="AO21" s="4" t="str">
        <f>IFERROR(__xludf.DUMMYFUNCTION("GOOGLETRANSLATE(B21,""en"",""is"")"),"Þú hefur náð daglegu skrefamarkmiði þínu, {{stepGoal}} skrefum!")</f>
        <v>Þú hefur náð daglegu skrefamarkmiði þínu, {{stepGoal}} skrefum!</v>
      </c>
      <c r="AP21" s="4" t="str">
        <f>IFERROR(__xludf.DUMMYFUNCTION("GOOGLETRANSLATE(B21,""en"",""no"")"),"Du har nådd det daglige trinnmålet ditt på {{stepGoal}} trinn!")</f>
        <v>Du har nådd det daglige trinnmålet ditt på {{stepGoal}} trinn!</v>
      </c>
      <c r="AQ21" s="4" t="str">
        <f>IFERROR(__xludf.DUMMYFUNCTION("GOOGLETRANSLATE(B21,""en"",""fa"")"),"شما به هدف گام روزانه خود یعنی {{stepGoal}} مرحله دست یافته اید!")</f>
        <v>شما به هدف گام روزانه خود یعنی {{stepGoal}} مرحله دست یافته اید!</v>
      </c>
      <c r="AR21" s="4" t="str">
        <f>IFERROR(__xludf.DUMMYFUNCTION("GOOGLETRANSLATE(B21,""en"",""pl"")"),"Osiągnąłeś swój dzienny cel kroków wynoszący {{stepGoal}} kroków!")</f>
        <v>Osiągnąłeś swój dzienny cel kroków wynoszący {{stepGoal}} kroków!</v>
      </c>
      <c r="AS21" s="4" t="str">
        <f>IFERROR(__xludf.DUMMYFUNCTION("GOOGLETRANSLATE(B21,""en"",""sv"")"),"Du har uppnått ditt dagliga stegmål på {{stepGoal}} steg!")</f>
        <v>Du har uppnått ditt dagliga stegmål på {{stepGoal}} steg!</v>
      </c>
      <c r="AT21" s="4" t="str">
        <f>IFERROR(__xludf.DUMMYFUNCTION("GOOGLETRANSLATE(B21,""en"",""uk"")"),"Ви досягли своєї денної цілі в {{stepGoal}} кроків!")</f>
        <v>Ви досягли своєї денної цілі в {{stepGoal}} кроків!</v>
      </c>
      <c r="AU21" s="4" t="str">
        <f>IFERROR(__xludf.DUMMYFUNCTION("GOOGLETRANSLATE(B21,""en"",""zu"")"),"Ufinyelele umgomo wakho wansuku zonke wezinyathelo ezingu-{{stepGoal}}!")</f>
        <v>Ufinyelele umgomo wakho wansuku zonke wezinyathelo ezingu-{{stepGoal}}!</v>
      </c>
      <c r="AV21" s="4" t="str">
        <f>IFERROR(__xludf.DUMMYFUNCTION("GOOGLETRANSLATE(B21,""en"",""sr"")"),"Постигли сте свој дневни циљ од {{степГоал}} корака!")</f>
        <v>Постигли сте свој дневни циљ од {{степГоал}} корака!</v>
      </c>
    </row>
    <row r="22">
      <c r="A22" s="3" t="s">
        <v>86</v>
      </c>
      <c r="B22" s="3" t="s">
        <v>87</v>
      </c>
      <c r="C22" s="4" t="str">
        <f>IFERROR(__xludf.DUMMYFUNCTION("GOOGLETRANSLATE(B22,""en"",""ta"")"),"தற்போதைய படிகள்: {{steps}}")</f>
        <v>தற்போதைய படிகள்: {{steps}}</v>
      </c>
      <c r="D22" s="4" t="str">
        <f>IFERROR(__xludf.DUMMYFUNCTION("GOOGLETRANSLATE(B22,""en"",""hi"")"),"वर्तमान चरण: {{चरण}}")</f>
        <v>वर्तमान चरण: {{चरण}}</v>
      </c>
      <c r="E22" s="4" t="str">
        <f>IFERROR(__xludf.DUMMYFUNCTION("GOOGLETRANSLATE(B22,""en"",""id"")"),"Langkah saat ini: {{langkah}}")</f>
        <v>Langkah saat ini: {{langkah}}</v>
      </c>
      <c r="F22" s="4" t="str">
        <f>IFERROR(__xludf.DUMMYFUNCTION("GOOGLETRANSLATE(B22,""en"",""ms"")"),"Langkah semasa: {{langkah}}")</f>
        <v>Langkah semasa: {{langkah}}</v>
      </c>
      <c r="G22" s="4" t="str">
        <f>IFERROR(__xludf.DUMMYFUNCTION("GOOGLETRANSLATE(B22,""en"",""de"")"),"Aktuelle Schritte: {{steps}}")</f>
        <v>Aktuelle Schritte: {{steps}}</v>
      </c>
      <c r="H22" s="4" t="str">
        <f>IFERROR(__xludf.DUMMYFUNCTION("GOOGLETRANSLATE(B22,""en"",""es"")"),"Pasos actuales: {{pasos}}")</f>
        <v>Pasos actuales: {{pasos}}</v>
      </c>
      <c r="I22" s="4" t="str">
        <f>IFERROR(__xludf.DUMMYFUNCTION("GOOGLETRANSLATE(B22,""en"",""fr"")"),"Étapes actuelles : {{steps}}")</f>
        <v>Étapes actuelles : {{steps}}</v>
      </c>
      <c r="J22" s="4" t="str">
        <f>IFERROR(__xludf.DUMMYFUNCTION("GOOGLETRANSLATE(B22,""en"",""it"")"),"Passaggi attuali: {{steps}}")</f>
        <v>Passaggi attuali: {{steps}}</v>
      </c>
      <c r="K22" s="4" t="str">
        <f>IFERROR(__xludf.DUMMYFUNCTION("GOOGLETRANSLATE(B22,""en"",""pt"")"),"Etapas atuais: {{steps}}")</f>
        <v>Etapas atuais: {{steps}}</v>
      </c>
      <c r="L22" s="4" t="str">
        <f>IFERROR(__xludf.DUMMYFUNCTION("GOOGLETRANSLATE(B22,""en"",""ro"")"),"Pași actuali: {{pași}}")</f>
        <v>Pași actuali: {{pași}}</v>
      </c>
      <c r="M22" s="4" t="str">
        <f>IFERROR(__xludf.DUMMYFUNCTION("GOOGLETRANSLATE(B22,""en"",""vi"")"),"Các bước hiện tại: {{steps}}")</f>
        <v>Các bước hiện tại: {{steps}}</v>
      </c>
      <c r="N22" s="4" t="str">
        <f>IFERROR(__xludf.DUMMYFUNCTION("GOOGLETRANSLATE(B22,""en"",""ru"")"),"Текущие шаги: {{steps}}")</f>
        <v>Текущие шаги: {{steps}}</v>
      </c>
      <c r="O22" s="4" t="str">
        <f>IFERROR(__xludf.DUMMYFUNCTION("GOOGLETRANSLATE(B22,""en"",""tr"")"),"Mevcut adımlar: {{steps}}")</f>
        <v>Mevcut adımlar: {{steps}}</v>
      </c>
      <c r="P22" s="4" t="str">
        <f>IFERROR(__xludf.DUMMYFUNCTION("GOOGLETRANSLATE(B22,""en"",""ar"")"),"الخطوات الحالية: {{steps}}")</f>
        <v>الخطوات الحالية: {{steps}}</v>
      </c>
      <c r="Q22" s="4" t="str">
        <f>IFERROR(__xludf.DUMMYFUNCTION("GOOGLETRANSLATE(B22,""en"",""mr"")"),"सध्याच्या पायऱ्या: {{steps}}")</f>
        <v>सध्याच्या पायऱ्या: {{steps}}</v>
      </c>
      <c r="R22" s="4" t="str">
        <f>IFERROR(__xludf.DUMMYFUNCTION("GOOGLETRANSLATE(B22,""en"",""gu"")"),"વર્તમાન પગલાં: {{steps}}")</f>
        <v>વર્તમાન પગલાં: {{steps}}</v>
      </c>
      <c r="S22" s="4" t="str">
        <f>IFERROR(__xludf.DUMMYFUNCTION("GOOGLETRANSLATE(B22,""en"",""bn"")"),"বর্তমান পদক্ষেপ: {{steps}}")</f>
        <v>বর্তমান পদক্ষেপ: {{steps}}</v>
      </c>
      <c r="T22" s="4" t="str">
        <f>IFERROR(__xludf.DUMMYFUNCTION("GOOGLETRANSLATE(B22,""en"",""pa"")"),"ਮੌਜੂਦਾ ਪੜਾਅ: {{steps}}")</f>
        <v>ਮੌਜੂਦਾ ਪੜਾਅ: {{steps}}</v>
      </c>
      <c r="U22" s="4" t="str">
        <f>IFERROR(__xludf.DUMMYFUNCTION("GOOGLETRANSLATE(B22,""en"",""te"")"),"ప్రస్తుత దశలు: {{steps}}")</f>
        <v>ప్రస్తుత దశలు: {{steps}}</v>
      </c>
      <c r="V22" s="4" t="str">
        <f>IFERROR(__xludf.DUMMYFUNCTION("GOOGLETRANSLATE(B22,""en"",""kn"")"),"ಪ್ರಸ್ತುತ ಹಂತಗಳು: {{steps}}")</f>
        <v>ಪ್ರಸ್ತುತ ಹಂತಗಳು: {{steps}}</v>
      </c>
      <c r="W22" s="4" t="str">
        <f>IFERROR(__xludf.DUMMYFUNCTION("GOOGLETRANSLATE(B22,""en"",""ml"")"),"നിലവിലെ ഘട്ടങ്ങൾ: {{steps}}")</f>
        <v>നിലവിലെ ഘട്ടങ്ങൾ: {{steps}}</v>
      </c>
      <c r="X22" s="4" t="str">
        <f>IFERROR(__xludf.DUMMYFUNCTION("GOOGLETRANSLATE(B22,""en"",""th"")"),"ขั้นตอนปัจจุบัน: {{ขั้นตอน}}")</f>
        <v>ขั้นตอนปัจจุบัน: {{ขั้นตอน}}</v>
      </c>
      <c r="Y22" s="4" t="str">
        <f>IFERROR(__xludf.DUMMYFUNCTION("GOOGLETRANSLATE(B22,""en"",""ko"")"),"현재 단계: {{steps}}")</f>
        <v>현재 단계: {{steps}}</v>
      </c>
      <c r="Z22" s="4" t="str">
        <f>IFERROR(__xludf.DUMMYFUNCTION("GOOGLETRANSLATE(B22,""en"",""zh"")"),"当前步骤：{{steps}}")</f>
        <v>当前步骤：{{steps}}</v>
      </c>
      <c r="AA22" s="4" t="str">
        <f>IFERROR(__xludf.DUMMYFUNCTION("GOOGLETRANSLATE(B22,""en"",""zh-TW"")"),"目前步驟：{{steps}}")</f>
        <v>目前步驟：{{steps}}</v>
      </c>
      <c r="AB22" s="4" t="str">
        <f>IFERROR(__xludf.DUMMYFUNCTION("GOOGLETRANSLATE(B22,""en"",""ja"")"),"現在の歩数: {{steps}}")</f>
        <v>現在の歩数: {{steps}}</v>
      </c>
      <c r="AC22" s="4" t="str">
        <f>IFERROR(__xludf.DUMMYFUNCTION("GOOGLETRANSLATE(B22,""en"",""bg"")"),"Текущи стъпки: {{стъпки}}")</f>
        <v>Текущи стъпки: {{стъпки}}</v>
      </c>
      <c r="AD22" s="4" t="str">
        <f>IFERROR(__xludf.DUMMYFUNCTION("GOOGLETRANSLATE(B22,""en"",""cs"")"),"Aktuální kroky: {{steps}}")</f>
        <v>Aktuální kroky: {{steps}}</v>
      </c>
      <c r="AE22" s="4" t="str">
        <f>IFERROR(__xludf.DUMMYFUNCTION("GOOGLETRANSLATE(B22,""en"",""da"")"),"Nuværende trin: {{trin}}")</f>
        <v>Nuværende trin: {{trin}}</v>
      </c>
      <c r="AF22" s="4" t="str">
        <f>IFERROR(__xludf.DUMMYFUNCTION("GOOGLETRANSLATE(B22,""en"",""el"")"),"Τρέχοντα βήματα: {{βήματα}}")</f>
        <v>Τρέχοντα βήματα: {{βήματα}}</v>
      </c>
      <c r="AG22" s="4" t="str">
        <f>IFERROR(__xludf.DUMMYFUNCTION("GOOGLETRANSLATE(B22,""en"",""et"")"),"Praegused sammud: {{sammud}}")</f>
        <v>Praegused sammud: {{sammud}}</v>
      </c>
      <c r="AH22" s="4" t="str">
        <f>IFERROR(__xludf.DUMMYFUNCTION("GOOGLETRANSLATE(B22,""en"",""fi"")"),"Nykyiset vaiheet: {{vaiheet}}")</f>
        <v>Nykyiset vaiheet: {{vaiheet}}</v>
      </c>
      <c r="AI22" s="4" t="str">
        <f>IFERROR(__xludf.DUMMYFUNCTION("GOOGLETRANSLATE(B22,""en"",""hr"")"),"Trenutačni koraci: {{koraci}}")</f>
        <v>Trenutačni koraci: {{koraci}}</v>
      </c>
      <c r="AJ22" s="4" t="str">
        <f>IFERROR(__xludf.DUMMYFUNCTION("GOOGLETRANSLATE(B22,""en"",""hu"")"),"Jelenlegi lépések: {{lépések}}")</f>
        <v>Jelenlegi lépések: {{lépések}}</v>
      </c>
      <c r="AK22" s="4" t="str">
        <f>IFERROR(__xludf.DUMMYFUNCTION("GOOGLETRANSLATE(B22,""en"",""hy"")"),"Ընթացիկ քայլեր՝ {{քայլեր}}")</f>
        <v>Ընթացիկ քայլեր՝ {{քայլեր}}</v>
      </c>
      <c r="AL22" s="4" t="str">
        <f>IFERROR(__xludf.DUMMYFUNCTION("GOOGLETRANSLATE(B22,""en"",""ca"")"),"Passos actuals: {{passos}}")</f>
        <v>Passos actuals: {{passos}}</v>
      </c>
      <c r="AM22" s="4" t="str">
        <f>IFERROR(__xludf.DUMMYFUNCTION("GOOGLETRANSLATE(B22,""en"",""nl"")"),"Huidige stappen: {{stappen}}")</f>
        <v>Huidige stappen: {{stappen}}</v>
      </c>
      <c r="AN22" s="4" t="str">
        <f>IFERROR(__xludf.DUMMYFUNCTION("GOOGLETRANSLATE(B22,""en"",""he"")"),"שלבים נוכחיים: {{צעדים}}")</f>
        <v>שלבים נוכחיים: {{צעדים}}</v>
      </c>
      <c r="AO22" s="4" t="str">
        <f>IFERROR(__xludf.DUMMYFUNCTION("GOOGLETRANSLATE(B22,""en"",""is"")"),"Núverandi skref: {{skref}}")</f>
        <v>Núverandi skref: {{skref}}</v>
      </c>
      <c r="AP22" s="4" t="str">
        <f>IFERROR(__xludf.DUMMYFUNCTION("GOOGLETRANSLATE(B22,""en"",""no"")"),"Gjeldende trinn: {{trinn}}")</f>
        <v>Gjeldende trinn: {{trinn}}</v>
      </c>
      <c r="AQ22" s="4" t="str">
        <f>IFERROR(__xludf.DUMMYFUNCTION("GOOGLETRANSLATE(B22,""en"",""fa"")"),"مراحل فعلی: {{گام‌ها}}")</f>
        <v>مراحل فعلی: {{گام‌ها}}</v>
      </c>
      <c r="AR22" s="4" t="str">
        <f>IFERROR(__xludf.DUMMYFUNCTION("GOOGLETRANSLATE(B22,""en"",""pl"")"),"Aktualne kroki: {{kroki}}")</f>
        <v>Aktualne kroki: {{kroki}}</v>
      </c>
      <c r="AS22" s="4" t="str">
        <f>IFERROR(__xludf.DUMMYFUNCTION("GOOGLETRANSLATE(B22,""en"",""sv"")"),"Aktuella steg: {{steg}}")</f>
        <v>Aktuella steg: {{steg}}</v>
      </c>
      <c r="AT22" s="4" t="str">
        <f>IFERROR(__xludf.DUMMYFUNCTION("GOOGLETRANSLATE(B22,""en"",""uk"")"),"Поточні кроки: {{steps}}")</f>
        <v>Поточні кроки: {{steps}}</v>
      </c>
      <c r="AU22" s="4" t="str">
        <f>IFERROR(__xludf.DUMMYFUNCTION("GOOGLETRANSLATE(B22,""en"",""zu"")"),"Izinyathelo zamanje: {{steps}}")</f>
        <v>Izinyathelo zamanje: {{steps}}</v>
      </c>
      <c r="AV22" s="4" t="str">
        <f>IFERROR(__xludf.DUMMYFUNCTION("GOOGLETRANSLATE(B22,""en"",""sr"")"),"Тренутни кораци: {{степс}}")</f>
        <v>Тренутни кораци: {{степс}}</v>
      </c>
    </row>
    <row r="23">
      <c r="A23" s="3" t="s">
        <v>88</v>
      </c>
      <c r="B23" s="3" t="s">
        <v>89</v>
      </c>
      <c r="C23" s="4" t="str">
        <f>IFERROR(__xludf.DUMMYFUNCTION("GOOGLETRANSLATE(B23,""en"",""ta"")"),"தொடருங்கள்!")</f>
        <v>தொடருங்கள்!</v>
      </c>
      <c r="D23" s="4" t="str">
        <f>IFERROR(__xludf.DUMMYFUNCTION("GOOGLETRANSLATE(B23,""en"",""hi"")"),"जाता रहना!")</f>
        <v>जाता रहना!</v>
      </c>
      <c r="E23" s="4" t="str">
        <f>IFERROR(__xludf.DUMMYFUNCTION("GOOGLETRANSLATE(B23,""en"",""id"")"),"Terus berlanjut!")</f>
        <v>Terus berlanjut!</v>
      </c>
      <c r="F23" s="4" t="str">
        <f>IFERROR(__xludf.DUMMYFUNCTION("GOOGLETRANSLATE(B23,""en"",""ms"")"),"Teruskan!")</f>
        <v>Teruskan!</v>
      </c>
      <c r="G23" s="4" t="str">
        <f>IFERROR(__xludf.DUMMYFUNCTION("GOOGLETRANSLATE(B23,""en"",""de"")"),"Weitermachen!")</f>
        <v>Weitermachen!</v>
      </c>
      <c r="H23" s="4" t="str">
        <f>IFERROR(__xludf.DUMMYFUNCTION("GOOGLETRANSLATE(B23,""en"",""es"")"),"¡Sigue adelante!")</f>
        <v>¡Sigue adelante!</v>
      </c>
      <c r="I23" s="4" t="str">
        <f>IFERROR(__xludf.DUMMYFUNCTION("GOOGLETRANSLATE(B23,""en"",""fr"")"),"Continue!")</f>
        <v>Continue!</v>
      </c>
      <c r="J23" s="4" t="str">
        <f>IFERROR(__xludf.DUMMYFUNCTION("GOOGLETRANSLATE(B23,""en"",""it"")"),"Continuare!")</f>
        <v>Continuare!</v>
      </c>
      <c r="K23" s="4" t="str">
        <f>IFERROR(__xludf.DUMMYFUNCTION("GOOGLETRANSLATE(B23,""en"",""pt"")"),"Continue!")</f>
        <v>Continue!</v>
      </c>
      <c r="L23" s="4" t="str">
        <f>IFERROR(__xludf.DUMMYFUNCTION("GOOGLETRANSLATE(B23,""en"",""ro"")"),"Continuă!")</f>
        <v>Continuă!</v>
      </c>
      <c r="M23" s="4" t="str">
        <f>IFERROR(__xludf.DUMMYFUNCTION("GOOGLETRANSLATE(B23,""en"",""vi"")"),"Tiếp tục nào!")</f>
        <v>Tiếp tục nào!</v>
      </c>
      <c r="N23" s="4" t="str">
        <f>IFERROR(__xludf.DUMMYFUNCTION("GOOGLETRANSLATE(B23,""en"",""ru"")"),"Продолжать идти!")</f>
        <v>Продолжать идти!</v>
      </c>
      <c r="O23" s="4" t="str">
        <f>IFERROR(__xludf.DUMMYFUNCTION("GOOGLETRANSLATE(B23,""en"",""tr"")"),"Devam etmek!")</f>
        <v>Devam etmek!</v>
      </c>
      <c r="P23" s="4" t="str">
        <f>IFERROR(__xludf.DUMMYFUNCTION("GOOGLETRANSLATE(B23,""en"",""ar"")"),"يستمر في التقدم!")</f>
        <v>يستمر في التقدم!</v>
      </c>
      <c r="Q23" s="4" t="str">
        <f>IFERROR(__xludf.DUMMYFUNCTION("GOOGLETRANSLATE(B23,""en"",""mr"")"),"चालू ठेवा!")</f>
        <v>चालू ठेवा!</v>
      </c>
      <c r="R23" s="4" t="str">
        <f>IFERROR(__xludf.DUMMYFUNCTION("GOOGLETRANSLATE(B23,""en"",""gu"")"),"ચાલુ રાખો!")</f>
        <v>ચાલુ રાખો!</v>
      </c>
      <c r="S23" s="4" t="str">
        <f>IFERROR(__xludf.DUMMYFUNCTION("GOOGLETRANSLATE(B23,""en"",""bn"")"),"চালিয়ে যান!")</f>
        <v>চালিয়ে যান!</v>
      </c>
      <c r="T23" s="4" t="str">
        <f>IFERROR(__xludf.DUMMYFUNCTION("GOOGLETRANSLATE(B23,""en"",""pa"")"),"ਚੱਲਦੇ ਰਹੋ!")</f>
        <v>ਚੱਲਦੇ ਰਹੋ!</v>
      </c>
      <c r="U23" s="4" t="str">
        <f>IFERROR(__xludf.DUMMYFUNCTION("GOOGLETRANSLATE(B23,""en"",""te"")"),"కొనసాగించు!")</f>
        <v>కొనసాగించు!</v>
      </c>
      <c r="V23" s="4" t="str">
        <f>IFERROR(__xludf.DUMMYFUNCTION("GOOGLETRANSLATE(B23,""en"",""kn"")"),"ಮುಂದುವರಿಸಿ!")</f>
        <v>ಮುಂದುವರಿಸಿ!</v>
      </c>
      <c r="W23" s="4" t="str">
        <f>IFERROR(__xludf.DUMMYFUNCTION("GOOGLETRANSLATE(B23,""en"",""ml"")"),"പൊയ്ക്കൊണ്ടേയിരിക്കുന്നു!")</f>
        <v>പൊയ്ക്കൊണ്ടേയിരിക്കുന്നു!</v>
      </c>
      <c r="X23" s="4" t="str">
        <f>IFERROR(__xludf.DUMMYFUNCTION("GOOGLETRANSLATE(B23,""en"",""th"")"),"ทำต่อไป!")</f>
        <v>ทำต่อไป!</v>
      </c>
      <c r="Y23" s="4" t="str">
        <f>IFERROR(__xludf.DUMMYFUNCTION("GOOGLETRANSLATE(B23,""en"",""ko"")"),"계속하세요!")</f>
        <v>계속하세요!</v>
      </c>
      <c r="Z23" s="4" t="str">
        <f>IFERROR(__xludf.DUMMYFUNCTION("GOOGLETRANSLATE(B23,""en"",""zh"")"),"继续前进！")</f>
        <v>继续前进！</v>
      </c>
      <c r="AA23" s="4" t="str">
        <f>IFERROR(__xludf.DUMMYFUNCTION("GOOGLETRANSLATE(B23,""en"",""zh-TW"")"),"繼續前進！")</f>
        <v>繼續前進！</v>
      </c>
      <c r="AB23" s="4" t="str">
        <f>IFERROR(__xludf.DUMMYFUNCTION("GOOGLETRANSLATE(B23,""en"",""ja"")"),"続けて！")</f>
        <v>続けて！</v>
      </c>
      <c r="AC23" s="4" t="str">
        <f>IFERROR(__xludf.DUMMYFUNCTION("GOOGLETRANSLATE(B23,""en"",""bg"")"),"Продължавайте!")</f>
        <v>Продължавайте!</v>
      </c>
      <c r="AD23" s="4" t="str">
        <f>IFERROR(__xludf.DUMMYFUNCTION("GOOGLETRANSLATE(B23,""en"",""cs"")"),"Pokračuj!")</f>
        <v>Pokračuj!</v>
      </c>
      <c r="AE23" s="4" t="str">
        <f>IFERROR(__xludf.DUMMYFUNCTION("GOOGLETRANSLATE(B23,""en"",""da"")"),"Fortsæt!")</f>
        <v>Fortsæt!</v>
      </c>
      <c r="AF23" s="4" t="str">
        <f>IFERROR(__xludf.DUMMYFUNCTION("GOOGLETRANSLATE(B23,""en"",""el"")"),"Συνεχίζω!")</f>
        <v>Συνεχίζω!</v>
      </c>
      <c r="AG23" s="4" t="str">
        <f>IFERROR(__xludf.DUMMYFUNCTION("GOOGLETRANSLATE(B23,""en"",""et"")"),"Jätkake!")</f>
        <v>Jätkake!</v>
      </c>
      <c r="AH23" s="4" t="str">
        <f>IFERROR(__xludf.DUMMYFUNCTION("GOOGLETRANSLATE(B23,""en"",""fi"")"),"Jatka samaan malliin!")</f>
        <v>Jatka samaan malliin!</v>
      </c>
      <c r="AI23" s="4" t="str">
        <f>IFERROR(__xludf.DUMMYFUNCTION("GOOGLETRANSLATE(B23,""en"",""hr"")"),"Nastavi dalje!")</f>
        <v>Nastavi dalje!</v>
      </c>
      <c r="AJ23" s="4" t="str">
        <f>IFERROR(__xludf.DUMMYFUNCTION("GOOGLETRANSLATE(B23,""en"",""hu"")"),"Folytasd!")</f>
        <v>Folytasd!</v>
      </c>
      <c r="AK23" s="4" t="str">
        <f>IFERROR(__xludf.DUMMYFUNCTION("GOOGLETRANSLATE(B23,""en"",""hy"")"),"Շարունակի՛ր:")</f>
        <v>Շարունակի՛ր:</v>
      </c>
      <c r="AL23" s="4" t="str">
        <f>IFERROR(__xludf.DUMMYFUNCTION("GOOGLETRANSLATE(B23,""en"",""ca"")"),"Seguiu així!")</f>
        <v>Seguiu així!</v>
      </c>
      <c r="AM23" s="4" t="str">
        <f>IFERROR(__xludf.DUMMYFUNCTION("GOOGLETRANSLATE(B23,""en"",""nl"")"),"Blijf doorgaan!")</f>
        <v>Blijf doorgaan!</v>
      </c>
      <c r="AN23" s="4" t="str">
        <f>IFERROR(__xludf.DUMMYFUNCTION("GOOGLETRANSLATE(B23,""en"",""he"")"),"לְהַמשִׁיך לָלֶכֶת!")</f>
        <v>לְהַמשִׁיך לָלֶכֶת!</v>
      </c>
      <c r="AO23" s="4" t="str">
        <f>IFERROR(__xludf.DUMMYFUNCTION("GOOGLETRANSLATE(B23,""en"",""is"")"),"Haltu áfram!")</f>
        <v>Haltu áfram!</v>
      </c>
      <c r="AP23" s="4" t="str">
        <f>IFERROR(__xludf.DUMMYFUNCTION("GOOGLETRANSLATE(B23,""en"",""no"")"),"Fortsett!")</f>
        <v>Fortsett!</v>
      </c>
      <c r="AQ23" s="4" t="str">
        <f>IFERROR(__xludf.DUMMYFUNCTION("GOOGLETRANSLATE(B23,""en"",""fa"")"),"ادامه بده!")</f>
        <v>ادامه بده!</v>
      </c>
      <c r="AR23" s="4" t="str">
        <f>IFERROR(__xludf.DUMMYFUNCTION("GOOGLETRANSLATE(B23,""en"",""pl"")"),"Kontynuować!")</f>
        <v>Kontynuować!</v>
      </c>
      <c r="AS23" s="4" t="str">
        <f>IFERROR(__xludf.DUMMYFUNCTION("GOOGLETRANSLATE(B23,""en"",""sv"")"),"Fortsätta!")</f>
        <v>Fortsätta!</v>
      </c>
      <c r="AT23" s="4" t="str">
        <f>IFERROR(__xludf.DUMMYFUNCTION("GOOGLETRANSLATE(B23,""en"",""uk"")"),"Продовжуйте!")</f>
        <v>Продовжуйте!</v>
      </c>
      <c r="AU23" s="4" t="str">
        <f>IFERROR(__xludf.DUMMYFUNCTION("GOOGLETRANSLATE(B23,""en"",""zu"")"),"Qhubeka!")</f>
        <v>Qhubeka!</v>
      </c>
      <c r="AV23" s="4" t="str">
        <f>IFERROR(__xludf.DUMMYFUNCTION("GOOGLETRANSLATE(B23,""en"",""sr"")"),"Настави!")</f>
        <v>Настави!</v>
      </c>
    </row>
    <row r="24">
      <c r="A24" s="3" t="s">
        <v>90</v>
      </c>
      <c r="B24" s="3" t="s">
        <v>91</v>
      </c>
      <c r="C24" s="4" t="str">
        <f>IFERROR(__xludf.DUMMYFUNCTION("GOOGLETRANSLATE(B24,""en"",""ta"")"),"உங்கள் இலக்கை அடைய இன்னும் {{steps}} படிகள் உள்ளன")</f>
        <v>உங்கள் இலக்கை அடைய இன்னும் {{steps}} படிகள் உள்ளன</v>
      </c>
      <c r="D24" s="4" t="str">
        <f>IFERROR(__xludf.DUMMYFUNCTION("GOOGLETRANSLATE(B24,""en"",""hi"")"),"अपने लक्ष्य तक पहुंचने के लिए {{steps}} कदम शेष हैं")</f>
        <v>अपने लक्ष्य तक पहुंचने के लिए {{steps}} कदम शेष हैं</v>
      </c>
      <c r="E24" s="4" t="str">
        <f>IFERROR(__xludf.DUMMYFUNCTION("GOOGLETRANSLATE(B24,""en"",""id"")"),"{{steps}} langkah tersisa untuk mencapai tujuan Anda")</f>
        <v>{{steps}} langkah tersisa untuk mencapai tujuan Anda</v>
      </c>
      <c r="F24" s="4" t="str">
        <f>IFERROR(__xludf.DUMMYFUNCTION("GOOGLETRANSLATE(B24,""en"",""ms"")"),"{{steps}} langkah yang tinggal untuk mencapai matlamat anda")</f>
        <v>{{steps}} langkah yang tinggal untuk mencapai matlamat anda</v>
      </c>
      <c r="G24" s="4" t="str">
        <f>IFERROR(__xludf.DUMMYFUNCTION("GOOGLETRANSLATE(B24,""en"",""de"")"),"{{steps}} Schritte verbleiben, um Ihr Ziel zu erreichen")</f>
        <v>{{steps}} Schritte verbleiben, um Ihr Ziel zu erreichen</v>
      </c>
      <c r="H24" s="4" t="str">
        <f>IFERROR(__xludf.DUMMYFUNCTION("GOOGLETRANSLATE(B24,""en"",""es"")"),"{{steps}} pasos restantes para alcanzar tu objetivo")</f>
        <v>{{steps}} pasos restantes para alcanzar tu objetivo</v>
      </c>
      <c r="I24" s="4" t="str">
        <f>IFERROR(__xludf.DUMMYFUNCTION("GOOGLETRANSLATE(B24,""en"",""fr"")"),"{{steps}} étapes restantes pour atteindre votre objectif")</f>
        <v>{{steps}} étapes restantes pour atteindre votre objectif</v>
      </c>
      <c r="J24" s="4" t="str">
        <f>IFERROR(__xludf.DUMMYFUNCTION("GOOGLETRANSLATE(B24,""en"",""it"")"),"Mancano {{steps}} passi per raggiungere il tuo obiettivo")</f>
        <v>Mancano {{steps}} passi per raggiungere il tuo obiettivo</v>
      </c>
      <c r="K24" s="4" t="str">
        <f>IFERROR(__xludf.DUMMYFUNCTION("GOOGLETRANSLATE(B24,""en"",""pt"")"),"{{steps}} passos restantes para atingir sua meta")</f>
        <v>{{steps}} passos restantes para atingir sua meta</v>
      </c>
      <c r="L24" s="4" t="str">
        <f>IFERROR(__xludf.DUMMYFUNCTION("GOOGLETRANSLATE(B24,""en"",""ro"")"),"Au mai rămas {{steps}} pași pentru a vă atinge obiectivul")</f>
        <v>Au mai rămas {{steps}} pași pentru a vă atinge obiectivul</v>
      </c>
      <c r="M24" s="4" t="str">
        <f>IFERROR(__xludf.DUMMYFUNCTION("GOOGLETRANSLATE(B24,""en"",""vi"")"),"{{steps}} bước còn lại để đạt được mục tiêu của bạn")</f>
        <v>{{steps}} bước còn lại để đạt được mục tiêu của bạn</v>
      </c>
      <c r="N24" s="4" t="str">
        <f>IFERROR(__xludf.DUMMYFUNCTION("GOOGLETRANSLATE(B24,""en"",""ru"")"),"{{steps}} шагов осталось до достижения цели")</f>
        <v>{{steps}} шагов осталось до достижения цели</v>
      </c>
      <c r="O24" s="4" t="str">
        <f>IFERROR(__xludf.DUMMYFUNCTION("GOOGLETRANSLATE(B24,""en"",""tr"")"),"Hedefinize ulaşmanız için {{steps}} adım kaldı")</f>
        <v>Hedefinize ulaşmanız için {{steps}} adım kaldı</v>
      </c>
      <c r="P24" s="4" t="str">
        <f>IFERROR(__xludf.DUMMYFUNCTION("GOOGLETRANSLATE(B24,""en"",""ar"")"),"{{steps}} خطوات متبقية للوصول إلى هدفك")</f>
        <v>{{steps}} خطوات متبقية للوصول إلى هدفك</v>
      </c>
      <c r="Q24" s="4" t="str">
        <f>IFERROR(__xludf.DUMMYFUNCTION("GOOGLETRANSLATE(B24,""en"",""mr"")"),"तुमचे ध्येय गाठण्यासाठी {{steps}} पायऱ्या शिल्लक आहेत")</f>
        <v>तुमचे ध्येय गाठण्यासाठी {{steps}} पायऱ्या शिल्लक आहेत</v>
      </c>
      <c r="R24" s="4" t="str">
        <f>IFERROR(__xludf.DUMMYFUNCTION("GOOGLETRANSLATE(B24,""en"",""gu"")"),"તમારા લક્ષ્ય સુધી પહોંચવા માટે {{steps}} પગલાં બાકી છે")</f>
        <v>તમારા લક્ષ્ય સુધી પહોંચવા માટે {{steps}} પગલાં બાકી છે</v>
      </c>
      <c r="S24" s="4" t="str">
        <f>IFERROR(__xludf.DUMMYFUNCTION("GOOGLETRANSLATE(B24,""en"",""bn"")"),"আপনার লক্ষ্যে পৌঁছতে {{steps}} ধাপ বাকি")</f>
        <v>আপনার লক্ষ্যে পৌঁছতে {{steps}} ধাপ বাকি</v>
      </c>
      <c r="T24" s="4" t="str">
        <f>IFERROR(__xludf.DUMMYFUNCTION("GOOGLETRANSLATE(B24,""en"",""pa"")"),"ਤੁਹਾਡੇ ਟੀਚੇ 'ਤੇ ਪਹੁੰਚਣ ਲਈ {{steps}} ਕਦਮ ਬਾਕੀ ਹਨ")</f>
        <v>ਤੁਹਾਡੇ ਟੀਚੇ 'ਤੇ ਪਹੁੰਚਣ ਲਈ {{steps}} ਕਦਮ ਬਾਕੀ ਹਨ</v>
      </c>
      <c r="U24" s="4" t="str">
        <f>IFERROR(__xludf.DUMMYFUNCTION("GOOGLETRANSLATE(B24,""en"",""te"")"),"మీ లక్ష్యాన్ని చేరుకోవడానికి {{steps}} అడుగులు మిగిలి ఉన్నాయి")</f>
        <v>మీ లక్ష్యాన్ని చేరుకోవడానికి {{steps}} అడుగులు మిగిలి ఉన్నాయి</v>
      </c>
      <c r="V24" s="4" t="str">
        <f>IFERROR(__xludf.DUMMYFUNCTION("GOOGLETRANSLATE(B24,""en"",""kn"")"),"ನಿಮ್ಮ ಗುರಿಯನ್ನು ತಲುಪಲು {{steps}} ಹಂತಗಳು ಉಳಿದಿವೆ")</f>
        <v>ನಿಮ್ಮ ಗುರಿಯನ್ನು ತಲುಪಲು {{steps}} ಹಂತಗಳು ಉಳಿದಿವೆ</v>
      </c>
      <c r="W24" s="4" t="str">
        <f>IFERROR(__xludf.DUMMYFUNCTION("GOOGLETRANSLATE(B24,""en"",""ml"")"),"നിങ്ങളുടെ ലക്ഷ്യത്തിലെത്താൻ {{steps}} പടികൾ ശേഷിക്കുന്നു")</f>
        <v>നിങ്ങളുടെ ലക്ഷ്യത്തിലെത്താൻ {{steps}} പടികൾ ശേഷിക്കുന്നു</v>
      </c>
      <c r="X24" s="4" t="str">
        <f>IFERROR(__xludf.DUMMYFUNCTION("GOOGLETRANSLATE(B24,""en"",""th"")"),"เหลืออีก {{ขั้นตอน}} ขั้นตอนเพื่อบรรลุเป้าหมายของคุณ")</f>
        <v>เหลืออีก {{ขั้นตอน}} ขั้นตอนเพื่อบรรลุเป้าหมายของคุณ</v>
      </c>
      <c r="Y24" s="4" t="str">
        <f>IFERROR(__xludf.DUMMYFUNCTION("GOOGLETRANSLATE(B24,""en"",""ko"")"),"목표 달성까지 남은 단계 수: {{steps}}")</f>
        <v>목표 달성까지 남은 단계 수: {{steps}}</v>
      </c>
      <c r="Z24" s="4" t="str">
        <f>IFERROR(__xludf.DUMMYFUNCTION("GOOGLETRANSLATE(B24,""en"",""zh"")"),"距离实现目标还剩 {{steps}} 步")</f>
        <v>距离实现目标还剩 {{steps}} 步</v>
      </c>
      <c r="AA24" s="4" t="str">
        <f>IFERROR(__xludf.DUMMYFUNCTION("GOOGLETRANSLATE(B24,""en"",""zh-TW"")"),"距離實現目標還剩 {{steps}} 步")</f>
        <v>距離實現目標還剩 {{steps}} 步</v>
      </c>
      <c r="AB24" s="4" t="str">
        <f>IFERROR(__xludf.DUMMYFUNCTION("GOOGLETRANSLATE(B24,""en"",""ja"")"),"目標達成まであと {{steps}} 歩")</f>
        <v>目標達成まであと {{steps}} 歩</v>
      </c>
      <c r="AC24" s="4" t="str">
        <f>IFERROR(__xludf.DUMMYFUNCTION("GOOGLETRANSLATE(B24,""en"",""bg"")"),"Остават {{steps}} стъпки, за да постигнете целта си")</f>
        <v>Остават {{steps}} стъпки, за да постигнете целта си</v>
      </c>
      <c r="AD24" s="4" t="str">
        <f>IFERROR(__xludf.DUMMYFUNCTION("GOOGLETRANSLATE(B24,""en"",""cs"")"),"K dosažení vašeho cíle zbývá {{steps}} kroků")</f>
        <v>K dosažení vašeho cíle zbývá {{steps}} kroků</v>
      </c>
      <c r="AE24" s="4" t="str">
        <f>IFERROR(__xludf.DUMMYFUNCTION("GOOGLETRANSLATE(B24,""en"",""da"")"),"{{steps}} trin tilbage for at nå dit mål")</f>
        <v>{{steps}} trin tilbage for at nå dit mål</v>
      </c>
      <c r="AF24" s="4" t="str">
        <f>IFERROR(__xludf.DUMMYFUNCTION("GOOGLETRANSLATE(B24,""en"",""el"")"),"Απομένουν {{steps}} βήματα για να φτάσετε τον στόχο σας")</f>
        <v>Απομένουν {{steps}} βήματα για να φτάσετε τον στόχο σας</v>
      </c>
      <c r="AG24" s="4" t="str">
        <f>IFERROR(__xludf.DUMMYFUNCTION("GOOGLETRANSLATE(B24,""en"",""et"")"),"Eesmärgi saavutamiseks on jäänud {{steps}} sammu")</f>
        <v>Eesmärgi saavutamiseks on jäänud {{steps}} sammu</v>
      </c>
      <c r="AH24" s="4" t="str">
        <f>IFERROR(__xludf.DUMMYFUNCTION("GOOGLETRANSLATE(B24,""en"",""fi"")"),"{{steps}} askelta jäljellä tavoitteesi saavuttamiseen")</f>
        <v>{{steps}} askelta jäljellä tavoitteesi saavuttamiseen</v>
      </c>
      <c r="AI24" s="4" t="str">
        <f>IFERROR(__xludf.DUMMYFUNCTION("GOOGLETRANSLATE(B24,""en"",""hr"")"),"Još {{steps}} koraka do cilja")</f>
        <v>Još {{steps}} koraka do cilja</v>
      </c>
      <c r="AJ24" s="4" t="str">
        <f>IFERROR(__xludf.DUMMYFUNCTION("GOOGLETRANSLATE(B24,""en"",""hu"")"),"{{steps}} lépés van hátra a cél eléréséig")</f>
        <v>{{steps}} lépés van hátra a cél eléréséig</v>
      </c>
      <c r="AK24" s="4" t="str">
        <f>IFERROR(__xludf.DUMMYFUNCTION("GOOGLETRANSLATE(B24,""en"",""hy"")"),"Ձեր նպատակին հասնելու համար մնացել է {{քայլեր}} քայլ")</f>
        <v>Ձեր նպատակին հասնելու համար մնացել է {{քայլեր}} քայլ</v>
      </c>
      <c r="AL24" s="4" t="str">
        <f>IFERROR(__xludf.DUMMYFUNCTION("GOOGLETRANSLATE(B24,""en"",""ca"")"),"Queden {{steps}} passos per assolir el vostre objectiu")</f>
        <v>Queden {{steps}} passos per assolir el vostre objectiu</v>
      </c>
      <c r="AM24" s="4" t="str">
        <f>IFERROR(__xludf.DUMMYFUNCTION("GOOGLETRANSLATE(B24,""en"",""nl"")"),"Nog {{steps}} stappen te gaan om je doel te bereiken")</f>
        <v>Nog {{steps}} stappen te gaan om je doel te bereiken</v>
      </c>
      <c r="AN24" s="4" t="str">
        <f>IFERROR(__xludf.DUMMYFUNCTION("GOOGLETRANSLATE(B24,""en"",""he"")"),"נותרו {{צעדים}} שלבים כדי להגיע ליעד שלך")</f>
        <v>נותרו {{צעדים}} שלבים כדי להגיע ליעד שלך</v>
      </c>
      <c r="AO24" s="4" t="str">
        <f>IFERROR(__xludf.DUMMYFUNCTION("GOOGLETRANSLATE(B24,""en"",""is"")"),"{{skref}} skref eftir til að ná markmiði þínu")</f>
        <v>{{skref}} skref eftir til að ná markmiði þínu</v>
      </c>
      <c r="AP24" s="4" t="str">
        <f>IFERROR(__xludf.DUMMYFUNCTION("GOOGLETRANSLATE(B24,""en"",""no"")"),"{{steps}} trinn gjenstår for å nå målet ditt")</f>
        <v>{{steps}} trinn gjenstår for å nå målet ditt</v>
      </c>
      <c r="AQ24" s="4" t="str">
        <f>IFERROR(__xludf.DUMMYFUNCTION("GOOGLETRANSLATE(B24,""en"",""fa"")"),"{{گام}} گام باقی مانده تا رسیدن به هدفتان")</f>
        <v>{{گام}} گام باقی مانده تا رسیدن به هدفتان</v>
      </c>
      <c r="AR24" s="4" t="str">
        <f>IFERROR(__xludf.DUMMYFUNCTION("GOOGLETRANSLATE(B24,""en"",""pl"")"),"Pozostało {{steps}} kroków do osiągnięcia celu")</f>
        <v>Pozostało {{steps}} kroków do osiągnięcia celu</v>
      </c>
      <c r="AS24" s="4" t="str">
        <f>IFERROR(__xludf.DUMMYFUNCTION("GOOGLETRANSLATE(B24,""en"",""sv"")"),"{{steg}} steg kvar för att nå ditt mål")</f>
        <v>{{steg}} steg kvar för att nå ditt mål</v>
      </c>
      <c r="AT24" s="4" t="str">
        <f>IFERROR(__xludf.DUMMYFUNCTION("GOOGLETRANSLATE(B24,""en"",""uk"")"),"Залишилося {{steps}} кроків, щоб досягти вашої мети")</f>
        <v>Залишилося {{steps}} кроків, щоб досягти вашої мети</v>
      </c>
      <c r="AU24" s="4" t="str">
        <f>IFERROR(__xludf.DUMMYFUNCTION("GOOGLETRANSLATE(B24,""en"",""zu"")"),"{{steps}} izinyathelo ezisele ukuze ufinyelele umgomo wakho")</f>
        <v>{{steps}} izinyathelo ezisele ukuze ufinyelele umgomo wakho</v>
      </c>
      <c r="AV24" s="4" t="str">
        <f>IFERROR(__xludf.DUMMYFUNCTION("GOOGLETRANSLATE(B24,""en"",""sr"")"),"Преостало је {{степс}} корака до циља")</f>
        <v>Преостало је {{степс}} корака до циља</v>
      </c>
    </row>
    <row r="25">
      <c r="A25" s="3" t="s">
        <v>92</v>
      </c>
      <c r="B25" s="3" t="s">
        <v>93</v>
      </c>
      <c r="C25" s="4" t="str">
        <f>IFERROR(__xludf.DUMMYFUNCTION("GOOGLETRANSLATE(B25,""en"",""ta"")"),"{{percentage}} % முடிந்தது")</f>
        <v>{{percentage}} % முடிந்தது</v>
      </c>
      <c r="D25" s="4" t="str">
        <f>IFERROR(__xludf.DUMMYFUNCTION("GOOGLETRANSLATE(B25,""en"",""hi"")"),"{{प्रतिशत}} % पूर्ण")</f>
        <v>{{प्रतिशत}} % पूर्ण</v>
      </c>
      <c r="E25" s="4" t="str">
        <f>IFERROR(__xludf.DUMMYFUNCTION("GOOGLETRANSLATE(B25,""en"",""id"")"),"{{percentage}} % Selesai")</f>
        <v>{{percentage}} % Selesai</v>
      </c>
      <c r="F25" s="4" t="str">
        <f>IFERROR(__xludf.DUMMYFUNCTION("GOOGLETRANSLATE(B25,""en"",""ms"")"),"{{peratusan}} % Selesai")</f>
        <v>{{peratusan}} % Selesai</v>
      </c>
      <c r="G25" s="4" t="str">
        <f>IFERROR(__xludf.DUMMYFUNCTION("GOOGLETRANSLATE(B25,""en"",""de"")"),"{{percentage}} % abgeschlossen")</f>
        <v>{{percentage}} % abgeschlossen</v>
      </c>
      <c r="H25" s="4" t="str">
        <f>IFERROR(__xludf.DUMMYFUNCTION("GOOGLETRANSLATE(B25,""en"",""es"")"),"{{porcentaje}} % completado")</f>
        <v>{{porcentaje}} % completado</v>
      </c>
      <c r="I25" s="4" t="str">
        <f>IFERROR(__xludf.DUMMYFUNCTION("GOOGLETRANSLATE(B25,""en"",""fr"")"),"{{pourcentage}} % terminé")</f>
        <v>{{pourcentage}} % terminé</v>
      </c>
      <c r="J25" s="4" t="str">
        <f>IFERROR(__xludf.DUMMYFUNCTION("GOOGLETRANSLATE(B25,""en"",""it"")"),"{{percentuale}} % Completato")</f>
        <v>{{percentuale}} % Completato</v>
      </c>
      <c r="K25" s="4" t="str">
        <f>IFERROR(__xludf.DUMMYFUNCTION("GOOGLETRANSLATE(B25,""en"",""pt"")"),"{{percentagem}} % Concluído")</f>
        <v>{{percentagem}} % Concluído</v>
      </c>
      <c r="L25" s="4" t="str">
        <f>IFERROR(__xludf.DUMMYFUNCTION("GOOGLETRANSLATE(B25,""en"",""ro"")"),"{{percentage}} % finalizat")</f>
        <v>{{percentage}} % finalizat</v>
      </c>
      <c r="M25" s="4" t="str">
        <f>IFERROR(__xludf.DUMMYFUNCTION("GOOGLETRANSLATE(B25,""en"",""vi"")"),"{{phần trăm}} % Hoàn thành")</f>
        <v>{{phần trăm}} % Hoàn thành</v>
      </c>
      <c r="N25" s="4" t="str">
        <f>IFERROR(__xludf.DUMMYFUNCTION("GOOGLETRANSLATE(B25,""en"",""ru"")"),"{{percentage}} % Завершено")</f>
        <v>{{percentage}} % Завершено</v>
      </c>
      <c r="O25" s="4" t="str">
        <f>IFERROR(__xludf.DUMMYFUNCTION("GOOGLETRANSLATE(B25,""en"",""tr"")"),"{{yüzde}} % Tamamlandı")</f>
        <v>{{yüzde}} % Tamamlandı</v>
      </c>
      <c r="P25" s="4" t="str">
        <f>IFERROR(__xludf.DUMMYFUNCTION("GOOGLETRANSLATE(B25,""en"",""ar"")"),"{{النسبة المئوية}} % مكتمل")</f>
        <v>{{النسبة المئوية}} % مكتمل</v>
      </c>
      <c r="Q25" s="4" t="str">
        <f>IFERROR(__xludf.DUMMYFUNCTION("GOOGLETRANSLATE(B25,""en"",""mr"")"),"{{percentage}} % पूर्ण")</f>
        <v>{{percentage}} % पूर्ण</v>
      </c>
      <c r="R25" s="4" t="str">
        <f>IFERROR(__xludf.DUMMYFUNCTION("GOOGLETRANSLATE(B25,""en"",""gu"")"),"{{percentage}} % પૂર્ણ")</f>
        <v>{{percentage}} % પૂર્ણ</v>
      </c>
      <c r="S25" s="4" t="str">
        <f>IFERROR(__xludf.DUMMYFUNCTION("GOOGLETRANSLATE(B25,""en"",""bn"")"),"{{percentage}} % সম্পূর্ণ")</f>
        <v>{{percentage}} % সম্পূর্ণ</v>
      </c>
      <c r="T25" s="4" t="str">
        <f>IFERROR(__xludf.DUMMYFUNCTION("GOOGLETRANSLATE(B25,""en"",""pa"")"),"{{percentage}} % ਪੂਰਾ")</f>
        <v>{{percentage}} % ਪੂਰਾ</v>
      </c>
      <c r="U25" s="4" t="str">
        <f>IFERROR(__xludf.DUMMYFUNCTION("GOOGLETRANSLATE(B25,""en"",""te"")"),"{{percentage}} % పూర్తయింది")</f>
        <v>{{percentage}} % పూర్తయింది</v>
      </c>
      <c r="V25" s="4" t="str">
        <f>IFERROR(__xludf.DUMMYFUNCTION("GOOGLETRANSLATE(B25,""en"",""kn"")"),"{{percentage}} % ಪೂರ್ಣಗೊಂಡಿದೆ")</f>
        <v>{{percentage}} % ಪೂರ್ಣಗೊಂಡಿದೆ</v>
      </c>
      <c r="W25" s="4" t="str">
        <f>IFERROR(__xludf.DUMMYFUNCTION("GOOGLETRANSLATE(B25,""en"",""ml"")"),"{{percentage}} % പൂർത്തിയായി")</f>
        <v>{{percentage}} % പൂർത്തിയായി</v>
      </c>
      <c r="X25" s="4" t="str">
        <f>IFERROR(__xludf.DUMMYFUNCTION("GOOGLETRANSLATE(B25,""en"",""th"")"),"เสร็จสมบูรณ์ {{เปอร์เซ็นต์}} %")</f>
        <v>เสร็จสมบูรณ์ {{เปอร์เซ็นต์}} %</v>
      </c>
      <c r="Y25" s="4" t="str">
        <f>IFERROR(__xludf.DUMMYFUNCTION("GOOGLETRANSLATE(B25,""en"",""ko"")"),"{{percentage}} % 완료")</f>
        <v>{{percentage}} % 완료</v>
      </c>
      <c r="Z25" s="4" t="str">
        <f>IFERROR(__xludf.DUMMYFUNCTION("GOOGLETRANSLATE(B25,""en"",""zh"")"),"{{percentage}} % 完成度")</f>
        <v>{{percentage}} % 完成度</v>
      </c>
      <c r="AA25" s="4" t="str">
        <f>IFERROR(__xludf.DUMMYFUNCTION("GOOGLETRANSLATE(B25,""en"",""zh-TW"")"),"{{percentage}} % 完成度")</f>
        <v>{{percentage}} % 完成度</v>
      </c>
      <c r="AB25" s="4" t="str">
        <f>IFERROR(__xludf.DUMMYFUNCTION("GOOGLETRANSLATE(B25,""en"",""ja"")"),"{{percentage}} % 完了")</f>
        <v>{{percentage}} % 完了</v>
      </c>
      <c r="AC25" s="4" t="str">
        <f>IFERROR(__xludf.DUMMYFUNCTION("GOOGLETRANSLATE(B25,""en"",""bg"")"),"{{percentage}} % завършено")</f>
        <v>{{percentage}} % завършено</v>
      </c>
      <c r="AD25" s="4" t="str">
        <f>IFERROR(__xludf.DUMMYFUNCTION("GOOGLETRANSLATE(B25,""en"",""cs"")"),"Dokončeno: {{percentage}} %.")</f>
        <v>Dokončeno: {{percentage}} %.</v>
      </c>
      <c r="AE25" s="4" t="str">
        <f>IFERROR(__xludf.DUMMYFUNCTION("GOOGLETRANSLATE(B25,""en"",""da"")"),"{{procent}} % fuldført")</f>
        <v>{{procent}} % fuldført</v>
      </c>
      <c r="AF25" s="4" t="str">
        <f>IFERROR(__xludf.DUMMYFUNCTION("GOOGLETRANSLATE(B25,""en"",""el"")"),"{{percentage}} % Ολοκληρώθηκε")</f>
        <v>{{percentage}} % Ολοκληρώθηκε</v>
      </c>
      <c r="AG25" s="4" t="str">
        <f>IFERROR(__xludf.DUMMYFUNCTION("GOOGLETRANSLATE(B25,""en"",""et"")"),"{{percentage}} % valmis")</f>
        <v>{{percentage}} % valmis</v>
      </c>
      <c r="AH25" s="4" t="str">
        <f>IFERROR(__xludf.DUMMYFUNCTION("GOOGLETRANSLATE(B25,""en"",""fi"")"),"{{percentage}} % valmis")</f>
        <v>{{percentage}} % valmis</v>
      </c>
      <c r="AI25" s="4" t="str">
        <f>IFERROR(__xludf.DUMMYFUNCTION("GOOGLETRANSLATE(B25,""en"",""hr"")"),"{{percentage}} % dovršeno")</f>
        <v>{{percentage}} % dovršeno</v>
      </c>
      <c r="AJ25" s="4" t="str">
        <f>IFERROR(__xludf.DUMMYFUNCTION("GOOGLETRANSLATE(B25,""en"",""hu"")"),"{{percentage}} % kész")</f>
        <v>{{percentage}} % kész</v>
      </c>
      <c r="AK25" s="4" t="str">
        <f>IFERROR(__xludf.DUMMYFUNCTION("GOOGLETRANSLATE(B25,""en"",""hy"")"),"{{percentage}} % Ավարտված է")</f>
        <v>{{percentage}} % Ավարտված է</v>
      </c>
      <c r="AL25" s="4" t="str">
        <f>IFERROR(__xludf.DUMMYFUNCTION("GOOGLETRANSLATE(B25,""en"",""ca"")"),"{{percentage}} % completat")</f>
        <v>{{percentage}} % completat</v>
      </c>
      <c r="AM25" s="4" t="str">
        <f>IFERROR(__xludf.DUMMYFUNCTION("GOOGLETRANSLATE(B25,""en"",""nl"")"),"{{percentage}} % voltooid")</f>
        <v>{{percentage}} % voltooid</v>
      </c>
      <c r="AN25" s="4" t="str">
        <f>IFERROR(__xludf.DUMMYFUNCTION("GOOGLETRANSLATE(B25,""en"",""he"")"),"{{procent}} % הושלמו")</f>
        <v>{{procent}} % הושלמו</v>
      </c>
      <c r="AO25" s="4" t="str">
        <f>IFERROR(__xludf.DUMMYFUNCTION("GOOGLETRANSLATE(B25,""en"",""is"")"),"{{procent}} % lokið")</f>
        <v>{{procent}} % lokið</v>
      </c>
      <c r="AP25" s="4" t="str">
        <f>IFERROR(__xludf.DUMMYFUNCTION("GOOGLETRANSLATE(B25,""en"",""no"")"),"{{percentage}} % fullført")</f>
        <v>{{percentage}} % fullført</v>
      </c>
      <c r="AQ25" s="4" t="str">
        <f>IFERROR(__xludf.DUMMYFUNCTION("GOOGLETRANSLATE(B25,""en"",""fa"")"),"{{percentage}} % کامل شد")</f>
        <v>{{percentage}} % کامل شد</v>
      </c>
      <c r="AR25" s="4" t="str">
        <f>IFERROR(__xludf.DUMMYFUNCTION("GOOGLETRANSLATE(B25,""en"",""pl"")"),"{{percentage}} % ukończono")</f>
        <v>{{percentage}} % ukończono</v>
      </c>
      <c r="AS25" s="4" t="str">
        <f>IFERROR(__xludf.DUMMYFUNCTION("GOOGLETRANSLATE(B25,""en"",""sv"")"),"{{procent}} % klar")</f>
        <v>{{procent}} % klar</v>
      </c>
      <c r="AT25" s="4" t="str">
        <f>IFERROR(__xludf.DUMMYFUNCTION("GOOGLETRANSLATE(B25,""en"",""uk"")"),"{{percentage}} % виконано")</f>
        <v>{{percentage}} % виконано</v>
      </c>
      <c r="AU25" s="4" t="str">
        <f>IFERROR(__xludf.DUMMYFUNCTION("GOOGLETRANSLATE(B25,""en"",""zu"")"),"{{percentage}} % Qedile")</f>
        <v>{{percentage}} % Qedile</v>
      </c>
      <c r="AV25" s="4" t="str">
        <f>IFERROR(__xludf.DUMMYFUNCTION("GOOGLETRANSLATE(B25,""en"",""sr"")"),"{{перцентаге}} % Завршено")</f>
        <v>{{перцентаге}} % Завршено</v>
      </c>
    </row>
    <row r="26">
      <c r="A26" s="3" t="s">
        <v>94</v>
      </c>
      <c r="B26" s="3" t="s">
        <v>95</v>
      </c>
      <c r="C26" s="4" t="str">
        <f>IFERROR(__xludf.DUMMYFUNCTION("GOOGLETRANSLATE(B26,""en"",""ta"")"),"நடந்துகொண்டிருக்கும் மலையேற்ற கண்காணிப்பு")</f>
        <v>நடந்துகொண்டிருக்கும் மலையேற்ற கண்காணிப்பு</v>
      </c>
      <c r="D26" s="4" t="str">
        <f>IFERROR(__xludf.DUMMYFUNCTION("GOOGLETRANSLATE(B26,""en"",""hi"")"),"चल रही ट्रेक ट्रैकिंग")</f>
        <v>चल रही ट्रेक ट्रैकिंग</v>
      </c>
      <c r="E26" s="4" t="str">
        <f>IFERROR(__xludf.DUMMYFUNCTION("GOOGLETRANSLATE(B26,""en"",""id"")"),"Pelacakan Trek yang Sedang Berlangsung")</f>
        <v>Pelacakan Trek yang Sedang Berlangsung</v>
      </c>
      <c r="F26" s="4" t="str">
        <f>IFERROR(__xludf.DUMMYFUNCTION("GOOGLETRANSLATE(B26,""en"",""ms"")"),"Penjejakan Trek Berterusan")</f>
        <v>Penjejakan Trek Berterusan</v>
      </c>
      <c r="G26" s="4" t="str">
        <f>IFERROR(__xludf.DUMMYFUNCTION("GOOGLETRANSLATE(B26,""en"",""de"")"),"Laufende Trekking-Verfolgung")</f>
        <v>Laufende Trekking-Verfolgung</v>
      </c>
      <c r="H26" s="4" t="str">
        <f>IFERROR(__xludf.DUMMYFUNCTION("GOOGLETRANSLATE(B26,""en"",""es"")"),"Seguimiento continuo de la caminata")</f>
        <v>Seguimiento continuo de la caminata</v>
      </c>
      <c r="I26" s="4" t="str">
        <f>IFERROR(__xludf.DUMMYFUNCTION("GOOGLETRANSLATE(B26,""en"",""fr"")"),"Suivi de randonnée en cours")</f>
        <v>Suivi de randonnée en cours</v>
      </c>
      <c r="J26" s="4" t="str">
        <f>IFERROR(__xludf.DUMMYFUNCTION("GOOGLETRANSLATE(B26,""en"",""it"")"),"Monitoraggio del trekking in corso")</f>
        <v>Monitoraggio del trekking in corso</v>
      </c>
      <c r="K26" s="4" t="str">
        <f>IFERROR(__xludf.DUMMYFUNCTION("GOOGLETRANSLATE(B26,""en"",""pt"")"),"Rastreamento de caminhada em andamento")</f>
        <v>Rastreamento de caminhada em andamento</v>
      </c>
      <c r="L26" s="4" t="str">
        <f>IFERROR(__xludf.DUMMYFUNCTION("GOOGLETRANSLATE(B26,""en"",""ro"")"),"Urmărirea drumului în curs")</f>
        <v>Urmărirea drumului în curs</v>
      </c>
      <c r="M26" s="4" t="str">
        <f>IFERROR(__xludf.DUMMYFUNCTION("GOOGLETRANSLATE(B26,""en"",""vi"")"),"Theo dõi hành trình đang diễn ra")</f>
        <v>Theo dõi hành trình đang diễn ra</v>
      </c>
      <c r="N26" s="4" t="str">
        <f>IFERROR(__xludf.DUMMYFUNCTION("GOOGLETRANSLATE(B26,""en"",""ru"")"),"Постоянное отслеживание похода")</f>
        <v>Постоянное отслеживание похода</v>
      </c>
      <c r="O26" s="4" t="str">
        <f>IFERROR(__xludf.DUMMYFUNCTION("GOOGLETRANSLATE(B26,""en"",""tr"")"),"Devam Eden Trek Takibi")</f>
        <v>Devam Eden Trek Takibi</v>
      </c>
      <c r="P26" s="4" t="str">
        <f>IFERROR(__xludf.DUMMYFUNCTION("GOOGLETRANSLATE(B26,""en"",""ar"")"),"تتبع الرحلة الجارية")</f>
        <v>تتبع الرحلة الجارية</v>
      </c>
      <c r="Q26" s="4" t="str">
        <f>IFERROR(__xludf.DUMMYFUNCTION("GOOGLETRANSLATE(B26,""en"",""mr"")"),"चालू असलेला ट्रेक ट्रॅकिंग")</f>
        <v>चालू असलेला ट्रेक ट्रॅकिंग</v>
      </c>
      <c r="R26" s="4" t="str">
        <f>IFERROR(__xludf.DUMMYFUNCTION("GOOGLETRANSLATE(B26,""en"",""gu"")"),"ચાલુ ટ્રેકિંગ ટ્રેકિંગ")</f>
        <v>ચાલુ ટ્રેકિંગ ટ્રેકિંગ</v>
      </c>
      <c r="S26" s="4" t="str">
        <f>IFERROR(__xludf.DUMMYFUNCTION("GOOGLETRANSLATE(B26,""en"",""bn"")"),"চলমান ট্রেক ট্র্যাকিং")</f>
        <v>চলমান ট্রেক ট্র্যাকিং</v>
      </c>
      <c r="T26" s="4" t="str">
        <f>IFERROR(__xludf.DUMMYFUNCTION("GOOGLETRANSLATE(B26,""en"",""pa"")"),"ਚੱਲ ਰਹੀ ਟ੍ਰੈਕ ਟ੍ਰੈਕਿੰਗ")</f>
        <v>ਚੱਲ ਰਹੀ ਟ੍ਰੈਕ ਟ੍ਰੈਕਿੰਗ</v>
      </c>
      <c r="U26" s="4" t="str">
        <f>IFERROR(__xludf.DUMMYFUNCTION("GOOGLETRANSLATE(B26,""en"",""te"")"),"కొనసాగుతున్న ట్రెక్ ట్రాకింగ్")</f>
        <v>కొనసాగుతున్న ట్రెక్ ట్రాకింగ్</v>
      </c>
      <c r="V26" s="4" t="str">
        <f>IFERROR(__xludf.DUMMYFUNCTION("GOOGLETRANSLATE(B26,""en"",""kn"")"),"ಚಾರಣ ಟ್ರ್ಯಾಕಿಂಗ್ ಚಾಲ್ತಿಯಲ್ಲಿದೆ")</f>
        <v>ಚಾರಣ ಟ್ರ್ಯಾಕಿಂಗ್ ಚಾಲ್ತಿಯಲ್ಲಿದೆ</v>
      </c>
      <c r="W26" s="4" t="str">
        <f>IFERROR(__xludf.DUMMYFUNCTION("GOOGLETRANSLATE(B26,""en"",""ml"")"),"നടന്നുകൊണ്ടിരിക്കുന്ന ട്രെക്ക് ട്രാക്കിംഗ്")</f>
        <v>നടന്നുകൊണ്ടിരിക്കുന്ന ട്രെക്ക് ട്രാക്കിംഗ്</v>
      </c>
      <c r="X26" s="4" t="str">
        <f>IFERROR(__xludf.DUMMYFUNCTION("GOOGLETRANSLATE(B26,""en"",""th"")"),"ติดตามการเดินทางอย่างต่อเนื่อง")</f>
        <v>ติดตามการเดินทางอย่างต่อเนื่อง</v>
      </c>
      <c r="Y26" s="4" t="str">
        <f>IFERROR(__xludf.DUMMYFUNCTION("GOOGLETRANSLATE(B26,""en"",""ko"")"),"진행 중인 트레킹 추적")</f>
        <v>진행 중인 트레킹 추적</v>
      </c>
      <c r="Z26" s="4" t="str">
        <f>IFERROR(__xludf.DUMMYFUNCTION("GOOGLETRANSLATE(B26,""en"",""zh"")"),"持续的徒步追踪")</f>
        <v>持续的徒步追踪</v>
      </c>
      <c r="AA26" s="4" t="str">
        <f>IFERROR(__xludf.DUMMYFUNCTION("GOOGLETRANSLATE(B26,""en"",""zh-TW"")"),"持續的徒步追踪")</f>
        <v>持續的徒步追踪</v>
      </c>
      <c r="AB26" s="4" t="str">
        <f>IFERROR(__xludf.DUMMYFUNCTION("GOOGLETRANSLATE(B26,""en"",""ja"")"),"進行中のトレッキング追跡")</f>
        <v>進行中のトレッキング追跡</v>
      </c>
      <c r="AC26" s="4" t="str">
        <f>IFERROR(__xludf.DUMMYFUNCTION("GOOGLETRANSLATE(B26,""en"",""bg"")"),"Текущо проследяване на похода")</f>
        <v>Текущо проследяване на похода</v>
      </c>
      <c r="AD26" s="4" t="str">
        <f>IFERROR(__xludf.DUMMYFUNCTION("GOOGLETRANSLATE(B26,""en"",""cs"")"),"Průběžné sledování treku")</f>
        <v>Průběžné sledování treku</v>
      </c>
      <c r="AE26" s="4" t="str">
        <f>IFERROR(__xludf.DUMMYFUNCTION("GOOGLETRANSLATE(B26,""en"",""da"")"),"Løbende Trek Tracking")</f>
        <v>Løbende Trek Tracking</v>
      </c>
      <c r="AF26" s="4" t="str">
        <f>IFERROR(__xludf.DUMMYFUNCTION("GOOGLETRANSLATE(B26,""en"",""el"")"),"Παρακολούθηση οδοιπορικού σε εξέλιξη")</f>
        <v>Παρακολούθηση οδοιπορικού σε εξέλιξη</v>
      </c>
      <c r="AG26" s="4" t="str">
        <f>IFERROR(__xludf.DUMMYFUNCTION("GOOGLETRANSLATE(B26,""en"",""et"")"),"Pidev matka jälgimine")</f>
        <v>Pidev matka jälgimine</v>
      </c>
      <c r="AH26" s="4" t="str">
        <f>IFERROR(__xludf.DUMMYFUNCTION("GOOGLETRANSLATE(B26,""en"",""fi"")"),"Jatkuva vaelluksen seuranta")</f>
        <v>Jatkuva vaelluksen seuranta</v>
      </c>
      <c r="AI26" s="4" t="str">
        <f>IFERROR(__xludf.DUMMYFUNCTION("GOOGLETRANSLATE(B26,""en"",""hr"")"),"Praćenje staze u tijeku")</f>
        <v>Praćenje staze u tijeku</v>
      </c>
      <c r="AJ26" s="4" t="str">
        <f>IFERROR(__xludf.DUMMYFUNCTION("GOOGLETRANSLATE(B26,""en"",""hu"")"),"Folyamatos túrakövetés")</f>
        <v>Folyamatos túrakövetés</v>
      </c>
      <c r="AK26" s="4" t="str">
        <f>IFERROR(__xludf.DUMMYFUNCTION("GOOGLETRANSLATE(B26,""en"",""hy"")"),"Շարունակական արշավի հետևում")</f>
        <v>Շարունակական արշավի հետևում</v>
      </c>
      <c r="AL26" s="4" t="str">
        <f>IFERROR(__xludf.DUMMYFUNCTION("GOOGLETRANSLATE(B26,""en"",""ca"")"),"Seguiment de la caminada en curs")</f>
        <v>Seguiment de la caminada en curs</v>
      </c>
      <c r="AM26" s="4" t="str">
        <f>IFERROR(__xludf.DUMMYFUNCTION("GOOGLETRANSLATE(B26,""en"",""nl"")"),"Doorlopende trektochttracking")</f>
        <v>Doorlopende trektochttracking</v>
      </c>
      <c r="AN26" s="4" t="str">
        <f>IFERROR(__xludf.DUMMYFUNCTION("GOOGLETRANSLATE(B26,""en"",""he"")"),"מעקב טרק מתמשך")</f>
        <v>מעקב טרק מתמשך</v>
      </c>
      <c r="AO26" s="4" t="str">
        <f>IFERROR(__xludf.DUMMYFUNCTION("GOOGLETRANSLATE(B26,""en"",""is"")"),"Áframhaldandi Trek Tracking")</f>
        <v>Áframhaldandi Trek Tracking</v>
      </c>
      <c r="AP26" s="4" t="str">
        <f>IFERROR(__xludf.DUMMYFUNCTION("GOOGLETRANSLATE(B26,""en"",""no"")"),"Pågående treksporing")</f>
        <v>Pågående treksporing</v>
      </c>
      <c r="AQ26" s="4" t="str">
        <f>IFERROR(__xludf.DUMMYFUNCTION("GOOGLETRANSLATE(B26,""en"",""fa"")"),"پیگیری مسیر در حال انجام")</f>
        <v>پیگیری مسیر در حال انجام</v>
      </c>
      <c r="AR26" s="4" t="str">
        <f>IFERROR(__xludf.DUMMYFUNCTION("GOOGLETRANSLATE(B26,""en"",""pl"")"),"Ciągłe śledzenie wędrówki")</f>
        <v>Ciągłe śledzenie wędrówki</v>
      </c>
      <c r="AS26" s="4" t="str">
        <f>IFERROR(__xludf.DUMMYFUNCTION("GOOGLETRANSLATE(B26,""en"",""sv"")"),"Pågående vandringsspårning")</f>
        <v>Pågående vandringsspårning</v>
      </c>
      <c r="AT26" s="4" t="str">
        <f>IFERROR(__xludf.DUMMYFUNCTION("GOOGLETRANSLATE(B26,""en"",""uk"")"),"Постійне відстеження походу")</f>
        <v>Постійне відстеження походу</v>
      </c>
      <c r="AU26" s="4" t="str">
        <f>IFERROR(__xludf.DUMMYFUNCTION("GOOGLETRANSLATE(B26,""en"",""zu"")"),"Ukulandelela Uhambo Oluqhubekayo")</f>
        <v>Ukulandelela Uhambo Oluqhubekayo</v>
      </c>
      <c r="AV26" s="4" t="str">
        <f>IFERROR(__xludf.DUMMYFUNCTION("GOOGLETRANSLATE(B26,""en"",""sr"")"),"Праћење стаза у току")</f>
        <v>Праћење стаза у току</v>
      </c>
    </row>
    <row r="27">
      <c r="A27" s="3" t="s">
        <v>96</v>
      </c>
      <c r="B27" s="3" t="s">
        <v>97</v>
      </c>
      <c r="C27" s="4" t="str">
        <f>IFERROR(__xludf.DUMMYFUNCTION("GOOGLETRANSLATE(B27,""en"",""ta"")"),"விவரங்களைப் பார்க்க தட்டவும்")</f>
        <v>விவரங்களைப் பார்க்க தட்டவும்</v>
      </c>
      <c r="D27" s="4" t="str">
        <f>IFERROR(__xludf.DUMMYFUNCTION("GOOGLETRANSLATE(B27,""en"",""hi"")"),"विवरण देखने के लिए टैप करें")</f>
        <v>विवरण देखने के लिए टैप करें</v>
      </c>
      <c r="E27" s="4" t="str">
        <f>IFERROR(__xludf.DUMMYFUNCTION("GOOGLETRANSLATE(B27,""en"",""id"")"),"Ketuk untuk melihat detailnya")</f>
        <v>Ketuk untuk melihat detailnya</v>
      </c>
      <c r="F27" s="4" t="str">
        <f>IFERROR(__xludf.DUMMYFUNCTION("GOOGLETRANSLATE(B27,""en"",""ms"")"),"Ketik untuk melihat butiran")</f>
        <v>Ketik untuk melihat butiran</v>
      </c>
      <c r="G27" s="4" t="str">
        <f>IFERROR(__xludf.DUMMYFUNCTION("GOOGLETRANSLATE(B27,""en"",""de"")"),"Tippen, um Details anzuzeigen")</f>
        <v>Tippen, um Details anzuzeigen</v>
      </c>
      <c r="H27" s="4" t="str">
        <f>IFERROR(__xludf.DUMMYFUNCTION("GOOGLETRANSLATE(B27,""en"",""es"")"),"Toque para ver los detalles")</f>
        <v>Toque para ver los detalles</v>
      </c>
      <c r="I27" s="4" t="str">
        <f>IFERROR(__xludf.DUMMYFUNCTION("GOOGLETRANSLATE(B27,""en"",""fr"")"),"Appuyez pour afficher les détails")</f>
        <v>Appuyez pour afficher les détails</v>
      </c>
      <c r="J27" s="4" t="str">
        <f>IFERROR(__xludf.DUMMYFUNCTION("GOOGLETRANSLATE(B27,""en"",""it"")"),"Tocca per visualizzare i dettagli")</f>
        <v>Tocca per visualizzare i dettagli</v>
      </c>
      <c r="K27" s="4" t="str">
        <f>IFERROR(__xludf.DUMMYFUNCTION("GOOGLETRANSLATE(B27,""en"",""pt"")"),"Toque para ver detalhes")</f>
        <v>Toque para ver detalhes</v>
      </c>
      <c r="L27" s="4" t="str">
        <f>IFERROR(__xludf.DUMMYFUNCTION("GOOGLETRANSLATE(B27,""en"",""ro"")"),"Atingeți pentru a vedea detaliile")</f>
        <v>Atingeți pentru a vedea detaliile</v>
      </c>
      <c r="M27" s="4" t="str">
        <f>IFERROR(__xludf.DUMMYFUNCTION("GOOGLETRANSLATE(B27,""en"",""vi"")"),"Nhấn để xem chi tiết")</f>
        <v>Nhấn để xem chi tiết</v>
      </c>
      <c r="N27" s="4" t="str">
        <f>IFERROR(__xludf.DUMMYFUNCTION("GOOGLETRANSLATE(B27,""en"",""ru"")"),"Нажмите, чтобы просмотреть подробности")</f>
        <v>Нажмите, чтобы просмотреть подробности</v>
      </c>
      <c r="O27" s="4" t="str">
        <f>IFERROR(__xludf.DUMMYFUNCTION("GOOGLETRANSLATE(B27,""en"",""tr"")"),"Ayrıntıları görüntülemek için dokunun")</f>
        <v>Ayrıntıları görüntülemek için dokunun</v>
      </c>
      <c r="P27" s="4" t="str">
        <f>IFERROR(__xludf.DUMMYFUNCTION("GOOGLETRANSLATE(B27,""en"",""ar"")"),"انقر لعرض التفاصيل")</f>
        <v>انقر لعرض التفاصيل</v>
      </c>
      <c r="Q27" s="4" t="str">
        <f>IFERROR(__xludf.DUMMYFUNCTION("GOOGLETRANSLATE(B27,""en"",""mr"")"),"तपशील पाहण्यासाठी टॅप करा")</f>
        <v>तपशील पाहण्यासाठी टॅप करा</v>
      </c>
      <c r="R27" s="4" t="str">
        <f>IFERROR(__xludf.DUMMYFUNCTION("GOOGLETRANSLATE(B27,""en"",""gu"")"),"વિગતો જોવા માટે ટૅપ કરો")</f>
        <v>વિગતો જોવા માટે ટૅપ કરો</v>
      </c>
      <c r="S27" s="4" t="str">
        <f>IFERROR(__xludf.DUMMYFUNCTION("GOOGLETRANSLATE(B27,""en"",""bn"")"),"বিস্তারিত দেখতে আলতো চাপুন")</f>
        <v>বিস্তারিত দেখতে আলতো চাপুন</v>
      </c>
      <c r="T27" s="4" t="str">
        <f>IFERROR(__xludf.DUMMYFUNCTION("GOOGLETRANSLATE(B27,""en"",""pa"")"),"ਵੇਰਵੇ ਦੇਖਣ ਲਈ ਟੈਪ ਕਰੋ")</f>
        <v>ਵੇਰਵੇ ਦੇਖਣ ਲਈ ਟੈਪ ਕਰੋ</v>
      </c>
      <c r="U27" s="4" t="str">
        <f>IFERROR(__xludf.DUMMYFUNCTION("GOOGLETRANSLATE(B27,""en"",""te"")"),"వివరాలను వీక్షించడానికి నొక్కండి")</f>
        <v>వివరాలను వీక్షించడానికి నొక్కండి</v>
      </c>
      <c r="V27" s="4" t="str">
        <f>IFERROR(__xludf.DUMMYFUNCTION("GOOGLETRANSLATE(B27,""en"",""kn"")"),"ವಿವರಗಳನ್ನು ವೀಕ್ಷಿಸಲು ಟ್ಯಾಪ್ ಮಾಡಿ")</f>
        <v>ವಿವರಗಳನ್ನು ವೀಕ್ಷಿಸಲು ಟ್ಯಾಪ್ ಮಾಡಿ</v>
      </c>
      <c r="W27" s="4" t="str">
        <f>IFERROR(__xludf.DUMMYFUNCTION("GOOGLETRANSLATE(B27,""en"",""ml"")"),"വിശദാംശങ്ങൾ കാണാൻ ടാപ്പുചെയ്യുക")</f>
        <v>വിശദാംശങ്ങൾ കാണാൻ ടാപ്പുചെയ്യുക</v>
      </c>
      <c r="X27" s="4" t="str">
        <f>IFERROR(__xludf.DUMMYFUNCTION("GOOGLETRANSLATE(B27,""en"",""th"")"),"แตะเพื่อดูรายละเอียด")</f>
        <v>แตะเพื่อดูรายละเอียด</v>
      </c>
      <c r="Y27" s="4" t="str">
        <f>IFERROR(__xludf.DUMMYFUNCTION("GOOGLETRANSLATE(B27,""en"",""ko"")"),"자세한 내용을 보려면 탭하세요")</f>
        <v>자세한 내용을 보려면 탭하세요</v>
      </c>
      <c r="Z27" s="4" t="str">
        <f>IFERROR(__xludf.DUMMYFUNCTION("GOOGLETRANSLATE(B27,""en"",""zh"")"),"点按查看详细信息")</f>
        <v>点按查看详细信息</v>
      </c>
      <c r="AA27" s="4" t="str">
        <f>IFERROR(__xludf.DUMMYFUNCTION("GOOGLETRANSLATE(B27,""en"",""zh-TW"")"),"點按查看詳細信息")</f>
        <v>點按查看詳細信息</v>
      </c>
      <c r="AB27" s="4" t="str">
        <f>IFERROR(__xludf.DUMMYFUNCTION("GOOGLETRANSLATE(B27,""en"",""ja"")"),"詳細を表示するにはタップしてください")</f>
        <v>詳細を表示するにはタップしてください</v>
      </c>
      <c r="AC27" s="4" t="str">
        <f>IFERROR(__xludf.DUMMYFUNCTION("GOOGLETRANSLATE(B27,""en"",""bg"")"),"Докоснете, за да видите подробности")</f>
        <v>Докоснете, за да видите подробности</v>
      </c>
      <c r="AD27" s="4" t="str">
        <f>IFERROR(__xludf.DUMMYFUNCTION("GOOGLETRANSLATE(B27,""en"",""cs"")"),"Klepnutím zobrazíte podrobnosti")</f>
        <v>Klepnutím zobrazíte podrobnosti</v>
      </c>
      <c r="AE27" s="4" t="str">
        <f>IFERROR(__xludf.DUMMYFUNCTION("GOOGLETRANSLATE(B27,""en"",""da"")"),"Tryk for at se detaljer")</f>
        <v>Tryk for at se detaljer</v>
      </c>
      <c r="AF27" s="4" t="str">
        <f>IFERROR(__xludf.DUMMYFUNCTION("GOOGLETRANSLATE(B27,""en"",""el"")"),"Πατήστε για να δείτε λεπτομέρειες")</f>
        <v>Πατήστε για να δείτε λεπτομέρειες</v>
      </c>
      <c r="AG27" s="4" t="str">
        <f>IFERROR(__xludf.DUMMYFUNCTION("GOOGLETRANSLATE(B27,""en"",""et"")"),"Puudutage üksikasjade vaatamiseks")</f>
        <v>Puudutage üksikasjade vaatamiseks</v>
      </c>
      <c r="AH27" s="4" t="str">
        <f>IFERROR(__xludf.DUMMYFUNCTION("GOOGLETRANSLATE(B27,""en"",""fi"")"),"Napauta nähdäksesi tiedot")</f>
        <v>Napauta nähdäksesi tiedot</v>
      </c>
      <c r="AI27" s="4" t="str">
        <f>IFERROR(__xludf.DUMMYFUNCTION("GOOGLETRANSLATE(B27,""en"",""hr"")"),"Dodirnite za prikaz detalja")</f>
        <v>Dodirnite za prikaz detalja</v>
      </c>
      <c r="AJ27" s="4" t="str">
        <f>IFERROR(__xludf.DUMMYFUNCTION("GOOGLETRANSLATE(B27,""en"",""hu"")"),"Koppintson a részletek megtekintéséhez")</f>
        <v>Koppintson a részletek megtekintéséhez</v>
      </c>
      <c r="AK27" s="4" t="str">
        <f>IFERROR(__xludf.DUMMYFUNCTION("GOOGLETRANSLATE(B27,""en"",""hy"")"),"Հպեք՝ մանրամասները դիտելու համար")</f>
        <v>Հպեք՝ մանրամասները դիտելու համար</v>
      </c>
      <c r="AL27" s="4" t="str">
        <f>IFERROR(__xludf.DUMMYFUNCTION("GOOGLETRANSLATE(B27,""en"",""ca"")"),"Toqueu per veure els detalls")</f>
        <v>Toqueu per veure els detalls</v>
      </c>
      <c r="AM27" s="4" t="str">
        <f>IFERROR(__xludf.DUMMYFUNCTION("GOOGLETRANSLATE(B27,""en"",""nl"")"),"Tik om details te bekijken")</f>
        <v>Tik om details te bekijken</v>
      </c>
      <c r="AN27" s="4" t="str">
        <f>IFERROR(__xludf.DUMMYFUNCTION("GOOGLETRANSLATE(B27,""en"",""he"")"),"הקש כדי להציג פרטים")</f>
        <v>הקש כדי להציג פרטים</v>
      </c>
      <c r="AO27" s="4" t="str">
        <f>IFERROR(__xludf.DUMMYFUNCTION("GOOGLETRANSLATE(B27,""en"",""is"")"),"Pikkaðu til að skoða upplýsingar")</f>
        <v>Pikkaðu til að skoða upplýsingar</v>
      </c>
      <c r="AP27" s="4" t="str">
        <f>IFERROR(__xludf.DUMMYFUNCTION("GOOGLETRANSLATE(B27,""en"",""no"")"),"Trykk for å se detaljer")</f>
        <v>Trykk for å se detaljer</v>
      </c>
      <c r="AQ27" s="4" t="str">
        <f>IFERROR(__xludf.DUMMYFUNCTION("GOOGLETRANSLATE(B27,""en"",""fa"")"),"برای مشاهده جزئیات ضربه بزنید")</f>
        <v>برای مشاهده جزئیات ضربه بزنید</v>
      </c>
      <c r="AR27" s="4" t="str">
        <f>IFERROR(__xludf.DUMMYFUNCTION("GOOGLETRANSLATE(B27,""en"",""pl"")"),"Kliknij, aby wyświetlić szczegóły")</f>
        <v>Kliknij, aby wyświetlić szczegóły</v>
      </c>
      <c r="AS27" s="4" t="str">
        <f>IFERROR(__xludf.DUMMYFUNCTION("GOOGLETRANSLATE(B27,""en"",""sv"")"),"Tryck för att visa detaljer")</f>
        <v>Tryck för att visa detaljer</v>
      </c>
      <c r="AT27" s="4" t="str">
        <f>IFERROR(__xludf.DUMMYFUNCTION("GOOGLETRANSLATE(B27,""en"",""uk"")"),"Торкніться, щоб переглянути деталі")</f>
        <v>Торкніться, щоб переглянути деталі</v>
      </c>
      <c r="AU27" s="4" t="str">
        <f>IFERROR(__xludf.DUMMYFUNCTION("GOOGLETRANSLATE(B27,""en"",""zu"")"),"Thepha ukuze ubuke imininingwane")</f>
        <v>Thepha ukuze ubuke imininingwane</v>
      </c>
      <c r="AV27" s="4" t="str">
        <f>IFERROR(__xludf.DUMMYFUNCTION("GOOGLETRANSLATE(B27,""en"",""sr"")"),"Додирните да видите детаље")</f>
        <v>Додирните да видите детаље</v>
      </c>
    </row>
    <row r="28">
      <c r="A28" s="3" t="s">
        <v>98</v>
      </c>
      <c r="B28" s="3" t="s">
        <v>99</v>
      </c>
      <c r="C28" s="4" t="str">
        <f>IFERROR(__xludf.DUMMYFUNCTION("GOOGLETRANSLATE(B28,""en"",""ta"")"),"தற்போதைய இடம்")</f>
        <v>தற்போதைய இடம்</v>
      </c>
      <c r="D28" s="4" t="str">
        <f>IFERROR(__xludf.DUMMYFUNCTION("GOOGLETRANSLATE(B28,""en"",""hi"")"),"वर्तमान स्थान")</f>
        <v>वर्तमान स्थान</v>
      </c>
      <c r="E28" s="4" t="str">
        <f>IFERROR(__xludf.DUMMYFUNCTION("GOOGLETRANSLATE(B28,""en"",""id"")"),"Lokasi Saat Ini")</f>
        <v>Lokasi Saat Ini</v>
      </c>
      <c r="F28" s="4" t="str">
        <f>IFERROR(__xludf.DUMMYFUNCTION("GOOGLETRANSLATE(B28,""en"",""ms"")"),"Lokasi Semasa")</f>
        <v>Lokasi Semasa</v>
      </c>
      <c r="G28" s="4" t="str">
        <f>IFERROR(__xludf.DUMMYFUNCTION("GOOGLETRANSLATE(B28,""en"",""de"")"),"Aktueller Standort")</f>
        <v>Aktueller Standort</v>
      </c>
      <c r="H28" s="4" t="str">
        <f>IFERROR(__xludf.DUMMYFUNCTION("GOOGLETRANSLATE(B28,""en"",""es"")"),"Ubicación actual")</f>
        <v>Ubicación actual</v>
      </c>
      <c r="I28" s="4" t="str">
        <f>IFERROR(__xludf.DUMMYFUNCTION("GOOGLETRANSLATE(B28,""en"",""fr"")"),"Emplacement actuel")</f>
        <v>Emplacement actuel</v>
      </c>
      <c r="J28" s="4" t="str">
        <f>IFERROR(__xludf.DUMMYFUNCTION("GOOGLETRANSLATE(B28,""en"",""it"")"),"Posizione attuale")</f>
        <v>Posizione attuale</v>
      </c>
      <c r="K28" s="4" t="str">
        <f>IFERROR(__xludf.DUMMYFUNCTION("GOOGLETRANSLATE(B28,""en"",""pt"")"),"Localização atual")</f>
        <v>Localização atual</v>
      </c>
      <c r="L28" s="4" t="str">
        <f>IFERROR(__xludf.DUMMYFUNCTION("GOOGLETRANSLATE(B28,""en"",""ro"")"),"Locația curentă")</f>
        <v>Locația curentă</v>
      </c>
      <c r="M28" s="4" t="str">
        <f>IFERROR(__xludf.DUMMYFUNCTION("GOOGLETRANSLATE(B28,""en"",""vi"")"),"Vị trí hiện tại")</f>
        <v>Vị trí hiện tại</v>
      </c>
      <c r="N28" s="4" t="str">
        <f>IFERROR(__xludf.DUMMYFUNCTION("GOOGLETRANSLATE(B28,""en"",""ru"")"),"Текущее местоположение")</f>
        <v>Текущее местоположение</v>
      </c>
      <c r="O28" s="4" t="str">
        <f>IFERROR(__xludf.DUMMYFUNCTION("GOOGLETRANSLATE(B28,""en"",""tr"")"),"Mevcut Konum")</f>
        <v>Mevcut Konum</v>
      </c>
      <c r="P28" s="4" t="str">
        <f>IFERROR(__xludf.DUMMYFUNCTION("GOOGLETRANSLATE(B28,""en"",""ar"")"),"الموقع الحالي")</f>
        <v>الموقع الحالي</v>
      </c>
      <c r="Q28" s="4" t="str">
        <f>IFERROR(__xludf.DUMMYFUNCTION("GOOGLETRANSLATE(B28,""en"",""mr"")"),"वर्तमान स्थान")</f>
        <v>वर्तमान स्थान</v>
      </c>
      <c r="R28" s="4" t="str">
        <f>IFERROR(__xludf.DUMMYFUNCTION("GOOGLETRANSLATE(B28,""en"",""gu"")"),"વર્તમાન સ્થાન")</f>
        <v>વર્તમાન સ્થાન</v>
      </c>
      <c r="S28" s="4" t="str">
        <f>IFERROR(__xludf.DUMMYFUNCTION("GOOGLETRANSLATE(B28,""en"",""bn"")"),"বর্তমান অবস্থান")</f>
        <v>বর্তমান অবস্থান</v>
      </c>
      <c r="T28" s="4" t="str">
        <f>IFERROR(__xludf.DUMMYFUNCTION("GOOGLETRANSLATE(B28,""en"",""pa"")"),"ਮੌਜੂਦਾ ਟਿਕਾਣਾ")</f>
        <v>ਮੌਜੂਦਾ ਟਿਕਾਣਾ</v>
      </c>
      <c r="U28" s="4" t="str">
        <f>IFERROR(__xludf.DUMMYFUNCTION("GOOGLETRANSLATE(B28,""en"",""te"")"),"ప్రస్తుత స్థానం")</f>
        <v>ప్రస్తుత స్థానం</v>
      </c>
      <c r="V28" s="4" t="str">
        <f>IFERROR(__xludf.DUMMYFUNCTION("GOOGLETRANSLATE(B28,""en"",""kn"")"),"ಪ್ರಸ್ತುತ ಸ್ಥಳ")</f>
        <v>ಪ್ರಸ್ತುತ ಸ್ಥಳ</v>
      </c>
      <c r="W28" s="4" t="str">
        <f>IFERROR(__xludf.DUMMYFUNCTION("GOOGLETRANSLATE(B28,""en"",""ml"")"),"നിലവിലെ സ്ഥാനം")</f>
        <v>നിലവിലെ സ്ഥാനം</v>
      </c>
      <c r="X28" s="4" t="str">
        <f>IFERROR(__xludf.DUMMYFUNCTION("GOOGLETRANSLATE(B28,""en"",""th"")"),"ที่ตั้งปัจจุบัน")</f>
        <v>ที่ตั้งปัจจุบัน</v>
      </c>
      <c r="Y28" s="4" t="str">
        <f>IFERROR(__xludf.DUMMYFUNCTION("GOOGLETRANSLATE(B28,""en"",""ko"")"),"현재 위치")</f>
        <v>현재 위치</v>
      </c>
      <c r="Z28" s="4" t="str">
        <f>IFERROR(__xludf.DUMMYFUNCTION("GOOGLETRANSLATE(B28,""en"",""zh"")"),"当前位置")</f>
        <v>当前位置</v>
      </c>
      <c r="AA28" s="4" t="str">
        <f>IFERROR(__xludf.DUMMYFUNCTION("GOOGLETRANSLATE(B28,""en"",""zh-TW"")"),"目前位置")</f>
        <v>目前位置</v>
      </c>
      <c r="AB28" s="4" t="str">
        <f>IFERROR(__xludf.DUMMYFUNCTION("GOOGLETRANSLATE(B28,""en"",""ja"")"),"現在の場所")</f>
        <v>現在の場所</v>
      </c>
      <c r="AC28" s="4" t="str">
        <f>IFERROR(__xludf.DUMMYFUNCTION("GOOGLETRANSLATE(B28,""en"",""bg"")"),"Текущо местоположение")</f>
        <v>Текущо местоположение</v>
      </c>
      <c r="AD28" s="4" t="str">
        <f>IFERROR(__xludf.DUMMYFUNCTION("GOOGLETRANSLATE(B28,""en"",""cs"")"),"Aktuální poloha")</f>
        <v>Aktuální poloha</v>
      </c>
      <c r="AE28" s="4" t="str">
        <f>IFERROR(__xludf.DUMMYFUNCTION("GOOGLETRANSLATE(B28,""en"",""da"")"),"Nuværende placering")</f>
        <v>Nuværende placering</v>
      </c>
      <c r="AF28" s="4" t="str">
        <f>IFERROR(__xludf.DUMMYFUNCTION("GOOGLETRANSLATE(B28,""en"",""el"")"),"Τρέχουσα τοποθεσία")</f>
        <v>Τρέχουσα τοποθεσία</v>
      </c>
      <c r="AG28" s="4" t="str">
        <f>IFERROR(__xludf.DUMMYFUNCTION("GOOGLETRANSLATE(B28,""en"",""et"")"),"Praegune asukoht")</f>
        <v>Praegune asukoht</v>
      </c>
      <c r="AH28" s="4" t="str">
        <f>IFERROR(__xludf.DUMMYFUNCTION("GOOGLETRANSLATE(B28,""en"",""fi"")"),"Nykyinen sijainti")</f>
        <v>Nykyinen sijainti</v>
      </c>
      <c r="AI28" s="4" t="str">
        <f>IFERROR(__xludf.DUMMYFUNCTION("GOOGLETRANSLATE(B28,""en"",""hr"")"),"Trenutna lokacija")</f>
        <v>Trenutna lokacija</v>
      </c>
      <c r="AJ28" s="4" t="str">
        <f>IFERROR(__xludf.DUMMYFUNCTION("GOOGLETRANSLATE(B28,""en"",""hu"")"),"Jelenlegi hely")</f>
        <v>Jelenlegi hely</v>
      </c>
      <c r="AK28" s="4" t="str">
        <f>IFERROR(__xludf.DUMMYFUNCTION("GOOGLETRANSLATE(B28,""en"",""hy"")"),"Ընթացիկ գտնվելու վայրը")</f>
        <v>Ընթացիկ գտնվելու վայրը</v>
      </c>
      <c r="AL28" s="4" t="str">
        <f>IFERROR(__xludf.DUMMYFUNCTION("GOOGLETRANSLATE(B28,""en"",""ca"")"),"Ubicació actual")</f>
        <v>Ubicació actual</v>
      </c>
      <c r="AM28" s="4" t="str">
        <f>IFERROR(__xludf.DUMMYFUNCTION("GOOGLETRANSLATE(B28,""en"",""nl"")"),"Huidige locatie")</f>
        <v>Huidige locatie</v>
      </c>
      <c r="AN28" s="4" t="str">
        <f>IFERROR(__xludf.DUMMYFUNCTION("GOOGLETRANSLATE(B28,""en"",""he"")"),"מיקום נוכחי")</f>
        <v>מיקום נוכחי</v>
      </c>
      <c r="AO28" s="4" t="str">
        <f>IFERROR(__xludf.DUMMYFUNCTION("GOOGLETRANSLATE(B28,""en"",""is"")"),"Núverandi staðsetning")</f>
        <v>Núverandi staðsetning</v>
      </c>
      <c r="AP28" s="4" t="str">
        <f>IFERROR(__xludf.DUMMYFUNCTION("GOOGLETRANSLATE(B28,""en"",""no"")"),"Nåværende plassering")</f>
        <v>Nåværende plassering</v>
      </c>
      <c r="AQ28" s="4" t="str">
        <f>IFERROR(__xludf.DUMMYFUNCTION("GOOGLETRANSLATE(B28,""en"",""fa"")"),"مکان فعلی")</f>
        <v>مکان فعلی</v>
      </c>
      <c r="AR28" s="4" t="str">
        <f>IFERROR(__xludf.DUMMYFUNCTION("GOOGLETRANSLATE(B28,""en"",""pl"")"),"Obecna lokalizacja")</f>
        <v>Obecna lokalizacja</v>
      </c>
      <c r="AS28" s="4" t="str">
        <f>IFERROR(__xludf.DUMMYFUNCTION("GOOGLETRANSLATE(B28,""en"",""sv"")"),"Nuvarande plats")</f>
        <v>Nuvarande plats</v>
      </c>
      <c r="AT28" s="4" t="str">
        <f>IFERROR(__xludf.DUMMYFUNCTION("GOOGLETRANSLATE(B28,""en"",""uk"")"),"Поточне місцезнаходження")</f>
        <v>Поточне місцезнаходження</v>
      </c>
      <c r="AU28" s="4" t="str">
        <f>IFERROR(__xludf.DUMMYFUNCTION("GOOGLETRANSLATE(B28,""en"",""zu"")"),"Indawo Yamanje")</f>
        <v>Indawo Yamanje</v>
      </c>
      <c r="AV28" s="4" t="str">
        <f>IFERROR(__xludf.DUMMYFUNCTION("GOOGLETRANSLATE(B28,""en"",""sr"")"),"Тренутна локација")</f>
        <v>Тренутна локација</v>
      </c>
    </row>
    <row r="29">
      <c r="A29" s="3" t="s">
        <v>100</v>
      </c>
      <c r="B29" s="3" t="s">
        <v>101</v>
      </c>
      <c r="C29" s="4" t="str">
        <f>IFERROR(__xludf.DUMMYFUNCTION("GOOGLETRANSLATE(B29,""en"",""ta"")"),"மலையேற்றம் முடிந்தது")</f>
        <v>மலையேற்றம் முடிந்தது</v>
      </c>
      <c r="D29" s="4" t="str">
        <f>IFERROR(__xludf.DUMMYFUNCTION("GOOGLETRANSLATE(B29,""en"",""hi"")"),"ट्रेक पूरा हुआ")</f>
        <v>ट्रेक पूरा हुआ</v>
      </c>
      <c r="E29" s="4" t="str">
        <f>IFERROR(__xludf.DUMMYFUNCTION("GOOGLETRANSLATE(B29,""en"",""id"")"),"Trek Selesai")</f>
        <v>Trek Selesai</v>
      </c>
      <c r="F29" s="4" t="str">
        <f>IFERROR(__xludf.DUMMYFUNCTION("GOOGLETRANSLATE(B29,""en"",""ms"")"),"Trek Selesai")</f>
        <v>Trek Selesai</v>
      </c>
      <c r="G29" s="4" t="str">
        <f>IFERROR(__xludf.DUMMYFUNCTION("GOOGLETRANSLATE(B29,""en"",""de"")"),"Wanderung abgeschlossen")</f>
        <v>Wanderung abgeschlossen</v>
      </c>
      <c r="H29" s="4" t="str">
        <f>IFERROR(__xludf.DUMMYFUNCTION("GOOGLETRANSLATE(B29,""en"",""es"")"),"Caminata completada")</f>
        <v>Caminata completada</v>
      </c>
      <c r="I29" s="4" t="str">
        <f>IFERROR(__xludf.DUMMYFUNCTION("GOOGLETRANSLATE(B29,""en"",""fr"")"),"Trek terminé")</f>
        <v>Trek terminé</v>
      </c>
      <c r="J29" s="4" t="str">
        <f>IFERROR(__xludf.DUMMYFUNCTION("GOOGLETRANSLATE(B29,""en"",""it"")"),"Trekking completato")</f>
        <v>Trekking completato</v>
      </c>
      <c r="K29" s="4" t="str">
        <f>IFERROR(__xludf.DUMMYFUNCTION("GOOGLETRANSLATE(B29,""en"",""pt"")"),"Caminhada concluída")</f>
        <v>Caminhada concluída</v>
      </c>
      <c r="L29" s="4" t="str">
        <f>IFERROR(__xludf.DUMMYFUNCTION("GOOGLETRANSLATE(B29,""en"",""ro"")"),"Trek finalizat")</f>
        <v>Trek finalizat</v>
      </c>
      <c r="M29" s="4" t="str">
        <f>IFERROR(__xludf.DUMMYFUNCTION("GOOGLETRANSLATE(B29,""en"",""vi"")"),"Chuyến đi đã hoàn thành")</f>
        <v>Chuyến đi đã hoàn thành</v>
      </c>
      <c r="N29" s="4" t="str">
        <f>IFERROR(__xludf.DUMMYFUNCTION("GOOGLETRANSLATE(B29,""en"",""ru"")"),"Поход завершен")</f>
        <v>Поход завершен</v>
      </c>
      <c r="O29" s="4" t="str">
        <f>IFERROR(__xludf.DUMMYFUNCTION("GOOGLETRANSLATE(B29,""en"",""tr"")"),"Trek Tamamlandı")</f>
        <v>Trek Tamamlandı</v>
      </c>
      <c r="P29" s="4" t="str">
        <f>IFERROR(__xludf.DUMMYFUNCTION("GOOGLETRANSLATE(B29,""en"",""ar"")"),"تم إكمال الرحلة")</f>
        <v>تم إكمال الرحلة</v>
      </c>
      <c r="Q29" s="4" t="str">
        <f>IFERROR(__xludf.DUMMYFUNCTION("GOOGLETRANSLATE(B29,""en"",""mr"")"),"ट्रेक पूर्ण झाला")</f>
        <v>ट्रेक पूर्ण झाला</v>
      </c>
      <c r="R29" s="4" t="str">
        <f>IFERROR(__xludf.DUMMYFUNCTION("GOOGLETRANSLATE(B29,""en"",""gu"")"),"ટ્રેક પૂર્ણ")</f>
        <v>ટ્રેક પૂર્ણ</v>
      </c>
      <c r="S29" s="4" t="str">
        <f>IFERROR(__xludf.DUMMYFUNCTION("GOOGLETRANSLATE(B29,""en"",""bn"")"),"ট্রেক সম্পন্ন")</f>
        <v>ট্রেক সম্পন্ন</v>
      </c>
      <c r="T29" s="4" t="str">
        <f>IFERROR(__xludf.DUMMYFUNCTION("GOOGLETRANSLATE(B29,""en"",""pa"")"),"ਟ੍ਰੈਕ ਪੂਰਾ ਹੋਇਆ")</f>
        <v>ਟ੍ਰੈਕ ਪੂਰਾ ਹੋਇਆ</v>
      </c>
      <c r="U29" s="4" t="str">
        <f>IFERROR(__xludf.DUMMYFUNCTION("GOOGLETRANSLATE(B29,""en"",""te"")"),"ట్రెక్ పూర్తయింది")</f>
        <v>ట్రెక్ పూర్తయింది</v>
      </c>
      <c r="V29" s="4" t="str">
        <f>IFERROR(__xludf.DUMMYFUNCTION("GOOGLETRANSLATE(B29,""en"",""kn"")"),"ಟ್ರೆಕ್ ಪೂರ್ಣಗೊಂಡಿದೆ")</f>
        <v>ಟ್ರೆಕ್ ಪೂರ್ಣಗೊಂಡಿದೆ</v>
      </c>
      <c r="W29" s="4" t="str">
        <f>IFERROR(__xludf.DUMMYFUNCTION("GOOGLETRANSLATE(B29,""en"",""ml"")"),"ട്രെക്ക് പൂർത്തിയാക്കി")</f>
        <v>ട്രെക്ക് പൂർത്തിയാക്കി</v>
      </c>
      <c r="X29" s="4" t="str">
        <f>IFERROR(__xludf.DUMMYFUNCTION("GOOGLETRANSLATE(B29,""en"",""th"")"),"การเดินป่าเสร็จสิ้นแล้ว")</f>
        <v>การเดินป่าเสร็จสิ้นแล้ว</v>
      </c>
      <c r="Y29" s="4" t="str">
        <f>IFERROR(__xludf.DUMMYFUNCTION("GOOGLETRANSLATE(B29,""en"",""ko"")"),"트렉 완료")</f>
        <v>트렉 완료</v>
      </c>
      <c r="Z29" s="4" t="str">
        <f>IFERROR(__xludf.DUMMYFUNCTION("GOOGLETRANSLATE(B29,""en"",""zh"")"),"跋涉已完成")</f>
        <v>跋涉已完成</v>
      </c>
      <c r="AA29" s="4" t="str">
        <f>IFERROR(__xludf.DUMMYFUNCTION("GOOGLETRANSLATE(B29,""en"",""zh-TW"")"),"跋涉已完成")</f>
        <v>跋涉已完成</v>
      </c>
      <c r="AB29" s="4" t="str">
        <f>IFERROR(__xludf.DUMMYFUNCTION("GOOGLETRANSLATE(B29,""en"",""ja"")"),"トレッキング完了")</f>
        <v>トレッキング完了</v>
      </c>
      <c r="AC29" s="4" t="str">
        <f>IFERROR(__xludf.DUMMYFUNCTION("GOOGLETRANSLATE(B29,""en"",""bg"")"),"Походът е завършен")</f>
        <v>Походът е завършен</v>
      </c>
      <c r="AD29" s="4" t="str">
        <f>IFERROR(__xludf.DUMMYFUNCTION("GOOGLETRANSLATE(B29,""en"",""cs"")"),"Trek dokončen")</f>
        <v>Trek dokončen</v>
      </c>
      <c r="AE29" s="4" t="str">
        <f>IFERROR(__xludf.DUMMYFUNCTION("GOOGLETRANSLATE(B29,""en"",""da"")"),"Trek afsluttet")</f>
        <v>Trek afsluttet</v>
      </c>
      <c r="AF29" s="4" t="str">
        <f>IFERROR(__xludf.DUMMYFUNCTION("GOOGLETRANSLATE(B29,""en"",""el"")"),"Ολοκληρώθηκε το ταξίδι")</f>
        <v>Ολοκληρώθηκε το ταξίδι</v>
      </c>
      <c r="AG29" s="4" t="str">
        <f>IFERROR(__xludf.DUMMYFUNCTION("GOOGLETRANSLATE(B29,""en"",""et"")"),"Trek lõpetatud")</f>
        <v>Trek lõpetatud</v>
      </c>
      <c r="AH29" s="4" t="str">
        <f>IFERROR(__xludf.DUMMYFUNCTION("GOOGLETRANSLATE(B29,""en"",""fi"")"),"Vaellus suoritettu")</f>
        <v>Vaellus suoritettu</v>
      </c>
      <c r="AI29" s="4" t="str">
        <f>IFERROR(__xludf.DUMMYFUNCTION("GOOGLETRANSLATE(B29,""en"",""hr"")"),"Putovanje završeno")</f>
        <v>Putovanje završeno</v>
      </c>
      <c r="AJ29" s="4" t="str">
        <f>IFERROR(__xludf.DUMMYFUNCTION("GOOGLETRANSLATE(B29,""en"",""hu"")"),"Trek befejezve")</f>
        <v>Trek befejezve</v>
      </c>
      <c r="AK29" s="4" t="str">
        <f>IFERROR(__xludf.DUMMYFUNCTION("GOOGLETRANSLATE(B29,""en"",""hy"")"),"Trek Ավարտված")</f>
        <v>Trek Ավարտված</v>
      </c>
      <c r="AL29" s="4" t="str">
        <f>IFERROR(__xludf.DUMMYFUNCTION("GOOGLETRANSLATE(B29,""en"",""ca"")"),"Trek completat")</f>
        <v>Trek completat</v>
      </c>
      <c r="AM29" s="4" t="str">
        <f>IFERROR(__xludf.DUMMYFUNCTION("GOOGLETRANSLATE(B29,""en"",""nl"")"),"Trek voltooid")</f>
        <v>Trek voltooid</v>
      </c>
      <c r="AN29" s="4" t="str">
        <f>IFERROR(__xludf.DUMMYFUNCTION("GOOGLETRANSLATE(B29,""en"",""he"")"),"טרק הושלם")</f>
        <v>טרק הושלם</v>
      </c>
      <c r="AO29" s="4" t="str">
        <f>IFERROR(__xludf.DUMMYFUNCTION("GOOGLETRANSLATE(B29,""en"",""is"")"),"Túr lokið")</f>
        <v>Túr lokið</v>
      </c>
      <c r="AP29" s="4" t="str">
        <f>IFERROR(__xludf.DUMMYFUNCTION("GOOGLETRANSLATE(B29,""en"",""no"")"),"Trek fullført")</f>
        <v>Trek fullført</v>
      </c>
      <c r="AQ29" s="4" t="str">
        <f>IFERROR(__xludf.DUMMYFUNCTION("GOOGLETRANSLATE(B29,""en"",""fa"")"),"سفر به پایان رسید")</f>
        <v>سفر به پایان رسید</v>
      </c>
      <c r="AR29" s="4" t="str">
        <f>IFERROR(__xludf.DUMMYFUNCTION("GOOGLETRANSLATE(B29,""en"",""pl"")"),"Wędrówka ukończona")</f>
        <v>Wędrówka ukończona</v>
      </c>
      <c r="AS29" s="4" t="str">
        <f>IFERROR(__xludf.DUMMYFUNCTION("GOOGLETRANSLATE(B29,""en"",""sv"")"),"Trek avslutad")</f>
        <v>Trek avslutad</v>
      </c>
      <c r="AT29" s="4" t="str">
        <f>IFERROR(__xludf.DUMMYFUNCTION("GOOGLETRANSLATE(B29,""en"",""uk"")"),"Трек завершено")</f>
        <v>Трек завершено</v>
      </c>
      <c r="AU29" s="4" t="str">
        <f>IFERROR(__xludf.DUMMYFUNCTION("GOOGLETRANSLATE(B29,""en"",""zu"")"),"Uhambo Luphelile")</f>
        <v>Uhambo Luphelile</v>
      </c>
      <c r="AV29" s="4" t="str">
        <f>IFERROR(__xludf.DUMMYFUNCTION("GOOGLETRANSLATE(B29,""en"",""sr"")"),"Трек Цомплетед")</f>
        <v>Трек Цомплетед</v>
      </c>
    </row>
    <row r="30">
      <c r="A30" s="3" t="s">
        <v>102</v>
      </c>
      <c r="B30" s="3" t="s">
        <v>103</v>
      </c>
      <c r="C30" s="4" t="str">
        <f>IFERROR(__xludf.DUMMYFUNCTION("GOOGLETRANSLATE(B30,""en"",""ta"")"),"சுருக்கத்தைப் பார்க்கவும்")</f>
        <v>சுருக்கத்தைப் பார்க்கவும்</v>
      </c>
      <c r="D30" s="4" t="str">
        <f>IFERROR(__xludf.DUMMYFUNCTION("GOOGLETRANSLATE(B30,""en"",""hi"")"),"सारांश देखें")</f>
        <v>सारांश देखें</v>
      </c>
      <c r="E30" s="4" t="str">
        <f>IFERROR(__xludf.DUMMYFUNCTION("GOOGLETRANSLATE(B30,""en"",""id"")"),"Lihat Ringkasan")</f>
        <v>Lihat Ringkasan</v>
      </c>
      <c r="F30" s="4" t="str">
        <f>IFERROR(__xludf.DUMMYFUNCTION("GOOGLETRANSLATE(B30,""en"",""ms"")"),"Lihat Ringkasan")</f>
        <v>Lihat Ringkasan</v>
      </c>
      <c r="G30" s="4" t="str">
        <f>IFERROR(__xludf.DUMMYFUNCTION("GOOGLETRANSLATE(B30,""en"",""de"")"),"Zusammenfassung anzeigen")</f>
        <v>Zusammenfassung anzeigen</v>
      </c>
      <c r="H30" s="4" t="str">
        <f>IFERROR(__xludf.DUMMYFUNCTION("GOOGLETRANSLATE(B30,""en"",""es"")"),"Ver resumen")</f>
        <v>Ver resumen</v>
      </c>
      <c r="I30" s="4" t="str">
        <f>IFERROR(__xludf.DUMMYFUNCTION("GOOGLETRANSLATE(B30,""en"",""fr"")"),"Voir le résumé")</f>
        <v>Voir le résumé</v>
      </c>
      <c r="J30" s="4" t="str">
        <f>IFERROR(__xludf.DUMMYFUNCTION("GOOGLETRANSLATE(B30,""en"",""it"")"),"Visualizza riepilogo")</f>
        <v>Visualizza riepilogo</v>
      </c>
      <c r="K30" s="4" t="str">
        <f>IFERROR(__xludf.DUMMYFUNCTION("GOOGLETRANSLATE(B30,""en"",""pt"")"),"Ver Resumo")</f>
        <v>Ver Resumo</v>
      </c>
      <c r="L30" s="4" t="str">
        <f>IFERROR(__xludf.DUMMYFUNCTION("GOOGLETRANSLATE(B30,""en"",""ro"")"),"Vezi rezumatul")</f>
        <v>Vezi rezumatul</v>
      </c>
      <c r="M30" s="4" t="str">
        <f>IFERROR(__xludf.DUMMYFUNCTION("GOOGLETRANSLATE(B30,""en"",""vi"")"),"Xem Tóm tắt")</f>
        <v>Xem Tóm tắt</v>
      </c>
      <c r="N30" s="4" t="str">
        <f>IFERROR(__xludf.DUMMYFUNCTION("GOOGLETRANSLATE(B30,""en"",""ru"")"),"Просмотреть сводку")</f>
        <v>Просмотреть сводку</v>
      </c>
      <c r="O30" s="4" t="str">
        <f>IFERROR(__xludf.DUMMYFUNCTION("GOOGLETRANSLATE(B30,""en"",""tr"")"),"Özeti Görüntüle")</f>
        <v>Özeti Görüntüle</v>
      </c>
      <c r="P30" s="4" t="str">
        <f>IFERROR(__xludf.DUMMYFUNCTION("GOOGLETRANSLATE(B30,""en"",""ar"")"),"عرض الملخص")</f>
        <v>عرض الملخص</v>
      </c>
      <c r="Q30" s="4" t="str">
        <f>IFERROR(__xludf.DUMMYFUNCTION("GOOGLETRANSLATE(B30,""en"",""mr"")"),"सारांश पहा")</f>
        <v>सारांश पहा</v>
      </c>
      <c r="R30" s="4" t="str">
        <f>IFERROR(__xludf.DUMMYFUNCTION("GOOGLETRANSLATE(B30,""en"",""gu"")"),"સારાંશ જુઓ")</f>
        <v>સારાંશ જુઓ</v>
      </c>
      <c r="S30" s="4" t="str">
        <f>IFERROR(__xludf.DUMMYFUNCTION("GOOGLETRANSLATE(B30,""en"",""bn"")"),"সারাংশ দেখুন")</f>
        <v>সারাংশ দেখুন</v>
      </c>
      <c r="T30" s="4" t="str">
        <f>IFERROR(__xludf.DUMMYFUNCTION("GOOGLETRANSLATE(B30,""en"",""pa"")"),"ਸੰਖੇਪ ਦੇਖੋ")</f>
        <v>ਸੰਖੇਪ ਦੇਖੋ</v>
      </c>
      <c r="U30" s="4" t="str">
        <f>IFERROR(__xludf.DUMMYFUNCTION("GOOGLETRANSLATE(B30,""en"",""te"")"),"సారాంశాన్ని వీక్షించండి")</f>
        <v>సారాంశాన్ని వీక్షించండి</v>
      </c>
      <c r="V30" s="4" t="str">
        <f>IFERROR(__xludf.DUMMYFUNCTION("GOOGLETRANSLATE(B30,""en"",""kn"")"),"ಸಾರಾಂಶವನ್ನು ವೀಕ್ಷಿಸಿ")</f>
        <v>ಸಾರಾಂಶವನ್ನು ವೀಕ್ಷಿಸಿ</v>
      </c>
      <c r="W30" s="4" t="str">
        <f>IFERROR(__xludf.DUMMYFUNCTION("GOOGLETRANSLATE(B30,""en"",""ml"")"),"സംഗ്രഹം കാണുക")</f>
        <v>സംഗ്രഹം കാണുക</v>
      </c>
      <c r="X30" s="4" t="str">
        <f>IFERROR(__xludf.DUMMYFUNCTION("GOOGLETRANSLATE(B30,""en"",""th"")"),"ดูข้อมูลสรุป")</f>
        <v>ดูข้อมูลสรุป</v>
      </c>
      <c r="Y30" s="4" t="str">
        <f>IFERROR(__xludf.DUMMYFUNCTION("GOOGLETRANSLATE(B30,""en"",""ko"")"),"요약 보기")</f>
        <v>요약 보기</v>
      </c>
      <c r="Z30" s="4" t="str">
        <f>IFERROR(__xludf.DUMMYFUNCTION("GOOGLETRANSLATE(B30,""en"",""zh"")"),"查看摘要")</f>
        <v>查看摘要</v>
      </c>
      <c r="AA30" s="4" t="str">
        <f>IFERROR(__xludf.DUMMYFUNCTION("GOOGLETRANSLATE(B30,""en"",""zh-TW"")"),"查看摘要")</f>
        <v>查看摘要</v>
      </c>
      <c r="AB30" s="4" t="str">
        <f>IFERROR(__xludf.DUMMYFUNCTION("GOOGLETRANSLATE(B30,""en"",""ja"")"),"概要を表示")</f>
        <v>概要を表示</v>
      </c>
      <c r="AC30" s="4" t="str">
        <f>IFERROR(__xludf.DUMMYFUNCTION("GOOGLETRANSLATE(B30,""en"",""bg"")"),"Преглед на резюмето")</f>
        <v>Преглед на резюмето</v>
      </c>
      <c r="AD30" s="4" t="str">
        <f>IFERROR(__xludf.DUMMYFUNCTION("GOOGLETRANSLATE(B30,""en"",""cs"")"),"Zobrazit souhrn")</f>
        <v>Zobrazit souhrn</v>
      </c>
      <c r="AE30" s="4" t="str">
        <f>IFERROR(__xludf.DUMMYFUNCTION("GOOGLETRANSLATE(B30,""en"",""da"")"),"Se oversigt")</f>
        <v>Se oversigt</v>
      </c>
      <c r="AF30" s="4" t="str">
        <f>IFERROR(__xludf.DUMMYFUNCTION("GOOGLETRANSLATE(B30,""en"",""el"")"),"Προβολή περίληψης")</f>
        <v>Προβολή περίληψης</v>
      </c>
      <c r="AG30" s="4" t="str">
        <f>IFERROR(__xludf.DUMMYFUNCTION("GOOGLETRANSLATE(B30,""en"",""et"")"),"Vaata kokkuvõtet")</f>
        <v>Vaata kokkuvõtet</v>
      </c>
      <c r="AH30" s="4" t="str">
        <f>IFERROR(__xludf.DUMMYFUNCTION("GOOGLETRANSLATE(B30,""en"",""fi"")"),"Näytä yhteenveto")</f>
        <v>Näytä yhteenveto</v>
      </c>
      <c r="AI30" s="4" t="str">
        <f>IFERROR(__xludf.DUMMYFUNCTION("GOOGLETRANSLATE(B30,""en"",""hr"")"),"Prikaži sažetak")</f>
        <v>Prikaži sažetak</v>
      </c>
      <c r="AJ30" s="4" t="str">
        <f>IFERROR(__xludf.DUMMYFUNCTION("GOOGLETRANSLATE(B30,""en"",""hu"")"),"Összefoglaló megtekintése")</f>
        <v>Összefoglaló megtekintése</v>
      </c>
      <c r="AK30" s="4" t="str">
        <f>IFERROR(__xludf.DUMMYFUNCTION("GOOGLETRANSLATE(B30,""en"",""hy"")"),"Դիտել ամփոփագիրը")</f>
        <v>Դիտել ամփոփագիրը</v>
      </c>
      <c r="AL30" s="4" t="str">
        <f>IFERROR(__xludf.DUMMYFUNCTION("GOOGLETRANSLATE(B30,""en"",""ca"")"),"Veure resum")</f>
        <v>Veure resum</v>
      </c>
      <c r="AM30" s="4" t="str">
        <f>IFERROR(__xludf.DUMMYFUNCTION("GOOGLETRANSLATE(B30,""en"",""nl"")"),"Bekijk samenvatting")</f>
        <v>Bekijk samenvatting</v>
      </c>
      <c r="AN30" s="4" t="str">
        <f>IFERROR(__xludf.DUMMYFUNCTION("GOOGLETRANSLATE(B30,""en"",""he"")"),"צפה בסיכום")</f>
        <v>צפה בסיכום</v>
      </c>
      <c r="AO30" s="4" t="str">
        <f>IFERROR(__xludf.DUMMYFUNCTION("GOOGLETRANSLATE(B30,""en"",""is"")"),"Skoða samantekt")</f>
        <v>Skoða samantekt</v>
      </c>
      <c r="AP30" s="4" t="str">
        <f>IFERROR(__xludf.DUMMYFUNCTION("GOOGLETRANSLATE(B30,""en"",""no"")"),"Se sammendrag")</f>
        <v>Se sammendrag</v>
      </c>
      <c r="AQ30" s="4" t="str">
        <f>IFERROR(__xludf.DUMMYFUNCTION("GOOGLETRANSLATE(B30,""en"",""fa"")"),"مشاهده خلاصه")</f>
        <v>مشاهده خلاصه</v>
      </c>
      <c r="AR30" s="4" t="str">
        <f>IFERROR(__xludf.DUMMYFUNCTION("GOOGLETRANSLATE(B30,""en"",""pl"")"),"Wyświetl podsumowanie")</f>
        <v>Wyświetl podsumowanie</v>
      </c>
      <c r="AS30" s="4" t="str">
        <f>IFERROR(__xludf.DUMMYFUNCTION("GOOGLETRANSLATE(B30,""en"",""sv"")"),"Visa sammanfattning")</f>
        <v>Visa sammanfattning</v>
      </c>
      <c r="AT30" s="4" t="str">
        <f>IFERROR(__xludf.DUMMYFUNCTION("GOOGLETRANSLATE(B30,""en"",""uk"")"),"Переглянути резюме")</f>
        <v>Переглянути резюме</v>
      </c>
      <c r="AU30" s="4" t="str">
        <f>IFERROR(__xludf.DUMMYFUNCTION("GOOGLETRANSLATE(B30,""en"",""zu"")"),"Buka Isifinyezo")</f>
        <v>Buka Isifinyezo</v>
      </c>
      <c r="AV30" s="4" t="str">
        <f>IFERROR(__xludf.DUMMYFUNCTION("GOOGLETRANSLATE(B30,""en"",""sr"")"),"Прикажи резиме")</f>
        <v>Прикажи резиме</v>
      </c>
    </row>
    <row r="31">
      <c r="A31" s="3" t="s">
        <v>104</v>
      </c>
      <c r="B31" s="3" t="s">
        <v>105</v>
      </c>
      <c r="C31" s="4" t="str">
        <f>IFERROR(__xludf.DUMMYFUNCTION("GOOGLETRANSLATE(B31,""en"",""ta"")"),"இடம் &amp; முகவரி")</f>
        <v>இடம் &amp; முகவரி</v>
      </c>
      <c r="D31" s="4" t="str">
        <f>IFERROR(__xludf.DUMMYFUNCTION("GOOGLETRANSLATE(B31,""en"",""hi"")"),"स्थान का पता")</f>
        <v>स्थान का पता</v>
      </c>
      <c r="E31" s="4" t="str">
        <f>IFERROR(__xludf.DUMMYFUNCTION("GOOGLETRANSLATE(B31,""en"",""id"")"),"Lokasi &amp; Alamat")</f>
        <v>Lokasi &amp; Alamat</v>
      </c>
      <c r="F31" s="4" t="str">
        <f>IFERROR(__xludf.DUMMYFUNCTION("GOOGLETRANSLATE(B31,""en"",""ms"")"),"Lokasi &amp; Alamat")</f>
        <v>Lokasi &amp; Alamat</v>
      </c>
      <c r="G31" s="4" t="str">
        <f>IFERROR(__xludf.DUMMYFUNCTION("GOOGLETRANSLATE(B31,""en"",""de"")"),"Standort &amp; Adresse")</f>
        <v>Standort &amp; Adresse</v>
      </c>
      <c r="H31" s="4" t="str">
        <f>IFERROR(__xludf.DUMMYFUNCTION("GOOGLETRANSLATE(B31,""en"",""es"")"),"Ubicación y dirección")</f>
        <v>Ubicación y dirección</v>
      </c>
      <c r="I31" s="4" t="str">
        <f>IFERROR(__xludf.DUMMYFUNCTION("GOOGLETRANSLATE(B31,""en"",""fr"")"),"Localisation et adresse")</f>
        <v>Localisation et adresse</v>
      </c>
      <c r="J31" s="4" t="str">
        <f>IFERROR(__xludf.DUMMYFUNCTION("GOOGLETRANSLATE(B31,""en"",""it"")"),"Posizione e indirizzo")</f>
        <v>Posizione e indirizzo</v>
      </c>
      <c r="K31" s="4" t="str">
        <f>IFERROR(__xludf.DUMMYFUNCTION("GOOGLETRANSLATE(B31,""en"",""pt"")"),"Localização e endereço")</f>
        <v>Localização e endereço</v>
      </c>
      <c r="L31" s="4" t="str">
        <f>IFERROR(__xludf.DUMMYFUNCTION("GOOGLETRANSLATE(B31,""en"",""ro"")"),"Locație și adresă")</f>
        <v>Locație și adresă</v>
      </c>
      <c r="M31" s="4" t="str">
        <f>IFERROR(__xludf.DUMMYFUNCTION("GOOGLETRANSLATE(B31,""en"",""vi"")"),"Vị trí &amp; Địa chỉ")</f>
        <v>Vị trí &amp; Địa chỉ</v>
      </c>
      <c r="N31" s="4" t="str">
        <f>IFERROR(__xludf.DUMMYFUNCTION("GOOGLETRANSLATE(B31,""en"",""ru"")"),"Местоположение и адрес")</f>
        <v>Местоположение и адрес</v>
      </c>
      <c r="O31" s="4" t="str">
        <f>IFERROR(__xludf.DUMMYFUNCTION("GOOGLETRANSLATE(B31,""en"",""tr"")"),"Konum ve Adres")</f>
        <v>Konum ve Adres</v>
      </c>
      <c r="P31" s="4" t="str">
        <f>IFERROR(__xludf.DUMMYFUNCTION("GOOGLETRANSLATE(B31,""en"",""ar"")"),"الموقع والعنوان")</f>
        <v>الموقع والعنوان</v>
      </c>
      <c r="Q31" s="4" t="str">
        <f>IFERROR(__xludf.DUMMYFUNCTION("GOOGLETRANSLATE(B31,""en"",""mr"")"),"स्थान आणि पत्ता")</f>
        <v>स्थान आणि पत्ता</v>
      </c>
      <c r="R31" s="4" t="str">
        <f>IFERROR(__xludf.DUMMYFUNCTION("GOOGLETRANSLATE(B31,""en"",""gu"")"),"સ્થાન અને સરનામું")</f>
        <v>સ્થાન અને સરનામું</v>
      </c>
      <c r="S31" s="4" t="str">
        <f>IFERROR(__xludf.DUMMYFUNCTION("GOOGLETRANSLATE(B31,""en"",""bn"")"),"অবস্থান ও ঠিকানা")</f>
        <v>অবস্থান ও ঠিকানা</v>
      </c>
      <c r="T31" s="4" t="str">
        <f>IFERROR(__xludf.DUMMYFUNCTION("GOOGLETRANSLATE(B31,""en"",""pa"")"),"ਟਿਕਾਣਾ ਅਤੇ ਪਤਾ")</f>
        <v>ਟਿਕਾਣਾ ਅਤੇ ਪਤਾ</v>
      </c>
      <c r="U31" s="4" t="str">
        <f>IFERROR(__xludf.DUMMYFUNCTION("GOOGLETRANSLATE(B31,""en"",""te"")"),"స్థానం &amp; చిరునామా")</f>
        <v>స్థానం &amp; చిరునామా</v>
      </c>
      <c r="V31" s="4" t="str">
        <f>IFERROR(__xludf.DUMMYFUNCTION("GOOGLETRANSLATE(B31,""en"",""kn"")"),"ಸ್ಥಳ ಮತ್ತು ವಿಳಾಸ")</f>
        <v>ಸ್ಥಳ ಮತ್ತು ವಿಳಾಸ</v>
      </c>
      <c r="W31" s="4" t="str">
        <f>IFERROR(__xludf.DUMMYFUNCTION("GOOGLETRANSLATE(B31,""en"",""ml"")"),"സ്ഥാനവും വിലാസവും")</f>
        <v>സ്ഥാനവും വിലാസവും</v>
      </c>
      <c r="X31" s="4" t="str">
        <f>IFERROR(__xludf.DUMMYFUNCTION("GOOGLETRANSLATE(B31,""en"",""th"")"),"ที่ตั้งและที่อยู่")</f>
        <v>ที่ตั้งและที่อยู่</v>
      </c>
      <c r="Y31" s="4" t="str">
        <f>IFERROR(__xludf.DUMMYFUNCTION("GOOGLETRANSLATE(B31,""en"",""ko"")"),"위치 및 주소")</f>
        <v>위치 및 주소</v>
      </c>
      <c r="Z31" s="4" t="str">
        <f>IFERROR(__xludf.DUMMYFUNCTION("GOOGLETRANSLATE(B31,""en"",""zh"")"),"位置和地址")</f>
        <v>位置和地址</v>
      </c>
      <c r="AA31" s="4" t="str">
        <f>IFERROR(__xludf.DUMMYFUNCTION("GOOGLETRANSLATE(B31,""en"",""zh-TW"")"),"位置和地址")</f>
        <v>位置和地址</v>
      </c>
      <c r="AB31" s="4" t="str">
        <f>IFERROR(__xludf.DUMMYFUNCTION("GOOGLETRANSLATE(B31,""en"",""ja"")"),"場所と住所")</f>
        <v>場所と住所</v>
      </c>
      <c r="AC31" s="4" t="str">
        <f>IFERROR(__xludf.DUMMYFUNCTION("GOOGLETRANSLATE(B31,""en"",""bg"")"),"Местоположение и адрес")</f>
        <v>Местоположение и адрес</v>
      </c>
      <c r="AD31" s="4" t="str">
        <f>IFERROR(__xludf.DUMMYFUNCTION("GOOGLETRANSLATE(B31,""en"",""cs"")"),"Umístění a adresa")</f>
        <v>Umístění a adresa</v>
      </c>
      <c r="AE31" s="4" t="str">
        <f>IFERROR(__xludf.DUMMYFUNCTION("GOOGLETRANSLATE(B31,""en"",""da"")"),"Beliggenhed &amp; adresse")</f>
        <v>Beliggenhed &amp; adresse</v>
      </c>
      <c r="AF31" s="4" t="str">
        <f>IFERROR(__xludf.DUMMYFUNCTION("GOOGLETRANSLATE(B31,""en"",""el"")"),"Τοποθεσία &amp; Διεύθυνση")</f>
        <v>Τοποθεσία &amp; Διεύθυνση</v>
      </c>
      <c r="AG31" s="4" t="str">
        <f>IFERROR(__xludf.DUMMYFUNCTION("GOOGLETRANSLATE(B31,""en"",""et"")"),"Asukoht ja aadress")</f>
        <v>Asukoht ja aadress</v>
      </c>
      <c r="AH31" s="4" t="str">
        <f>IFERROR(__xludf.DUMMYFUNCTION("GOOGLETRANSLATE(B31,""en"",""fi"")"),"Sijainti &amp; Osoite")</f>
        <v>Sijainti &amp; Osoite</v>
      </c>
      <c r="AI31" s="4" t="str">
        <f>IFERROR(__xludf.DUMMYFUNCTION("GOOGLETRANSLATE(B31,""en"",""hr"")"),"Lokacija i adresa")</f>
        <v>Lokacija i adresa</v>
      </c>
      <c r="AJ31" s="4" t="str">
        <f>IFERROR(__xludf.DUMMYFUNCTION("GOOGLETRANSLATE(B31,""en"",""hu"")"),"Hely és cím")</f>
        <v>Hely és cím</v>
      </c>
      <c r="AK31" s="4" t="str">
        <f>IFERROR(__xludf.DUMMYFUNCTION("GOOGLETRANSLATE(B31,""en"",""hy"")"),"Գտնվելու վայրը և հասցեն")</f>
        <v>Գտնվելու վայրը և հասցեն</v>
      </c>
      <c r="AL31" s="4" t="str">
        <f>IFERROR(__xludf.DUMMYFUNCTION("GOOGLETRANSLATE(B31,""en"",""ca"")"),"Ubicació i adreça")</f>
        <v>Ubicació i adreça</v>
      </c>
      <c r="AM31" s="4" t="str">
        <f>IFERROR(__xludf.DUMMYFUNCTION("GOOGLETRANSLATE(B31,""en"",""nl"")"),"Locatie en adres")</f>
        <v>Locatie en adres</v>
      </c>
      <c r="AN31" s="4" t="str">
        <f>IFERROR(__xludf.DUMMYFUNCTION("GOOGLETRANSLATE(B31,""en"",""he"")"),"מיקום וכתובת")</f>
        <v>מיקום וכתובת</v>
      </c>
      <c r="AO31" s="4" t="str">
        <f>IFERROR(__xludf.DUMMYFUNCTION("GOOGLETRANSLATE(B31,""en"",""is"")"),"Staðsetning og heimilisfang")</f>
        <v>Staðsetning og heimilisfang</v>
      </c>
      <c r="AP31" s="4" t="str">
        <f>IFERROR(__xludf.DUMMYFUNCTION("GOOGLETRANSLATE(B31,""en"",""no"")"),"Plassering og adresse")</f>
        <v>Plassering og adresse</v>
      </c>
      <c r="AQ31" s="4" t="str">
        <f>IFERROR(__xludf.DUMMYFUNCTION("GOOGLETRANSLATE(B31,""en"",""fa"")"),"مکان و آدرس")</f>
        <v>مکان و آدرس</v>
      </c>
      <c r="AR31" s="4" t="str">
        <f>IFERROR(__xludf.DUMMYFUNCTION("GOOGLETRANSLATE(B31,""en"",""pl"")"),"Lokalizacja i adres")</f>
        <v>Lokalizacja i adres</v>
      </c>
      <c r="AS31" s="4" t="str">
        <f>IFERROR(__xludf.DUMMYFUNCTION("GOOGLETRANSLATE(B31,""en"",""sv"")"),"Plats &amp; adress")</f>
        <v>Plats &amp; adress</v>
      </c>
      <c r="AT31" s="4" t="str">
        <f>IFERROR(__xludf.DUMMYFUNCTION("GOOGLETRANSLATE(B31,""en"",""uk"")"),"Розташування та адреса")</f>
        <v>Розташування та адреса</v>
      </c>
      <c r="AU31" s="4" t="str">
        <f>IFERROR(__xludf.DUMMYFUNCTION("GOOGLETRANSLATE(B31,""en"",""zu"")"),"Indawo Nekheli")</f>
        <v>Indawo Nekheli</v>
      </c>
      <c r="AV31" s="4" t="str">
        <f>IFERROR(__xludf.DUMMYFUNCTION("GOOGLETRANSLATE(B31,""en"",""sr"")"),"Локација и адреса")</f>
        <v>Локација и адреса</v>
      </c>
    </row>
    <row r="32">
      <c r="A32" s="3" t="s">
        <v>106</v>
      </c>
      <c r="B32" s="3" t="s">
        <v>107</v>
      </c>
      <c r="C32" s="4" t="str">
        <f>IFERROR(__xludf.DUMMYFUNCTION("GOOGLETRANSLATE(B32,""en"",""ta"")"),"ட்ரெக்கிங் ப்ரோ")</f>
        <v>ட்ரெக்கிங் ப்ரோ</v>
      </c>
      <c r="D32" s="4" t="str">
        <f>IFERROR(__xludf.DUMMYFUNCTION("GOOGLETRANSLATE(B32,""en"",""hi"")"),"ट्रेकिंग प्रो")</f>
        <v>ट्रेकिंग प्रो</v>
      </c>
      <c r="E32" s="4" t="str">
        <f>IFERROR(__xludf.DUMMYFUNCTION("GOOGLETRANSLATE(B32,""en"",""id"")"),"Trekking Profesional")</f>
        <v>Trekking Profesional</v>
      </c>
      <c r="F32" s="4" t="str">
        <f>IFERROR(__xludf.DUMMYFUNCTION("GOOGLETRANSLATE(B32,""en"",""ms"")"),"Trekking Pro")</f>
        <v>Trekking Pro</v>
      </c>
      <c r="G32" s="4" t="str">
        <f>IFERROR(__xludf.DUMMYFUNCTION("GOOGLETRANSLATE(B32,""en"",""de"")"),"Trekking Pro")</f>
        <v>Trekking Pro</v>
      </c>
      <c r="H32" s="4" t="str">
        <f>IFERROR(__xludf.DUMMYFUNCTION("GOOGLETRANSLATE(B32,""en"",""es"")"),"Profesional del trekking")</f>
        <v>Profesional del trekking</v>
      </c>
      <c r="I32" s="4" t="str">
        <f>IFERROR(__xludf.DUMMYFUNCTION("GOOGLETRANSLATE(B32,""en"",""fr"")"),"Trekking Pro")</f>
        <v>Trekking Pro</v>
      </c>
      <c r="J32" s="4" t="str">
        <f>IFERROR(__xludf.DUMMYFUNCTION("GOOGLETRANSLATE(B32,""en"",""it"")"),"Trekking Pro")</f>
        <v>Trekking Pro</v>
      </c>
      <c r="K32" s="4" t="str">
        <f>IFERROR(__xludf.DUMMYFUNCTION("GOOGLETRANSLATE(B32,""en"",""pt"")"),"Trekking Pro")</f>
        <v>Trekking Pro</v>
      </c>
      <c r="L32" s="4" t="str">
        <f>IFERROR(__xludf.DUMMYFUNCTION("GOOGLETRANSLATE(B32,""en"",""ro"")"),"Trekking Pro")</f>
        <v>Trekking Pro</v>
      </c>
      <c r="M32" s="4" t="str">
        <f>IFERROR(__xludf.DUMMYFUNCTION("GOOGLETRANSLATE(B32,""en"",""vi"")"),"Đi bộ đường dài chuyên nghiệp")</f>
        <v>Đi bộ đường dài chuyên nghiệp</v>
      </c>
      <c r="N32" s="4" t="str">
        <f>IFERROR(__xludf.DUMMYFUNCTION("GOOGLETRANSLATE(B32,""en"",""ru"")"),"Треккинг Профессиональный")</f>
        <v>Треккинг Профессиональный</v>
      </c>
      <c r="O32" s="4" t="str">
        <f>IFERROR(__xludf.DUMMYFUNCTION("GOOGLETRANSLATE(B32,""en"",""tr"")"),"Trekking Profesyoneli")</f>
        <v>Trekking Profesyoneli</v>
      </c>
      <c r="P32" s="4" t="str">
        <f>IFERROR(__xludf.DUMMYFUNCTION("GOOGLETRANSLATE(B32,""en"",""ar"")"),"تريكينج برو")</f>
        <v>تريكينج برو</v>
      </c>
      <c r="Q32" s="4" t="str">
        <f>IFERROR(__xludf.DUMMYFUNCTION("GOOGLETRANSLATE(B32,""en"",""mr"")"),"ट्रेकिंग प्रो")</f>
        <v>ट्रेकिंग प्रो</v>
      </c>
      <c r="R32" s="4" t="str">
        <f>IFERROR(__xludf.DUMMYFUNCTION("GOOGLETRANSLATE(B32,""en"",""gu"")"),"ટ્રેકિંગ પ્રો")</f>
        <v>ટ્રેકિંગ પ્રો</v>
      </c>
      <c r="S32" s="4" t="str">
        <f>IFERROR(__xludf.DUMMYFUNCTION("GOOGLETRANSLATE(B32,""en"",""bn"")"),"ট্রেকিং প্রো")</f>
        <v>ট্রেকিং প্রো</v>
      </c>
      <c r="T32" s="4" t="str">
        <f>IFERROR(__xludf.DUMMYFUNCTION("GOOGLETRANSLATE(B32,""en"",""pa"")"),"ਟ੍ਰੈਕਿੰਗ ਪ੍ਰੋ")</f>
        <v>ਟ੍ਰੈਕਿੰਗ ਪ੍ਰੋ</v>
      </c>
      <c r="U32" s="4" t="str">
        <f>IFERROR(__xludf.DUMMYFUNCTION("GOOGLETRANSLATE(B32,""en"",""te"")"),"ట్రెక్కింగ్ ప్రో")</f>
        <v>ట్రెక్కింగ్ ప్రో</v>
      </c>
      <c r="V32" s="4" t="str">
        <f>IFERROR(__xludf.DUMMYFUNCTION("GOOGLETRANSLATE(B32,""en"",""kn"")"),"ಟ್ರೆಕ್ಕಿಂಗ್ ಪ್ರೊ")</f>
        <v>ಟ್ರೆಕ್ಕಿಂಗ್ ಪ್ರೊ</v>
      </c>
      <c r="W32" s="4" t="str">
        <f>IFERROR(__xludf.DUMMYFUNCTION("GOOGLETRANSLATE(B32,""en"",""ml"")"),"ട്രക്കിംഗ് പ്രോ")</f>
        <v>ട്രക്കിംഗ് പ്രോ</v>
      </c>
      <c r="X32" s="4" t="str">
        <f>IFERROR(__xludf.DUMMYFUNCTION("GOOGLETRANSLATE(B32,""en"",""th"")"),"โปรเดินป่า")</f>
        <v>โปรเดินป่า</v>
      </c>
      <c r="Y32" s="4" t="str">
        <f>IFERROR(__xludf.DUMMYFUNCTION("GOOGLETRANSLATE(B32,""en"",""ko"")"),"트레킹 프로")</f>
        <v>트레킹 프로</v>
      </c>
      <c r="Z32" s="4" t="str">
        <f>IFERROR(__xludf.DUMMYFUNCTION("GOOGLETRANSLATE(B32,""en"",""zh"")"),"徒步专业版")</f>
        <v>徒步专业版</v>
      </c>
      <c r="AA32" s="4" t="str">
        <f>IFERROR(__xludf.DUMMYFUNCTION("GOOGLETRANSLATE(B32,""en"",""zh-TW"")"),"健行專業版")</f>
        <v>健行專業版</v>
      </c>
      <c r="AB32" s="4" t="str">
        <f>IFERROR(__xludf.DUMMYFUNCTION("GOOGLETRANSLATE(B32,""en"",""ja"")"),"トレッキングプロ")</f>
        <v>トレッキングプロ</v>
      </c>
      <c r="AC32" s="4" t="str">
        <f>IFERROR(__xludf.DUMMYFUNCTION("GOOGLETRANSLATE(B32,""en"",""bg"")"),"Трекинг професионалист")</f>
        <v>Трекинг професионалист</v>
      </c>
      <c r="AD32" s="4" t="str">
        <f>IFERROR(__xludf.DUMMYFUNCTION("GOOGLETRANSLATE(B32,""en"",""cs"")"),"Treking Pro")</f>
        <v>Treking Pro</v>
      </c>
      <c r="AE32" s="4" t="str">
        <f>IFERROR(__xludf.DUMMYFUNCTION("GOOGLETRANSLATE(B32,""en"",""da"")"),"Trekking Pro")</f>
        <v>Trekking Pro</v>
      </c>
      <c r="AF32" s="4" t="str">
        <f>IFERROR(__xludf.DUMMYFUNCTION("GOOGLETRANSLATE(B32,""en"",""el"")"),"Trekking Pro")</f>
        <v>Trekking Pro</v>
      </c>
      <c r="AG32" s="4" t="str">
        <f>IFERROR(__xludf.DUMMYFUNCTION("GOOGLETRANSLATE(B32,""en"",""et"")"),"Trekking Pro")</f>
        <v>Trekking Pro</v>
      </c>
      <c r="AH32" s="4" t="str">
        <f>IFERROR(__xludf.DUMMYFUNCTION("GOOGLETRANSLATE(B32,""en"",""fi"")"),"Trekking Pro")</f>
        <v>Trekking Pro</v>
      </c>
      <c r="AI32" s="4" t="str">
        <f>IFERROR(__xludf.DUMMYFUNCTION("GOOGLETRANSLATE(B32,""en"",""hr"")"),"Trekking Pro")</f>
        <v>Trekking Pro</v>
      </c>
      <c r="AJ32" s="4" t="str">
        <f>IFERROR(__xludf.DUMMYFUNCTION("GOOGLETRANSLATE(B32,""en"",""hu"")"),"Trekking Pro")</f>
        <v>Trekking Pro</v>
      </c>
      <c r="AK32" s="4" t="str">
        <f>IFERROR(__xludf.DUMMYFUNCTION("GOOGLETRANSLATE(B32,""en"",""hy"")"),"Trekking Pro")</f>
        <v>Trekking Pro</v>
      </c>
      <c r="AL32" s="4" t="str">
        <f>IFERROR(__xludf.DUMMYFUNCTION("GOOGLETRANSLATE(B32,""en"",""ca"")"),"Trekking Pro")</f>
        <v>Trekking Pro</v>
      </c>
      <c r="AM32" s="4" t="str">
        <f>IFERROR(__xludf.DUMMYFUNCTION("GOOGLETRANSLATE(B32,""en"",""nl"")"),"Trekking Pro")</f>
        <v>Trekking Pro</v>
      </c>
      <c r="AN32" s="4" t="str">
        <f>IFERROR(__xludf.DUMMYFUNCTION("GOOGLETRANSLATE(B32,""en"",""he"")"),"טרקינג פרו")</f>
        <v>טרקינג פרו</v>
      </c>
      <c r="AO32" s="4" t="str">
        <f>IFERROR(__xludf.DUMMYFUNCTION("GOOGLETRANSLATE(B32,""en"",""is"")"),"Trekking Pro")</f>
        <v>Trekking Pro</v>
      </c>
      <c r="AP32" s="4" t="str">
        <f>IFERROR(__xludf.DUMMYFUNCTION("GOOGLETRANSLATE(B32,""en"",""no"")"),"Trekking Pro")</f>
        <v>Trekking Pro</v>
      </c>
      <c r="AQ32" s="4" t="str">
        <f>IFERROR(__xludf.DUMMYFUNCTION("GOOGLETRANSLATE(B32,""en"",""fa"")"),"Trekking Pro")</f>
        <v>Trekking Pro</v>
      </c>
      <c r="AR32" s="4" t="str">
        <f>IFERROR(__xludf.DUMMYFUNCTION("GOOGLETRANSLATE(B32,""en"",""pl"")"),"Trekking Pro")</f>
        <v>Trekking Pro</v>
      </c>
      <c r="AS32" s="4" t="str">
        <f>IFERROR(__xludf.DUMMYFUNCTION("GOOGLETRANSLATE(B32,""en"",""sv"")"),"Trekking Pro")</f>
        <v>Trekking Pro</v>
      </c>
      <c r="AT32" s="4" t="str">
        <f>IFERROR(__xludf.DUMMYFUNCTION("GOOGLETRANSLATE(B32,""en"",""uk"")"),"Трекінг Професіонал")</f>
        <v>Трекінг Професіонал</v>
      </c>
      <c r="AU32" s="4" t="str">
        <f>IFERROR(__xludf.DUMMYFUNCTION("GOOGLETRANSLATE(B32,""en"",""zu"")"),"I-Trekking Pro")</f>
        <v>I-Trekking Pro</v>
      </c>
      <c r="AV32" s="4" t="str">
        <f>IFERROR(__xludf.DUMMYFUNCTION("GOOGLETRANSLATE(B32,""en"",""sr"")"),"Треккинг Про")</f>
        <v>Треккинг Про</v>
      </c>
    </row>
    <row r="33">
      <c r="A33" s="3" t="s">
        <v>108</v>
      </c>
      <c r="B33" s="3" t="s">
        <v>109</v>
      </c>
      <c r="C33" s="4" t="str">
        <f>IFERROR(__xludf.DUMMYFUNCTION("GOOGLETRANSLATE(B33,""en"",""ta"")"),"வேக மீட்டர்")</f>
        <v>வேக மீட்டர்</v>
      </c>
      <c r="D33" s="4" t="str">
        <f>IFERROR(__xludf.DUMMYFUNCTION("GOOGLETRANSLATE(B33,""en"",""hi"")"),"गति मीटर")</f>
        <v>गति मीटर</v>
      </c>
      <c r="E33" s="4" t="str">
        <f>IFERROR(__xludf.DUMMYFUNCTION("GOOGLETRANSLATE(B33,""en"",""id"")"),"Pengukur Kecepatan")</f>
        <v>Pengukur Kecepatan</v>
      </c>
      <c r="F33" s="4" t="str">
        <f>IFERROR(__xludf.DUMMYFUNCTION("GOOGLETRANSLATE(B33,""en"",""ms"")"),"Meter Kelajuan")</f>
        <v>Meter Kelajuan</v>
      </c>
      <c r="G33" s="4" t="str">
        <f>IFERROR(__xludf.DUMMYFUNCTION("GOOGLETRANSLATE(B33,""en"",""de"")"),"Geschwindigkeitsmesser")</f>
        <v>Geschwindigkeitsmesser</v>
      </c>
      <c r="H33" s="4" t="str">
        <f>IFERROR(__xludf.DUMMYFUNCTION("GOOGLETRANSLATE(B33,""en"",""es"")"),"Medidor de velocidad")</f>
        <v>Medidor de velocidad</v>
      </c>
      <c r="I33" s="4" t="str">
        <f>IFERROR(__xludf.DUMMYFUNCTION("GOOGLETRANSLATE(B33,""en"",""fr"")"),"Compteur de vitesse")</f>
        <v>Compteur de vitesse</v>
      </c>
      <c r="J33" s="4" t="str">
        <f>IFERROR(__xludf.DUMMYFUNCTION("GOOGLETRANSLATE(B33,""en"",""it"")"),"Misuratore di velocità")</f>
        <v>Misuratore di velocità</v>
      </c>
      <c r="K33" s="4" t="str">
        <f>IFERROR(__xludf.DUMMYFUNCTION("GOOGLETRANSLATE(B33,""en"",""pt"")"),"Medidor de velocidade")</f>
        <v>Medidor de velocidade</v>
      </c>
      <c r="L33" s="4" t="str">
        <f>IFERROR(__xludf.DUMMYFUNCTION("GOOGLETRANSLATE(B33,""en"",""ro"")"),"Contor de viteză")</f>
        <v>Contor de viteză</v>
      </c>
      <c r="M33" s="4" t="str">
        <f>IFERROR(__xludf.DUMMYFUNCTION("GOOGLETRANSLATE(B33,""en"",""vi"")"),"Đồng hồ đo tốc độ")</f>
        <v>Đồng hồ đo tốc độ</v>
      </c>
      <c r="N33" s="4" t="str">
        <f>IFERROR(__xludf.DUMMYFUNCTION("GOOGLETRANSLATE(B33,""en"",""ru"")"),"Измеритель скорости")</f>
        <v>Измеритель скорости</v>
      </c>
      <c r="O33" s="4" t="str">
        <f>IFERROR(__xludf.DUMMYFUNCTION("GOOGLETRANSLATE(B33,""en"",""tr"")"),"Hız Ölçer")</f>
        <v>Hız Ölçer</v>
      </c>
      <c r="P33" s="4" t="str">
        <f>IFERROR(__xludf.DUMMYFUNCTION("GOOGLETRANSLATE(B33,""en"",""ar"")"),"عداد السرعة")</f>
        <v>عداد السرعة</v>
      </c>
      <c r="Q33" s="4" t="str">
        <f>IFERROR(__xludf.DUMMYFUNCTION("GOOGLETRANSLATE(B33,""en"",""mr"")"),"स्पीड मीटर")</f>
        <v>स्पीड मीटर</v>
      </c>
      <c r="R33" s="4" t="str">
        <f>IFERROR(__xludf.DUMMYFUNCTION("GOOGLETRANSLATE(B33,""en"",""gu"")"),"સ્પીડ મીટર")</f>
        <v>સ્પીડ મીટર</v>
      </c>
      <c r="S33" s="4" t="str">
        <f>IFERROR(__xludf.DUMMYFUNCTION("GOOGLETRANSLATE(B33,""en"",""bn"")"),"স্পিড মিটার")</f>
        <v>স্পিড মিটার</v>
      </c>
      <c r="T33" s="4" t="str">
        <f>IFERROR(__xludf.DUMMYFUNCTION("GOOGLETRANSLATE(B33,""en"",""pa"")"),"ਸਪੀਡ ਮੀਟਰ")</f>
        <v>ਸਪੀਡ ਮੀਟਰ</v>
      </c>
      <c r="U33" s="4" t="str">
        <f>IFERROR(__xludf.DUMMYFUNCTION("GOOGLETRANSLATE(B33,""en"",""te"")"),"స్పీడ్ మీటర్")</f>
        <v>స్పీడ్ మీటర్</v>
      </c>
      <c r="V33" s="4" t="str">
        <f>IFERROR(__xludf.DUMMYFUNCTION("GOOGLETRANSLATE(B33,""en"",""kn"")"),"ಸ್ಪೀಡ್ ಮೀಟರ್")</f>
        <v>ಸ್ಪೀಡ್ ಮೀಟರ್</v>
      </c>
      <c r="W33" s="4" t="str">
        <f>IFERROR(__xludf.DUMMYFUNCTION("GOOGLETRANSLATE(B33,""en"",""ml"")"),"സ്പീഡ് മീറ്റർ")</f>
        <v>സ്പീഡ് മീറ്റർ</v>
      </c>
      <c r="X33" s="4" t="str">
        <f>IFERROR(__xludf.DUMMYFUNCTION("GOOGLETRANSLATE(B33,""en"",""th"")"),"มาตรวัดความเร็ว")</f>
        <v>มาตรวัดความเร็ว</v>
      </c>
      <c r="Y33" s="4" t="str">
        <f>IFERROR(__xludf.DUMMYFUNCTION("GOOGLETRANSLATE(B33,""en"",""ko"")"),"속도계")</f>
        <v>속도계</v>
      </c>
      <c r="Z33" s="4" t="str">
        <f>IFERROR(__xludf.DUMMYFUNCTION("GOOGLETRANSLATE(B33,""en"",""zh"")"),"速度计")</f>
        <v>速度计</v>
      </c>
      <c r="AA33" s="4" t="str">
        <f>IFERROR(__xludf.DUMMYFUNCTION("GOOGLETRANSLATE(B33,""en"",""zh-TW"")"),"速度計")</f>
        <v>速度計</v>
      </c>
      <c r="AB33" s="4" t="str">
        <f>IFERROR(__xludf.DUMMYFUNCTION("GOOGLETRANSLATE(B33,""en"",""ja"")"),"スピードメーター")</f>
        <v>スピードメーター</v>
      </c>
      <c r="AC33" s="4" t="str">
        <f>IFERROR(__xludf.DUMMYFUNCTION("GOOGLETRANSLATE(B33,""en"",""bg"")"),"Скоростомер")</f>
        <v>Скоростомер</v>
      </c>
      <c r="AD33" s="4" t="str">
        <f>IFERROR(__xludf.DUMMYFUNCTION("GOOGLETRANSLATE(B33,""en"",""cs"")"),"Měřič rychlosti")</f>
        <v>Měřič rychlosti</v>
      </c>
      <c r="AE33" s="4" t="str">
        <f>IFERROR(__xludf.DUMMYFUNCTION("GOOGLETRANSLATE(B33,""en"",""da"")"),"Hastighedsmåler")</f>
        <v>Hastighedsmåler</v>
      </c>
      <c r="AF33" s="4" t="str">
        <f>IFERROR(__xludf.DUMMYFUNCTION("GOOGLETRANSLATE(B33,""en"",""el"")"),"Μετρητής Ταχύτητας")</f>
        <v>Μετρητής Ταχύτητας</v>
      </c>
      <c r="AG33" s="4" t="str">
        <f>IFERROR(__xludf.DUMMYFUNCTION("GOOGLETRANSLATE(B33,""en"",""et"")"),"Kiirusmõõtur")</f>
        <v>Kiirusmõõtur</v>
      </c>
      <c r="AH33" s="4" t="str">
        <f>IFERROR(__xludf.DUMMYFUNCTION("GOOGLETRANSLATE(B33,""en"",""fi"")"),"Nopeusmittari")</f>
        <v>Nopeusmittari</v>
      </c>
      <c r="AI33" s="4" t="str">
        <f>IFERROR(__xludf.DUMMYFUNCTION("GOOGLETRANSLATE(B33,""en"",""hr"")"),"Mjerač brzine")</f>
        <v>Mjerač brzine</v>
      </c>
      <c r="AJ33" s="4" t="str">
        <f>IFERROR(__xludf.DUMMYFUNCTION("GOOGLETRANSLATE(B33,""en"",""hu"")"),"Sebességmérő")</f>
        <v>Sebességmérő</v>
      </c>
      <c r="AK33" s="4" t="str">
        <f>IFERROR(__xludf.DUMMYFUNCTION("GOOGLETRANSLATE(B33,""en"",""hy"")"),"Արագաչափ")</f>
        <v>Արագաչափ</v>
      </c>
      <c r="AL33" s="4" t="str">
        <f>IFERROR(__xludf.DUMMYFUNCTION("GOOGLETRANSLATE(B33,""en"",""ca"")"),"Mesurador de velocitat")</f>
        <v>Mesurador de velocitat</v>
      </c>
      <c r="AM33" s="4" t="str">
        <f>IFERROR(__xludf.DUMMYFUNCTION("GOOGLETRANSLATE(B33,""en"",""nl"")"),"Snelheidsmeter")</f>
        <v>Snelheidsmeter</v>
      </c>
      <c r="AN33" s="4" t="str">
        <f>IFERROR(__xludf.DUMMYFUNCTION("GOOGLETRANSLATE(B33,""en"",""he"")"),"מד מהירות")</f>
        <v>מד מהירות</v>
      </c>
      <c r="AO33" s="4" t="str">
        <f>IFERROR(__xludf.DUMMYFUNCTION("GOOGLETRANSLATE(B33,""en"",""is"")"),"Hraðamælir")</f>
        <v>Hraðamælir</v>
      </c>
      <c r="AP33" s="4" t="str">
        <f>IFERROR(__xludf.DUMMYFUNCTION("GOOGLETRANSLATE(B33,""en"",""no"")"),"Hastighetsmåler")</f>
        <v>Hastighetsmåler</v>
      </c>
      <c r="AQ33" s="4" t="str">
        <f>IFERROR(__xludf.DUMMYFUNCTION("GOOGLETRANSLATE(B33,""en"",""fa"")"),"سرعت سنج")</f>
        <v>سرعت سنج</v>
      </c>
      <c r="AR33" s="4" t="str">
        <f>IFERROR(__xludf.DUMMYFUNCTION("GOOGLETRANSLATE(B33,""en"",""pl"")"),"Miernik prędkości")</f>
        <v>Miernik prędkości</v>
      </c>
      <c r="AS33" s="4" t="str">
        <f>IFERROR(__xludf.DUMMYFUNCTION("GOOGLETRANSLATE(B33,""en"",""sv"")"),"Hastighetsmätare")</f>
        <v>Hastighetsmätare</v>
      </c>
      <c r="AT33" s="4" t="str">
        <f>IFERROR(__xludf.DUMMYFUNCTION("GOOGLETRANSLATE(B33,""en"",""uk"")"),"Вимірювач швидкості")</f>
        <v>Вимірювач швидкості</v>
      </c>
      <c r="AU33" s="4" t="str">
        <f>IFERROR(__xludf.DUMMYFUNCTION("GOOGLETRANSLATE(B33,""en"",""zu"")"),"I-Speed ​​​​Meter")</f>
        <v>I-Speed ​​​​Meter</v>
      </c>
      <c r="AV33" s="4" t="str">
        <f>IFERROR(__xludf.DUMMYFUNCTION("GOOGLETRANSLATE(B33,""en"",""sr"")"),"Спеед Метер")</f>
        <v>Спеед Метер</v>
      </c>
    </row>
    <row r="34">
      <c r="A34" s="3" t="s">
        <v>110</v>
      </c>
      <c r="B34" s="3" t="s">
        <v>111</v>
      </c>
      <c r="C34" s="4" t="str">
        <f>IFERROR(__xludf.DUMMYFUNCTION("GOOGLETRANSLATE(B34,""en"",""ta"")"),"திசைகாட்டி")</f>
        <v>திசைகாட்டி</v>
      </c>
      <c r="D34" s="4" t="str">
        <f>IFERROR(__xludf.DUMMYFUNCTION("GOOGLETRANSLATE(B34,""en"",""hi"")"),"कम्पास")</f>
        <v>कम्पास</v>
      </c>
      <c r="E34" s="4" t="str">
        <f>IFERROR(__xludf.DUMMYFUNCTION("GOOGLETRANSLATE(B34,""en"",""id"")"),"Kompas")</f>
        <v>Kompas</v>
      </c>
      <c r="F34" s="4" t="str">
        <f>IFERROR(__xludf.DUMMYFUNCTION("GOOGLETRANSLATE(B34,""en"",""ms"")"),"Kompas")</f>
        <v>Kompas</v>
      </c>
      <c r="G34" s="4" t="str">
        <f>IFERROR(__xludf.DUMMYFUNCTION("GOOGLETRANSLATE(B34,""en"",""de"")"),"Kompass")</f>
        <v>Kompass</v>
      </c>
      <c r="H34" s="4" t="str">
        <f>IFERROR(__xludf.DUMMYFUNCTION("GOOGLETRANSLATE(B34,""en"",""es"")"),"Brújula")</f>
        <v>Brújula</v>
      </c>
      <c r="I34" s="4" t="str">
        <f>IFERROR(__xludf.DUMMYFUNCTION("GOOGLETRANSLATE(B34,""en"",""fr"")"),"Boussole")</f>
        <v>Boussole</v>
      </c>
      <c r="J34" s="4" t="str">
        <f>IFERROR(__xludf.DUMMYFUNCTION("GOOGLETRANSLATE(B34,""en"",""it"")"),"Bussola")</f>
        <v>Bussola</v>
      </c>
      <c r="K34" s="4" t="str">
        <f>IFERROR(__xludf.DUMMYFUNCTION("GOOGLETRANSLATE(B34,""en"",""pt"")"),"Bússola")</f>
        <v>Bússola</v>
      </c>
      <c r="L34" s="4" t="str">
        <f>IFERROR(__xludf.DUMMYFUNCTION("GOOGLETRANSLATE(B34,""en"",""ro"")"),"Busolă")</f>
        <v>Busolă</v>
      </c>
      <c r="M34" s="4" t="str">
        <f>IFERROR(__xludf.DUMMYFUNCTION("GOOGLETRANSLATE(B34,""en"",""vi"")"),"La bàn")</f>
        <v>La bàn</v>
      </c>
      <c r="N34" s="4" t="str">
        <f>IFERROR(__xludf.DUMMYFUNCTION("GOOGLETRANSLATE(B34,""en"",""ru"")"),"Компас")</f>
        <v>Компас</v>
      </c>
      <c r="O34" s="4" t="str">
        <f>IFERROR(__xludf.DUMMYFUNCTION("GOOGLETRANSLATE(B34,""en"",""tr"")"),"Pusula")</f>
        <v>Pusula</v>
      </c>
      <c r="P34" s="4" t="str">
        <f>IFERROR(__xludf.DUMMYFUNCTION("GOOGLETRANSLATE(B34,""en"",""ar"")"),"بوصلة")</f>
        <v>بوصلة</v>
      </c>
      <c r="Q34" s="4" t="str">
        <f>IFERROR(__xludf.DUMMYFUNCTION("GOOGLETRANSLATE(B34,""en"",""mr"")"),"होकायंत्र")</f>
        <v>होकायंत्र</v>
      </c>
      <c r="R34" s="4" t="str">
        <f>IFERROR(__xludf.DUMMYFUNCTION("GOOGLETRANSLATE(B34,""en"",""gu"")"),"હોકાયંત્ર")</f>
        <v>હોકાયંત્ર</v>
      </c>
      <c r="S34" s="4" t="str">
        <f>IFERROR(__xludf.DUMMYFUNCTION("GOOGLETRANSLATE(B34,""en"",""bn"")"),"কম্পাস")</f>
        <v>কম্পাস</v>
      </c>
      <c r="T34" s="4" t="str">
        <f>IFERROR(__xludf.DUMMYFUNCTION("GOOGLETRANSLATE(B34,""en"",""pa"")"),"ਕੰਪਾਸ")</f>
        <v>ਕੰਪਾਸ</v>
      </c>
      <c r="U34" s="4" t="str">
        <f>IFERROR(__xludf.DUMMYFUNCTION("GOOGLETRANSLATE(B34,""en"",""te"")"),"దిక్సూచి")</f>
        <v>దిక్సూచి</v>
      </c>
      <c r="V34" s="4" t="str">
        <f>IFERROR(__xludf.DUMMYFUNCTION("GOOGLETRANSLATE(B34,""en"",""kn"")"),"ದಿಕ್ಸೂಚಿ")</f>
        <v>ದಿಕ್ಸೂಚಿ</v>
      </c>
      <c r="W34" s="4" t="str">
        <f>IFERROR(__xludf.DUMMYFUNCTION("GOOGLETRANSLATE(B34,""en"",""ml"")"),"കോമ്പസ്")</f>
        <v>കോമ്പസ്</v>
      </c>
      <c r="X34" s="4" t="str">
        <f>IFERROR(__xludf.DUMMYFUNCTION("GOOGLETRANSLATE(B34,""en"",""th"")"),"เข็มทิศ")</f>
        <v>เข็มทิศ</v>
      </c>
      <c r="Y34" s="4" t="str">
        <f>IFERROR(__xludf.DUMMYFUNCTION("GOOGLETRANSLATE(B34,""en"",""ko"")"),"나침반")</f>
        <v>나침반</v>
      </c>
      <c r="Z34" s="4" t="str">
        <f>IFERROR(__xludf.DUMMYFUNCTION("GOOGLETRANSLATE(B34,""en"",""zh"")"),"罗盘")</f>
        <v>罗盘</v>
      </c>
      <c r="AA34" s="4" t="str">
        <f>IFERROR(__xludf.DUMMYFUNCTION("GOOGLETRANSLATE(B34,""en"",""zh-TW"")"),"羅盤")</f>
        <v>羅盤</v>
      </c>
      <c r="AB34" s="4" t="str">
        <f>IFERROR(__xludf.DUMMYFUNCTION("GOOGLETRANSLATE(B34,""en"",""ja"")"),"コンパス")</f>
        <v>コンパス</v>
      </c>
      <c r="AC34" s="4" t="str">
        <f>IFERROR(__xludf.DUMMYFUNCTION("GOOGLETRANSLATE(B34,""en"",""bg"")"),"Компас")</f>
        <v>Компас</v>
      </c>
      <c r="AD34" s="4" t="str">
        <f>IFERROR(__xludf.DUMMYFUNCTION("GOOGLETRANSLATE(B34,""en"",""cs"")"),"Kompas")</f>
        <v>Kompas</v>
      </c>
      <c r="AE34" s="4" t="str">
        <f>IFERROR(__xludf.DUMMYFUNCTION("GOOGLETRANSLATE(B34,""en"",""da"")"),"Kompas")</f>
        <v>Kompas</v>
      </c>
      <c r="AF34" s="4" t="str">
        <f>IFERROR(__xludf.DUMMYFUNCTION("GOOGLETRANSLATE(B34,""en"",""el"")"),"Πυξίδα")</f>
        <v>Πυξίδα</v>
      </c>
      <c r="AG34" s="4" t="str">
        <f>IFERROR(__xludf.DUMMYFUNCTION("GOOGLETRANSLATE(B34,""en"",""et"")"),"Kompass")</f>
        <v>Kompass</v>
      </c>
      <c r="AH34" s="4" t="str">
        <f>IFERROR(__xludf.DUMMYFUNCTION("GOOGLETRANSLATE(B34,""en"",""fi"")"),"Kompassi")</f>
        <v>Kompassi</v>
      </c>
      <c r="AI34" s="4" t="str">
        <f>IFERROR(__xludf.DUMMYFUNCTION("GOOGLETRANSLATE(B34,""en"",""hr"")"),"Kompas")</f>
        <v>Kompas</v>
      </c>
      <c r="AJ34" s="4" t="str">
        <f>IFERROR(__xludf.DUMMYFUNCTION("GOOGLETRANSLATE(B34,""en"",""hu"")"),"Iránytű")</f>
        <v>Iránytű</v>
      </c>
      <c r="AK34" s="4" t="str">
        <f>IFERROR(__xludf.DUMMYFUNCTION("GOOGLETRANSLATE(B34,""en"",""hy"")"),"Կողմնացույց")</f>
        <v>Կողմնացույց</v>
      </c>
      <c r="AL34" s="4" t="str">
        <f>IFERROR(__xludf.DUMMYFUNCTION("GOOGLETRANSLATE(B34,""en"",""ca"")"),"Brúixola")</f>
        <v>Brúixola</v>
      </c>
      <c r="AM34" s="4" t="str">
        <f>IFERROR(__xludf.DUMMYFUNCTION("GOOGLETRANSLATE(B34,""en"",""nl"")"),"Kompas")</f>
        <v>Kompas</v>
      </c>
      <c r="AN34" s="4" t="str">
        <f>IFERROR(__xludf.DUMMYFUNCTION("GOOGLETRANSLATE(B34,""en"",""he"")"),"מַצְפֵּן")</f>
        <v>מַצְפֵּן</v>
      </c>
      <c r="AO34" s="4" t="str">
        <f>IFERROR(__xludf.DUMMYFUNCTION("GOOGLETRANSLATE(B34,""en"",""is"")"),"Áttaviti")</f>
        <v>Áttaviti</v>
      </c>
      <c r="AP34" s="4" t="str">
        <f>IFERROR(__xludf.DUMMYFUNCTION("GOOGLETRANSLATE(B34,""en"",""no"")"),"Kompass")</f>
        <v>Kompass</v>
      </c>
      <c r="AQ34" s="4" t="str">
        <f>IFERROR(__xludf.DUMMYFUNCTION("GOOGLETRANSLATE(B34,""en"",""fa"")"),"قطب نما")</f>
        <v>قطب نما</v>
      </c>
      <c r="AR34" s="4" t="str">
        <f>IFERROR(__xludf.DUMMYFUNCTION("GOOGLETRANSLATE(B34,""en"",""pl"")"),"Kompas")</f>
        <v>Kompas</v>
      </c>
      <c r="AS34" s="4" t="str">
        <f>IFERROR(__xludf.DUMMYFUNCTION("GOOGLETRANSLATE(B34,""en"",""sv"")"),"Kompass")</f>
        <v>Kompass</v>
      </c>
      <c r="AT34" s="4" t="str">
        <f>IFERROR(__xludf.DUMMYFUNCTION("GOOGLETRANSLATE(B34,""en"",""uk"")"),"компас")</f>
        <v>компас</v>
      </c>
      <c r="AU34" s="4" t="str">
        <f>IFERROR(__xludf.DUMMYFUNCTION("GOOGLETRANSLATE(B34,""en"",""zu"")"),"Ikhampasi")</f>
        <v>Ikhampasi</v>
      </c>
      <c r="AV34" s="4" t="str">
        <f>IFERROR(__xludf.DUMMYFUNCTION("GOOGLETRANSLATE(B34,""en"",""sr"")"),"Компас")</f>
        <v>Компас</v>
      </c>
    </row>
    <row r="35">
      <c r="A35" s="3" t="s">
        <v>112</v>
      </c>
      <c r="B35" s="3" t="s">
        <v>113</v>
      </c>
      <c r="C35" s="4" t="str">
        <f>IFERROR(__xludf.DUMMYFUNCTION("GOOGLETRANSLATE(B35,""en"",""ta"")"),"சென்சார்கள்")</f>
        <v>சென்சார்கள்</v>
      </c>
      <c r="D35" s="4" t="str">
        <f>IFERROR(__xludf.DUMMYFUNCTION("GOOGLETRANSLATE(B35,""en"",""hi"")"),"सेंसर")</f>
        <v>सेंसर</v>
      </c>
      <c r="E35" s="4" t="str">
        <f>IFERROR(__xludf.DUMMYFUNCTION("GOOGLETRANSLATE(B35,""en"",""id"")"),"Sensor")</f>
        <v>Sensor</v>
      </c>
      <c r="F35" s="4" t="str">
        <f>IFERROR(__xludf.DUMMYFUNCTION("GOOGLETRANSLATE(B35,""en"",""ms"")"),"Penderia")</f>
        <v>Penderia</v>
      </c>
      <c r="G35" s="4" t="str">
        <f>IFERROR(__xludf.DUMMYFUNCTION("GOOGLETRANSLATE(B35,""en"",""de"")"),"Sensoren")</f>
        <v>Sensoren</v>
      </c>
      <c r="H35" s="4" t="str">
        <f>IFERROR(__xludf.DUMMYFUNCTION("GOOGLETRANSLATE(B35,""en"",""es"")"),"Sensores")</f>
        <v>Sensores</v>
      </c>
      <c r="I35" s="4" t="str">
        <f>IFERROR(__xludf.DUMMYFUNCTION("GOOGLETRANSLATE(B35,""en"",""fr"")"),"Capteurs")</f>
        <v>Capteurs</v>
      </c>
      <c r="J35" s="4" t="str">
        <f>IFERROR(__xludf.DUMMYFUNCTION("GOOGLETRANSLATE(B35,""en"",""it"")"),"Sensori")</f>
        <v>Sensori</v>
      </c>
      <c r="K35" s="4" t="str">
        <f>IFERROR(__xludf.DUMMYFUNCTION("GOOGLETRANSLATE(B35,""en"",""pt"")"),"Sensores")</f>
        <v>Sensores</v>
      </c>
      <c r="L35" s="4" t="str">
        <f>IFERROR(__xludf.DUMMYFUNCTION("GOOGLETRANSLATE(B35,""en"",""ro"")"),"Senzori")</f>
        <v>Senzori</v>
      </c>
      <c r="M35" s="4" t="str">
        <f>IFERROR(__xludf.DUMMYFUNCTION("GOOGLETRANSLATE(B35,""en"",""vi"")"),"Cảm biến")</f>
        <v>Cảm biến</v>
      </c>
      <c r="N35" s="4" t="str">
        <f>IFERROR(__xludf.DUMMYFUNCTION("GOOGLETRANSLATE(B35,""en"",""ru"")"),"Датчики")</f>
        <v>Датчики</v>
      </c>
      <c r="O35" s="4" t="str">
        <f>IFERROR(__xludf.DUMMYFUNCTION("GOOGLETRANSLATE(B35,""en"",""tr"")"),"Sensörler")</f>
        <v>Sensörler</v>
      </c>
      <c r="P35" s="4" t="str">
        <f>IFERROR(__xludf.DUMMYFUNCTION("GOOGLETRANSLATE(B35,""en"",""ar"")"),"أجهزة الاستشعار")</f>
        <v>أجهزة الاستشعار</v>
      </c>
      <c r="Q35" s="4" t="str">
        <f>IFERROR(__xludf.DUMMYFUNCTION("GOOGLETRANSLATE(B35,""en"",""mr"")"),"सेन्सर्स")</f>
        <v>सेन्सर्स</v>
      </c>
      <c r="R35" s="4" t="str">
        <f>IFERROR(__xludf.DUMMYFUNCTION("GOOGLETRANSLATE(B35,""en"",""gu"")"),"સેન્સર્સ")</f>
        <v>સેન્સર્સ</v>
      </c>
      <c r="S35" s="4" t="str">
        <f>IFERROR(__xludf.DUMMYFUNCTION("GOOGLETRANSLATE(B35,""en"",""bn"")"),"সেন্সর")</f>
        <v>সেন্সর</v>
      </c>
      <c r="T35" s="4" t="str">
        <f>IFERROR(__xludf.DUMMYFUNCTION("GOOGLETRANSLATE(B35,""en"",""pa"")"),"ਸੈਂਸਰ")</f>
        <v>ਸੈਂਸਰ</v>
      </c>
      <c r="U35" s="4" t="str">
        <f>IFERROR(__xludf.DUMMYFUNCTION("GOOGLETRANSLATE(B35,""en"",""te"")"),"సెన్సార్లు")</f>
        <v>సెన్సార్లు</v>
      </c>
      <c r="V35" s="4" t="str">
        <f>IFERROR(__xludf.DUMMYFUNCTION("GOOGLETRANSLATE(B35,""en"",""kn"")"),"ಸಂವೇದಕಗಳು")</f>
        <v>ಸಂವೇದಕಗಳು</v>
      </c>
      <c r="W35" s="4" t="str">
        <f>IFERROR(__xludf.DUMMYFUNCTION("GOOGLETRANSLATE(B35,""en"",""ml"")"),"സെൻസറുകൾ")</f>
        <v>സെൻസറുകൾ</v>
      </c>
      <c r="X35" s="4" t="str">
        <f>IFERROR(__xludf.DUMMYFUNCTION("GOOGLETRANSLATE(B35,""en"",""th"")"),"เซ็นเซอร์")</f>
        <v>เซ็นเซอร์</v>
      </c>
      <c r="Y35" s="4" t="str">
        <f>IFERROR(__xludf.DUMMYFUNCTION("GOOGLETRANSLATE(B35,""en"",""ko"")"),"센서")</f>
        <v>센서</v>
      </c>
      <c r="Z35" s="4" t="str">
        <f>IFERROR(__xludf.DUMMYFUNCTION("GOOGLETRANSLATE(B35,""en"",""zh"")"),"传感器")</f>
        <v>传感器</v>
      </c>
      <c r="AA35" s="4" t="str">
        <f>IFERROR(__xludf.DUMMYFUNCTION("GOOGLETRANSLATE(B35,""en"",""zh-TW"")"),"感應器")</f>
        <v>感應器</v>
      </c>
      <c r="AB35" s="4" t="str">
        <f>IFERROR(__xludf.DUMMYFUNCTION("GOOGLETRANSLATE(B35,""en"",""ja"")"),"センサー")</f>
        <v>センサー</v>
      </c>
      <c r="AC35" s="4" t="str">
        <f>IFERROR(__xludf.DUMMYFUNCTION("GOOGLETRANSLATE(B35,""en"",""bg"")"),"Сензори")</f>
        <v>Сензори</v>
      </c>
      <c r="AD35" s="4" t="str">
        <f>IFERROR(__xludf.DUMMYFUNCTION("GOOGLETRANSLATE(B35,""en"",""cs"")"),"Senzory")</f>
        <v>Senzory</v>
      </c>
      <c r="AE35" s="4" t="str">
        <f>IFERROR(__xludf.DUMMYFUNCTION("GOOGLETRANSLATE(B35,""en"",""da"")"),"Sensorer")</f>
        <v>Sensorer</v>
      </c>
      <c r="AF35" s="4" t="str">
        <f>IFERROR(__xludf.DUMMYFUNCTION("GOOGLETRANSLATE(B35,""en"",""el"")"),"Αισθητήρες")</f>
        <v>Αισθητήρες</v>
      </c>
      <c r="AG35" s="4" t="str">
        <f>IFERROR(__xludf.DUMMYFUNCTION("GOOGLETRANSLATE(B35,""en"",""et"")"),"Andurid")</f>
        <v>Andurid</v>
      </c>
      <c r="AH35" s="4" t="str">
        <f>IFERROR(__xludf.DUMMYFUNCTION("GOOGLETRANSLATE(B35,""en"",""fi"")"),"Anturit")</f>
        <v>Anturit</v>
      </c>
      <c r="AI35" s="4" t="str">
        <f>IFERROR(__xludf.DUMMYFUNCTION("GOOGLETRANSLATE(B35,""en"",""hr"")"),"Senzori")</f>
        <v>Senzori</v>
      </c>
      <c r="AJ35" s="4" t="str">
        <f>IFERROR(__xludf.DUMMYFUNCTION("GOOGLETRANSLATE(B35,""en"",""hu"")"),"Érzékelők")</f>
        <v>Érzékelők</v>
      </c>
      <c r="AK35" s="4" t="str">
        <f>IFERROR(__xludf.DUMMYFUNCTION("GOOGLETRANSLATE(B35,""en"",""hy"")"),"Սենսորներ")</f>
        <v>Սենսորներ</v>
      </c>
      <c r="AL35" s="4" t="str">
        <f>IFERROR(__xludf.DUMMYFUNCTION("GOOGLETRANSLATE(B35,""en"",""ca"")"),"Sensors")</f>
        <v>Sensors</v>
      </c>
      <c r="AM35" s="4" t="str">
        <f>IFERROR(__xludf.DUMMYFUNCTION("GOOGLETRANSLATE(B35,""en"",""nl"")"),"Sensoren")</f>
        <v>Sensoren</v>
      </c>
      <c r="AN35" s="4" t="str">
        <f>IFERROR(__xludf.DUMMYFUNCTION("GOOGLETRANSLATE(B35,""en"",""he"")"),"חיישנים")</f>
        <v>חיישנים</v>
      </c>
      <c r="AO35" s="4" t="str">
        <f>IFERROR(__xludf.DUMMYFUNCTION("GOOGLETRANSLATE(B35,""en"",""is"")"),"Skynjarar")</f>
        <v>Skynjarar</v>
      </c>
      <c r="AP35" s="4" t="str">
        <f>IFERROR(__xludf.DUMMYFUNCTION("GOOGLETRANSLATE(B35,""en"",""no"")"),"Sensorer")</f>
        <v>Sensorer</v>
      </c>
      <c r="AQ35" s="4" t="str">
        <f>IFERROR(__xludf.DUMMYFUNCTION("GOOGLETRANSLATE(B35,""en"",""fa"")"),"حسگرها")</f>
        <v>حسگرها</v>
      </c>
      <c r="AR35" s="4" t="str">
        <f>IFERROR(__xludf.DUMMYFUNCTION("GOOGLETRANSLATE(B35,""en"",""pl"")"),"Czujniki")</f>
        <v>Czujniki</v>
      </c>
      <c r="AS35" s="4" t="str">
        <f>IFERROR(__xludf.DUMMYFUNCTION("GOOGLETRANSLATE(B35,""en"",""sv"")"),"Sensorer")</f>
        <v>Sensorer</v>
      </c>
      <c r="AT35" s="4" t="str">
        <f>IFERROR(__xludf.DUMMYFUNCTION("GOOGLETRANSLATE(B35,""en"",""uk"")"),"Датчики")</f>
        <v>Датчики</v>
      </c>
      <c r="AU35" s="4" t="str">
        <f>IFERROR(__xludf.DUMMYFUNCTION("GOOGLETRANSLATE(B35,""en"",""zu"")"),"Izinzwa")</f>
        <v>Izinzwa</v>
      </c>
      <c r="AV35" s="4" t="str">
        <f>IFERROR(__xludf.DUMMYFUNCTION("GOOGLETRANSLATE(B35,""en"",""sr"")"),"Сензори")</f>
        <v>Сензори</v>
      </c>
    </row>
    <row r="36">
      <c r="A36" s="3" t="s">
        <v>114</v>
      </c>
      <c r="B36" s="3" t="s">
        <v>115</v>
      </c>
      <c r="C36" s="4" t="str">
        <f>IFERROR(__xludf.DUMMYFUNCTION("GOOGLETRANSLATE(B36,""en"",""ta"")"),"வரைபடக் கருவிகள்")</f>
        <v>வரைபடக் கருவிகள்</v>
      </c>
      <c r="D36" s="4" t="str">
        <f>IFERROR(__xludf.DUMMYFUNCTION("GOOGLETRANSLATE(B36,""en"",""hi"")"),"मानचित्र उपकरण")</f>
        <v>मानचित्र उपकरण</v>
      </c>
      <c r="E36" s="4" t="str">
        <f>IFERROR(__xludf.DUMMYFUNCTION("GOOGLETRANSLATE(B36,""en"",""id"")"),"Alat Peta")</f>
        <v>Alat Peta</v>
      </c>
      <c r="F36" s="4" t="str">
        <f>IFERROR(__xludf.DUMMYFUNCTION("GOOGLETRANSLATE(B36,""en"",""ms"")"),"Alat Peta")</f>
        <v>Alat Peta</v>
      </c>
      <c r="G36" s="4" t="str">
        <f>IFERROR(__xludf.DUMMYFUNCTION("GOOGLETRANSLATE(B36,""en"",""de"")"),"Kartentools")</f>
        <v>Kartentools</v>
      </c>
      <c r="H36" s="4" t="str">
        <f>IFERROR(__xludf.DUMMYFUNCTION("GOOGLETRANSLATE(B36,""en"",""es"")"),"Herramientas de mapas")</f>
        <v>Herramientas de mapas</v>
      </c>
      <c r="I36" s="4" t="str">
        <f>IFERROR(__xludf.DUMMYFUNCTION("GOOGLETRANSLATE(B36,""en"",""fr"")"),"Outils cartographiques")</f>
        <v>Outils cartographiques</v>
      </c>
      <c r="J36" s="4" t="str">
        <f>IFERROR(__xludf.DUMMYFUNCTION("GOOGLETRANSLATE(B36,""en"",""it"")"),"Strumenti mappa")</f>
        <v>Strumenti mappa</v>
      </c>
      <c r="K36" s="4" t="str">
        <f>IFERROR(__xludf.DUMMYFUNCTION("GOOGLETRANSLATE(B36,""en"",""pt"")"),"Ferramentas de mapa")</f>
        <v>Ferramentas de mapa</v>
      </c>
      <c r="L36" s="4" t="str">
        <f>IFERROR(__xludf.DUMMYFUNCTION("GOOGLETRANSLATE(B36,""en"",""ro"")"),"Instrumente pentru hărți")</f>
        <v>Instrumente pentru hărți</v>
      </c>
      <c r="M36" s="4" t="str">
        <f>IFERROR(__xludf.DUMMYFUNCTION("GOOGLETRANSLATE(B36,""en"",""vi"")"),"Công cụ bản đồ")</f>
        <v>Công cụ bản đồ</v>
      </c>
      <c r="N36" s="4" t="str">
        <f>IFERROR(__xludf.DUMMYFUNCTION("GOOGLETRANSLATE(B36,""en"",""ru"")"),"Инструменты карты")</f>
        <v>Инструменты карты</v>
      </c>
      <c r="O36" s="4" t="str">
        <f>IFERROR(__xludf.DUMMYFUNCTION("GOOGLETRANSLATE(B36,""en"",""tr"")"),"Harita Araçları")</f>
        <v>Harita Araçları</v>
      </c>
      <c r="P36" s="4" t="str">
        <f>IFERROR(__xludf.DUMMYFUNCTION("GOOGLETRANSLATE(B36,""en"",""ar"")"),"أدوات الخريطة")</f>
        <v>أدوات الخريطة</v>
      </c>
      <c r="Q36" s="4" t="str">
        <f>IFERROR(__xludf.DUMMYFUNCTION("GOOGLETRANSLATE(B36,""en"",""mr"")"),"नकाशा साधने")</f>
        <v>नकाशा साधने</v>
      </c>
      <c r="R36" s="4" t="str">
        <f>IFERROR(__xludf.DUMMYFUNCTION("GOOGLETRANSLATE(B36,""en"",""gu"")"),"નકશા સાધનો")</f>
        <v>નકશા સાધનો</v>
      </c>
      <c r="S36" s="4" t="str">
        <f>IFERROR(__xludf.DUMMYFUNCTION("GOOGLETRANSLATE(B36,""en"",""bn"")"),"মানচিত্র সরঞ্জাম")</f>
        <v>মানচিত্র সরঞ্জাম</v>
      </c>
      <c r="T36" s="4" t="str">
        <f>IFERROR(__xludf.DUMMYFUNCTION("GOOGLETRANSLATE(B36,""en"",""pa"")"),"ਮੈਪ ਟੂਲ")</f>
        <v>ਮੈਪ ਟੂਲ</v>
      </c>
      <c r="U36" s="4" t="str">
        <f>IFERROR(__xludf.DUMMYFUNCTION("GOOGLETRANSLATE(B36,""en"",""te"")"),"మ్యాప్ సాధనాలు")</f>
        <v>మ్యాప్ సాధనాలు</v>
      </c>
      <c r="V36" s="4" t="str">
        <f>IFERROR(__xludf.DUMMYFUNCTION("GOOGLETRANSLATE(B36,""en"",""kn"")"),"ನಕ್ಷೆ ಪರಿಕರಗಳು")</f>
        <v>ನಕ್ಷೆ ಪರಿಕರಗಳು</v>
      </c>
      <c r="W36" s="4" t="str">
        <f>IFERROR(__xludf.DUMMYFUNCTION("GOOGLETRANSLATE(B36,""en"",""ml"")"),"മാപ്പ് ടൂളുകൾ")</f>
        <v>മാപ്പ് ടൂളുകൾ</v>
      </c>
      <c r="X36" s="4" t="str">
        <f>IFERROR(__xludf.DUMMYFUNCTION("GOOGLETRANSLATE(B36,""en"",""th"")"),"เครื่องมือแผนที่")</f>
        <v>เครื่องมือแผนที่</v>
      </c>
      <c r="Y36" s="4" t="str">
        <f>IFERROR(__xludf.DUMMYFUNCTION("GOOGLETRANSLATE(B36,""en"",""ko"")"),"지도 도구")</f>
        <v>지도 도구</v>
      </c>
      <c r="Z36" s="4" t="str">
        <f>IFERROR(__xludf.DUMMYFUNCTION("GOOGLETRANSLATE(B36,""en"",""zh"")"),"地图工具")</f>
        <v>地图工具</v>
      </c>
      <c r="AA36" s="4" t="str">
        <f>IFERROR(__xludf.DUMMYFUNCTION("GOOGLETRANSLATE(B36,""en"",""zh-TW"")"),"地圖工具")</f>
        <v>地圖工具</v>
      </c>
      <c r="AB36" s="4" t="str">
        <f>IFERROR(__xludf.DUMMYFUNCTION("GOOGLETRANSLATE(B36,""en"",""ja"")"),"マップツール")</f>
        <v>マップツール</v>
      </c>
      <c r="AC36" s="4" t="str">
        <f>IFERROR(__xludf.DUMMYFUNCTION("GOOGLETRANSLATE(B36,""en"",""bg"")"),"Инструменти за карта")</f>
        <v>Инструменти за карта</v>
      </c>
      <c r="AD36" s="4" t="str">
        <f>IFERROR(__xludf.DUMMYFUNCTION("GOOGLETRANSLATE(B36,""en"",""cs"")"),"Mapové nástroje")</f>
        <v>Mapové nástroje</v>
      </c>
      <c r="AE36" s="4" t="str">
        <f>IFERROR(__xludf.DUMMYFUNCTION("GOOGLETRANSLATE(B36,""en"",""da"")"),"Kortværktøjer")</f>
        <v>Kortværktøjer</v>
      </c>
      <c r="AF36" s="4" t="str">
        <f>IFERROR(__xludf.DUMMYFUNCTION("GOOGLETRANSLATE(B36,""en"",""el"")"),"Εργαλεία χάρτη")</f>
        <v>Εργαλεία χάρτη</v>
      </c>
      <c r="AG36" s="4" t="str">
        <f>IFERROR(__xludf.DUMMYFUNCTION("GOOGLETRANSLATE(B36,""en"",""et"")"),"Kaarditööriistad")</f>
        <v>Kaarditööriistad</v>
      </c>
      <c r="AH36" s="4" t="str">
        <f>IFERROR(__xludf.DUMMYFUNCTION("GOOGLETRANSLATE(B36,""en"",""fi"")"),"Karttatyökalut")</f>
        <v>Karttatyökalut</v>
      </c>
      <c r="AI36" s="4" t="str">
        <f>IFERROR(__xludf.DUMMYFUNCTION("GOOGLETRANSLATE(B36,""en"",""hr"")"),"Alati karte")</f>
        <v>Alati karte</v>
      </c>
      <c r="AJ36" s="4" t="str">
        <f>IFERROR(__xludf.DUMMYFUNCTION("GOOGLETRANSLATE(B36,""en"",""hu"")"),"Térképeszközök")</f>
        <v>Térképeszközök</v>
      </c>
      <c r="AK36" s="4" t="str">
        <f>IFERROR(__xludf.DUMMYFUNCTION("GOOGLETRANSLATE(B36,""en"",""hy"")"),"Քարտեզի գործիքներ")</f>
        <v>Քարտեզի գործիքներ</v>
      </c>
      <c r="AL36" s="4" t="str">
        <f>IFERROR(__xludf.DUMMYFUNCTION("GOOGLETRANSLATE(B36,""en"",""ca"")"),"Eines de mapes")</f>
        <v>Eines de mapes</v>
      </c>
      <c r="AM36" s="4" t="str">
        <f>IFERROR(__xludf.DUMMYFUNCTION("GOOGLETRANSLATE(B36,""en"",""nl"")"),"Kaarthulpmiddelen")</f>
        <v>Kaarthulpmiddelen</v>
      </c>
      <c r="AN36" s="4" t="str">
        <f>IFERROR(__xludf.DUMMYFUNCTION("GOOGLETRANSLATE(B36,""en"",""he"")"),"כלי מפה")</f>
        <v>כלי מפה</v>
      </c>
      <c r="AO36" s="4" t="str">
        <f>IFERROR(__xludf.DUMMYFUNCTION("GOOGLETRANSLATE(B36,""en"",""is"")"),"Kortaverkfæri")</f>
        <v>Kortaverkfæri</v>
      </c>
      <c r="AP36" s="4" t="str">
        <f>IFERROR(__xludf.DUMMYFUNCTION("GOOGLETRANSLATE(B36,""en"",""no"")"),"Kartverktøy")</f>
        <v>Kartverktøy</v>
      </c>
      <c r="AQ36" s="4" t="str">
        <f>IFERROR(__xludf.DUMMYFUNCTION("GOOGLETRANSLATE(B36,""en"",""fa"")"),"ابزارهای نقشه")</f>
        <v>ابزارهای نقشه</v>
      </c>
      <c r="AR36" s="4" t="str">
        <f>IFERROR(__xludf.DUMMYFUNCTION("GOOGLETRANSLATE(B36,""en"",""pl"")"),"Narzędzia mapy")</f>
        <v>Narzędzia mapy</v>
      </c>
      <c r="AS36" s="4" t="str">
        <f>IFERROR(__xludf.DUMMYFUNCTION("GOOGLETRANSLATE(B36,""en"",""sv"")"),"Kartverktyg")</f>
        <v>Kartverktyg</v>
      </c>
      <c r="AT36" s="4" t="str">
        <f>IFERROR(__xludf.DUMMYFUNCTION("GOOGLETRANSLATE(B36,""en"",""uk"")"),"Інструменти карти")</f>
        <v>Інструменти карти</v>
      </c>
      <c r="AU36" s="4" t="str">
        <f>IFERROR(__xludf.DUMMYFUNCTION("GOOGLETRANSLATE(B36,""en"",""zu"")"),"Amathuluzi Wemephu")</f>
        <v>Amathuluzi Wemephu</v>
      </c>
      <c r="AV36" s="4" t="str">
        <f>IFERROR(__xludf.DUMMYFUNCTION("GOOGLETRANSLATE(B36,""en"",""sr"")"),"Мап Тоолс")</f>
        <v>Мап Тоолс</v>
      </c>
    </row>
    <row r="37">
      <c r="A37" s="3" t="s">
        <v>116</v>
      </c>
      <c r="B37" s="3" t="s">
        <v>117</v>
      </c>
      <c r="C37" s="4" t="str">
        <f>IFERROR(__xludf.DUMMYFUNCTION("GOOGLETRANSLATE(B37,""en"",""ta"")"),"காற்றின் தரக் குறியீடு")</f>
        <v>காற்றின் தரக் குறியீடு</v>
      </c>
      <c r="D37" s="4" t="str">
        <f>IFERROR(__xludf.DUMMYFUNCTION("GOOGLETRANSLATE(B37,""en"",""hi"")"),"वायु गुणवत्ता सूचकांक")</f>
        <v>वायु गुणवत्ता सूचकांक</v>
      </c>
      <c r="E37" s="4" t="str">
        <f>IFERROR(__xludf.DUMMYFUNCTION("GOOGLETRANSLATE(B37,""en"",""id"")"),"Indeks Kualitas Udara")</f>
        <v>Indeks Kualitas Udara</v>
      </c>
      <c r="F37" s="4" t="str">
        <f>IFERROR(__xludf.DUMMYFUNCTION("GOOGLETRANSLATE(B37,""en"",""ms"")"),"Indeks Kualiti Udara")</f>
        <v>Indeks Kualiti Udara</v>
      </c>
      <c r="G37" s="4" t="str">
        <f>IFERROR(__xludf.DUMMYFUNCTION("GOOGLETRANSLATE(B37,""en"",""de"")"),"Luftqualitätsindex")</f>
        <v>Luftqualitätsindex</v>
      </c>
      <c r="H37" s="4" t="str">
        <f>IFERROR(__xludf.DUMMYFUNCTION("GOOGLETRANSLATE(B37,""en"",""es"")"),"Índice de calidad del aire")</f>
        <v>Índice de calidad del aire</v>
      </c>
      <c r="I37" s="4" t="str">
        <f>IFERROR(__xludf.DUMMYFUNCTION("GOOGLETRANSLATE(B37,""en"",""fr"")"),"Indice de qualité de l'air")</f>
        <v>Indice de qualité de l'air</v>
      </c>
      <c r="J37" s="4" t="str">
        <f>IFERROR(__xludf.DUMMYFUNCTION("GOOGLETRANSLATE(B37,""en"",""it"")"),"Indice di qualità dell'aria")</f>
        <v>Indice di qualità dell'aria</v>
      </c>
      <c r="K37" s="4" t="str">
        <f>IFERROR(__xludf.DUMMYFUNCTION("GOOGLETRANSLATE(B37,""en"",""pt"")"),"Índice de Qualidade do Ar")</f>
        <v>Índice de Qualidade do Ar</v>
      </c>
      <c r="L37" s="4" t="str">
        <f>IFERROR(__xludf.DUMMYFUNCTION("GOOGLETRANSLATE(B37,""en"",""ro"")"),"Indicele de calitate a aerului")</f>
        <v>Indicele de calitate a aerului</v>
      </c>
      <c r="M37" s="4" t="str">
        <f>IFERROR(__xludf.DUMMYFUNCTION("GOOGLETRANSLATE(B37,""en"",""vi"")"),"Chỉ số chất lượng không khí")</f>
        <v>Chỉ số chất lượng không khí</v>
      </c>
      <c r="N37" s="4" t="str">
        <f>IFERROR(__xludf.DUMMYFUNCTION("GOOGLETRANSLATE(B37,""en"",""ru"")"),"Индекс качества воздуха")</f>
        <v>Индекс качества воздуха</v>
      </c>
      <c r="O37" s="4" t="str">
        <f>IFERROR(__xludf.DUMMYFUNCTION("GOOGLETRANSLATE(B37,""en"",""tr"")"),"Hava Kalitesi Endeksi")</f>
        <v>Hava Kalitesi Endeksi</v>
      </c>
      <c r="P37" s="4" t="str">
        <f>IFERROR(__xludf.DUMMYFUNCTION("GOOGLETRANSLATE(B37,""en"",""ar"")"),"مؤشر جودة الهواء")</f>
        <v>مؤشر جودة الهواء</v>
      </c>
      <c r="Q37" s="4" t="str">
        <f>IFERROR(__xludf.DUMMYFUNCTION("GOOGLETRANSLATE(B37,""en"",""mr"")"),"हवा गुणवत्ता निर्देशांक")</f>
        <v>हवा गुणवत्ता निर्देशांक</v>
      </c>
      <c r="R37" s="4" t="str">
        <f>IFERROR(__xludf.DUMMYFUNCTION("GOOGLETRANSLATE(B37,""en"",""gu"")"),"હવા ગુણવત્તા સૂચકાંક")</f>
        <v>હવા ગુણવત્તા સૂચકાંક</v>
      </c>
      <c r="S37" s="4" t="str">
        <f>IFERROR(__xludf.DUMMYFUNCTION("GOOGLETRANSLATE(B37,""en"",""bn"")"),"বায়ুর গুণমান সূচক")</f>
        <v>বায়ুর গুণমান সূচক</v>
      </c>
      <c r="T37" s="4" t="str">
        <f>IFERROR(__xludf.DUMMYFUNCTION("GOOGLETRANSLATE(B37,""en"",""pa"")"),"ਹਵਾ ਗੁਣਵੱਤਾ ਸੂਚਕਾਂਕ")</f>
        <v>ਹਵਾ ਗੁਣਵੱਤਾ ਸੂਚਕਾਂਕ</v>
      </c>
      <c r="U37" s="4" t="str">
        <f>IFERROR(__xludf.DUMMYFUNCTION("GOOGLETRANSLATE(B37,""en"",""te"")"),"గాలి నాణ్యత సూచిక")</f>
        <v>గాలి నాణ్యత సూచిక</v>
      </c>
      <c r="V37" s="4" t="str">
        <f>IFERROR(__xludf.DUMMYFUNCTION("GOOGLETRANSLATE(B37,""en"",""kn"")"),"ವಾಯು ಗುಣಮಟ್ಟ ಸೂಚ್ಯಂಕ")</f>
        <v>ವಾಯು ಗುಣಮಟ್ಟ ಸೂಚ್ಯಂಕ</v>
      </c>
      <c r="W37" s="4" t="str">
        <f>IFERROR(__xludf.DUMMYFUNCTION("GOOGLETRANSLATE(B37,""en"",""ml"")"),"എയർ ക്വാളിറ്റി ഇൻഡക്സ്")</f>
        <v>എയർ ക്വാളിറ്റി ഇൻഡക്സ്</v>
      </c>
      <c r="X37" s="4" t="str">
        <f>IFERROR(__xludf.DUMMYFUNCTION("GOOGLETRANSLATE(B37,""en"",""th"")"),"ดัชนีคุณภาพอากาศ")</f>
        <v>ดัชนีคุณภาพอากาศ</v>
      </c>
      <c r="Y37" s="4" t="str">
        <f>IFERROR(__xludf.DUMMYFUNCTION("GOOGLETRANSLATE(B37,""en"",""ko"")"),"대기질 지수")</f>
        <v>대기질 지수</v>
      </c>
      <c r="Z37" s="4" t="str">
        <f>IFERROR(__xludf.DUMMYFUNCTION("GOOGLETRANSLATE(B37,""en"",""zh"")"),"空气质量指数")</f>
        <v>空气质量指数</v>
      </c>
      <c r="AA37" s="4" t="str">
        <f>IFERROR(__xludf.DUMMYFUNCTION("GOOGLETRANSLATE(B37,""en"",""zh-TW"")"),"空氣品質指數")</f>
        <v>空氣品質指數</v>
      </c>
      <c r="AB37" s="4" t="str">
        <f>IFERROR(__xludf.DUMMYFUNCTION("GOOGLETRANSLATE(B37,""en"",""ja"")"),"大気質指数")</f>
        <v>大気質指数</v>
      </c>
      <c r="AC37" s="4" t="str">
        <f>IFERROR(__xludf.DUMMYFUNCTION("GOOGLETRANSLATE(B37,""en"",""bg"")"),"Индекс на качеството на въздуха")</f>
        <v>Индекс на качеството на въздуха</v>
      </c>
      <c r="AD37" s="4" t="str">
        <f>IFERROR(__xludf.DUMMYFUNCTION("GOOGLETRANSLATE(B37,""en"",""cs"")"),"Index kvality ovzduší")</f>
        <v>Index kvality ovzduší</v>
      </c>
      <c r="AE37" s="4" t="str">
        <f>IFERROR(__xludf.DUMMYFUNCTION("GOOGLETRANSLATE(B37,""en"",""da"")"),"Luftkvalitetsindeks")</f>
        <v>Luftkvalitetsindeks</v>
      </c>
      <c r="AF37" s="4" t="str">
        <f>IFERROR(__xludf.DUMMYFUNCTION("GOOGLETRANSLATE(B37,""en"",""el"")"),"Δείκτης Ποιότητας Αέρα")</f>
        <v>Δείκτης Ποιότητας Αέρα</v>
      </c>
      <c r="AG37" s="4" t="str">
        <f>IFERROR(__xludf.DUMMYFUNCTION("GOOGLETRANSLATE(B37,""en"",""et"")"),"Õhukvaliteedi indeks")</f>
        <v>Õhukvaliteedi indeks</v>
      </c>
      <c r="AH37" s="4" t="str">
        <f>IFERROR(__xludf.DUMMYFUNCTION("GOOGLETRANSLATE(B37,""en"",""fi"")"),"Ilmanlaatuindeksi")</f>
        <v>Ilmanlaatuindeksi</v>
      </c>
      <c r="AI37" s="4" t="str">
        <f>IFERROR(__xludf.DUMMYFUNCTION("GOOGLETRANSLATE(B37,""en"",""hr"")"),"Indeks kvalitete zraka")</f>
        <v>Indeks kvalitete zraka</v>
      </c>
      <c r="AJ37" s="4" t="str">
        <f>IFERROR(__xludf.DUMMYFUNCTION("GOOGLETRANSLATE(B37,""en"",""hu"")"),"Levegőminőségi index")</f>
        <v>Levegőminőségi index</v>
      </c>
      <c r="AK37" s="4" t="str">
        <f>IFERROR(__xludf.DUMMYFUNCTION("GOOGLETRANSLATE(B37,""en"",""hy"")"),"Օդի որակի ինդեքս")</f>
        <v>Օդի որակի ինդեքս</v>
      </c>
      <c r="AL37" s="4" t="str">
        <f>IFERROR(__xludf.DUMMYFUNCTION("GOOGLETRANSLATE(B37,""en"",""ca"")"),"Índex de qualitat de l'aire")</f>
        <v>Índex de qualitat de l'aire</v>
      </c>
      <c r="AM37" s="4" t="str">
        <f>IFERROR(__xludf.DUMMYFUNCTION("GOOGLETRANSLATE(B37,""en"",""nl"")"),"Luchtkwaliteitsindex")</f>
        <v>Luchtkwaliteitsindex</v>
      </c>
      <c r="AN37" s="4" t="str">
        <f>IFERROR(__xludf.DUMMYFUNCTION("GOOGLETRANSLATE(B37,""en"",""he"")"),"מדד איכות האוויר")</f>
        <v>מדד איכות האוויר</v>
      </c>
      <c r="AO37" s="4" t="str">
        <f>IFERROR(__xludf.DUMMYFUNCTION("GOOGLETRANSLATE(B37,""en"",""is"")"),"Loftgæðavísitala")</f>
        <v>Loftgæðavísitala</v>
      </c>
      <c r="AP37" s="4" t="str">
        <f>IFERROR(__xludf.DUMMYFUNCTION("GOOGLETRANSLATE(B37,""en"",""no"")"),"Luftkvalitetsindeks")</f>
        <v>Luftkvalitetsindeks</v>
      </c>
      <c r="AQ37" s="4" t="str">
        <f>IFERROR(__xludf.DUMMYFUNCTION("GOOGLETRANSLATE(B37,""en"",""fa"")"),"شاخص کیفیت هوا")</f>
        <v>شاخص کیفیت هوا</v>
      </c>
      <c r="AR37" s="4" t="str">
        <f>IFERROR(__xludf.DUMMYFUNCTION("GOOGLETRANSLATE(B37,""en"",""pl"")"),"Wskaźnik jakości powietrza")</f>
        <v>Wskaźnik jakości powietrza</v>
      </c>
      <c r="AS37" s="4" t="str">
        <f>IFERROR(__xludf.DUMMYFUNCTION("GOOGLETRANSLATE(B37,""en"",""sv"")"),"Luftkvalitetsindex")</f>
        <v>Luftkvalitetsindex</v>
      </c>
      <c r="AT37" s="4" t="str">
        <f>IFERROR(__xludf.DUMMYFUNCTION("GOOGLETRANSLATE(B37,""en"",""uk"")"),"Індекс якості повітря")</f>
        <v>Індекс якості повітря</v>
      </c>
      <c r="AU37" s="4" t="str">
        <f>IFERROR(__xludf.DUMMYFUNCTION("GOOGLETRANSLATE(B37,""en"",""zu"")"),"Inkomba Yekhwalithi Yomoya")</f>
        <v>Inkomba Yekhwalithi Yomoya</v>
      </c>
      <c r="AV37" s="4" t="str">
        <f>IFERROR(__xludf.DUMMYFUNCTION("GOOGLETRANSLATE(B37,""en"",""sr"")"),"Индекс квалитета ваздуха")</f>
        <v>Индекс квалитета ваздуха</v>
      </c>
    </row>
    <row r="38">
      <c r="A38" s="3" t="s">
        <v>118</v>
      </c>
      <c r="B38" s="3" t="s">
        <v>119</v>
      </c>
      <c r="C38" s="4" t="str">
        <f>IFERROR(__xludf.DUMMYFUNCTION("GOOGLETRANSLATE(B38,""en"",""ta"")"),"UV குறியீடு")</f>
        <v>UV குறியீடு</v>
      </c>
      <c r="D38" s="4" t="str">
        <f>IFERROR(__xludf.DUMMYFUNCTION("GOOGLETRANSLATE(B38,""en"",""hi"")"),"यूवी सूचकांक")</f>
        <v>यूवी सूचकांक</v>
      </c>
      <c r="E38" s="4" t="str">
        <f>IFERROR(__xludf.DUMMYFUNCTION("GOOGLETRANSLATE(B38,""en"",""id"")"),"Indeks UV")</f>
        <v>Indeks UV</v>
      </c>
      <c r="F38" s="4" t="str">
        <f>IFERROR(__xludf.DUMMYFUNCTION("GOOGLETRANSLATE(B38,""en"",""ms"")"),"Indeks UV")</f>
        <v>Indeks UV</v>
      </c>
      <c r="G38" s="4" t="str">
        <f>IFERROR(__xludf.DUMMYFUNCTION("GOOGLETRANSLATE(B38,""en"",""de"")"),"UV-Index")</f>
        <v>UV-Index</v>
      </c>
      <c r="H38" s="4" t="str">
        <f>IFERROR(__xludf.DUMMYFUNCTION("GOOGLETRANSLATE(B38,""en"",""es"")"),"Índice UV")</f>
        <v>Índice UV</v>
      </c>
      <c r="I38" s="4" t="str">
        <f>IFERROR(__xludf.DUMMYFUNCTION("GOOGLETRANSLATE(B38,""en"",""fr"")"),"Indice UV")</f>
        <v>Indice UV</v>
      </c>
      <c r="J38" s="4" t="str">
        <f>IFERROR(__xludf.DUMMYFUNCTION("GOOGLETRANSLATE(B38,""en"",""it"")"),"Indice UV")</f>
        <v>Indice UV</v>
      </c>
      <c r="K38" s="4" t="str">
        <f>IFERROR(__xludf.DUMMYFUNCTION("GOOGLETRANSLATE(B38,""en"",""pt"")"),"Índice UV")</f>
        <v>Índice UV</v>
      </c>
      <c r="L38" s="4" t="str">
        <f>IFERROR(__xludf.DUMMYFUNCTION("GOOGLETRANSLATE(B38,""en"",""ro"")"),"Index UV")</f>
        <v>Index UV</v>
      </c>
      <c r="M38" s="4" t="str">
        <f>IFERROR(__xludf.DUMMYFUNCTION("GOOGLETRANSLATE(B38,""en"",""vi"")"),"Chỉ số UV")</f>
        <v>Chỉ số UV</v>
      </c>
      <c r="N38" s="4" t="str">
        <f>IFERROR(__xludf.DUMMYFUNCTION("GOOGLETRANSLATE(B38,""en"",""ru"")"),"УФ-индекс")</f>
        <v>УФ-индекс</v>
      </c>
      <c r="O38" s="4" t="str">
        <f>IFERROR(__xludf.DUMMYFUNCTION("GOOGLETRANSLATE(B38,""en"",""tr"")"),"UV İndeksi")</f>
        <v>UV İndeksi</v>
      </c>
      <c r="P38" s="4" t="str">
        <f>IFERROR(__xludf.DUMMYFUNCTION("GOOGLETRANSLATE(B38,""en"",""ar"")"),"مؤشر الأشعة فوق البنفسجية")</f>
        <v>مؤشر الأشعة فوق البنفسجية</v>
      </c>
      <c r="Q38" s="4" t="str">
        <f>IFERROR(__xludf.DUMMYFUNCTION("GOOGLETRANSLATE(B38,""en"",""mr"")"),"अतिनील निर्देशांक")</f>
        <v>अतिनील निर्देशांक</v>
      </c>
      <c r="R38" s="4" t="str">
        <f>IFERROR(__xludf.DUMMYFUNCTION("GOOGLETRANSLATE(B38,""en"",""gu"")"),"યુવી ઇન્ડેક્સ")</f>
        <v>યુવી ઇન્ડેક્સ</v>
      </c>
      <c r="S38" s="4" t="str">
        <f>IFERROR(__xludf.DUMMYFUNCTION("GOOGLETRANSLATE(B38,""en"",""bn"")"),"UV সূচক")</f>
        <v>UV সূচক</v>
      </c>
      <c r="T38" s="4" t="str">
        <f>IFERROR(__xludf.DUMMYFUNCTION("GOOGLETRANSLATE(B38,""en"",""pa"")"),"ਯੂਵੀ ਇੰਡੈਕਸ")</f>
        <v>ਯੂਵੀ ਇੰਡੈਕਸ</v>
      </c>
      <c r="U38" s="4" t="str">
        <f>IFERROR(__xludf.DUMMYFUNCTION("GOOGLETRANSLATE(B38,""en"",""te"")"),"UV సూచిక")</f>
        <v>UV సూచిక</v>
      </c>
      <c r="V38" s="4" t="str">
        <f>IFERROR(__xludf.DUMMYFUNCTION("GOOGLETRANSLATE(B38,""en"",""kn"")"),"ಯುವಿ ಸೂಚ್ಯಂಕ")</f>
        <v>ಯುವಿ ಸೂಚ್ಯಂಕ</v>
      </c>
      <c r="W38" s="4" t="str">
        <f>IFERROR(__xludf.DUMMYFUNCTION("GOOGLETRANSLATE(B38,""en"",""ml"")"),"യുവി സൂചിക")</f>
        <v>യുവി സൂചിക</v>
      </c>
      <c r="X38" s="4" t="str">
        <f>IFERROR(__xludf.DUMMYFUNCTION("GOOGLETRANSLATE(B38,""en"",""th"")"),"ดัชนี UV")</f>
        <v>ดัชนี UV</v>
      </c>
      <c r="Y38" s="4" t="str">
        <f>IFERROR(__xludf.DUMMYFUNCTION("GOOGLETRANSLATE(B38,""en"",""ko"")"),"자외선 지수")</f>
        <v>자외선 지수</v>
      </c>
      <c r="Z38" s="4" t="str">
        <f>IFERROR(__xludf.DUMMYFUNCTION("GOOGLETRANSLATE(B38,""en"",""zh"")"),"紫外线指数")</f>
        <v>紫外线指数</v>
      </c>
      <c r="AA38" s="4" t="str">
        <f>IFERROR(__xludf.DUMMYFUNCTION("GOOGLETRANSLATE(B38,""en"",""zh-TW"")"),"紫外線指數")</f>
        <v>紫外線指數</v>
      </c>
      <c r="AB38" s="4" t="str">
        <f>IFERROR(__xludf.DUMMYFUNCTION("GOOGLETRANSLATE(B38,""en"",""ja"")"),"UVインデックス")</f>
        <v>UVインデックス</v>
      </c>
      <c r="AC38" s="4" t="str">
        <f>IFERROR(__xludf.DUMMYFUNCTION("GOOGLETRANSLATE(B38,""en"",""bg"")"),"UV индекс")</f>
        <v>UV индекс</v>
      </c>
      <c r="AD38" s="4" t="str">
        <f>IFERROR(__xludf.DUMMYFUNCTION("GOOGLETRANSLATE(B38,""en"",""cs"")"),"UV index")</f>
        <v>UV index</v>
      </c>
      <c r="AE38" s="4" t="str">
        <f>IFERROR(__xludf.DUMMYFUNCTION("GOOGLETRANSLATE(B38,""en"",""da"")"),"UV-indeks")</f>
        <v>UV-indeks</v>
      </c>
      <c r="AF38" s="4" t="str">
        <f>IFERROR(__xludf.DUMMYFUNCTION("GOOGLETRANSLATE(B38,""en"",""el"")"),"Δείκτης UV")</f>
        <v>Δείκτης UV</v>
      </c>
      <c r="AG38" s="4" t="str">
        <f>IFERROR(__xludf.DUMMYFUNCTION("GOOGLETRANSLATE(B38,""en"",""et"")"),"UV-indeks")</f>
        <v>UV-indeks</v>
      </c>
      <c r="AH38" s="4" t="str">
        <f>IFERROR(__xludf.DUMMYFUNCTION("GOOGLETRANSLATE(B38,""en"",""fi"")"),"UV-indeksi")</f>
        <v>UV-indeksi</v>
      </c>
      <c r="AI38" s="4" t="str">
        <f>IFERROR(__xludf.DUMMYFUNCTION("GOOGLETRANSLATE(B38,""en"",""hr"")"),"UV indeks")</f>
        <v>UV indeks</v>
      </c>
      <c r="AJ38" s="4" t="str">
        <f>IFERROR(__xludf.DUMMYFUNCTION("GOOGLETRANSLATE(B38,""en"",""hu"")"),"UV-index")</f>
        <v>UV-index</v>
      </c>
      <c r="AK38" s="4" t="str">
        <f>IFERROR(__xludf.DUMMYFUNCTION("GOOGLETRANSLATE(B38,""en"",""hy"")"),"Ուլտրամանուշակագույն ինդեքս")</f>
        <v>Ուլտրամանուշակագույն ինդեքս</v>
      </c>
      <c r="AL38" s="4" t="str">
        <f>IFERROR(__xludf.DUMMYFUNCTION("GOOGLETRANSLATE(B38,""en"",""ca"")"),"Índex UV")</f>
        <v>Índex UV</v>
      </c>
      <c r="AM38" s="4" t="str">
        <f>IFERROR(__xludf.DUMMYFUNCTION("GOOGLETRANSLATE(B38,""en"",""nl"")"),"UV-index")</f>
        <v>UV-index</v>
      </c>
      <c r="AN38" s="4" t="str">
        <f>IFERROR(__xludf.DUMMYFUNCTION("GOOGLETRANSLATE(B38,""en"",""he"")"),"אינדקס UV")</f>
        <v>אינדקס UV</v>
      </c>
      <c r="AO38" s="4" t="str">
        <f>IFERROR(__xludf.DUMMYFUNCTION("GOOGLETRANSLATE(B38,""en"",""is"")"),"UV vísitala")</f>
        <v>UV vísitala</v>
      </c>
      <c r="AP38" s="4" t="str">
        <f>IFERROR(__xludf.DUMMYFUNCTION("GOOGLETRANSLATE(B38,""en"",""no"")"),"UV-indeks")</f>
        <v>UV-indeks</v>
      </c>
      <c r="AQ38" s="4" t="str">
        <f>IFERROR(__xludf.DUMMYFUNCTION("GOOGLETRANSLATE(B38,""en"",""fa"")"),"شاخص UV")</f>
        <v>شاخص UV</v>
      </c>
      <c r="AR38" s="4" t="str">
        <f>IFERROR(__xludf.DUMMYFUNCTION("GOOGLETRANSLATE(B38,""en"",""pl"")"),"Indeks UV")</f>
        <v>Indeks UV</v>
      </c>
      <c r="AS38" s="4" t="str">
        <f>IFERROR(__xludf.DUMMYFUNCTION("GOOGLETRANSLATE(B38,""en"",""sv"")"),"UV-index")</f>
        <v>UV-index</v>
      </c>
      <c r="AT38" s="4" t="str">
        <f>IFERROR(__xludf.DUMMYFUNCTION("GOOGLETRANSLATE(B38,""en"",""uk"")"),"УФ-індекс")</f>
        <v>УФ-індекс</v>
      </c>
      <c r="AU38" s="4" t="str">
        <f>IFERROR(__xludf.DUMMYFUNCTION("GOOGLETRANSLATE(B38,""en"",""zu"")"),"I-UV Index")</f>
        <v>I-UV Index</v>
      </c>
      <c r="AV38" s="4" t="str">
        <f>IFERROR(__xludf.DUMMYFUNCTION("GOOGLETRANSLATE(B38,""en"",""sr"")"),"УВ индекс")</f>
        <v>УВ индекс</v>
      </c>
    </row>
    <row r="39">
      <c r="A39" s="3" t="s">
        <v>120</v>
      </c>
      <c r="B39" s="3" t="s">
        <v>121</v>
      </c>
      <c r="C39" s="4" t="str">
        <f>IFERROR(__xludf.DUMMYFUNCTION("GOOGLETRANSLATE(B39,""en"",""ta"")"),"செயல்பாடு டிராக்கர்")</f>
        <v>செயல்பாடு டிராக்கர்</v>
      </c>
      <c r="D39" s="4" t="str">
        <f>IFERROR(__xludf.DUMMYFUNCTION("GOOGLETRANSLATE(B39,""en"",""hi"")"),"गतिविधि ट्रैकर")</f>
        <v>गतिविधि ट्रैकर</v>
      </c>
      <c r="E39" s="4" t="str">
        <f>IFERROR(__xludf.DUMMYFUNCTION("GOOGLETRANSLATE(B39,""en"",""id"")"),"Pelacak Aktivitas")</f>
        <v>Pelacak Aktivitas</v>
      </c>
      <c r="F39" s="4" t="str">
        <f>IFERROR(__xludf.DUMMYFUNCTION("GOOGLETRANSLATE(B39,""en"",""ms"")"),"Penjejak Aktiviti")</f>
        <v>Penjejak Aktiviti</v>
      </c>
      <c r="G39" s="4" t="str">
        <f>IFERROR(__xludf.DUMMYFUNCTION("GOOGLETRANSLATE(B39,""en"",""de"")"),"Aktivitätstracker")</f>
        <v>Aktivitätstracker</v>
      </c>
      <c r="H39" s="4" t="str">
        <f>IFERROR(__xludf.DUMMYFUNCTION("GOOGLETRANSLATE(B39,""en"",""es"")"),"Rastreador de actividad")</f>
        <v>Rastreador de actividad</v>
      </c>
      <c r="I39" s="4" t="str">
        <f>IFERROR(__xludf.DUMMYFUNCTION("GOOGLETRANSLATE(B39,""en"",""fr"")"),"Suivi d'activité")</f>
        <v>Suivi d'activité</v>
      </c>
      <c r="J39" s="4" t="str">
        <f>IFERROR(__xludf.DUMMYFUNCTION("GOOGLETRANSLATE(B39,""en"",""it"")"),"Monitoraggio delle attività")</f>
        <v>Monitoraggio delle attività</v>
      </c>
      <c r="K39" s="4" t="str">
        <f>IFERROR(__xludf.DUMMYFUNCTION("GOOGLETRANSLATE(B39,""en"",""pt"")"),"Rastreador de atividades")</f>
        <v>Rastreador de atividades</v>
      </c>
      <c r="L39" s="4" t="str">
        <f>IFERROR(__xludf.DUMMYFUNCTION("GOOGLETRANSLATE(B39,""en"",""ro"")"),"Monitor de activitate")</f>
        <v>Monitor de activitate</v>
      </c>
      <c r="M39" s="4" t="str">
        <f>IFERROR(__xludf.DUMMYFUNCTION("GOOGLETRANSLATE(B39,""en"",""vi"")"),"Theo dõi hoạt động")</f>
        <v>Theo dõi hoạt động</v>
      </c>
      <c r="N39" s="4" t="str">
        <f>IFERROR(__xludf.DUMMYFUNCTION("GOOGLETRANSLATE(B39,""en"",""ru"")"),"Трекер активности")</f>
        <v>Трекер активности</v>
      </c>
      <c r="O39" s="4" t="str">
        <f>IFERROR(__xludf.DUMMYFUNCTION("GOOGLETRANSLATE(B39,""en"",""tr"")"),"Aktivite Takipçisi")</f>
        <v>Aktivite Takipçisi</v>
      </c>
      <c r="P39" s="4" t="str">
        <f>IFERROR(__xludf.DUMMYFUNCTION("GOOGLETRANSLATE(B39,""en"",""ar"")"),"متتبع النشاط")</f>
        <v>متتبع النشاط</v>
      </c>
      <c r="Q39" s="4" t="str">
        <f>IFERROR(__xludf.DUMMYFUNCTION("GOOGLETRANSLATE(B39,""en"",""mr"")"),"क्रियाकलाप ट्रॅकर")</f>
        <v>क्रियाकलाप ट्रॅकर</v>
      </c>
      <c r="R39" s="4" t="str">
        <f>IFERROR(__xludf.DUMMYFUNCTION("GOOGLETRANSLATE(B39,""en"",""gu"")"),"પ્રવૃત્તિ ટ્રેકર")</f>
        <v>પ્રવૃત્તિ ટ્રેકર</v>
      </c>
      <c r="S39" s="4" t="str">
        <f>IFERROR(__xludf.DUMMYFUNCTION("GOOGLETRANSLATE(B39,""en"",""bn"")"),"কার্যকলাপ ট্র্যাকার")</f>
        <v>কার্যকলাপ ট্র্যাকার</v>
      </c>
      <c r="T39" s="4" t="str">
        <f>IFERROR(__xludf.DUMMYFUNCTION("GOOGLETRANSLATE(B39,""en"",""pa"")"),"ਗਤੀਵਿਧੀ ਟਰੈਕਰ")</f>
        <v>ਗਤੀਵਿਧੀ ਟਰੈਕਰ</v>
      </c>
      <c r="U39" s="4" t="str">
        <f>IFERROR(__xludf.DUMMYFUNCTION("GOOGLETRANSLATE(B39,""en"",""te"")"),"కార్యాచరణ ట్రాకర్")</f>
        <v>కార్యాచరణ ట్రాకర్</v>
      </c>
      <c r="V39" s="4" t="str">
        <f>IFERROR(__xludf.DUMMYFUNCTION("GOOGLETRANSLATE(B39,""en"",""kn"")"),"ಚಟುವಟಿಕೆ ಟ್ರ್ಯಾಕರ್")</f>
        <v>ಚಟುವಟಿಕೆ ಟ್ರ್ಯಾಕರ್</v>
      </c>
      <c r="W39" s="4" t="str">
        <f>IFERROR(__xludf.DUMMYFUNCTION("GOOGLETRANSLATE(B39,""en"",""ml"")"),"പ്രവർത്തന ട്രാക്കർ")</f>
        <v>പ്രവർത്തന ട്രാക്കർ</v>
      </c>
      <c r="X39" s="4" t="str">
        <f>IFERROR(__xludf.DUMMYFUNCTION("GOOGLETRANSLATE(B39,""en"",""th"")"),"ตัวติดตามกิจกรรม")</f>
        <v>ตัวติดตามกิจกรรม</v>
      </c>
      <c r="Y39" s="4" t="str">
        <f>IFERROR(__xludf.DUMMYFUNCTION("GOOGLETRANSLATE(B39,""en"",""ko"")"),"활동 추적기")</f>
        <v>활동 추적기</v>
      </c>
      <c r="Z39" s="4" t="str">
        <f>IFERROR(__xludf.DUMMYFUNCTION("GOOGLETRANSLATE(B39,""en"",""zh"")"),"活动追踪器")</f>
        <v>活动追踪器</v>
      </c>
      <c r="AA39" s="4" t="str">
        <f>IFERROR(__xludf.DUMMYFUNCTION("GOOGLETRANSLATE(B39,""en"",""zh-TW"")"),"活動追蹤器")</f>
        <v>活動追蹤器</v>
      </c>
      <c r="AB39" s="4" t="str">
        <f>IFERROR(__xludf.DUMMYFUNCTION("GOOGLETRANSLATE(B39,""en"",""ja"")"),"アクティビティトラッカー")</f>
        <v>アクティビティトラッカー</v>
      </c>
      <c r="AC39" s="4" t="str">
        <f>IFERROR(__xludf.DUMMYFUNCTION("GOOGLETRANSLATE(B39,""en"",""bg"")"),"Проследяване на активността")</f>
        <v>Проследяване на активността</v>
      </c>
      <c r="AD39" s="4" t="str">
        <f>IFERROR(__xludf.DUMMYFUNCTION("GOOGLETRANSLATE(B39,""en"",""cs"")"),"Sledování aktivity")</f>
        <v>Sledování aktivity</v>
      </c>
      <c r="AE39" s="4" t="str">
        <f>IFERROR(__xludf.DUMMYFUNCTION("GOOGLETRANSLATE(B39,""en"",""da"")"),"Aktivitetssporer")</f>
        <v>Aktivitetssporer</v>
      </c>
      <c r="AF39" s="4" t="str">
        <f>IFERROR(__xludf.DUMMYFUNCTION("GOOGLETRANSLATE(B39,""en"",""el"")"),"Παρακολούθηση δραστηριότητας")</f>
        <v>Παρακολούθηση δραστηριότητας</v>
      </c>
      <c r="AG39" s="4" t="str">
        <f>IFERROR(__xludf.DUMMYFUNCTION("GOOGLETRANSLATE(B39,""en"",""et"")"),"Aktiivsuse jälgija")</f>
        <v>Aktiivsuse jälgija</v>
      </c>
      <c r="AH39" s="4" t="str">
        <f>IFERROR(__xludf.DUMMYFUNCTION("GOOGLETRANSLATE(B39,""en"",""fi"")"),"Activity Tracker")</f>
        <v>Activity Tracker</v>
      </c>
      <c r="AI39" s="4" t="str">
        <f>IFERROR(__xludf.DUMMYFUNCTION("GOOGLETRANSLATE(B39,""en"",""hr"")"),"Praćenje aktivnosti")</f>
        <v>Praćenje aktivnosti</v>
      </c>
      <c r="AJ39" s="4" t="str">
        <f>IFERROR(__xludf.DUMMYFUNCTION("GOOGLETRANSLATE(B39,""en"",""hu"")"),"Activity Tracker")</f>
        <v>Activity Tracker</v>
      </c>
      <c r="AK39" s="4" t="str">
        <f>IFERROR(__xludf.DUMMYFUNCTION("GOOGLETRANSLATE(B39,""en"",""hy"")"),"Գործունեության հետագծում")</f>
        <v>Գործունեության հետագծում</v>
      </c>
      <c r="AL39" s="4" t="str">
        <f>IFERROR(__xludf.DUMMYFUNCTION("GOOGLETRANSLATE(B39,""en"",""ca"")"),"Seguidor d'activitats")</f>
        <v>Seguidor d'activitats</v>
      </c>
      <c r="AM39" s="4" t="str">
        <f>IFERROR(__xludf.DUMMYFUNCTION("GOOGLETRANSLATE(B39,""en"",""nl"")"),"Activiteitentracker")</f>
        <v>Activiteitentracker</v>
      </c>
      <c r="AN39" s="4" t="str">
        <f>IFERROR(__xludf.DUMMYFUNCTION("GOOGLETRANSLATE(B39,""en"",""he"")"),"מעקב אחר פעילות")</f>
        <v>מעקב אחר פעילות</v>
      </c>
      <c r="AO39" s="4" t="str">
        <f>IFERROR(__xludf.DUMMYFUNCTION("GOOGLETRANSLATE(B39,""en"",""is"")"),"Virkni rekja spor einhvers")</f>
        <v>Virkni rekja spor einhvers</v>
      </c>
      <c r="AP39" s="4" t="str">
        <f>IFERROR(__xludf.DUMMYFUNCTION("GOOGLETRANSLATE(B39,""en"",""no"")"),"Aktivitetssporer")</f>
        <v>Aktivitetssporer</v>
      </c>
      <c r="AQ39" s="4" t="str">
        <f>IFERROR(__xludf.DUMMYFUNCTION("GOOGLETRANSLATE(B39,""en"",""fa"")"),"ردیاب فعالیت")</f>
        <v>ردیاب فعالیت</v>
      </c>
      <c r="AR39" s="4" t="str">
        <f>IFERROR(__xludf.DUMMYFUNCTION("GOOGLETRANSLATE(B39,""en"",""pl"")"),"Monitor aktywności")</f>
        <v>Monitor aktywności</v>
      </c>
      <c r="AS39" s="4" t="str">
        <f>IFERROR(__xludf.DUMMYFUNCTION("GOOGLETRANSLATE(B39,""en"",""sv"")"),"Aktivitetsspårare")</f>
        <v>Aktivitetsspårare</v>
      </c>
      <c r="AT39" s="4" t="str">
        <f>IFERROR(__xludf.DUMMYFUNCTION("GOOGLETRANSLATE(B39,""en"",""uk"")"),"Трекер активності")</f>
        <v>Трекер активності</v>
      </c>
      <c r="AU39" s="4" t="str">
        <f>IFERROR(__xludf.DUMMYFUNCTION("GOOGLETRANSLATE(B39,""en"",""zu"")"),"I-Tracker Yomsebenzi")</f>
        <v>I-Tracker Yomsebenzi</v>
      </c>
      <c r="AV39" s="4" t="str">
        <f>IFERROR(__xludf.DUMMYFUNCTION("GOOGLETRANSLATE(B39,""en"",""sr"")"),"Ацтивити Трацкер")</f>
        <v>Ацтивити Трацкер</v>
      </c>
    </row>
    <row r="40">
      <c r="A40" s="3" t="s">
        <v>122</v>
      </c>
      <c r="B40" s="3" t="s">
        <v>123</v>
      </c>
      <c r="C40" s="4" t="str">
        <f>IFERROR(__xludf.DUMMYFUNCTION("GOOGLETRANSLATE(B40,""en"",""ta"")"),"ஸ்டெப் டிராக்கர்")</f>
        <v>ஸ்டெப் டிராக்கர்</v>
      </c>
      <c r="D40" s="4" t="str">
        <f>IFERROR(__xludf.DUMMYFUNCTION("GOOGLETRANSLATE(B40,""en"",""hi"")"),"स्टेप ट्रैकर")</f>
        <v>स्टेप ट्रैकर</v>
      </c>
      <c r="E40" s="4" t="str">
        <f>IFERROR(__xludf.DUMMYFUNCTION("GOOGLETRANSLATE(B40,""en"",""id"")"),"Pelacak Langkah")</f>
        <v>Pelacak Langkah</v>
      </c>
      <c r="F40" s="4" t="str">
        <f>IFERROR(__xludf.DUMMYFUNCTION("GOOGLETRANSLATE(B40,""en"",""ms"")"),"Penjejak Langkah")</f>
        <v>Penjejak Langkah</v>
      </c>
      <c r="G40" s="4" t="str">
        <f>IFERROR(__xludf.DUMMYFUNCTION("GOOGLETRANSLATE(B40,""en"",""de"")"),"Schrittzähler")</f>
        <v>Schrittzähler</v>
      </c>
      <c r="H40" s="4" t="str">
        <f>IFERROR(__xludf.DUMMYFUNCTION("GOOGLETRANSLATE(B40,""en"",""es"")"),"Rastreador de pasos")</f>
        <v>Rastreador de pasos</v>
      </c>
      <c r="I40" s="4" t="str">
        <f>IFERROR(__xludf.DUMMYFUNCTION("GOOGLETRANSLATE(B40,""en"",""fr"")"),"Suivi des pas")</f>
        <v>Suivi des pas</v>
      </c>
      <c r="J40" s="4" t="str">
        <f>IFERROR(__xludf.DUMMYFUNCTION("GOOGLETRANSLATE(B40,""en"",""it"")"),"Contapassi")</f>
        <v>Contapassi</v>
      </c>
      <c r="K40" s="4" t="str">
        <f>IFERROR(__xludf.DUMMYFUNCTION("GOOGLETRANSLATE(B40,""en"",""pt"")"),"Rastreador de passos")</f>
        <v>Rastreador de passos</v>
      </c>
      <c r="L40" s="4" t="str">
        <f>IFERROR(__xludf.DUMMYFUNCTION("GOOGLETRANSLATE(B40,""en"",""ro"")"),"Urmăritorul pașilor")</f>
        <v>Urmăritorul pașilor</v>
      </c>
      <c r="M40" s="4" t="str">
        <f>IFERROR(__xludf.DUMMYFUNCTION("GOOGLETRANSLATE(B40,""en"",""vi"")"),"Theo dõi bước chân")</f>
        <v>Theo dõi bước chân</v>
      </c>
      <c r="N40" s="4" t="str">
        <f>IFERROR(__xludf.DUMMYFUNCTION("GOOGLETRANSLATE(B40,""en"",""ru"")"),"Трекер шагов")</f>
        <v>Трекер шагов</v>
      </c>
      <c r="O40" s="4" t="str">
        <f>IFERROR(__xludf.DUMMYFUNCTION("GOOGLETRANSLATE(B40,""en"",""tr"")"),"Adım İzleyici")</f>
        <v>Adım İzleyici</v>
      </c>
      <c r="P40" s="4" t="str">
        <f>IFERROR(__xludf.DUMMYFUNCTION("GOOGLETRANSLATE(B40,""en"",""ar"")"),"متتبع الخطوات")</f>
        <v>متتبع الخطوات</v>
      </c>
      <c r="Q40" s="4" t="str">
        <f>IFERROR(__xludf.DUMMYFUNCTION("GOOGLETRANSLATE(B40,""en"",""mr"")"),"स्टेप ट्रॅकर")</f>
        <v>स्टेप ट्रॅकर</v>
      </c>
      <c r="R40" s="4" t="str">
        <f>IFERROR(__xludf.DUMMYFUNCTION("GOOGLETRANSLATE(B40,""en"",""gu"")"),"સ્ટેપ ટ્રેકર")</f>
        <v>સ્ટેપ ટ્રેકર</v>
      </c>
      <c r="S40" s="4" t="str">
        <f>IFERROR(__xludf.DUMMYFUNCTION("GOOGLETRANSLATE(B40,""en"",""bn"")"),"স্টেপ ট্র্যাকার")</f>
        <v>স্টেপ ট্র্যাকার</v>
      </c>
      <c r="T40" s="4" t="str">
        <f>IFERROR(__xludf.DUMMYFUNCTION("GOOGLETRANSLATE(B40,""en"",""pa"")"),"ਸਟੈਪ ਟਰੈਕਰ")</f>
        <v>ਸਟੈਪ ਟਰੈਕਰ</v>
      </c>
      <c r="U40" s="4" t="str">
        <f>IFERROR(__xludf.DUMMYFUNCTION("GOOGLETRANSLATE(B40,""en"",""te"")"),"స్టెప్ ట్రాకర్")</f>
        <v>స్టెప్ ట్రాకర్</v>
      </c>
      <c r="V40" s="4" t="str">
        <f>IFERROR(__xludf.DUMMYFUNCTION("GOOGLETRANSLATE(B40,""en"",""kn"")"),"ಹಂತ ಟ್ರ್ಯಾಕರ್")</f>
        <v>ಹಂತ ಟ್ರ್ಯಾಕರ್</v>
      </c>
      <c r="W40" s="4" t="str">
        <f>IFERROR(__xludf.DUMMYFUNCTION("GOOGLETRANSLATE(B40,""en"",""ml"")"),"സ്റ്റെപ്പ് ട്രാക്കർ")</f>
        <v>സ്റ്റെപ്പ് ട്രാക്കർ</v>
      </c>
      <c r="X40" s="4" t="str">
        <f>IFERROR(__xludf.DUMMYFUNCTION("GOOGLETRANSLATE(B40,""en"",""th"")"),"โปรแกรมติดตามก้าว")</f>
        <v>โปรแกรมติดตามก้าว</v>
      </c>
      <c r="Y40" s="4" t="str">
        <f>IFERROR(__xludf.DUMMYFUNCTION("GOOGLETRANSLATE(B40,""en"",""ko"")"),"걸음 수 추적기")</f>
        <v>걸음 수 추적기</v>
      </c>
      <c r="Z40" s="4" t="str">
        <f>IFERROR(__xludf.DUMMYFUNCTION("GOOGLETRANSLATE(B40,""en"",""zh"")"),"步数追踪器")</f>
        <v>步数追踪器</v>
      </c>
      <c r="AA40" s="4" t="str">
        <f>IFERROR(__xludf.DUMMYFUNCTION("GOOGLETRANSLATE(B40,""en"",""zh-TW"")"),"步數追蹤器")</f>
        <v>步數追蹤器</v>
      </c>
      <c r="AB40" s="4" t="str">
        <f>IFERROR(__xludf.DUMMYFUNCTION("GOOGLETRANSLATE(B40,""en"",""ja"")"),"歩数トラッカー")</f>
        <v>歩数トラッカー</v>
      </c>
      <c r="AC40" s="4" t="str">
        <f>IFERROR(__xludf.DUMMYFUNCTION("GOOGLETRANSLATE(B40,""en"",""bg"")"),"Проследяване на стъпки")</f>
        <v>Проследяване на стъпки</v>
      </c>
      <c r="AD40" s="4" t="str">
        <f>IFERROR(__xludf.DUMMYFUNCTION("GOOGLETRANSLATE(B40,""en"",""cs"")"),"Sledování kroků")</f>
        <v>Sledování kroků</v>
      </c>
      <c r="AE40" s="4" t="str">
        <f>IFERROR(__xludf.DUMMYFUNCTION("GOOGLETRANSLATE(B40,""en"",""da"")"),"Step Tracker")</f>
        <v>Step Tracker</v>
      </c>
      <c r="AF40" s="4" t="str">
        <f>IFERROR(__xludf.DUMMYFUNCTION("GOOGLETRANSLATE(B40,""en"",""el"")"),"Step Tracker")</f>
        <v>Step Tracker</v>
      </c>
      <c r="AG40" s="4" t="str">
        <f>IFERROR(__xludf.DUMMYFUNCTION("GOOGLETRANSLATE(B40,""en"",""et"")"),"Sammujälgija")</f>
        <v>Sammujälgija</v>
      </c>
      <c r="AH40" s="4" t="str">
        <f>IFERROR(__xludf.DUMMYFUNCTION("GOOGLETRANSLATE(B40,""en"",""fi"")"),"Step Tracker")</f>
        <v>Step Tracker</v>
      </c>
      <c r="AI40" s="4" t="str">
        <f>IFERROR(__xludf.DUMMYFUNCTION("GOOGLETRANSLATE(B40,""en"",""hr"")"),"Praćenje koraka")</f>
        <v>Praćenje koraka</v>
      </c>
      <c r="AJ40" s="4" t="str">
        <f>IFERROR(__xludf.DUMMYFUNCTION("GOOGLETRANSLATE(B40,""en"",""hu"")"),"Lépéskövető")</f>
        <v>Lépéskövető</v>
      </c>
      <c r="AK40" s="4" t="str">
        <f>IFERROR(__xludf.DUMMYFUNCTION("GOOGLETRANSLATE(B40,""en"",""hy"")"),"Քայլ Հետքեր")</f>
        <v>Քայլ Հետքեր</v>
      </c>
      <c r="AL40" s="4" t="str">
        <f>IFERROR(__xludf.DUMMYFUNCTION("GOOGLETRANSLATE(B40,""en"",""ca"")"),"Seguidor de passos")</f>
        <v>Seguidor de passos</v>
      </c>
      <c r="AM40" s="4" t="str">
        <f>IFERROR(__xludf.DUMMYFUNCTION("GOOGLETRANSLATE(B40,""en"",""nl"")"),"Stappenteller")</f>
        <v>Stappenteller</v>
      </c>
      <c r="AN40" s="4" t="str">
        <f>IFERROR(__xludf.DUMMYFUNCTION("GOOGLETRANSLATE(B40,""en"",""he"")"),"מעקב אחר צעדים")</f>
        <v>מעקב אחר צעדים</v>
      </c>
      <c r="AO40" s="4" t="str">
        <f>IFERROR(__xludf.DUMMYFUNCTION("GOOGLETRANSLATE(B40,""en"",""is"")"),"Skref rekja spor einhvers")</f>
        <v>Skref rekja spor einhvers</v>
      </c>
      <c r="AP40" s="4" t="str">
        <f>IFERROR(__xludf.DUMMYFUNCTION("GOOGLETRANSLATE(B40,""en"",""no"")"),"Step Tracker")</f>
        <v>Step Tracker</v>
      </c>
      <c r="AQ40" s="4" t="str">
        <f>IFERROR(__xludf.DUMMYFUNCTION("GOOGLETRANSLATE(B40,""en"",""fa"")"),"ردیاب مرحله")</f>
        <v>ردیاب مرحله</v>
      </c>
      <c r="AR40" s="4" t="str">
        <f>IFERROR(__xludf.DUMMYFUNCTION("GOOGLETRANSLATE(B40,""en"",""pl"")"),"Śledzenie kroków")</f>
        <v>Śledzenie kroków</v>
      </c>
      <c r="AS40" s="4" t="str">
        <f>IFERROR(__xludf.DUMMYFUNCTION("GOOGLETRANSLATE(B40,""en"",""sv"")"),"Stegspårare")</f>
        <v>Stegspårare</v>
      </c>
      <c r="AT40" s="4" t="str">
        <f>IFERROR(__xludf.DUMMYFUNCTION("GOOGLETRANSLATE(B40,""en"",""uk"")"),"Відстеження кроків")</f>
        <v>Відстеження кроків</v>
      </c>
      <c r="AU40" s="4" t="str">
        <f>IFERROR(__xludf.DUMMYFUNCTION("GOOGLETRANSLATE(B40,""en"",""zu"")"),"Isinyathelo Tracker")</f>
        <v>Isinyathelo Tracker</v>
      </c>
      <c r="AV40" s="4" t="str">
        <f>IFERROR(__xludf.DUMMYFUNCTION("GOOGLETRANSLATE(B40,""en"",""sr"")"),"Степ Трацкер")</f>
        <v>Степ Трацкер</v>
      </c>
    </row>
    <row r="41">
      <c r="A41" s="3" t="s">
        <v>124</v>
      </c>
      <c r="B41" s="3" t="s">
        <v>125</v>
      </c>
      <c r="C41" s="4" t="str">
        <f>IFERROR(__xludf.DUMMYFUNCTION("GOOGLETRANSLATE(B41,""en"",""ta"")"),"ஜிபிஎஸ் அலாரம்")</f>
        <v>ஜிபிஎஸ் அலாரம்</v>
      </c>
      <c r="D41" s="4" t="str">
        <f>IFERROR(__xludf.DUMMYFUNCTION("GOOGLETRANSLATE(B41,""en"",""hi"")"),"जीपीएस अलार्म")</f>
        <v>जीपीएस अलार्म</v>
      </c>
      <c r="E41" s="4" t="str">
        <f>IFERROR(__xludf.DUMMYFUNCTION("GOOGLETRANSLATE(B41,""en"",""id"")"),"Alarm GPS")</f>
        <v>Alarm GPS</v>
      </c>
      <c r="F41" s="4" t="str">
        <f>IFERROR(__xludf.DUMMYFUNCTION("GOOGLETRANSLATE(B41,""en"",""ms"")"),"Penggera GPS")</f>
        <v>Penggera GPS</v>
      </c>
      <c r="G41" s="4" t="str">
        <f>IFERROR(__xludf.DUMMYFUNCTION("GOOGLETRANSLATE(B41,""en"",""de"")"),"GPS-Alarm")</f>
        <v>GPS-Alarm</v>
      </c>
      <c r="H41" s="4" t="str">
        <f>IFERROR(__xludf.DUMMYFUNCTION("GOOGLETRANSLATE(B41,""en"",""es"")"),"Alarma GPS")</f>
        <v>Alarma GPS</v>
      </c>
      <c r="I41" s="4" t="str">
        <f>IFERROR(__xludf.DUMMYFUNCTION("GOOGLETRANSLATE(B41,""en"",""fr"")"),"Alarme GPS")</f>
        <v>Alarme GPS</v>
      </c>
      <c r="J41" s="4" t="str">
        <f>IFERROR(__xludf.DUMMYFUNCTION("GOOGLETRANSLATE(B41,""en"",""it"")"),"Allarme GPS")</f>
        <v>Allarme GPS</v>
      </c>
      <c r="K41" s="4" t="str">
        <f>IFERROR(__xludf.DUMMYFUNCTION("GOOGLETRANSLATE(B41,""en"",""pt"")"),"Alarme GPS")</f>
        <v>Alarme GPS</v>
      </c>
      <c r="L41" s="4" t="str">
        <f>IFERROR(__xludf.DUMMYFUNCTION("GOOGLETRANSLATE(B41,""en"",""ro"")"),"Alarmă GPS")</f>
        <v>Alarmă GPS</v>
      </c>
      <c r="M41" s="4" t="str">
        <f>IFERROR(__xludf.DUMMYFUNCTION("GOOGLETRANSLATE(B41,""en"",""vi"")"),"Báo động GPS")</f>
        <v>Báo động GPS</v>
      </c>
      <c r="N41" s="4" t="str">
        <f>IFERROR(__xludf.DUMMYFUNCTION("GOOGLETRANSLATE(B41,""en"",""ru"")"),"GPS-сигнализация")</f>
        <v>GPS-сигнализация</v>
      </c>
      <c r="O41" s="4" t="str">
        <f>IFERROR(__xludf.DUMMYFUNCTION("GOOGLETRANSLATE(B41,""en"",""tr"")"),"GPS Alarm")</f>
        <v>GPS Alarm</v>
      </c>
      <c r="P41" s="4" t="str">
        <f>IFERROR(__xludf.DUMMYFUNCTION("GOOGLETRANSLATE(B41,""en"",""ar"")"),"إنذار GPS")</f>
        <v>إنذار GPS</v>
      </c>
      <c r="Q41" s="4" t="str">
        <f>IFERROR(__xludf.DUMMYFUNCTION("GOOGLETRANSLATE(B41,""en"",""mr"")"),"GPS अलार्म")</f>
        <v>GPS अलार्म</v>
      </c>
      <c r="R41" s="4" t="str">
        <f>IFERROR(__xludf.DUMMYFUNCTION("GOOGLETRANSLATE(B41,""en"",""gu"")"),"જીપીએસ એલાર્મ")</f>
        <v>જીપીએસ એલાર્મ</v>
      </c>
      <c r="S41" s="4" t="str">
        <f>IFERROR(__xludf.DUMMYFUNCTION("GOOGLETRANSLATE(B41,""en"",""bn"")"),"জিপিএস অ্যালার্ম")</f>
        <v>জিপিএস অ্যালার্ম</v>
      </c>
      <c r="T41" s="4" t="str">
        <f>IFERROR(__xludf.DUMMYFUNCTION("GOOGLETRANSLATE(B41,""en"",""pa"")"),"GPS ਅਲਾਰਮ")</f>
        <v>GPS ਅਲਾਰਮ</v>
      </c>
      <c r="U41" s="4" t="str">
        <f>IFERROR(__xludf.DUMMYFUNCTION("GOOGLETRANSLATE(B41,""en"",""te"")"),"GPS అలారం")</f>
        <v>GPS అలారం</v>
      </c>
      <c r="V41" s="4" t="str">
        <f>IFERROR(__xludf.DUMMYFUNCTION("GOOGLETRANSLATE(B41,""en"",""kn"")"),"ಜಿಪಿಎಸ್ ಅಲಾರಂ")</f>
        <v>ಜಿಪಿಎಸ್ ಅಲಾರಂ</v>
      </c>
      <c r="W41" s="4" t="str">
        <f>IFERROR(__xludf.DUMMYFUNCTION("GOOGLETRANSLATE(B41,""en"",""ml"")"),"GPS അലാറം")</f>
        <v>GPS അലാറം</v>
      </c>
      <c r="X41" s="4" t="str">
        <f>IFERROR(__xludf.DUMMYFUNCTION("GOOGLETRANSLATE(B41,""en"",""th"")"),"ระบบแจ้งเตือน GPS")</f>
        <v>ระบบแจ้งเตือน GPS</v>
      </c>
      <c r="Y41" s="4" t="str">
        <f>IFERROR(__xludf.DUMMYFUNCTION("GOOGLETRANSLATE(B41,""en"",""ko"")"),"GPS 알람")</f>
        <v>GPS 알람</v>
      </c>
      <c r="Z41" s="4" t="str">
        <f>IFERROR(__xludf.DUMMYFUNCTION("GOOGLETRANSLATE(B41,""en"",""zh"")"),"GPS报警")</f>
        <v>GPS报警</v>
      </c>
      <c r="AA41" s="4" t="str">
        <f>IFERROR(__xludf.DUMMYFUNCTION("GOOGLETRANSLATE(B41,""en"",""zh-TW"")"),"GPS警報")</f>
        <v>GPS警報</v>
      </c>
      <c r="AB41" s="4" t="str">
        <f>IFERROR(__xludf.DUMMYFUNCTION("GOOGLETRANSLATE(B41,""en"",""ja"")"),"GPSアラーム")</f>
        <v>GPSアラーム</v>
      </c>
      <c r="AC41" s="4" t="str">
        <f>IFERROR(__xludf.DUMMYFUNCTION("GOOGLETRANSLATE(B41,""en"",""bg"")"),"GPS аларма")</f>
        <v>GPS аларма</v>
      </c>
      <c r="AD41" s="4" t="str">
        <f>IFERROR(__xludf.DUMMYFUNCTION("GOOGLETRANSLATE(B41,""en"",""cs"")"),"GPS alarm")</f>
        <v>GPS alarm</v>
      </c>
      <c r="AE41" s="4" t="str">
        <f>IFERROR(__xludf.DUMMYFUNCTION("GOOGLETRANSLATE(B41,""en"",""da"")"),"GPS alarm")</f>
        <v>GPS alarm</v>
      </c>
      <c r="AF41" s="4" t="str">
        <f>IFERROR(__xludf.DUMMYFUNCTION("GOOGLETRANSLATE(B41,""en"",""el"")"),"Συναγερμός GPS")</f>
        <v>Συναγερμός GPS</v>
      </c>
      <c r="AG41" s="4" t="str">
        <f>IFERROR(__xludf.DUMMYFUNCTION("GOOGLETRANSLATE(B41,""en"",""et"")"),"GPS alarm")</f>
        <v>GPS alarm</v>
      </c>
      <c r="AH41" s="4" t="str">
        <f>IFERROR(__xludf.DUMMYFUNCTION("GOOGLETRANSLATE(B41,""en"",""fi"")"),"GPS-hälytys")</f>
        <v>GPS-hälytys</v>
      </c>
      <c r="AI41" s="4" t="str">
        <f>IFERROR(__xludf.DUMMYFUNCTION("GOOGLETRANSLATE(B41,""en"",""hr"")"),"GPS alarm")</f>
        <v>GPS alarm</v>
      </c>
      <c r="AJ41" s="4" t="str">
        <f>IFERROR(__xludf.DUMMYFUNCTION("GOOGLETRANSLATE(B41,""en"",""hu"")"),"GPS riasztás")</f>
        <v>GPS riasztás</v>
      </c>
      <c r="AK41" s="4" t="str">
        <f>IFERROR(__xludf.DUMMYFUNCTION("GOOGLETRANSLATE(B41,""en"",""hy"")"),"GPS ահազանգ")</f>
        <v>GPS ահազանգ</v>
      </c>
      <c r="AL41" s="4" t="str">
        <f>IFERROR(__xludf.DUMMYFUNCTION("GOOGLETRANSLATE(B41,""en"",""ca"")"),"Alarma GPS")</f>
        <v>Alarma GPS</v>
      </c>
      <c r="AM41" s="4" t="str">
        <f>IFERROR(__xludf.DUMMYFUNCTION("GOOGLETRANSLATE(B41,""en"",""nl"")"),"GPS-alarm")</f>
        <v>GPS-alarm</v>
      </c>
      <c r="AN41" s="4" t="str">
        <f>IFERROR(__xludf.DUMMYFUNCTION("GOOGLETRANSLATE(B41,""en"",""he"")"),"אזעקת GPS")</f>
        <v>אזעקת GPS</v>
      </c>
      <c r="AO41" s="4" t="str">
        <f>IFERROR(__xludf.DUMMYFUNCTION("GOOGLETRANSLATE(B41,""en"",""is"")"),"GPS viðvörun")</f>
        <v>GPS viðvörun</v>
      </c>
      <c r="AP41" s="4" t="str">
        <f>IFERROR(__xludf.DUMMYFUNCTION("GOOGLETRANSLATE(B41,""en"",""no"")"),"GPS-alarm")</f>
        <v>GPS-alarm</v>
      </c>
      <c r="AQ41" s="4" t="str">
        <f>IFERROR(__xludf.DUMMYFUNCTION("GOOGLETRANSLATE(B41,""en"",""fa"")"),"زنگ هشدار GPS")</f>
        <v>زنگ هشدار GPS</v>
      </c>
      <c r="AR41" s="4" t="str">
        <f>IFERROR(__xludf.DUMMYFUNCTION("GOOGLETRANSLATE(B41,""en"",""pl"")"),"Alarm GPS")</f>
        <v>Alarm GPS</v>
      </c>
      <c r="AS41" s="4" t="str">
        <f>IFERROR(__xludf.DUMMYFUNCTION("GOOGLETRANSLATE(B41,""en"",""sv"")"),"GPS-larm")</f>
        <v>GPS-larm</v>
      </c>
      <c r="AT41" s="4" t="str">
        <f>IFERROR(__xludf.DUMMYFUNCTION("GOOGLETRANSLATE(B41,""en"",""uk"")"),"GPS сигналізація")</f>
        <v>GPS сигналізація</v>
      </c>
      <c r="AU41" s="4" t="str">
        <f>IFERROR(__xludf.DUMMYFUNCTION("GOOGLETRANSLATE(B41,""en"",""zu"")"),"I-alamu ye-GPS")</f>
        <v>I-alamu ye-GPS</v>
      </c>
      <c r="AV41" s="4" t="str">
        <f>IFERROR(__xludf.DUMMYFUNCTION("GOOGLETRANSLATE(B41,""en"",""sr"")"),"ГПС Аларм")</f>
        <v>ГПС Аларм</v>
      </c>
    </row>
    <row r="42">
      <c r="A42" s="3" t="s">
        <v>126</v>
      </c>
      <c r="B42" s="3" t="s">
        <v>127</v>
      </c>
      <c r="C42" s="4" t="str">
        <f>IFERROR(__xludf.DUMMYFUNCTION("GOOGLETRANSLATE(B42,""en"",""ta"")"),"ஜிபிஎஸ் நேரம்")</f>
        <v>ஜிபிஎஸ் நேரம்</v>
      </c>
      <c r="D42" s="4" t="str">
        <f>IFERROR(__xludf.DUMMYFUNCTION("GOOGLETRANSLATE(B42,""en"",""hi"")"),"जीपीएस समय")</f>
        <v>जीपीएस समय</v>
      </c>
      <c r="E42" s="4" t="str">
        <f>IFERROR(__xludf.DUMMYFUNCTION("GOOGLETRANSLATE(B42,""en"",""id"")"),"Waktu GPS")</f>
        <v>Waktu GPS</v>
      </c>
      <c r="F42" s="4" t="str">
        <f>IFERROR(__xludf.DUMMYFUNCTION("GOOGLETRANSLATE(B42,""en"",""ms"")"),"Masa GPS")</f>
        <v>Masa GPS</v>
      </c>
      <c r="G42" s="4" t="str">
        <f>IFERROR(__xludf.DUMMYFUNCTION("GOOGLETRANSLATE(B42,""en"",""de"")"),"GPS-Zeit")</f>
        <v>GPS-Zeit</v>
      </c>
      <c r="H42" s="4" t="str">
        <f>IFERROR(__xludf.DUMMYFUNCTION("GOOGLETRANSLATE(B42,""en"",""es"")"),"Hora GPS")</f>
        <v>Hora GPS</v>
      </c>
      <c r="I42" s="4" t="str">
        <f>IFERROR(__xludf.DUMMYFUNCTION("GOOGLETRANSLATE(B42,""en"",""fr"")"),"Heure GPS")</f>
        <v>Heure GPS</v>
      </c>
      <c r="J42" s="4" t="str">
        <f>IFERROR(__xludf.DUMMYFUNCTION("GOOGLETRANSLATE(B42,""en"",""it"")"),"Ora GPS")</f>
        <v>Ora GPS</v>
      </c>
      <c r="K42" s="4" t="str">
        <f>IFERROR(__xludf.DUMMYFUNCTION("GOOGLETRANSLATE(B42,""en"",""pt"")"),"Hora do GPS")</f>
        <v>Hora do GPS</v>
      </c>
      <c r="L42" s="4" t="str">
        <f>IFERROR(__xludf.DUMMYFUNCTION("GOOGLETRANSLATE(B42,""en"",""ro"")"),"Ora GPS")</f>
        <v>Ora GPS</v>
      </c>
      <c r="M42" s="4" t="str">
        <f>IFERROR(__xludf.DUMMYFUNCTION("GOOGLETRANSLATE(B42,""en"",""vi"")"),"Thời gian GPS")</f>
        <v>Thời gian GPS</v>
      </c>
      <c r="N42" s="4" t="str">
        <f>IFERROR(__xludf.DUMMYFUNCTION("GOOGLETRANSLATE(B42,""en"",""ru"")"),"GPS-время")</f>
        <v>GPS-время</v>
      </c>
      <c r="O42" s="4" t="str">
        <f>IFERROR(__xludf.DUMMYFUNCTION("GOOGLETRANSLATE(B42,""en"",""tr"")"),"GPS Zamanı")</f>
        <v>GPS Zamanı</v>
      </c>
      <c r="P42" s="4" t="str">
        <f>IFERROR(__xludf.DUMMYFUNCTION("GOOGLETRANSLATE(B42,""en"",""ar"")"),"وقت نظام تحديد المواقع العالمي (GPS)")</f>
        <v>وقت نظام تحديد المواقع العالمي (GPS)</v>
      </c>
      <c r="Q42" s="4" t="str">
        <f>IFERROR(__xludf.DUMMYFUNCTION("GOOGLETRANSLATE(B42,""en"",""mr"")"),"जीपीएस वेळ")</f>
        <v>जीपीएस वेळ</v>
      </c>
      <c r="R42" s="4" t="str">
        <f>IFERROR(__xludf.DUMMYFUNCTION("GOOGLETRANSLATE(B42,""en"",""gu"")"),"જીપીએસ સમય")</f>
        <v>જીપીએસ સમય</v>
      </c>
      <c r="S42" s="4" t="str">
        <f>IFERROR(__xludf.DUMMYFUNCTION("GOOGLETRANSLATE(B42,""en"",""bn"")"),"জিপিএস সময়")</f>
        <v>জিপিএস সময়</v>
      </c>
      <c r="T42" s="4" t="str">
        <f>IFERROR(__xludf.DUMMYFUNCTION("GOOGLETRANSLATE(B42,""en"",""pa"")"),"GPS ਸਮਾਂ")</f>
        <v>GPS ਸਮਾਂ</v>
      </c>
      <c r="U42" s="4" t="str">
        <f>IFERROR(__xludf.DUMMYFUNCTION("GOOGLETRANSLATE(B42,""en"",""te"")"),"GPS సమయం")</f>
        <v>GPS సమయం</v>
      </c>
      <c r="V42" s="4" t="str">
        <f>IFERROR(__xludf.DUMMYFUNCTION("GOOGLETRANSLATE(B42,""en"",""kn"")"),"GPS ಸಮಯ")</f>
        <v>GPS ಸಮಯ</v>
      </c>
      <c r="W42" s="4" t="str">
        <f>IFERROR(__xludf.DUMMYFUNCTION("GOOGLETRANSLATE(B42,""en"",""ml"")"),"GPS സമയം")</f>
        <v>GPS സമയം</v>
      </c>
      <c r="X42" s="4" t="str">
        <f>IFERROR(__xludf.DUMMYFUNCTION("GOOGLETRANSLATE(B42,""en"",""th"")"),"เวลา GPS")</f>
        <v>เวลา GPS</v>
      </c>
      <c r="Y42" s="4" t="str">
        <f>IFERROR(__xludf.DUMMYFUNCTION("GOOGLETRANSLATE(B42,""en"",""ko"")"),"GPS 시간")</f>
        <v>GPS 시간</v>
      </c>
      <c r="Z42" s="4" t="str">
        <f>IFERROR(__xludf.DUMMYFUNCTION("GOOGLETRANSLATE(B42,""en"",""zh"")"),"GPS时间")</f>
        <v>GPS时间</v>
      </c>
      <c r="AA42" s="4" t="str">
        <f>IFERROR(__xludf.DUMMYFUNCTION("GOOGLETRANSLATE(B42,""en"",""zh-TW"")"),"GPS時間")</f>
        <v>GPS時間</v>
      </c>
      <c r="AB42" s="4" t="str">
        <f>IFERROR(__xludf.DUMMYFUNCTION("GOOGLETRANSLATE(B42,""en"",""ja"")"),"GPS時間")</f>
        <v>GPS時間</v>
      </c>
      <c r="AC42" s="4" t="str">
        <f>IFERROR(__xludf.DUMMYFUNCTION("GOOGLETRANSLATE(B42,""en"",""bg"")"),"GPS време")</f>
        <v>GPS време</v>
      </c>
      <c r="AD42" s="4" t="str">
        <f>IFERROR(__xludf.DUMMYFUNCTION("GOOGLETRANSLATE(B42,""en"",""cs"")"),"GPS čas")</f>
        <v>GPS čas</v>
      </c>
      <c r="AE42" s="4" t="str">
        <f>IFERROR(__xludf.DUMMYFUNCTION("GOOGLETRANSLATE(B42,""en"",""da"")"),"GPS tid")</f>
        <v>GPS tid</v>
      </c>
      <c r="AF42" s="4" t="str">
        <f>IFERROR(__xludf.DUMMYFUNCTION("GOOGLETRANSLATE(B42,""en"",""el"")"),"Ώρα GPS")</f>
        <v>Ώρα GPS</v>
      </c>
      <c r="AG42" s="4" t="str">
        <f>IFERROR(__xludf.DUMMYFUNCTION("GOOGLETRANSLATE(B42,""en"",""et"")"),"GPS aeg")</f>
        <v>GPS aeg</v>
      </c>
      <c r="AH42" s="4" t="str">
        <f>IFERROR(__xludf.DUMMYFUNCTION("GOOGLETRANSLATE(B42,""en"",""fi"")"),"GPS-aika")</f>
        <v>GPS-aika</v>
      </c>
      <c r="AI42" s="4" t="str">
        <f>IFERROR(__xludf.DUMMYFUNCTION("GOOGLETRANSLATE(B42,""en"",""hr"")"),"GPS vrijeme")</f>
        <v>GPS vrijeme</v>
      </c>
      <c r="AJ42" s="4" t="str">
        <f>IFERROR(__xludf.DUMMYFUNCTION("GOOGLETRANSLATE(B42,""en"",""hu"")"),"GPS idő")</f>
        <v>GPS idő</v>
      </c>
      <c r="AK42" s="4" t="str">
        <f>IFERROR(__xludf.DUMMYFUNCTION("GOOGLETRANSLATE(B42,""en"",""hy"")"),"GPS ժամանակ")</f>
        <v>GPS ժամանակ</v>
      </c>
      <c r="AL42" s="4" t="str">
        <f>IFERROR(__xludf.DUMMYFUNCTION("GOOGLETRANSLATE(B42,""en"",""ca"")"),"Hora GPS")</f>
        <v>Hora GPS</v>
      </c>
      <c r="AM42" s="4" t="str">
        <f>IFERROR(__xludf.DUMMYFUNCTION("GOOGLETRANSLATE(B42,""en"",""nl"")"),"GPS-tijd")</f>
        <v>GPS-tijd</v>
      </c>
      <c r="AN42" s="4" t="str">
        <f>IFERROR(__xludf.DUMMYFUNCTION("GOOGLETRANSLATE(B42,""en"",""he"")"),"זמן GPS")</f>
        <v>זמן GPS</v>
      </c>
      <c r="AO42" s="4" t="str">
        <f>IFERROR(__xludf.DUMMYFUNCTION("GOOGLETRANSLATE(B42,""en"",""is"")"),"GPS tími")</f>
        <v>GPS tími</v>
      </c>
      <c r="AP42" s="4" t="str">
        <f>IFERROR(__xludf.DUMMYFUNCTION("GOOGLETRANSLATE(B42,""en"",""no"")"),"GPS-tid")</f>
        <v>GPS-tid</v>
      </c>
      <c r="AQ42" s="4" t="str">
        <f>IFERROR(__xludf.DUMMYFUNCTION("GOOGLETRANSLATE(B42,""en"",""fa"")"),"زمان GPS")</f>
        <v>زمان GPS</v>
      </c>
      <c r="AR42" s="4" t="str">
        <f>IFERROR(__xludf.DUMMYFUNCTION("GOOGLETRANSLATE(B42,""en"",""pl"")"),"Czas GPS")</f>
        <v>Czas GPS</v>
      </c>
      <c r="AS42" s="4" t="str">
        <f>IFERROR(__xludf.DUMMYFUNCTION("GOOGLETRANSLATE(B42,""en"",""sv"")"),"GPS-tid")</f>
        <v>GPS-tid</v>
      </c>
      <c r="AT42" s="4" t="str">
        <f>IFERROR(__xludf.DUMMYFUNCTION("GOOGLETRANSLATE(B42,""en"",""uk"")"),"Час GPS")</f>
        <v>Час GPS</v>
      </c>
      <c r="AU42" s="4" t="str">
        <f>IFERROR(__xludf.DUMMYFUNCTION("GOOGLETRANSLATE(B42,""en"",""zu"")"),"Isikhathi se-GPS")</f>
        <v>Isikhathi se-GPS</v>
      </c>
      <c r="AV42" s="4" t="str">
        <f>IFERROR(__xludf.DUMMYFUNCTION("GOOGLETRANSLATE(B42,""en"",""sr"")"),"ГПС Тиме")</f>
        <v>ГПС Тиме</v>
      </c>
    </row>
    <row r="43">
      <c r="A43" s="3" t="s">
        <v>128</v>
      </c>
      <c r="B43" s="3" t="s">
        <v>129</v>
      </c>
      <c r="C43" s="4" t="str">
        <f>IFERROR(__xludf.DUMMYFUNCTION("GOOGLETRANSLATE(B43,""en"",""ta"")"),"நிலை மீட்டர்")</f>
        <v>நிலை மீட்டர்</v>
      </c>
      <c r="D43" s="4" t="str">
        <f>IFERROR(__xludf.DUMMYFUNCTION("GOOGLETRANSLATE(B43,""en"",""hi"")"),"स्तर मापक")</f>
        <v>स्तर मापक</v>
      </c>
      <c r="E43" s="4" t="str">
        <f>IFERROR(__xludf.DUMMYFUNCTION("GOOGLETRANSLATE(B43,""en"",""id"")"),"Pengukur Level")</f>
        <v>Pengukur Level</v>
      </c>
      <c r="F43" s="4" t="str">
        <f>IFERROR(__xludf.DUMMYFUNCTION("GOOGLETRANSLATE(B43,""en"",""ms"")"),"Pengukur Aras")</f>
        <v>Pengukur Aras</v>
      </c>
      <c r="G43" s="4" t="str">
        <f>IFERROR(__xludf.DUMMYFUNCTION("GOOGLETRANSLATE(B43,""en"",""de"")"),"Pegelmesser")</f>
        <v>Pegelmesser</v>
      </c>
      <c r="H43" s="4" t="str">
        <f>IFERROR(__xludf.DUMMYFUNCTION("GOOGLETRANSLATE(B43,""en"",""es"")"),"Medidor de nivel")</f>
        <v>Medidor de nivel</v>
      </c>
      <c r="I43" s="4" t="str">
        <f>IFERROR(__xludf.DUMMYFUNCTION("GOOGLETRANSLATE(B43,""en"",""fr"")"),"indicateur de niveau")</f>
        <v>indicateur de niveau</v>
      </c>
      <c r="J43" s="4" t="str">
        <f>IFERROR(__xludf.DUMMYFUNCTION("GOOGLETRANSLATE(B43,""en"",""it"")"),"Misuratore di livello")</f>
        <v>Misuratore di livello</v>
      </c>
      <c r="K43" s="4" t="str">
        <f>IFERROR(__xludf.DUMMYFUNCTION("GOOGLETRANSLATE(B43,""en"",""pt"")"),"Medidor de nível")</f>
        <v>Medidor de nível</v>
      </c>
      <c r="L43" s="4" t="str">
        <f>IFERROR(__xludf.DUMMYFUNCTION("GOOGLETRANSLATE(B43,""en"",""ro"")"),"Contor de nivel")</f>
        <v>Contor de nivel</v>
      </c>
      <c r="M43" s="4" t="str">
        <f>IFERROR(__xludf.DUMMYFUNCTION("GOOGLETRANSLATE(B43,""en"",""vi"")"),"Máy đo mức")</f>
        <v>Máy đo mức</v>
      </c>
      <c r="N43" s="4" t="str">
        <f>IFERROR(__xludf.DUMMYFUNCTION("GOOGLETRANSLATE(B43,""en"",""ru"")"),"Измеритель уровня")</f>
        <v>Измеритель уровня</v>
      </c>
      <c r="O43" s="4" t="str">
        <f>IFERROR(__xludf.DUMMYFUNCTION("GOOGLETRANSLATE(B43,""en"",""tr"")"),"Seviye Ölçer")</f>
        <v>Seviye Ölçer</v>
      </c>
      <c r="P43" s="4" t="str">
        <f>IFERROR(__xludf.DUMMYFUNCTION("GOOGLETRANSLATE(B43,""en"",""ar"")"),"مقياس المستوى")</f>
        <v>مقياس المستوى</v>
      </c>
      <c r="Q43" s="4" t="str">
        <f>IFERROR(__xludf.DUMMYFUNCTION("GOOGLETRANSLATE(B43,""en"",""mr"")"),"पातळी मीटर")</f>
        <v>पातळी मीटर</v>
      </c>
      <c r="R43" s="4" t="str">
        <f>IFERROR(__xludf.DUMMYFUNCTION("GOOGLETRANSLATE(B43,""en"",""gu"")"),"સ્તર મીટર")</f>
        <v>સ્તર મીટર</v>
      </c>
      <c r="S43" s="4" t="str">
        <f>IFERROR(__xludf.DUMMYFUNCTION("GOOGLETRANSLATE(B43,""en"",""bn"")"),"লেভেল মিটার")</f>
        <v>লেভেল মিটার</v>
      </c>
      <c r="T43" s="4" t="str">
        <f>IFERROR(__xludf.DUMMYFUNCTION("GOOGLETRANSLATE(B43,""en"",""pa"")"),"ਪੱਧਰ ਮੀਟਰ")</f>
        <v>ਪੱਧਰ ਮੀਟਰ</v>
      </c>
      <c r="U43" s="4" t="str">
        <f>IFERROR(__xludf.DUMMYFUNCTION("GOOGLETRANSLATE(B43,""en"",""te"")"),"స్థాయి మీటర్")</f>
        <v>స్థాయి మీటర్</v>
      </c>
      <c r="V43" s="4" t="str">
        <f>IFERROR(__xludf.DUMMYFUNCTION("GOOGLETRANSLATE(B43,""en"",""kn"")"),"ಮಟ್ಟದ ಮೀಟರ್")</f>
        <v>ಮಟ್ಟದ ಮೀಟರ್</v>
      </c>
      <c r="W43" s="4" t="str">
        <f>IFERROR(__xludf.DUMMYFUNCTION("GOOGLETRANSLATE(B43,""en"",""ml"")"),"ലെവൽ മീറ്റർ")</f>
        <v>ലെവൽ മീറ്റർ</v>
      </c>
      <c r="X43" s="4" t="str">
        <f>IFERROR(__xludf.DUMMYFUNCTION("GOOGLETRANSLATE(B43,""en"",""th"")"),"เครื่องวัดระดับ")</f>
        <v>เครื่องวัดระดับ</v>
      </c>
      <c r="Y43" s="4" t="str">
        <f>IFERROR(__xludf.DUMMYFUNCTION("GOOGLETRANSLATE(B43,""en"",""ko"")"),"레벨 미터")</f>
        <v>레벨 미터</v>
      </c>
      <c r="Z43" s="4" t="str">
        <f>IFERROR(__xludf.DUMMYFUNCTION("GOOGLETRANSLATE(B43,""en"",""zh"")"),"电平表")</f>
        <v>电平表</v>
      </c>
      <c r="AA43" s="4" t="str">
        <f>IFERROR(__xludf.DUMMYFUNCTION("GOOGLETRANSLATE(B43,""en"",""zh-TW"")"),"電平表")</f>
        <v>電平表</v>
      </c>
      <c r="AB43" s="4" t="str">
        <f>IFERROR(__xludf.DUMMYFUNCTION("GOOGLETRANSLATE(B43,""en"",""ja"")"),"レベルメーター")</f>
        <v>レベルメーター</v>
      </c>
      <c r="AC43" s="4" t="str">
        <f>IFERROR(__xludf.DUMMYFUNCTION("GOOGLETRANSLATE(B43,""en"",""bg"")"),"Нивомер")</f>
        <v>Нивомер</v>
      </c>
      <c r="AD43" s="4" t="str">
        <f>IFERROR(__xludf.DUMMYFUNCTION("GOOGLETRANSLATE(B43,""en"",""cs"")"),"Hladinoměr")</f>
        <v>Hladinoměr</v>
      </c>
      <c r="AE43" s="4" t="str">
        <f>IFERROR(__xludf.DUMMYFUNCTION("GOOGLETRANSLATE(B43,""en"",""da"")"),"Niveaumåler")</f>
        <v>Niveaumåler</v>
      </c>
      <c r="AF43" s="4" t="str">
        <f>IFERROR(__xludf.DUMMYFUNCTION("GOOGLETRANSLATE(B43,""en"",""el"")"),"Μετρητής στάθμης")</f>
        <v>Μετρητής στάθμης</v>
      </c>
      <c r="AG43" s="4" t="str">
        <f>IFERROR(__xludf.DUMMYFUNCTION("GOOGLETRANSLATE(B43,""en"",""et"")"),"Tasememõõtur")</f>
        <v>Tasememõõtur</v>
      </c>
      <c r="AH43" s="4" t="str">
        <f>IFERROR(__xludf.DUMMYFUNCTION("GOOGLETRANSLATE(B43,""en"",""fi"")"),"Tasomittari")</f>
        <v>Tasomittari</v>
      </c>
      <c r="AI43" s="4" t="str">
        <f>IFERROR(__xludf.DUMMYFUNCTION("GOOGLETRANSLATE(B43,""en"",""hr"")"),"Mjerač razine")</f>
        <v>Mjerač razine</v>
      </c>
      <c r="AJ43" s="4" t="str">
        <f>IFERROR(__xludf.DUMMYFUNCTION("GOOGLETRANSLATE(B43,""en"",""hu"")"),"Szintmérő")</f>
        <v>Szintmérő</v>
      </c>
      <c r="AK43" s="4" t="str">
        <f>IFERROR(__xludf.DUMMYFUNCTION("GOOGLETRANSLATE(B43,""en"",""hy"")"),"Մակարդակի չափիչ")</f>
        <v>Մակարդակի չափիչ</v>
      </c>
      <c r="AL43" s="4" t="str">
        <f>IFERROR(__xludf.DUMMYFUNCTION("GOOGLETRANSLATE(B43,""en"",""ca"")"),"Mesurador de nivell")</f>
        <v>Mesurador de nivell</v>
      </c>
      <c r="AM43" s="4" t="str">
        <f>IFERROR(__xludf.DUMMYFUNCTION("GOOGLETRANSLATE(B43,""en"",""nl"")"),"Niveaumeter")</f>
        <v>Niveaumeter</v>
      </c>
      <c r="AN43" s="4" t="str">
        <f>IFERROR(__xludf.DUMMYFUNCTION("GOOGLETRANSLATE(B43,""en"",""he"")"),"מד רמה")</f>
        <v>מד רמה</v>
      </c>
      <c r="AO43" s="4" t="str">
        <f>IFERROR(__xludf.DUMMYFUNCTION("GOOGLETRANSLATE(B43,""en"",""is"")"),"Stigmælir")</f>
        <v>Stigmælir</v>
      </c>
      <c r="AP43" s="4" t="str">
        <f>IFERROR(__xludf.DUMMYFUNCTION("GOOGLETRANSLATE(B43,""en"",""no"")"),"Nivåmåler")</f>
        <v>Nivåmåler</v>
      </c>
      <c r="AQ43" s="4" t="str">
        <f>IFERROR(__xludf.DUMMYFUNCTION("GOOGLETRANSLATE(B43,""en"",""fa"")"),"سطح سنج")</f>
        <v>سطح سنج</v>
      </c>
      <c r="AR43" s="4" t="str">
        <f>IFERROR(__xludf.DUMMYFUNCTION("GOOGLETRANSLATE(B43,""en"",""pl"")"),"Miernik poziomu")</f>
        <v>Miernik poziomu</v>
      </c>
      <c r="AS43" s="4" t="str">
        <f>IFERROR(__xludf.DUMMYFUNCTION("GOOGLETRANSLATE(B43,""en"",""sv"")"),"Nivåmätare")</f>
        <v>Nivåmätare</v>
      </c>
      <c r="AT43" s="4" t="str">
        <f>IFERROR(__xludf.DUMMYFUNCTION("GOOGLETRANSLATE(B43,""en"",""uk"")"),"Вимірювач рівня")</f>
        <v>Вимірювач рівня</v>
      </c>
      <c r="AU43" s="4" t="str">
        <f>IFERROR(__xludf.DUMMYFUNCTION("GOOGLETRANSLATE(B43,""en"",""zu"")"),"Imitha Yezinga")</f>
        <v>Imitha Yezinga</v>
      </c>
      <c r="AV43" s="4" t="str">
        <f>IFERROR(__xludf.DUMMYFUNCTION("GOOGLETRANSLATE(B43,""en"",""sr"")"),"Левел Метер")</f>
        <v>Левел Метер</v>
      </c>
    </row>
    <row r="44">
      <c r="A44" s="3" t="s">
        <v>130</v>
      </c>
      <c r="B44" s="3" t="s">
        <v>131</v>
      </c>
      <c r="C44" s="4" t="str">
        <f>IFERROR(__xludf.DUMMYFUNCTION("GOOGLETRANSLATE(B44,""en"",""ta"")"),"இடங்கள்")</f>
        <v>இடங்கள்</v>
      </c>
      <c r="D44" s="4" t="str">
        <f>IFERROR(__xludf.DUMMYFUNCTION("GOOGLETRANSLATE(B44,""en"",""hi"")"),"स्थानों")</f>
        <v>स्थानों</v>
      </c>
      <c r="E44" s="4" t="str">
        <f>IFERROR(__xludf.DUMMYFUNCTION("GOOGLETRANSLATE(B44,""en"",""id"")"),"Lokasi")</f>
        <v>Lokasi</v>
      </c>
      <c r="F44" s="4" t="str">
        <f>IFERROR(__xludf.DUMMYFUNCTION("GOOGLETRANSLATE(B44,""en"",""ms"")"),"Lokasi")</f>
        <v>Lokasi</v>
      </c>
      <c r="G44" s="4" t="str">
        <f>IFERROR(__xludf.DUMMYFUNCTION("GOOGLETRANSLATE(B44,""en"",""de"")"),"Standorte")</f>
        <v>Standorte</v>
      </c>
      <c r="H44" s="4" t="str">
        <f>IFERROR(__xludf.DUMMYFUNCTION("GOOGLETRANSLATE(B44,""en"",""es"")"),"Ubicaciones")</f>
        <v>Ubicaciones</v>
      </c>
      <c r="I44" s="4" t="str">
        <f>IFERROR(__xludf.DUMMYFUNCTION("GOOGLETRANSLATE(B44,""en"",""fr"")"),"Emplacements")</f>
        <v>Emplacements</v>
      </c>
      <c r="J44" s="4" t="str">
        <f>IFERROR(__xludf.DUMMYFUNCTION("GOOGLETRANSLATE(B44,""en"",""it"")"),"Posizioni")</f>
        <v>Posizioni</v>
      </c>
      <c r="K44" s="4" t="str">
        <f>IFERROR(__xludf.DUMMYFUNCTION("GOOGLETRANSLATE(B44,""en"",""pt"")"),"Locais")</f>
        <v>Locais</v>
      </c>
      <c r="L44" s="4" t="str">
        <f>IFERROR(__xludf.DUMMYFUNCTION("GOOGLETRANSLATE(B44,""en"",""ro"")"),"Locații")</f>
        <v>Locații</v>
      </c>
      <c r="M44" s="4" t="str">
        <f>IFERROR(__xludf.DUMMYFUNCTION("GOOGLETRANSLATE(B44,""en"",""vi"")"),"Địa điểm")</f>
        <v>Địa điểm</v>
      </c>
      <c r="N44" s="4" t="str">
        <f>IFERROR(__xludf.DUMMYFUNCTION("GOOGLETRANSLATE(B44,""en"",""ru"")"),"Места")</f>
        <v>Места</v>
      </c>
      <c r="O44" s="4" t="str">
        <f>IFERROR(__xludf.DUMMYFUNCTION("GOOGLETRANSLATE(B44,""en"",""tr"")"),"Konumlar")</f>
        <v>Konumlar</v>
      </c>
      <c r="P44" s="4" t="str">
        <f>IFERROR(__xludf.DUMMYFUNCTION("GOOGLETRANSLATE(B44,""en"",""ar"")"),"المواقع")</f>
        <v>المواقع</v>
      </c>
      <c r="Q44" s="4" t="str">
        <f>IFERROR(__xludf.DUMMYFUNCTION("GOOGLETRANSLATE(B44,""en"",""mr"")"),"स्थाने")</f>
        <v>स्थाने</v>
      </c>
      <c r="R44" s="4" t="str">
        <f>IFERROR(__xludf.DUMMYFUNCTION("GOOGLETRANSLATE(B44,""en"",""gu"")"),"સ્થાનો")</f>
        <v>સ્થાનો</v>
      </c>
      <c r="S44" s="4" t="str">
        <f>IFERROR(__xludf.DUMMYFUNCTION("GOOGLETRANSLATE(B44,""en"",""bn"")"),"অবস্থানসমূহ")</f>
        <v>অবস্থানসমূহ</v>
      </c>
      <c r="T44" s="4" t="str">
        <f>IFERROR(__xludf.DUMMYFUNCTION("GOOGLETRANSLATE(B44,""en"",""pa"")"),"ਟਿਕਾਣੇ")</f>
        <v>ਟਿਕਾਣੇ</v>
      </c>
      <c r="U44" s="4" t="str">
        <f>IFERROR(__xludf.DUMMYFUNCTION("GOOGLETRANSLATE(B44,""en"",""te"")"),"స్థానాలు")</f>
        <v>స్థానాలు</v>
      </c>
      <c r="V44" s="4" t="str">
        <f>IFERROR(__xludf.DUMMYFUNCTION("GOOGLETRANSLATE(B44,""en"",""kn"")"),"ಸ್ಥಳಗಳು")</f>
        <v>ಸ್ಥಳಗಳು</v>
      </c>
      <c r="W44" s="4" t="str">
        <f>IFERROR(__xludf.DUMMYFUNCTION("GOOGLETRANSLATE(B44,""en"",""ml"")"),"സ്ഥാനങ്ങൾ")</f>
        <v>സ്ഥാനങ്ങൾ</v>
      </c>
      <c r="X44" s="4" t="str">
        <f>IFERROR(__xludf.DUMMYFUNCTION("GOOGLETRANSLATE(B44,""en"",""th"")"),"ตำแหน่งที่ตั้ง")</f>
        <v>ตำแหน่งที่ตั้ง</v>
      </c>
      <c r="Y44" s="4" t="str">
        <f>IFERROR(__xludf.DUMMYFUNCTION("GOOGLETRANSLATE(B44,""en"",""ko"")"),"위치")</f>
        <v>위치</v>
      </c>
      <c r="Z44" s="4" t="str">
        <f>IFERROR(__xludf.DUMMYFUNCTION("GOOGLETRANSLATE(B44,""en"",""zh"")"),"位置")</f>
        <v>位置</v>
      </c>
      <c r="AA44" s="4" t="str">
        <f>IFERROR(__xludf.DUMMYFUNCTION("GOOGLETRANSLATE(B44,""en"",""zh-TW"")"),"位置")</f>
        <v>位置</v>
      </c>
      <c r="AB44" s="4" t="str">
        <f>IFERROR(__xludf.DUMMYFUNCTION("GOOGLETRANSLATE(B44,""en"",""ja"")"),"場所")</f>
        <v>場所</v>
      </c>
      <c r="AC44" s="4" t="str">
        <f>IFERROR(__xludf.DUMMYFUNCTION("GOOGLETRANSLATE(B44,""en"",""bg"")"),"Местоположения")</f>
        <v>Местоположения</v>
      </c>
      <c r="AD44" s="4" t="str">
        <f>IFERROR(__xludf.DUMMYFUNCTION("GOOGLETRANSLATE(B44,""en"",""cs"")"),"Místa")</f>
        <v>Místa</v>
      </c>
      <c r="AE44" s="4" t="str">
        <f>IFERROR(__xludf.DUMMYFUNCTION("GOOGLETRANSLATE(B44,""en"",""da"")"),"Steder")</f>
        <v>Steder</v>
      </c>
      <c r="AF44" s="4" t="str">
        <f>IFERROR(__xludf.DUMMYFUNCTION("GOOGLETRANSLATE(B44,""en"",""el"")"),"Τοποθεσίες")</f>
        <v>Τοποθεσίες</v>
      </c>
      <c r="AG44" s="4" t="str">
        <f>IFERROR(__xludf.DUMMYFUNCTION("GOOGLETRANSLATE(B44,""en"",""et"")"),"Asukohad")</f>
        <v>Asukohad</v>
      </c>
      <c r="AH44" s="4" t="str">
        <f>IFERROR(__xludf.DUMMYFUNCTION("GOOGLETRANSLATE(B44,""en"",""fi"")"),"Sijainnit")</f>
        <v>Sijainnit</v>
      </c>
      <c r="AI44" s="4" t="str">
        <f>IFERROR(__xludf.DUMMYFUNCTION("GOOGLETRANSLATE(B44,""en"",""hr"")"),"Lokacije")</f>
        <v>Lokacije</v>
      </c>
      <c r="AJ44" s="4" t="str">
        <f>IFERROR(__xludf.DUMMYFUNCTION("GOOGLETRANSLATE(B44,""en"",""hu"")"),"Helyszínek")</f>
        <v>Helyszínek</v>
      </c>
      <c r="AK44" s="4" t="str">
        <f>IFERROR(__xludf.DUMMYFUNCTION("GOOGLETRANSLATE(B44,""en"",""hy"")"),"Վայրեր")</f>
        <v>Վայրեր</v>
      </c>
      <c r="AL44" s="4" t="str">
        <f>IFERROR(__xludf.DUMMYFUNCTION("GOOGLETRANSLATE(B44,""en"",""ca"")"),"Ubicacions")</f>
        <v>Ubicacions</v>
      </c>
      <c r="AM44" s="4" t="str">
        <f>IFERROR(__xludf.DUMMYFUNCTION("GOOGLETRANSLATE(B44,""en"",""nl"")"),"Locaties")</f>
        <v>Locaties</v>
      </c>
      <c r="AN44" s="4" t="str">
        <f>IFERROR(__xludf.DUMMYFUNCTION("GOOGLETRANSLATE(B44,""en"",""he"")"),"מיקומים")</f>
        <v>מיקומים</v>
      </c>
      <c r="AO44" s="4" t="str">
        <f>IFERROR(__xludf.DUMMYFUNCTION("GOOGLETRANSLATE(B44,""en"",""is"")"),"Staðsetningar")</f>
        <v>Staðsetningar</v>
      </c>
      <c r="AP44" s="4" t="str">
        <f>IFERROR(__xludf.DUMMYFUNCTION("GOOGLETRANSLATE(B44,""en"",""no"")"),"Steder")</f>
        <v>Steder</v>
      </c>
      <c r="AQ44" s="4" t="str">
        <f>IFERROR(__xludf.DUMMYFUNCTION("GOOGLETRANSLATE(B44,""en"",""fa"")"),"مکان ها")</f>
        <v>مکان ها</v>
      </c>
      <c r="AR44" s="4" t="str">
        <f>IFERROR(__xludf.DUMMYFUNCTION("GOOGLETRANSLATE(B44,""en"",""pl"")"),"Lokalizacje")</f>
        <v>Lokalizacje</v>
      </c>
      <c r="AS44" s="4" t="str">
        <f>IFERROR(__xludf.DUMMYFUNCTION("GOOGLETRANSLATE(B44,""en"",""sv"")"),"Platser")</f>
        <v>Platser</v>
      </c>
      <c r="AT44" s="4" t="str">
        <f>IFERROR(__xludf.DUMMYFUNCTION("GOOGLETRANSLATE(B44,""en"",""uk"")"),"Місцезнаходження")</f>
        <v>Місцезнаходження</v>
      </c>
      <c r="AU44" s="4" t="str">
        <f>IFERROR(__xludf.DUMMYFUNCTION("GOOGLETRANSLATE(B44,""en"",""zu"")"),"Izindawo")</f>
        <v>Izindawo</v>
      </c>
      <c r="AV44" s="4" t="str">
        <f>IFERROR(__xludf.DUMMYFUNCTION("GOOGLETRANSLATE(B44,""en"",""sr"")"),"Локације")</f>
        <v>Локације</v>
      </c>
    </row>
    <row r="45">
      <c r="A45" s="3" t="s">
        <v>132</v>
      </c>
      <c r="B45" s="3" t="s">
        <v>133</v>
      </c>
      <c r="C45" s="4" t="str">
        <f>IFERROR(__xludf.DUMMYFUNCTION("GOOGLETRANSLATE(B45,""en"",""ta"")"),"வானிலை முன்னறிவிப்பு")</f>
        <v>வானிலை முன்னறிவிப்பு</v>
      </c>
      <c r="D45" s="4" t="str">
        <f>IFERROR(__xludf.DUMMYFUNCTION("GOOGLETRANSLATE(B45,""en"",""hi"")"),"मौसम पूर्वानुमान")</f>
        <v>मौसम पूर्वानुमान</v>
      </c>
      <c r="E45" s="4" t="str">
        <f>IFERROR(__xludf.DUMMYFUNCTION("GOOGLETRANSLATE(B45,""en"",""id"")"),"Ramalan cuaca")</f>
        <v>Ramalan cuaca</v>
      </c>
      <c r="F45" s="4" t="str">
        <f>IFERROR(__xludf.DUMMYFUNCTION("GOOGLETRANSLATE(B45,""en"",""ms"")"),"Ramalan Cuaca")</f>
        <v>Ramalan Cuaca</v>
      </c>
      <c r="G45" s="4" t="str">
        <f>IFERROR(__xludf.DUMMYFUNCTION("GOOGLETRANSLATE(B45,""en"",""de"")"),"Wettervorhersage")</f>
        <v>Wettervorhersage</v>
      </c>
      <c r="H45" s="4" t="str">
        <f>IFERROR(__xludf.DUMMYFUNCTION("GOOGLETRANSLATE(B45,""en"",""es"")"),"Pronóstico del tiempo")</f>
        <v>Pronóstico del tiempo</v>
      </c>
      <c r="I45" s="4" t="str">
        <f>IFERROR(__xludf.DUMMYFUNCTION("GOOGLETRANSLATE(B45,""en"",""fr"")"),"Prévisions météorologiques")</f>
        <v>Prévisions météorologiques</v>
      </c>
      <c r="J45" s="4" t="str">
        <f>IFERROR(__xludf.DUMMYFUNCTION("GOOGLETRANSLATE(B45,""en"",""it"")"),"Previsioni del tempo")</f>
        <v>Previsioni del tempo</v>
      </c>
      <c r="K45" s="4" t="str">
        <f>IFERROR(__xludf.DUMMYFUNCTION("GOOGLETRANSLATE(B45,""en"",""pt"")"),"Previsão do tempo")</f>
        <v>Previsão do tempo</v>
      </c>
      <c r="L45" s="4" t="str">
        <f>IFERROR(__xludf.DUMMYFUNCTION("GOOGLETRANSLATE(B45,""en"",""ro"")"),"Prognoza meteo")</f>
        <v>Prognoza meteo</v>
      </c>
      <c r="M45" s="4" t="str">
        <f>IFERROR(__xludf.DUMMYFUNCTION("GOOGLETRANSLATE(B45,""en"",""vi"")"),"Dự báo thời tiết")</f>
        <v>Dự báo thời tiết</v>
      </c>
      <c r="N45" s="4" t="str">
        <f>IFERROR(__xludf.DUMMYFUNCTION("GOOGLETRANSLATE(B45,""en"",""ru"")"),"Прогноз погоды")</f>
        <v>Прогноз погоды</v>
      </c>
      <c r="O45" s="4" t="str">
        <f>IFERROR(__xludf.DUMMYFUNCTION("GOOGLETRANSLATE(B45,""en"",""tr"")"),"Hava tahmini")</f>
        <v>Hava tahmini</v>
      </c>
      <c r="P45" s="4" t="str">
        <f>IFERROR(__xludf.DUMMYFUNCTION("GOOGLETRANSLATE(B45,""en"",""ar"")"),"توقعات الطقس")</f>
        <v>توقعات الطقس</v>
      </c>
      <c r="Q45" s="4" t="str">
        <f>IFERROR(__xludf.DUMMYFUNCTION("GOOGLETRANSLATE(B45,""en"",""mr"")"),"हवामान अंदाज")</f>
        <v>हवामान अंदाज</v>
      </c>
      <c r="R45" s="4" t="str">
        <f>IFERROR(__xludf.DUMMYFUNCTION("GOOGLETRANSLATE(B45,""en"",""gu"")"),"હવામાનની આગાહી")</f>
        <v>હવામાનની આગાહી</v>
      </c>
      <c r="S45" s="4" t="str">
        <f>IFERROR(__xludf.DUMMYFUNCTION("GOOGLETRANSLATE(B45,""en"",""bn"")"),"আবহাওয়ার পূর্বাভাস")</f>
        <v>আবহাওয়ার পূর্বাভাস</v>
      </c>
      <c r="T45" s="4" t="str">
        <f>IFERROR(__xludf.DUMMYFUNCTION("GOOGLETRANSLATE(B45,""en"",""pa"")"),"ਮੌਸਮ ਦੀ ਭਵਿੱਖਬਾਣੀ")</f>
        <v>ਮੌਸਮ ਦੀ ਭਵਿੱਖਬਾਣੀ</v>
      </c>
      <c r="U45" s="4" t="str">
        <f>IFERROR(__xludf.DUMMYFUNCTION("GOOGLETRANSLATE(B45,""en"",""te"")"),"వాతావరణ సూచన")</f>
        <v>వాతావరణ సూచన</v>
      </c>
      <c r="V45" s="4" t="str">
        <f>IFERROR(__xludf.DUMMYFUNCTION("GOOGLETRANSLATE(B45,""en"",""kn"")"),"ಹವಾಮಾನ ಮುನ್ಸೂಚನೆ")</f>
        <v>ಹವಾಮಾನ ಮುನ್ಸೂಚನೆ</v>
      </c>
      <c r="W45" s="4" t="str">
        <f>IFERROR(__xludf.DUMMYFUNCTION("GOOGLETRANSLATE(B45,""en"",""ml"")"),"കാലാവസ്ഥാ പ്രവചനം")</f>
        <v>കാലാവസ്ഥാ പ്രവചനം</v>
      </c>
      <c r="X45" s="4" t="str">
        <f>IFERROR(__xludf.DUMMYFUNCTION("GOOGLETRANSLATE(B45,""en"",""th"")"),"พยากรณ์อากาศ")</f>
        <v>พยากรณ์อากาศ</v>
      </c>
      <c r="Y45" s="4" t="str">
        <f>IFERROR(__xludf.DUMMYFUNCTION("GOOGLETRANSLATE(B45,""en"",""ko"")"),"날씨 예보")</f>
        <v>날씨 예보</v>
      </c>
      <c r="Z45" s="4" t="str">
        <f>IFERROR(__xludf.DUMMYFUNCTION("GOOGLETRANSLATE(B45,""en"",""zh"")"),"天气预报")</f>
        <v>天气预报</v>
      </c>
      <c r="AA45" s="4" t="str">
        <f>IFERROR(__xludf.DUMMYFUNCTION("GOOGLETRANSLATE(B45,""en"",""zh-TW"")"),"天氣預報")</f>
        <v>天氣預報</v>
      </c>
      <c r="AB45" s="4" t="str">
        <f>IFERROR(__xludf.DUMMYFUNCTION("GOOGLETRANSLATE(B45,""en"",""ja"")"),"天気予報")</f>
        <v>天気予報</v>
      </c>
      <c r="AC45" s="4" t="str">
        <f>IFERROR(__xludf.DUMMYFUNCTION("GOOGLETRANSLATE(B45,""en"",""bg"")"),"Прогноза за времето")</f>
        <v>Прогноза за времето</v>
      </c>
      <c r="AD45" s="4" t="str">
        <f>IFERROR(__xludf.DUMMYFUNCTION("GOOGLETRANSLATE(B45,""en"",""cs"")"),"Předpověď počasí")</f>
        <v>Předpověď počasí</v>
      </c>
      <c r="AE45" s="4" t="str">
        <f>IFERROR(__xludf.DUMMYFUNCTION("GOOGLETRANSLATE(B45,""en"",""da"")"),"Vejrudsigt")</f>
        <v>Vejrudsigt</v>
      </c>
      <c r="AF45" s="4" t="str">
        <f>IFERROR(__xludf.DUMMYFUNCTION("GOOGLETRANSLATE(B45,""en"",""el"")"),"Πρόγνωση καιρού")</f>
        <v>Πρόγνωση καιρού</v>
      </c>
      <c r="AG45" s="4" t="str">
        <f>IFERROR(__xludf.DUMMYFUNCTION("GOOGLETRANSLATE(B45,""en"",""et"")"),"Ilmateade")</f>
        <v>Ilmateade</v>
      </c>
      <c r="AH45" s="4" t="str">
        <f>IFERROR(__xludf.DUMMYFUNCTION("GOOGLETRANSLATE(B45,""en"",""fi"")"),"Sääennuste")</f>
        <v>Sääennuste</v>
      </c>
      <c r="AI45" s="4" t="str">
        <f>IFERROR(__xludf.DUMMYFUNCTION("GOOGLETRANSLATE(B45,""en"",""hr"")"),"Vremenska prognoza")</f>
        <v>Vremenska prognoza</v>
      </c>
      <c r="AJ45" s="4" t="str">
        <f>IFERROR(__xludf.DUMMYFUNCTION("GOOGLETRANSLATE(B45,""en"",""hu"")"),"Időjárás-jelentés")</f>
        <v>Időjárás-jelentés</v>
      </c>
      <c r="AK45" s="4" t="str">
        <f>IFERROR(__xludf.DUMMYFUNCTION("GOOGLETRANSLATE(B45,""en"",""hy"")"),"Եղանակի կանխատեսում")</f>
        <v>Եղանակի կանխատեսում</v>
      </c>
      <c r="AL45" s="4" t="str">
        <f>IFERROR(__xludf.DUMMYFUNCTION("GOOGLETRANSLATE(B45,""en"",""ca"")"),"Previsió meteorològica")</f>
        <v>Previsió meteorològica</v>
      </c>
      <c r="AM45" s="4" t="str">
        <f>IFERROR(__xludf.DUMMYFUNCTION("GOOGLETRANSLATE(B45,""en"",""nl"")"),"Weersverwachting")</f>
        <v>Weersverwachting</v>
      </c>
      <c r="AN45" s="4" t="str">
        <f>IFERROR(__xludf.DUMMYFUNCTION("GOOGLETRANSLATE(B45,""en"",""he"")"),"תחזית מזג האוויר")</f>
        <v>תחזית מזג האוויר</v>
      </c>
      <c r="AO45" s="4" t="str">
        <f>IFERROR(__xludf.DUMMYFUNCTION("GOOGLETRANSLATE(B45,""en"",""is"")"),"Veðurspá")</f>
        <v>Veðurspá</v>
      </c>
      <c r="AP45" s="4" t="str">
        <f>IFERROR(__xludf.DUMMYFUNCTION("GOOGLETRANSLATE(B45,""en"",""no"")"),"Værmelding")</f>
        <v>Værmelding</v>
      </c>
      <c r="AQ45" s="4" t="str">
        <f>IFERROR(__xludf.DUMMYFUNCTION("GOOGLETRANSLATE(B45,""en"",""fa"")"),"پیش بینی آب و هوا")</f>
        <v>پیش بینی آب و هوا</v>
      </c>
      <c r="AR45" s="4" t="str">
        <f>IFERROR(__xludf.DUMMYFUNCTION("GOOGLETRANSLATE(B45,""en"",""pl"")"),"Prognoza pogody")</f>
        <v>Prognoza pogody</v>
      </c>
      <c r="AS45" s="4" t="str">
        <f>IFERROR(__xludf.DUMMYFUNCTION("GOOGLETRANSLATE(B45,""en"",""sv"")"),"Väderprognos")</f>
        <v>Väderprognos</v>
      </c>
      <c r="AT45" s="4" t="str">
        <f>IFERROR(__xludf.DUMMYFUNCTION("GOOGLETRANSLATE(B45,""en"",""uk"")"),"Прогноз погоди")</f>
        <v>Прогноз погоди</v>
      </c>
      <c r="AU45" s="4" t="str">
        <f>IFERROR(__xludf.DUMMYFUNCTION("GOOGLETRANSLATE(B45,""en"",""zu"")"),"Isibikezelo sezulu")</f>
        <v>Isibikezelo sezulu</v>
      </c>
      <c r="AV45" s="4" t="str">
        <f>IFERROR(__xludf.DUMMYFUNCTION("GOOGLETRANSLATE(B45,""en"",""sr"")"),"Временска прогноза")</f>
        <v>Временска прогноза</v>
      </c>
    </row>
    <row r="46">
      <c r="A46" s="3" t="s">
        <v>134</v>
      </c>
      <c r="B46" s="3" t="s">
        <v>135</v>
      </c>
      <c r="C46" s="4" t="str">
        <f>IFERROR(__xludf.DUMMYFUNCTION("GOOGLETRANSLATE(B46,""en"",""ta"")"),"செயற்கைக்கோள் வரைபடம்")</f>
        <v>செயற்கைக்கோள் வரைபடம்</v>
      </c>
      <c r="D46" s="4" t="str">
        <f>IFERROR(__xludf.DUMMYFUNCTION("GOOGLETRANSLATE(B46,""en"",""hi"")"),"उपग्रह मानचित्र")</f>
        <v>उपग्रह मानचित्र</v>
      </c>
      <c r="E46" s="4" t="str">
        <f>IFERROR(__xludf.DUMMYFUNCTION("GOOGLETRANSLATE(B46,""en"",""id"")"),"Peta Satelit")</f>
        <v>Peta Satelit</v>
      </c>
      <c r="F46" s="4" t="str">
        <f>IFERROR(__xludf.DUMMYFUNCTION("GOOGLETRANSLATE(B46,""en"",""ms"")"),"Peta Satelit")</f>
        <v>Peta Satelit</v>
      </c>
      <c r="G46" s="4" t="str">
        <f>IFERROR(__xludf.DUMMYFUNCTION("GOOGLETRANSLATE(B46,""en"",""de"")"),"Satellitenkarte")</f>
        <v>Satellitenkarte</v>
      </c>
      <c r="H46" s="4" t="str">
        <f>IFERROR(__xludf.DUMMYFUNCTION("GOOGLETRANSLATE(B46,""en"",""es"")"),"Mapa satelital")</f>
        <v>Mapa satelital</v>
      </c>
      <c r="I46" s="4" t="str">
        <f>IFERROR(__xludf.DUMMYFUNCTION("GOOGLETRANSLATE(B46,""en"",""fr"")"),"Carte satellite")</f>
        <v>Carte satellite</v>
      </c>
      <c r="J46" s="4" t="str">
        <f>IFERROR(__xludf.DUMMYFUNCTION("GOOGLETRANSLATE(B46,""en"",""it"")"),"Mappa satellitare")</f>
        <v>Mappa satellitare</v>
      </c>
      <c r="K46" s="4" t="str">
        <f>IFERROR(__xludf.DUMMYFUNCTION("GOOGLETRANSLATE(B46,""en"",""pt"")"),"Mapa de satélite")</f>
        <v>Mapa de satélite</v>
      </c>
      <c r="L46" s="4" t="str">
        <f>IFERROR(__xludf.DUMMYFUNCTION("GOOGLETRANSLATE(B46,""en"",""ro"")"),"Harta prin satelit")</f>
        <v>Harta prin satelit</v>
      </c>
      <c r="M46" s="4" t="str">
        <f>IFERROR(__xludf.DUMMYFUNCTION("GOOGLETRANSLATE(B46,""en"",""vi"")"),"Bản đồ vệ tinh")</f>
        <v>Bản đồ vệ tinh</v>
      </c>
      <c r="N46" s="4" t="str">
        <f>IFERROR(__xludf.DUMMYFUNCTION("GOOGLETRANSLATE(B46,""en"",""ru"")"),"Спутниковая карта")</f>
        <v>Спутниковая карта</v>
      </c>
      <c r="O46" s="4" t="str">
        <f>IFERROR(__xludf.DUMMYFUNCTION("GOOGLETRANSLATE(B46,""en"",""tr"")"),"Uydu Haritası")</f>
        <v>Uydu Haritası</v>
      </c>
      <c r="P46" s="4" t="str">
        <f>IFERROR(__xludf.DUMMYFUNCTION("GOOGLETRANSLATE(B46,""en"",""ar"")"),"خريطة الأقمار الصناعية")</f>
        <v>خريطة الأقمار الصناعية</v>
      </c>
      <c r="Q46" s="4" t="str">
        <f>IFERROR(__xludf.DUMMYFUNCTION("GOOGLETRANSLATE(B46,""en"",""mr"")"),"उपग्रह नकाशा")</f>
        <v>उपग्रह नकाशा</v>
      </c>
      <c r="R46" s="4" t="str">
        <f>IFERROR(__xludf.DUMMYFUNCTION("GOOGLETRANSLATE(B46,""en"",""gu"")"),"સેટેલાઇટ નકશો")</f>
        <v>સેટેલાઇટ નકશો</v>
      </c>
      <c r="S46" s="4" t="str">
        <f>IFERROR(__xludf.DUMMYFUNCTION("GOOGLETRANSLATE(B46,""en"",""bn"")"),"স্যাটেলাইট ম্যাপ")</f>
        <v>স্যাটেলাইট ম্যাপ</v>
      </c>
      <c r="T46" s="4" t="str">
        <f>IFERROR(__xludf.DUMMYFUNCTION("GOOGLETRANSLATE(B46,""en"",""pa"")"),"ਸੈਟੇਲਾਈਟ ਦਾ ਨਕਸ਼ਾ")</f>
        <v>ਸੈਟੇਲਾਈਟ ਦਾ ਨਕਸ਼ਾ</v>
      </c>
      <c r="U46" s="4" t="str">
        <f>IFERROR(__xludf.DUMMYFUNCTION("GOOGLETRANSLATE(B46,""en"",""te"")"),"ఉపగ్రహ మ్యాప్")</f>
        <v>ఉపగ్రహ మ్యాప్</v>
      </c>
      <c r="V46" s="4" t="str">
        <f>IFERROR(__xludf.DUMMYFUNCTION("GOOGLETRANSLATE(B46,""en"",""kn"")"),"ಉಪಗ್ರಹ ನಕ್ಷೆ")</f>
        <v>ಉಪಗ್ರಹ ನಕ್ಷೆ</v>
      </c>
      <c r="W46" s="4" t="str">
        <f>IFERROR(__xludf.DUMMYFUNCTION("GOOGLETRANSLATE(B46,""en"",""ml"")"),"സാറ്റലൈറ്റ് മാപ്പ്")</f>
        <v>സാറ്റലൈറ്റ് മാപ്പ്</v>
      </c>
      <c r="X46" s="4" t="str">
        <f>IFERROR(__xludf.DUMMYFUNCTION("GOOGLETRANSLATE(B46,""en"",""th"")"),"แผนที่ดาวเทียม")</f>
        <v>แผนที่ดาวเทียม</v>
      </c>
      <c r="Y46" s="4" t="str">
        <f>IFERROR(__xludf.DUMMYFUNCTION("GOOGLETRANSLATE(B46,""en"",""ko"")"),"위성지도")</f>
        <v>위성지도</v>
      </c>
      <c r="Z46" s="4" t="str">
        <f>IFERROR(__xludf.DUMMYFUNCTION("GOOGLETRANSLATE(B46,""en"",""zh"")"),"卫星地图")</f>
        <v>卫星地图</v>
      </c>
      <c r="AA46" s="4" t="str">
        <f>IFERROR(__xludf.DUMMYFUNCTION("GOOGLETRANSLATE(B46,""en"",""zh-TW"")"),"衛星地圖")</f>
        <v>衛星地圖</v>
      </c>
      <c r="AB46" s="4" t="str">
        <f>IFERROR(__xludf.DUMMYFUNCTION("GOOGLETRANSLATE(B46,""en"",""ja"")"),"衛星地図")</f>
        <v>衛星地図</v>
      </c>
      <c r="AC46" s="4" t="str">
        <f>IFERROR(__xludf.DUMMYFUNCTION("GOOGLETRANSLATE(B46,""en"",""bg"")"),"Сателитна карта")</f>
        <v>Сателитна карта</v>
      </c>
      <c r="AD46" s="4" t="str">
        <f>IFERROR(__xludf.DUMMYFUNCTION("GOOGLETRANSLATE(B46,""en"",""cs"")"),"Satelitní mapa")</f>
        <v>Satelitní mapa</v>
      </c>
      <c r="AE46" s="4" t="str">
        <f>IFERROR(__xludf.DUMMYFUNCTION("GOOGLETRANSLATE(B46,""en"",""da"")"),"Satellit kort")</f>
        <v>Satellit kort</v>
      </c>
      <c r="AF46" s="4" t="str">
        <f>IFERROR(__xludf.DUMMYFUNCTION("GOOGLETRANSLATE(B46,""en"",""el"")"),"Δορυφορικός χάρτης")</f>
        <v>Δορυφορικός χάρτης</v>
      </c>
      <c r="AG46" s="4" t="str">
        <f>IFERROR(__xludf.DUMMYFUNCTION("GOOGLETRANSLATE(B46,""en"",""et"")"),"Satelliidi kaart")</f>
        <v>Satelliidi kaart</v>
      </c>
      <c r="AH46" s="4" t="str">
        <f>IFERROR(__xludf.DUMMYFUNCTION("GOOGLETRANSLATE(B46,""en"",""fi"")"),"Satelliitti kartta")</f>
        <v>Satelliitti kartta</v>
      </c>
      <c r="AI46" s="4" t="str">
        <f>IFERROR(__xludf.DUMMYFUNCTION("GOOGLETRANSLATE(B46,""en"",""hr"")"),"Satelitska karta")</f>
        <v>Satelitska karta</v>
      </c>
      <c r="AJ46" s="4" t="str">
        <f>IFERROR(__xludf.DUMMYFUNCTION("GOOGLETRANSLATE(B46,""en"",""hu"")"),"Műholdas térkép")</f>
        <v>Műholdas térkép</v>
      </c>
      <c r="AK46" s="4" t="str">
        <f>IFERROR(__xludf.DUMMYFUNCTION("GOOGLETRANSLATE(B46,""en"",""hy"")"),"Արբանյակային քարտեզ")</f>
        <v>Արբանյակային քարտեզ</v>
      </c>
      <c r="AL46" s="4" t="str">
        <f>IFERROR(__xludf.DUMMYFUNCTION("GOOGLETRANSLATE(B46,""en"",""ca"")"),"Mapa per satèl·lit")</f>
        <v>Mapa per satèl·lit</v>
      </c>
      <c r="AM46" s="4" t="str">
        <f>IFERROR(__xludf.DUMMYFUNCTION("GOOGLETRANSLATE(B46,""en"",""nl"")"),"Satellietkaart")</f>
        <v>Satellietkaart</v>
      </c>
      <c r="AN46" s="4" t="str">
        <f>IFERROR(__xludf.DUMMYFUNCTION("GOOGLETRANSLATE(B46,""en"",""he"")"),"מפת לווין")</f>
        <v>מפת לווין</v>
      </c>
      <c r="AO46" s="4" t="str">
        <f>IFERROR(__xludf.DUMMYFUNCTION("GOOGLETRANSLATE(B46,""en"",""is"")"),"Gervihnattakort")</f>
        <v>Gervihnattakort</v>
      </c>
      <c r="AP46" s="4" t="str">
        <f>IFERROR(__xludf.DUMMYFUNCTION("GOOGLETRANSLATE(B46,""en"",""no"")"),"Satellitt kart")</f>
        <v>Satellitt kart</v>
      </c>
      <c r="AQ46" s="4" t="str">
        <f>IFERROR(__xludf.DUMMYFUNCTION("GOOGLETRANSLATE(B46,""en"",""fa"")"),"نقشه ماهواره ای")</f>
        <v>نقشه ماهواره ای</v>
      </c>
      <c r="AR46" s="4" t="str">
        <f>IFERROR(__xludf.DUMMYFUNCTION("GOOGLETRANSLATE(B46,""en"",""pl"")"),"Mapa satelitarna")</f>
        <v>Mapa satelitarna</v>
      </c>
      <c r="AS46" s="4" t="str">
        <f>IFERROR(__xludf.DUMMYFUNCTION("GOOGLETRANSLATE(B46,""en"",""sv"")"),"Satellitkarta")</f>
        <v>Satellitkarta</v>
      </c>
      <c r="AT46" s="4" t="str">
        <f>IFERROR(__xludf.DUMMYFUNCTION("GOOGLETRANSLATE(B46,""en"",""uk"")"),"Супутникова карта")</f>
        <v>Супутникова карта</v>
      </c>
      <c r="AU46" s="4" t="str">
        <f>IFERROR(__xludf.DUMMYFUNCTION("GOOGLETRANSLATE(B46,""en"",""zu"")"),"Imephu yesathelayithi")</f>
        <v>Imephu yesathelayithi</v>
      </c>
      <c r="AV46" s="4" t="str">
        <f>IFERROR(__xludf.DUMMYFUNCTION("GOOGLETRANSLATE(B46,""en"",""sr"")"),"Сателитска карта")</f>
        <v>Сателитска карта</v>
      </c>
    </row>
    <row r="47">
      <c r="A47" s="3" t="s">
        <v>136</v>
      </c>
      <c r="B47" s="3" t="s">
        <v>137</v>
      </c>
      <c r="C47" s="4" t="str">
        <f>IFERROR(__xludf.DUMMYFUNCTION("GOOGLETRANSLATE(B47,""en"",""ta"")"),"ரூட் ஆப்டிமைசர்")</f>
        <v>ரூட் ஆப்டிமைசர்</v>
      </c>
      <c r="D47" s="4" t="str">
        <f>IFERROR(__xludf.DUMMYFUNCTION("GOOGLETRANSLATE(B47,""en"",""hi"")"),"रूट अनुकूलक")</f>
        <v>रूट अनुकूलक</v>
      </c>
      <c r="E47" s="4" t="str">
        <f>IFERROR(__xludf.DUMMYFUNCTION("GOOGLETRANSLATE(B47,""en"",""id"")"),"Pengoptimal Rute")</f>
        <v>Pengoptimal Rute</v>
      </c>
      <c r="F47" s="4" t="str">
        <f>IFERROR(__xludf.DUMMYFUNCTION("GOOGLETRANSLATE(B47,""en"",""ms"")"),"Pengoptimum Laluan")</f>
        <v>Pengoptimum Laluan</v>
      </c>
      <c r="G47" s="4" t="str">
        <f>IFERROR(__xludf.DUMMYFUNCTION("GOOGLETRANSLATE(B47,""en"",""de"")"),"Routenoptimierer")</f>
        <v>Routenoptimierer</v>
      </c>
      <c r="H47" s="4" t="str">
        <f>IFERROR(__xludf.DUMMYFUNCTION("GOOGLETRANSLATE(B47,""en"",""es"")"),"Optimizador de rutas")</f>
        <v>Optimizador de rutas</v>
      </c>
      <c r="I47" s="4" t="str">
        <f>IFERROR(__xludf.DUMMYFUNCTION("GOOGLETRANSLATE(B47,""en"",""fr"")"),"Optimiseur d'itinéraire")</f>
        <v>Optimiseur d'itinéraire</v>
      </c>
      <c r="J47" s="4" t="str">
        <f>IFERROR(__xludf.DUMMYFUNCTION("GOOGLETRANSLATE(B47,""en"",""it"")"),"Ottimizzatore di percorso")</f>
        <v>Ottimizzatore di percorso</v>
      </c>
      <c r="K47" s="4" t="str">
        <f>IFERROR(__xludf.DUMMYFUNCTION("GOOGLETRANSLATE(B47,""en"",""pt"")"),"Otimizador de Rota")</f>
        <v>Otimizador de Rota</v>
      </c>
      <c r="L47" s="4" t="str">
        <f>IFERROR(__xludf.DUMMYFUNCTION("GOOGLETRANSLATE(B47,""en"",""ro"")"),"Optimizator de traseu")</f>
        <v>Optimizator de traseu</v>
      </c>
      <c r="M47" s="4" t="str">
        <f>IFERROR(__xludf.DUMMYFUNCTION("GOOGLETRANSLATE(B47,""en"",""vi"")"),"Tối ưu hóa tuyến đường")</f>
        <v>Tối ưu hóa tuyến đường</v>
      </c>
      <c r="N47" s="4" t="str">
        <f>IFERROR(__xludf.DUMMYFUNCTION("GOOGLETRANSLATE(B47,""en"",""ru"")"),"Оптимизатор маршрута")</f>
        <v>Оптимизатор маршрута</v>
      </c>
      <c r="O47" s="4" t="str">
        <f>IFERROR(__xludf.DUMMYFUNCTION("GOOGLETRANSLATE(B47,""en"",""tr"")"),"Rota Optimizasyonu")</f>
        <v>Rota Optimizasyonu</v>
      </c>
      <c r="P47" s="4" t="str">
        <f>IFERROR(__xludf.DUMMYFUNCTION("GOOGLETRANSLATE(B47,""en"",""ar"")"),"مُحسِّن المسار")</f>
        <v>مُحسِّن المسار</v>
      </c>
      <c r="Q47" s="4" t="str">
        <f>IFERROR(__xludf.DUMMYFUNCTION("GOOGLETRANSLATE(B47,""en"",""mr"")"),"मार्ग अनुकूलक")</f>
        <v>मार्ग अनुकूलक</v>
      </c>
      <c r="R47" s="4" t="str">
        <f>IFERROR(__xludf.DUMMYFUNCTION("GOOGLETRANSLATE(B47,""en"",""gu"")"),"રૂટ ઑપ્ટિમાઇઝર")</f>
        <v>રૂટ ઑપ્ટિમાઇઝર</v>
      </c>
      <c r="S47" s="4" t="str">
        <f>IFERROR(__xludf.DUMMYFUNCTION("GOOGLETRANSLATE(B47,""en"",""bn"")"),"রুট অপ্টিমাইজার")</f>
        <v>রুট অপ্টিমাইজার</v>
      </c>
      <c r="T47" s="4" t="str">
        <f>IFERROR(__xludf.DUMMYFUNCTION("GOOGLETRANSLATE(B47,""en"",""pa"")"),"ਰੂਟ ਆਪਟੀਮਾਈਜ਼ਰ")</f>
        <v>ਰੂਟ ਆਪਟੀਮਾਈਜ਼ਰ</v>
      </c>
      <c r="U47" s="4" t="str">
        <f>IFERROR(__xludf.DUMMYFUNCTION("GOOGLETRANSLATE(B47,""en"",""te"")"),"రూట్ ఆప్టిమైజర్")</f>
        <v>రూట్ ఆప్టిమైజర్</v>
      </c>
      <c r="V47" s="4" t="str">
        <f>IFERROR(__xludf.DUMMYFUNCTION("GOOGLETRANSLATE(B47,""en"",""kn"")"),"ಮಾರ್ಗ ಆಪ್ಟಿಮೈಜರ್")</f>
        <v>ಮಾರ್ಗ ಆಪ್ಟಿಮೈಜರ್</v>
      </c>
      <c r="W47" s="4" t="str">
        <f>IFERROR(__xludf.DUMMYFUNCTION("GOOGLETRANSLATE(B47,""en"",""ml"")"),"റൂട്ട് ഒപ്റ്റിമൈസർ")</f>
        <v>റൂട്ട് ഒപ്റ്റിമൈസർ</v>
      </c>
      <c r="X47" s="4" t="str">
        <f>IFERROR(__xludf.DUMMYFUNCTION("GOOGLETRANSLATE(B47,""en"",""th"")"),"เครื่องมือเพิ่มประสิทธิภาพเส้นทาง")</f>
        <v>เครื่องมือเพิ่มประสิทธิภาพเส้นทาง</v>
      </c>
      <c r="Y47" s="4" t="str">
        <f>IFERROR(__xludf.DUMMYFUNCTION("GOOGLETRANSLATE(B47,""en"",""ko"")"),"경로 최적화")</f>
        <v>경로 최적화</v>
      </c>
      <c r="Z47" s="4" t="str">
        <f>IFERROR(__xludf.DUMMYFUNCTION("GOOGLETRANSLATE(B47,""en"",""zh"")"),"路线优化器")</f>
        <v>路线优化器</v>
      </c>
      <c r="AA47" s="4" t="str">
        <f>IFERROR(__xludf.DUMMYFUNCTION("GOOGLETRANSLATE(B47,""en"",""zh-TW"")"),"路線優化器")</f>
        <v>路線優化器</v>
      </c>
      <c r="AB47" s="4" t="str">
        <f>IFERROR(__xludf.DUMMYFUNCTION("GOOGLETRANSLATE(B47,""en"",""ja"")"),"ルートオプティマイザー")</f>
        <v>ルートオプティマイザー</v>
      </c>
      <c r="AC47" s="4" t="str">
        <f>IFERROR(__xludf.DUMMYFUNCTION("GOOGLETRANSLATE(B47,""en"",""bg"")"),"Оптимизатор на маршрути")</f>
        <v>Оптимизатор на маршрути</v>
      </c>
      <c r="AD47" s="4" t="str">
        <f>IFERROR(__xludf.DUMMYFUNCTION("GOOGLETRANSLATE(B47,""en"",""cs"")"),"Optimalizátor trasy")</f>
        <v>Optimalizátor trasy</v>
      </c>
      <c r="AE47" s="4" t="str">
        <f>IFERROR(__xludf.DUMMYFUNCTION("GOOGLETRANSLATE(B47,""en"",""da"")"),"Ruteoptimering")</f>
        <v>Ruteoptimering</v>
      </c>
      <c r="AF47" s="4" t="str">
        <f>IFERROR(__xludf.DUMMYFUNCTION("GOOGLETRANSLATE(B47,""en"",""el"")"),"Route Optimizer")</f>
        <v>Route Optimizer</v>
      </c>
      <c r="AG47" s="4" t="str">
        <f>IFERROR(__xludf.DUMMYFUNCTION("GOOGLETRANSLATE(B47,""en"",""et"")"),"Marsruudi optimeerija")</f>
        <v>Marsruudi optimeerija</v>
      </c>
      <c r="AH47" s="4" t="str">
        <f>IFERROR(__xludf.DUMMYFUNCTION("GOOGLETRANSLATE(B47,""en"",""fi"")"),"Reitin optimointi")</f>
        <v>Reitin optimointi</v>
      </c>
      <c r="AI47" s="4" t="str">
        <f>IFERROR(__xludf.DUMMYFUNCTION("GOOGLETRANSLATE(B47,""en"",""hr"")"),"Optimizator rute")</f>
        <v>Optimizator rute</v>
      </c>
      <c r="AJ47" s="4" t="str">
        <f>IFERROR(__xludf.DUMMYFUNCTION("GOOGLETRANSLATE(B47,""en"",""hu"")"),"Útvonal-optimalizáló")</f>
        <v>Útvonal-optimalizáló</v>
      </c>
      <c r="AK47" s="4" t="str">
        <f>IFERROR(__xludf.DUMMYFUNCTION("GOOGLETRANSLATE(B47,""en"",""hy"")"),"Երթուղիների օպտիմիզատոր")</f>
        <v>Երթուղիների օպտիմիզատոր</v>
      </c>
      <c r="AL47" s="4" t="str">
        <f>IFERROR(__xludf.DUMMYFUNCTION("GOOGLETRANSLATE(B47,""en"",""ca"")"),"Optimitzador de ruta")</f>
        <v>Optimitzador de ruta</v>
      </c>
      <c r="AM47" s="4" t="str">
        <f>IFERROR(__xludf.DUMMYFUNCTION("GOOGLETRANSLATE(B47,""en"",""nl"")"),"Route-optimizer")</f>
        <v>Route-optimizer</v>
      </c>
      <c r="AN47" s="4" t="str">
        <f>IFERROR(__xludf.DUMMYFUNCTION("GOOGLETRANSLATE(B47,""en"",""he"")"),"כלי אופטימיזציית המסלולים")</f>
        <v>כלי אופטימיזציית המסלולים</v>
      </c>
      <c r="AO47" s="4" t="str">
        <f>IFERROR(__xludf.DUMMYFUNCTION("GOOGLETRANSLATE(B47,""en"",""is"")"),"Fínstilling leiða")</f>
        <v>Fínstilling leiða</v>
      </c>
      <c r="AP47" s="4" t="str">
        <f>IFERROR(__xludf.DUMMYFUNCTION("GOOGLETRANSLATE(B47,""en"",""no"")"),"Ruteoptimerer")</f>
        <v>Ruteoptimerer</v>
      </c>
      <c r="AQ47" s="4" t="str">
        <f>IFERROR(__xludf.DUMMYFUNCTION("GOOGLETRANSLATE(B47,""en"",""fa"")"),"Route Optimizer")</f>
        <v>Route Optimizer</v>
      </c>
      <c r="AR47" s="4" t="str">
        <f>IFERROR(__xludf.DUMMYFUNCTION("GOOGLETRANSLATE(B47,""en"",""pl"")"),"Optymalizator tras")</f>
        <v>Optymalizator tras</v>
      </c>
      <c r="AS47" s="4" t="str">
        <f>IFERROR(__xludf.DUMMYFUNCTION("GOOGLETRANSLATE(B47,""en"",""sv"")"),"Ruttoptimerare")</f>
        <v>Ruttoptimerare</v>
      </c>
      <c r="AT47" s="4" t="str">
        <f>IFERROR(__xludf.DUMMYFUNCTION("GOOGLETRANSLATE(B47,""en"",""uk"")"),"Оптимізатор маршруту")</f>
        <v>Оптимізатор маршруту</v>
      </c>
      <c r="AU47" s="4" t="str">
        <f>IFERROR(__xludf.DUMMYFUNCTION("GOOGLETRANSLATE(B47,""en"",""zu"")"),"I-Optimizer yomzila")</f>
        <v>I-Optimizer yomzila</v>
      </c>
      <c r="AV47" s="4" t="str">
        <f>IFERROR(__xludf.DUMMYFUNCTION("GOOGLETRANSLATE(B47,""en"",""sr"")"),"Роуте Оптимизер")</f>
        <v>Роуте Оптимизер</v>
      </c>
    </row>
    <row r="48">
      <c r="A48" s="3" t="s">
        <v>138</v>
      </c>
      <c r="B48" s="3" t="s">
        <v>139</v>
      </c>
      <c r="C48" s="4" t="str">
        <f>IFERROR(__xludf.DUMMYFUNCTION("GOOGLETRANSLATE(B48,""en"",""ta"")"),"அல்டிமீட்டர்")</f>
        <v>அல்டிமீட்டர்</v>
      </c>
      <c r="D48" s="4" t="str">
        <f>IFERROR(__xludf.DUMMYFUNCTION("GOOGLETRANSLATE(B48,""en"",""hi"")"),"altimeter")</f>
        <v>altimeter</v>
      </c>
      <c r="E48" s="4" t="str">
        <f>IFERROR(__xludf.DUMMYFUNCTION("GOOGLETRANSLATE(B48,""en"",""id"")"),"Alat pengukur tinggi")</f>
        <v>Alat pengukur tinggi</v>
      </c>
      <c r="F48" s="4" t="str">
        <f>IFERROR(__xludf.DUMMYFUNCTION("GOOGLETRANSLATE(B48,""en"",""ms"")"),"Altimeter")</f>
        <v>Altimeter</v>
      </c>
      <c r="G48" s="4" t="str">
        <f>IFERROR(__xludf.DUMMYFUNCTION("GOOGLETRANSLATE(B48,""en"",""de"")"),"Höhenmesser")</f>
        <v>Höhenmesser</v>
      </c>
      <c r="H48" s="4" t="str">
        <f>IFERROR(__xludf.DUMMYFUNCTION("GOOGLETRANSLATE(B48,""en"",""es"")"),"Altímetro")</f>
        <v>Altímetro</v>
      </c>
      <c r="I48" s="4" t="str">
        <f>IFERROR(__xludf.DUMMYFUNCTION("GOOGLETRANSLATE(B48,""en"",""fr"")"),"Altimètre")</f>
        <v>Altimètre</v>
      </c>
      <c r="J48" s="4" t="str">
        <f>IFERROR(__xludf.DUMMYFUNCTION("GOOGLETRANSLATE(B48,""en"",""it"")"),"Altimetro")</f>
        <v>Altimetro</v>
      </c>
      <c r="K48" s="4" t="str">
        <f>IFERROR(__xludf.DUMMYFUNCTION("GOOGLETRANSLATE(B48,""en"",""pt"")"),"Altímetro")</f>
        <v>Altímetro</v>
      </c>
      <c r="L48" s="4" t="str">
        <f>IFERROR(__xludf.DUMMYFUNCTION("GOOGLETRANSLATE(B48,""en"",""ro"")"),"Altimetru")</f>
        <v>Altimetru</v>
      </c>
      <c r="M48" s="4" t="str">
        <f>IFERROR(__xludf.DUMMYFUNCTION("GOOGLETRANSLATE(B48,""en"",""vi"")"),"Máy đo độ cao")</f>
        <v>Máy đo độ cao</v>
      </c>
      <c r="N48" s="4" t="str">
        <f>IFERROR(__xludf.DUMMYFUNCTION("GOOGLETRANSLATE(B48,""en"",""ru"")"),"Альтиметр")</f>
        <v>Альтиметр</v>
      </c>
      <c r="O48" s="4" t="str">
        <f>IFERROR(__xludf.DUMMYFUNCTION("GOOGLETRANSLATE(B48,""en"",""tr"")"),"Altimetre")</f>
        <v>Altimetre</v>
      </c>
      <c r="P48" s="4" t="str">
        <f>IFERROR(__xludf.DUMMYFUNCTION("GOOGLETRANSLATE(B48,""en"",""ar"")"),"مقياس الارتفاع")</f>
        <v>مقياس الارتفاع</v>
      </c>
      <c r="Q48" s="4" t="str">
        <f>IFERROR(__xludf.DUMMYFUNCTION("GOOGLETRANSLATE(B48,""en"",""mr"")"),"अल्टिमीटर")</f>
        <v>अल्टिमीटर</v>
      </c>
      <c r="R48" s="4" t="str">
        <f>IFERROR(__xludf.DUMMYFUNCTION("GOOGLETRANSLATE(B48,""en"",""gu"")"),"અલ્ટીમીટર")</f>
        <v>અલ્ટીમીટર</v>
      </c>
      <c r="S48" s="4" t="str">
        <f>IFERROR(__xludf.DUMMYFUNCTION("GOOGLETRANSLATE(B48,""en"",""bn"")"),"আলটিমিটার")</f>
        <v>আলটিমিটার</v>
      </c>
      <c r="T48" s="4" t="str">
        <f>IFERROR(__xludf.DUMMYFUNCTION("GOOGLETRANSLATE(B48,""en"",""pa"")"),"ਅਲਟੀਮੀਟਰ")</f>
        <v>ਅਲਟੀਮੀਟਰ</v>
      </c>
      <c r="U48" s="4" t="str">
        <f>IFERROR(__xludf.DUMMYFUNCTION("GOOGLETRANSLATE(B48,""en"",""te"")"),"ఆల్టిమీటర్")</f>
        <v>ఆల్టిమీటర్</v>
      </c>
      <c r="V48" s="4" t="str">
        <f>IFERROR(__xludf.DUMMYFUNCTION("GOOGLETRANSLATE(B48,""en"",""kn"")"),"ಆಲ್ಟಿಮೀಟರ್")</f>
        <v>ಆಲ್ಟಿಮೀಟರ್</v>
      </c>
      <c r="W48" s="4" t="str">
        <f>IFERROR(__xludf.DUMMYFUNCTION("GOOGLETRANSLATE(B48,""en"",""ml"")"),"ആൾട്ടിമീറ്റർ")</f>
        <v>ആൾട്ടിമീറ്റർ</v>
      </c>
      <c r="X48" s="4" t="str">
        <f>IFERROR(__xludf.DUMMYFUNCTION("GOOGLETRANSLATE(B48,""en"",""th"")"),"เครื่องวัดความสูง")</f>
        <v>เครื่องวัดความสูง</v>
      </c>
      <c r="Y48" s="4" t="str">
        <f>IFERROR(__xludf.DUMMYFUNCTION("GOOGLETRANSLATE(B48,""en"",""ko"")"),"고도계")</f>
        <v>고도계</v>
      </c>
      <c r="Z48" s="4" t="str">
        <f>IFERROR(__xludf.DUMMYFUNCTION("GOOGLETRANSLATE(B48,""en"",""zh"")"),"高度表")</f>
        <v>高度表</v>
      </c>
      <c r="AA48" s="4" t="str">
        <f>IFERROR(__xludf.DUMMYFUNCTION("GOOGLETRANSLATE(B48,""en"",""zh-TW"")"),"高度表")</f>
        <v>高度表</v>
      </c>
      <c r="AB48" s="4" t="str">
        <f>IFERROR(__xludf.DUMMYFUNCTION("GOOGLETRANSLATE(B48,""en"",""ja"")"),"高度計")</f>
        <v>高度計</v>
      </c>
      <c r="AC48" s="4" t="str">
        <f>IFERROR(__xludf.DUMMYFUNCTION("GOOGLETRANSLATE(B48,""en"",""bg"")"),"висотомер")</f>
        <v>висотомер</v>
      </c>
      <c r="AD48" s="4" t="str">
        <f>IFERROR(__xludf.DUMMYFUNCTION("GOOGLETRANSLATE(B48,""en"",""cs"")"),"Výškoměr")</f>
        <v>Výškoměr</v>
      </c>
      <c r="AE48" s="4" t="str">
        <f>IFERROR(__xludf.DUMMYFUNCTION("GOOGLETRANSLATE(B48,""en"",""da"")"),"Højdemåler")</f>
        <v>Højdemåler</v>
      </c>
      <c r="AF48" s="4" t="str">
        <f>IFERROR(__xludf.DUMMYFUNCTION("GOOGLETRANSLATE(B48,""en"",""el"")"),"Υψόμετρο")</f>
        <v>Υψόμετρο</v>
      </c>
      <c r="AG48" s="4" t="str">
        <f>IFERROR(__xludf.DUMMYFUNCTION("GOOGLETRANSLATE(B48,""en"",""et"")"),"Kõrgusmõõtja")</f>
        <v>Kõrgusmõõtja</v>
      </c>
      <c r="AH48" s="4" t="str">
        <f>IFERROR(__xludf.DUMMYFUNCTION("GOOGLETRANSLATE(B48,""en"",""fi"")"),"Korkeusmittari")</f>
        <v>Korkeusmittari</v>
      </c>
      <c r="AI48" s="4" t="str">
        <f>IFERROR(__xludf.DUMMYFUNCTION("GOOGLETRANSLATE(B48,""en"",""hr"")"),"Visinomjer")</f>
        <v>Visinomjer</v>
      </c>
      <c r="AJ48" s="4" t="str">
        <f>IFERROR(__xludf.DUMMYFUNCTION("GOOGLETRANSLATE(B48,""en"",""hu"")"),"Magasságmérő")</f>
        <v>Magasságmérő</v>
      </c>
      <c r="AK48" s="4" t="str">
        <f>IFERROR(__xludf.DUMMYFUNCTION("GOOGLETRANSLATE(B48,""en"",""hy"")"),"Բարձրաչափ")</f>
        <v>Բարձրաչափ</v>
      </c>
      <c r="AL48" s="4" t="str">
        <f>IFERROR(__xludf.DUMMYFUNCTION("GOOGLETRANSLATE(B48,""en"",""ca"")"),"Altímetre")</f>
        <v>Altímetre</v>
      </c>
      <c r="AM48" s="4" t="str">
        <f>IFERROR(__xludf.DUMMYFUNCTION("GOOGLETRANSLATE(B48,""en"",""nl"")"),"Hoogtemeter")</f>
        <v>Hoogtemeter</v>
      </c>
      <c r="AN48" s="4" t="str">
        <f>IFERROR(__xludf.DUMMYFUNCTION("GOOGLETRANSLATE(B48,""en"",""he"")"),"מַד גוֹבָה")</f>
        <v>מַד גוֹבָה</v>
      </c>
      <c r="AO48" s="4" t="str">
        <f>IFERROR(__xludf.DUMMYFUNCTION("GOOGLETRANSLATE(B48,""en"",""is"")"),"Hæðarmælir")</f>
        <v>Hæðarmælir</v>
      </c>
      <c r="AP48" s="4" t="str">
        <f>IFERROR(__xludf.DUMMYFUNCTION("GOOGLETRANSLATE(B48,""en"",""no"")"),"Høydemåler")</f>
        <v>Høydemåler</v>
      </c>
      <c r="AQ48" s="4" t="str">
        <f>IFERROR(__xludf.DUMMYFUNCTION("GOOGLETRANSLATE(B48,""en"",""fa"")"),"ارتفاع سنج")</f>
        <v>ارتفاع سنج</v>
      </c>
      <c r="AR48" s="4" t="str">
        <f>IFERROR(__xludf.DUMMYFUNCTION("GOOGLETRANSLATE(B48,""en"",""pl"")"),"Wysokościomierz")</f>
        <v>Wysokościomierz</v>
      </c>
      <c r="AS48" s="4" t="str">
        <f>IFERROR(__xludf.DUMMYFUNCTION("GOOGLETRANSLATE(B48,""en"",""sv"")"),"Höjdmätare")</f>
        <v>Höjdmätare</v>
      </c>
      <c r="AT48" s="4" t="str">
        <f>IFERROR(__xludf.DUMMYFUNCTION("GOOGLETRANSLATE(B48,""en"",""uk"")"),"висотомір")</f>
        <v>висотомір</v>
      </c>
      <c r="AU48" s="4" t="str">
        <f>IFERROR(__xludf.DUMMYFUNCTION("GOOGLETRANSLATE(B48,""en"",""zu"")"),"I-Altimeter")</f>
        <v>I-Altimeter</v>
      </c>
      <c r="AV48" s="4" t="str">
        <f>IFERROR(__xludf.DUMMYFUNCTION("GOOGLETRANSLATE(B48,""en"",""sr"")"),"Алтиметер")</f>
        <v>Алтиметер</v>
      </c>
    </row>
    <row r="49">
      <c r="A49" s="3" t="s">
        <v>140</v>
      </c>
      <c r="B49" s="3" t="s">
        <v>141</v>
      </c>
      <c r="C49" s="4" t="str">
        <f>IFERROR(__xludf.DUMMYFUNCTION("GOOGLETRANSLATE(B49,""en"",""ta"")"),"GPX இறக்குமதியாளர்/ஏற்றுமதியாளர்")</f>
        <v>GPX இறக்குமதியாளர்/ஏற்றுமதியாளர்</v>
      </c>
      <c r="D49" s="4" t="str">
        <f>IFERROR(__xludf.DUMMYFUNCTION("GOOGLETRANSLATE(B49,""en"",""hi"")"),"जीपीएक्स आयातक/निर्यातक")</f>
        <v>जीपीएक्स आयातक/निर्यातक</v>
      </c>
      <c r="E49" s="4" t="str">
        <f>IFERROR(__xludf.DUMMYFUNCTION("GOOGLETRANSLATE(B49,""en"",""id"")"),"Importir/Eksportir GPX")</f>
        <v>Importir/Eksportir GPX</v>
      </c>
      <c r="F49" s="4" t="str">
        <f>IFERROR(__xludf.DUMMYFUNCTION("GOOGLETRANSLATE(B49,""en"",""ms"")"),"Pengimport/Pengeksport GPX")</f>
        <v>Pengimport/Pengeksport GPX</v>
      </c>
      <c r="G49" s="4" t="str">
        <f>IFERROR(__xludf.DUMMYFUNCTION("GOOGLETRANSLATE(B49,""en"",""de"")"),"GPX-Importeur/Exporteur")</f>
        <v>GPX-Importeur/Exporteur</v>
      </c>
      <c r="H49" s="4" t="str">
        <f>IFERROR(__xludf.DUMMYFUNCTION("GOOGLETRANSLATE(B49,""en"",""es"")"),"Importador/Exportador GPX")</f>
        <v>Importador/Exportador GPX</v>
      </c>
      <c r="I49" s="4" t="str">
        <f>IFERROR(__xludf.DUMMYFUNCTION("GOOGLETRANSLATE(B49,""en"",""fr"")"),"Importateur/Exportateur GPX")</f>
        <v>Importateur/Exportateur GPX</v>
      </c>
      <c r="J49" s="4" t="str">
        <f>IFERROR(__xludf.DUMMYFUNCTION("GOOGLETRANSLATE(B49,""en"",""it"")"),"Importatore/esportatore GPX")</f>
        <v>Importatore/esportatore GPX</v>
      </c>
      <c r="K49" s="4" t="str">
        <f>IFERROR(__xludf.DUMMYFUNCTION("GOOGLETRANSLATE(B49,""en"",""pt"")"),"Importador/Exportador GPX")</f>
        <v>Importador/Exportador GPX</v>
      </c>
      <c r="L49" s="4" t="str">
        <f>IFERROR(__xludf.DUMMYFUNCTION("GOOGLETRANSLATE(B49,""en"",""ro"")"),"Importator/Exportator GPX")</f>
        <v>Importator/Exportator GPX</v>
      </c>
      <c r="M49" s="4" t="str">
        <f>IFERROR(__xludf.DUMMYFUNCTION("GOOGLETRANSLATE(B49,""en"",""vi"")"),"Nhà nhập khẩu/xuất khẩu GPX")</f>
        <v>Nhà nhập khẩu/xuất khẩu GPX</v>
      </c>
      <c r="N49" s="4" t="str">
        <f>IFERROR(__xludf.DUMMYFUNCTION("GOOGLETRANSLATE(B49,""en"",""ru"")"),"Импортер/экспортёр GPX")</f>
        <v>Импортер/экспортёр GPX</v>
      </c>
      <c r="O49" s="4" t="str">
        <f>IFERROR(__xludf.DUMMYFUNCTION("GOOGLETRANSLATE(B49,""en"",""tr"")"),"GPX İthalatçısı/İhracatçısı")</f>
        <v>GPX İthalatçısı/İhracatçısı</v>
      </c>
      <c r="P49" s="4" t="str">
        <f>IFERROR(__xludf.DUMMYFUNCTION("GOOGLETRANSLATE(B49,""en"",""ar"")"),"مستورد/مصدر GPX")</f>
        <v>مستورد/مصدر GPX</v>
      </c>
      <c r="Q49" s="4" t="str">
        <f>IFERROR(__xludf.DUMMYFUNCTION("GOOGLETRANSLATE(B49,""en"",""mr"")"),"GPX आयातक/निर्यातकर्ता")</f>
        <v>GPX आयातक/निर्यातकर्ता</v>
      </c>
      <c r="R49" s="4" t="str">
        <f>IFERROR(__xludf.DUMMYFUNCTION("GOOGLETRANSLATE(B49,""en"",""gu"")"),"GPX આયાતકાર/નિકાસકાર")</f>
        <v>GPX આયાતકાર/નિકાસકાર</v>
      </c>
      <c r="S49" s="4" t="str">
        <f>IFERROR(__xludf.DUMMYFUNCTION("GOOGLETRANSLATE(B49,""en"",""bn"")"),"জিপিএক্স আমদানিকারক/রপ্তানিকারক")</f>
        <v>জিপিএক্স আমদানিকারক/রপ্তানিকারক</v>
      </c>
      <c r="T49" s="4" t="str">
        <f>IFERROR(__xludf.DUMMYFUNCTION("GOOGLETRANSLATE(B49,""en"",""pa"")"),"GPX ਆਯਾਤਕ/ਨਿਰਯਾਤਕ")</f>
        <v>GPX ਆਯਾਤਕ/ਨਿਰਯਾਤਕ</v>
      </c>
      <c r="U49" s="4" t="str">
        <f>IFERROR(__xludf.DUMMYFUNCTION("GOOGLETRANSLATE(B49,""en"",""te"")"),"GPX దిగుమతిదారు/ఎగుమతిదారు")</f>
        <v>GPX దిగుమతిదారు/ఎగుమతిదారు</v>
      </c>
      <c r="V49" s="4" t="str">
        <f>IFERROR(__xludf.DUMMYFUNCTION("GOOGLETRANSLATE(B49,""en"",""kn"")"),"GPX ಆಮದುದಾರ/ರಫ್ತುದಾರ")</f>
        <v>GPX ಆಮದುದಾರ/ರಫ್ತುದಾರ</v>
      </c>
      <c r="W49" s="4" t="str">
        <f>IFERROR(__xludf.DUMMYFUNCTION("GOOGLETRANSLATE(B49,""en"",""ml"")"),"GPX ഇറക്കുമതിക്കാരൻ/കയറ്റുമതിക്കാരൻ")</f>
        <v>GPX ഇറക്കുമതിക്കാരൻ/കയറ്റുമതിക്കാരൻ</v>
      </c>
      <c r="X49" s="4" t="str">
        <f>IFERROR(__xludf.DUMMYFUNCTION("GOOGLETRANSLATE(B49,""en"",""th"")"),"ผู้นำเข้า/ส่งออก GPX")</f>
        <v>ผู้นำเข้า/ส่งออก GPX</v>
      </c>
      <c r="Y49" s="4" t="str">
        <f>IFERROR(__xludf.DUMMYFUNCTION("GOOGLETRANSLATE(B49,""en"",""ko"")"),"GPX 가져오기/내보내기")</f>
        <v>GPX 가져오기/내보내기</v>
      </c>
      <c r="Z49" s="4" t="str">
        <f>IFERROR(__xludf.DUMMYFUNCTION("GOOGLETRANSLATE(B49,""en"",""zh"")"),"GPX导入器/导出器")</f>
        <v>GPX导入器/导出器</v>
      </c>
      <c r="AA49" s="4" t="str">
        <f>IFERROR(__xludf.DUMMYFUNCTION("GOOGLETRANSLATE(B49,""en"",""zh-TW"")"),"GPX導入器/匯出器")</f>
        <v>GPX導入器/匯出器</v>
      </c>
      <c r="AB49" s="4" t="str">
        <f>IFERROR(__xludf.DUMMYFUNCTION("GOOGLETRANSLATE(B49,""en"",""ja"")"),"GPX インポーター/エクスポーター")</f>
        <v>GPX インポーター/エクスポーター</v>
      </c>
      <c r="AC49" s="4" t="str">
        <f>IFERROR(__xludf.DUMMYFUNCTION("GOOGLETRANSLATE(B49,""en"",""bg"")"),"GPX вносител/износител")</f>
        <v>GPX вносител/износител</v>
      </c>
      <c r="AD49" s="4" t="str">
        <f>IFERROR(__xludf.DUMMYFUNCTION("GOOGLETRANSLATE(B49,""en"",""cs"")"),"Dovozce/vývozce GPX")</f>
        <v>Dovozce/vývozce GPX</v>
      </c>
      <c r="AE49" s="4" t="str">
        <f>IFERROR(__xludf.DUMMYFUNCTION("GOOGLETRANSLATE(B49,""en"",""da"")"),"GPX importør/eksportør")</f>
        <v>GPX importør/eksportør</v>
      </c>
      <c r="AF49" s="4" t="str">
        <f>IFERROR(__xludf.DUMMYFUNCTION("GOOGLETRANSLATE(B49,""en"",""el"")"),"Εισαγωγέας/Εξαγωγέας GPX")</f>
        <v>Εισαγωγέας/Εξαγωγέας GPX</v>
      </c>
      <c r="AG49" s="4" t="str">
        <f>IFERROR(__xludf.DUMMYFUNCTION("GOOGLETRANSLATE(B49,""en"",""et"")"),"GPX importija/eksportija")</f>
        <v>GPX importija/eksportija</v>
      </c>
      <c r="AH49" s="4" t="str">
        <f>IFERROR(__xludf.DUMMYFUNCTION("GOOGLETRANSLATE(B49,""en"",""fi"")"),"GPX tuoja/viejä")</f>
        <v>GPX tuoja/viejä</v>
      </c>
      <c r="AI49" s="4" t="str">
        <f>IFERROR(__xludf.DUMMYFUNCTION("GOOGLETRANSLATE(B49,""en"",""hr"")"),"GPX uvoznik/izvoznik")</f>
        <v>GPX uvoznik/izvoznik</v>
      </c>
      <c r="AJ49" s="4" t="str">
        <f>IFERROR(__xludf.DUMMYFUNCTION("GOOGLETRANSLATE(B49,""en"",""hu"")"),"GPX importőr/exportőr")</f>
        <v>GPX importőr/exportőr</v>
      </c>
      <c r="AK49" s="4" t="str">
        <f>IFERROR(__xludf.DUMMYFUNCTION("GOOGLETRANSLATE(B49,""en"",""hy"")"),"GPX ներմուծող/արտահանող")</f>
        <v>GPX ներմուծող/արտահանող</v>
      </c>
      <c r="AL49" s="4" t="str">
        <f>IFERROR(__xludf.DUMMYFUNCTION("GOOGLETRANSLATE(B49,""en"",""ca"")"),"Importador/Exportador GPX")</f>
        <v>Importador/Exportador GPX</v>
      </c>
      <c r="AM49" s="4" t="str">
        <f>IFERROR(__xludf.DUMMYFUNCTION("GOOGLETRANSLATE(B49,""en"",""nl"")"),"GPX-importeur/-exporteur")</f>
        <v>GPX-importeur/-exporteur</v>
      </c>
      <c r="AN49" s="4" t="str">
        <f>IFERROR(__xludf.DUMMYFUNCTION("GOOGLETRANSLATE(B49,""en"",""he"")"),"יבואן/יצואן GPX")</f>
        <v>יבואן/יצואן GPX</v>
      </c>
      <c r="AO49" s="4" t="str">
        <f>IFERROR(__xludf.DUMMYFUNCTION("GOOGLETRANSLATE(B49,""en"",""is"")"),"GPX innflytjandi/útflytjandi")</f>
        <v>GPX innflytjandi/útflytjandi</v>
      </c>
      <c r="AP49" s="4" t="str">
        <f>IFERROR(__xludf.DUMMYFUNCTION("GOOGLETRANSLATE(B49,""en"",""no"")"),"GPX importør/eksportør")</f>
        <v>GPX importør/eksportør</v>
      </c>
      <c r="AQ49" s="4" t="str">
        <f>IFERROR(__xludf.DUMMYFUNCTION("GOOGLETRANSLATE(B49,""en"",""fa"")"),"وارد کننده/صادر کننده GPX")</f>
        <v>وارد کننده/صادر کننده GPX</v>
      </c>
      <c r="AR49" s="4" t="str">
        <f>IFERROR(__xludf.DUMMYFUNCTION("GOOGLETRANSLATE(B49,""en"",""pl"")"),"Importer/eksporter GPX")</f>
        <v>Importer/eksporter GPX</v>
      </c>
      <c r="AS49" s="4" t="str">
        <f>IFERROR(__xludf.DUMMYFUNCTION("GOOGLETRANSLATE(B49,""en"",""sv"")"),"GPX importör/exportör")</f>
        <v>GPX importör/exportör</v>
      </c>
      <c r="AT49" s="4" t="str">
        <f>IFERROR(__xludf.DUMMYFUNCTION("GOOGLETRANSLATE(B49,""en"",""uk"")"),"Імпортер/експортер GPX")</f>
        <v>Імпортер/експортер GPX</v>
      </c>
      <c r="AU49" s="4" t="str">
        <f>IFERROR(__xludf.DUMMYFUNCTION("GOOGLETRANSLATE(B49,""en"",""zu"")"),"I-GPX Ingenisa/Umthumeli")</f>
        <v>I-GPX Ingenisa/Umthumeli</v>
      </c>
      <c r="AV49" s="4" t="str">
        <f>IFERROR(__xludf.DUMMYFUNCTION("GOOGLETRANSLATE(B49,""en"",""sr"")"),"ГПКС увозник/извозник")</f>
        <v>ГПКС увозник/извозник</v>
      </c>
    </row>
    <row r="50">
      <c r="A50" s="3" t="s">
        <v>142</v>
      </c>
      <c r="B50" s="3" t="s">
        <v>143</v>
      </c>
      <c r="C50" s="4" t="str">
        <f>IFERROR(__xludf.DUMMYFUNCTION("GOOGLETRANSLATE(B50,""en"",""ta"")"),"சோதனை")</f>
        <v>சோதனை</v>
      </c>
      <c r="D50" s="4" t="str">
        <f>IFERROR(__xludf.DUMMYFUNCTION("GOOGLETRANSLATE(B50,""en"",""hi"")"),"परीक्षा")</f>
        <v>परीक्षा</v>
      </c>
      <c r="E50" s="4" t="str">
        <f>IFERROR(__xludf.DUMMYFUNCTION("GOOGLETRANSLATE(B50,""en"",""id"")"),"Tes")</f>
        <v>Tes</v>
      </c>
      <c r="F50" s="4" t="str">
        <f>IFERROR(__xludf.DUMMYFUNCTION("GOOGLETRANSLATE(B50,""en"",""ms"")"),"Ujian")</f>
        <v>Ujian</v>
      </c>
      <c r="G50" s="4" t="str">
        <f>IFERROR(__xludf.DUMMYFUNCTION("GOOGLETRANSLATE(B50,""en"",""de"")"),"Prüfen")</f>
        <v>Prüfen</v>
      </c>
      <c r="H50" s="4" t="str">
        <f>IFERROR(__xludf.DUMMYFUNCTION("GOOGLETRANSLATE(B50,""en"",""es"")"),"Prueba")</f>
        <v>Prueba</v>
      </c>
      <c r="I50" s="4" t="str">
        <f>IFERROR(__xludf.DUMMYFUNCTION("GOOGLETRANSLATE(B50,""en"",""fr"")"),"Test")</f>
        <v>Test</v>
      </c>
      <c r="J50" s="4" t="str">
        <f>IFERROR(__xludf.DUMMYFUNCTION("GOOGLETRANSLATE(B50,""en"",""it"")"),"Test")</f>
        <v>Test</v>
      </c>
      <c r="K50" s="4" t="str">
        <f>IFERROR(__xludf.DUMMYFUNCTION("GOOGLETRANSLATE(B50,""en"",""pt"")"),"Teste")</f>
        <v>Teste</v>
      </c>
      <c r="L50" s="4" t="str">
        <f>IFERROR(__xludf.DUMMYFUNCTION("GOOGLETRANSLATE(B50,""en"",""ro"")"),"Test")</f>
        <v>Test</v>
      </c>
      <c r="M50" s="4" t="str">
        <f>IFERROR(__xludf.DUMMYFUNCTION("GOOGLETRANSLATE(B50,""en"",""vi"")"),"Bài kiểm tra")</f>
        <v>Bài kiểm tra</v>
      </c>
      <c r="N50" s="4" t="str">
        <f>IFERROR(__xludf.DUMMYFUNCTION("GOOGLETRANSLATE(B50,""en"",""ru"")"),"Тест")</f>
        <v>Тест</v>
      </c>
      <c r="O50" s="4" t="str">
        <f>IFERROR(__xludf.DUMMYFUNCTION("GOOGLETRANSLATE(B50,""en"",""tr"")"),"Test")</f>
        <v>Test</v>
      </c>
      <c r="P50" s="4" t="str">
        <f>IFERROR(__xludf.DUMMYFUNCTION("GOOGLETRANSLATE(B50,""en"",""ar"")"),"امتحان")</f>
        <v>امتحان</v>
      </c>
      <c r="Q50" s="4" t="str">
        <f>IFERROR(__xludf.DUMMYFUNCTION("GOOGLETRANSLATE(B50,""en"",""mr"")"),"चाचणी")</f>
        <v>चाचणी</v>
      </c>
      <c r="R50" s="4" t="str">
        <f>IFERROR(__xludf.DUMMYFUNCTION("GOOGLETRANSLATE(B50,""en"",""gu"")"),"ટેસ્ટ")</f>
        <v>ટેસ્ટ</v>
      </c>
      <c r="S50" s="4" t="str">
        <f>IFERROR(__xludf.DUMMYFUNCTION("GOOGLETRANSLATE(B50,""en"",""bn"")"),"পরীক্ষা")</f>
        <v>পরীক্ষা</v>
      </c>
      <c r="T50" s="4" t="str">
        <f>IFERROR(__xludf.DUMMYFUNCTION("GOOGLETRANSLATE(B50,""en"",""pa"")"),"ਟੈਸਟ")</f>
        <v>ਟੈਸਟ</v>
      </c>
      <c r="U50" s="4" t="str">
        <f>IFERROR(__xludf.DUMMYFUNCTION("GOOGLETRANSLATE(B50,""en"",""te"")"),"పరీక్ష")</f>
        <v>పరీక్ష</v>
      </c>
      <c r="V50" s="4" t="str">
        <f>IFERROR(__xludf.DUMMYFUNCTION("GOOGLETRANSLATE(B50,""en"",""kn"")"),"ಪರೀಕ್ಷೆ")</f>
        <v>ಪರೀಕ್ಷೆ</v>
      </c>
      <c r="W50" s="4" t="str">
        <f>IFERROR(__xludf.DUMMYFUNCTION("GOOGLETRANSLATE(B50,""en"",""ml"")"),"ടെസ്റ്റ്")</f>
        <v>ടെസ്റ്റ്</v>
      </c>
      <c r="X50" s="4" t="str">
        <f>IFERROR(__xludf.DUMMYFUNCTION("GOOGLETRANSLATE(B50,""en"",""th"")"),"ทดสอบ")</f>
        <v>ทดสอบ</v>
      </c>
      <c r="Y50" s="4" t="str">
        <f>IFERROR(__xludf.DUMMYFUNCTION("GOOGLETRANSLATE(B50,""en"",""ko"")"),"시험")</f>
        <v>시험</v>
      </c>
      <c r="Z50" s="4" t="str">
        <f>IFERROR(__xludf.DUMMYFUNCTION("GOOGLETRANSLATE(B50,""en"",""zh"")"),"测试")</f>
        <v>测试</v>
      </c>
      <c r="AA50" s="4" t="str">
        <f>IFERROR(__xludf.DUMMYFUNCTION("GOOGLETRANSLATE(B50,""en"",""zh-TW"")"),"測試")</f>
        <v>測試</v>
      </c>
      <c r="AB50" s="4" t="str">
        <f>IFERROR(__xludf.DUMMYFUNCTION("GOOGLETRANSLATE(B50,""en"",""ja"")"),"テスト")</f>
        <v>テスト</v>
      </c>
      <c r="AC50" s="4" t="str">
        <f>IFERROR(__xludf.DUMMYFUNCTION("GOOGLETRANSLATE(B50,""en"",""bg"")"),"Тест")</f>
        <v>Тест</v>
      </c>
      <c r="AD50" s="4" t="str">
        <f>IFERROR(__xludf.DUMMYFUNCTION("GOOGLETRANSLATE(B50,""en"",""cs"")"),"Test")</f>
        <v>Test</v>
      </c>
      <c r="AE50" s="4" t="str">
        <f>IFERROR(__xludf.DUMMYFUNCTION("GOOGLETRANSLATE(B50,""en"",""da"")"),"Prøve")</f>
        <v>Prøve</v>
      </c>
      <c r="AF50" s="4" t="str">
        <f>IFERROR(__xludf.DUMMYFUNCTION("GOOGLETRANSLATE(B50,""en"",""el"")"),"Δοκιμή")</f>
        <v>Δοκιμή</v>
      </c>
      <c r="AG50" s="4" t="str">
        <f>IFERROR(__xludf.DUMMYFUNCTION("GOOGLETRANSLATE(B50,""en"",""et"")"),"Test")</f>
        <v>Test</v>
      </c>
      <c r="AH50" s="4" t="str">
        <f>IFERROR(__xludf.DUMMYFUNCTION("GOOGLETRANSLATE(B50,""en"",""fi"")"),"Testata")</f>
        <v>Testata</v>
      </c>
      <c r="AI50" s="4" t="str">
        <f>IFERROR(__xludf.DUMMYFUNCTION("GOOGLETRANSLATE(B50,""en"",""hr"")"),"Test")</f>
        <v>Test</v>
      </c>
      <c r="AJ50" s="4" t="str">
        <f>IFERROR(__xludf.DUMMYFUNCTION("GOOGLETRANSLATE(B50,""en"",""hu"")"),"Teszt")</f>
        <v>Teszt</v>
      </c>
      <c r="AK50" s="4" t="str">
        <f>IFERROR(__xludf.DUMMYFUNCTION("GOOGLETRANSLATE(B50,""en"",""hy"")"),"Փորձարկում")</f>
        <v>Փորձարկում</v>
      </c>
      <c r="AL50" s="4" t="str">
        <f>IFERROR(__xludf.DUMMYFUNCTION("GOOGLETRANSLATE(B50,""en"",""ca"")"),"Prova")</f>
        <v>Prova</v>
      </c>
      <c r="AM50" s="4" t="str">
        <f>IFERROR(__xludf.DUMMYFUNCTION("GOOGLETRANSLATE(B50,""en"",""nl"")"),"Test")</f>
        <v>Test</v>
      </c>
      <c r="AN50" s="4" t="str">
        <f>IFERROR(__xludf.DUMMYFUNCTION("GOOGLETRANSLATE(B50,""en"",""he"")"),"מִבְחָן")</f>
        <v>מִבְחָן</v>
      </c>
      <c r="AO50" s="4" t="str">
        <f>IFERROR(__xludf.DUMMYFUNCTION("GOOGLETRANSLATE(B50,""en"",""is"")"),"Próf")</f>
        <v>Próf</v>
      </c>
      <c r="AP50" s="4" t="str">
        <f>IFERROR(__xludf.DUMMYFUNCTION("GOOGLETRANSLATE(B50,""en"",""no"")"),"Test")</f>
        <v>Test</v>
      </c>
      <c r="AQ50" s="4" t="str">
        <f>IFERROR(__xludf.DUMMYFUNCTION("GOOGLETRANSLATE(B50,""en"",""fa"")"),"تست کنید")</f>
        <v>تست کنید</v>
      </c>
      <c r="AR50" s="4" t="str">
        <f>IFERROR(__xludf.DUMMYFUNCTION("GOOGLETRANSLATE(B50,""en"",""pl"")"),"Test")</f>
        <v>Test</v>
      </c>
      <c r="AS50" s="4" t="str">
        <f>IFERROR(__xludf.DUMMYFUNCTION("GOOGLETRANSLATE(B50,""en"",""sv"")"),"Testa")</f>
        <v>Testa</v>
      </c>
      <c r="AT50" s="4" t="str">
        <f>IFERROR(__xludf.DUMMYFUNCTION("GOOGLETRANSLATE(B50,""en"",""uk"")"),"Тест")</f>
        <v>Тест</v>
      </c>
      <c r="AU50" s="4" t="str">
        <f>IFERROR(__xludf.DUMMYFUNCTION("GOOGLETRANSLATE(B50,""en"",""zu"")"),"Hlola")</f>
        <v>Hlola</v>
      </c>
      <c r="AV50" s="4" t="str">
        <f>IFERROR(__xludf.DUMMYFUNCTION("GOOGLETRANSLATE(B50,""en"",""sr"")"),"Тест")</f>
        <v>Тест</v>
      </c>
    </row>
    <row r="51">
      <c r="A51" s="3" t="s">
        <v>144</v>
      </c>
      <c r="B51" s="3" t="s">
        <v>145</v>
      </c>
      <c r="C51" s="4" t="str">
        <f>IFERROR(__xludf.DUMMYFUNCTION("GOOGLETRANSLATE(B51,""en"",""ta"")"),"அனைத்து கருவிகள்")</f>
        <v>அனைத்து கருவிகள்</v>
      </c>
      <c r="D51" s="4" t="str">
        <f>IFERROR(__xludf.DUMMYFUNCTION("GOOGLETRANSLATE(B51,""en"",""hi"")"),"सभी उपकरण")</f>
        <v>सभी उपकरण</v>
      </c>
      <c r="E51" s="4" t="str">
        <f>IFERROR(__xludf.DUMMYFUNCTION("GOOGLETRANSLATE(B51,""en"",""id"")"),"Semua Alat")</f>
        <v>Semua Alat</v>
      </c>
      <c r="F51" s="4" t="str">
        <f>IFERROR(__xludf.DUMMYFUNCTION("GOOGLETRANSLATE(B51,""en"",""ms"")"),"Semua Alat")</f>
        <v>Semua Alat</v>
      </c>
      <c r="G51" s="4" t="str">
        <f>IFERROR(__xludf.DUMMYFUNCTION("GOOGLETRANSLATE(B51,""en"",""de"")"),"Alle Werkzeuge")</f>
        <v>Alle Werkzeuge</v>
      </c>
      <c r="H51" s="4" t="str">
        <f>IFERROR(__xludf.DUMMYFUNCTION("GOOGLETRANSLATE(B51,""en"",""es"")"),"Todas las herramientas")</f>
        <v>Todas las herramientas</v>
      </c>
      <c r="I51" s="4" t="str">
        <f>IFERROR(__xludf.DUMMYFUNCTION("GOOGLETRANSLATE(B51,""en"",""fr"")"),"Tous les outils")</f>
        <v>Tous les outils</v>
      </c>
      <c r="J51" s="4" t="str">
        <f>IFERROR(__xludf.DUMMYFUNCTION("GOOGLETRANSLATE(B51,""en"",""it"")"),"Tutti gli strumenti")</f>
        <v>Tutti gli strumenti</v>
      </c>
      <c r="K51" s="4" t="str">
        <f>IFERROR(__xludf.DUMMYFUNCTION("GOOGLETRANSLATE(B51,""en"",""pt"")"),"Todas as ferramentas")</f>
        <v>Todas as ferramentas</v>
      </c>
      <c r="L51" s="4" t="str">
        <f>IFERROR(__xludf.DUMMYFUNCTION("GOOGLETRANSLATE(B51,""en"",""ro"")"),"Toate instrumentele")</f>
        <v>Toate instrumentele</v>
      </c>
      <c r="M51" s="4" t="str">
        <f>IFERROR(__xludf.DUMMYFUNCTION("GOOGLETRANSLATE(B51,""en"",""vi"")"),"Tất cả các công cụ")</f>
        <v>Tất cả các công cụ</v>
      </c>
      <c r="N51" s="4" t="str">
        <f>IFERROR(__xludf.DUMMYFUNCTION("GOOGLETRANSLATE(B51,""en"",""ru"")"),"Все инструменты")</f>
        <v>Все инструменты</v>
      </c>
      <c r="O51" s="4" t="str">
        <f>IFERROR(__xludf.DUMMYFUNCTION("GOOGLETRANSLATE(B51,""en"",""tr"")"),"Tüm Araçlar")</f>
        <v>Tüm Araçlar</v>
      </c>
      <c r="P51" s="4" t="str">
        <f>IFERROR(__xludf.DUMMYFUNCTION("GOOGLETRANSLATE(B51,""en"",""ar"")"),"جميع الأدوات")</f>
        <v>جميع الأدوات</v>
      </c>
      <c r="Q51" s="4" t="str">
        <f>IFERROR(__xludf.DUMMYFUNCTION("GOOGLETRANSLATE(B51,""en"",""mr"")"),"सर्व साधने")</f>
        <v>सर्व साधने</v>
      </c>
      <c r="R51" s="4" t="str">
        <f>IFERROR(__xludf.DUMMYFUNCTION("GOOGLETRANSLATE(B51,""en"",""gu"")"),"બધા સાધનો")</f>
        <v>બધા સાધનો</v>
      </c>
      <c r="S51" s="4" t="str">
        <f>IFERROR(__xludf.DUMMYFUNCTION("GOOGLETRANSLATE(B51,""en"",""bn"")"),"সমস্ত সরঞ্জাম")</f>
        <v>সমস্ত সরঞ্জাম</v>
      </c>
      <c r="T51" s="4" t="str">
        <f>IFERROR(__xludf.DUMMYFUNCTION("GOOGLETRANSLATE(B51,""en"",""pa"")"),"ਸਾਰੇ ਟੂਲ")</f>
        <v>ਸਾਰੇ ਟੂਲ</v>
      </c>
      <c r="U51" s="4" t="str">
        <f>IFERROR(__xludf.DUMMYFUNCTION("GOOGLETRANSLATE(B51,""en"",""te"")"),"అన్ని సాధనాలు")</f>
        <v>అన్ని సాధనాలు</v>
      </c>
      <c r="V51" s="4" t="str">
        <f>IFERROR(__xludf.DUMMYFUNCTION("GOOGLETRANSLATE(B51,""en"",""kn"")"),"ಎಲ್ಲಾ ಪರಿಕರಗಳು")</f>
        <v>ಎಲ್ಲಾ ಪರಿಕರಗಳು</v>
      </c>
      <c r="W51" s="4" t="str">
        <f>IFERROR(__xludf.DUMMYFUNCTION("GOOGLETRANSLATE(B51,""en"",""ml"")"),"എല്ലാ ഉപകരണങ്ങളും")</f>
        <v>എല്ലാ ഉപകരണങ്ങളും</v>
      </c>
      <c r="X51" s="4" t="str">
        <f>IFERROR(__xludf.DUMMYFUNCTION("GOOGLETRANSLATE(B51,""en"",""th"")"),"เครื่องมือทั้งหมด")</f>
        <v>เครื่องมือทั้งหมด</v>
      </c>
      <c r="Y51" s="4" t="str">
        <f>IFERROR(__xludf.DUMMYFUNCTION("GOOGLETRANSLATE(B51,""en"",""ko"")"),"모든 도구")</f>
        <v>모든 도구</v>
      </c>
      <c r="Z51" s="4" t="str">
        <f>IFERROR(__xludf.DUMMYFUNCTION("GOOGLETRANSLATE(B51,""en"",""zh"")"),"所有工具")</f>
        <v>所有工具</v>
      </c>
      <c r="AA51" s="4" t="str">
        <f>IFERROR(__xludf.DUMMYFUNCTION("GOOGLETRANSLATE(B51,""en"",""zh-TW"")"),"所有工具")</f>
        <v>所有工具</v>
      </c>
      <c r="AB51" s="4" t="str">
        <f>IFERROR(__xludf.DUMMYFUNCTION("GOOGLETRANSLATE(B51,""en"",""ja"")"),"すべてのツール")</f>
        <v>すべてのツール</v>
      </c>
      <c r="AC51" s="4" t="str">
        <f>IFERROR(__xludf.DUMMYFUNCTION("GOOGLETRANSLATE(B51,""en"",""bg"")"),"Всички инструменти")</f>
        <v>Всички инструменти</v>
      </c>
      <c r="AD51" s="4" t="str">
        <f>IFERROR(__xludf.DUMMYFUNCTION("GOOGLETRANSLATE(B51,""en"",""cs"")"),"Všechny nástroje")</f>
        <v>Všechny nástroje</v>
      </c>
      <c r="AE51" s="4" t="str">
        <f>IFERROR(__xludf.DUMMYFUNCTION("GOOGLETRANSLATE(B51,""en"",""da"")"),"Alle værktøjer")</f>
        <v>Alle værktøjer</v>
      </c>
      <c r="AF51" s="4" t="str">
        <f>IFERROR(__xludf.DUMMYFUNCTION("GOOGLETRANSLATE(B51,""en"",""el"")"),"Όλα τα εργαλεία")</f>
        <v>Όλα τα εργαλεία</v>
      </c>
      <c r="AG51" s="4" t="str">
        <f>IFERROR(__xludf.DUMMYFUNCTION("GOOGLETRANSLATE(B51,""en"",""et"")"),"Kõik tööriistad")</f>
        <v>Kõik tööriistad</v>
      </c>
      <c r="AH51" s="4" t="str">
        <f>IFERROR(__xludf.DUMMYFUNCTION("GOOGLETRANSLATE(B51,""en"",""fi"")"),"Kaikki työkalut")</f>
        <v>Kaikki työkalut</v>
      </c>
      <c r="AI51" s="4" t="str">
        <f>IFERROR(__xludf.DUMMYFUNCTION("GOOGLETRANSLATE(B51,""en"",""hr"")"),"Svi alati")</f>
        <v>Svi alati</v>
      </c>
      <c r="AJ51" s="4" t="str">
        <f>IFERROR(__xludf.DUMMYFUNCTION("GOOGLETRANSLATE(B51,""en"",""hu"")"),"Minden eszköz")</f>
        <v>Minden eszköz</v>
      </c>
      <c r="AK51" s="4" t="str">
        <f>IFERROR(__xludf.DUMMYFUNCTION("GOOGLETRANSLATE(B51,""en"",""hy"")"),"Բոլոր գործիքները")</f>
        <v>Բոլոր գործիքները</v>
      </c>
      <c r="AL51" s="4" t="str">
        <f>IFERROR(__xludf.DUMMYFUNCTION("GOOGLETRANSLATE(B51,""en"",""ca"")"),"Totes les eines")</f>
        <v>Totes les eines</v>
      </c>
      <c r="AM51" s="4" t="str">
        <f>IFERROR(__xludf.DUMMYFUNCTION("GOOGLETRANSLATE(B51,""en"",""nl"")"),"Alle hulpmiddelen")</f>
        <v>Alle hulpmiddelen</v>
      </c>
      <c r="AN51" s="4" t="str">
        <f>IFERROR(__xludf.DUMMYFUNCTION("GOOGLETRANSLATE(B51,""en"",""he"")"),"כל הכלים")</f>
        <v>כל הכלים</v>
      </c>
      <c r="AO51" s="4" t="str">
        <f>IFERROR(__xludf.DUMMYFUNCTION("GOOGLETRANSLATE(B51,""en"",""is"")"),"Öll verkfæri")</f>
        <v>Öll verkfæri</v>
      </c>
      <c r="AP51" s="4" t="str">
        <f>IFERROR(__xludf.DUMMYFUNCTION("GOOGLETRANSLATE(B51,""en"",""no"")"),"Alle verktøy")</f>
        <v>Alle verktøy</v>
      </c>
      <c r="AQ51" s="4" t="str">
        <f>IFERROR(__xludf.DUMMYFUNCTION("GOOGLETRANSLATE(B51,""en"",""fa"")"),"همه ابزارها")</f>
        <v>همه ابزارها</v>
      </c>
      <c r="AR51" s="4" t="str">
        <f>IFERROR(__xludf.DUMMYFUNCTION("GOOGLETRANSLATE(B51,""en"",""pl"")"),"Wszystkie narzędzia")</f>
        <v>Wszystkie narzędzia</v>
      </c>
      <c r="AS51" s="4" t="str">
        <f>IFERROR(__xludf.DUMMYFUNCTION("GOOGLETRANSLATE(B51,""en"",""sv"")"),"Alla verktyg")</f>
        <v>Alla verktyg</v>
      </c>
      <c r="AT51" s="4" t="str">
        <f>IFERROR(__xludf.DUMMYFUNCTION("GOOGLETRANSLATE(B51,""en"",""uk"")"),"Всі інструменти")</f>
        <v>Всі інструменти</v>
      </c>
      <c r="AU51" s="4" t="str">
        <f>IFERROR(__xludf.DUMMYFUNCTION("GOOGLETRANSLATE(B51,""en"",""zu"")"),"Wonke Amathuluzi")</f>
        <v>Wonke Amathuluzi</v>
      </c>
      <c r="AV51" s="4" t="str">
        <f>IFERROR(__xludf.DUMMYFUNCTION("GOOGLETRANSLATE(B51,""en"",""sr"")"),"Сви алати")</f>
        <v>Сви алати</v>
      </c>
    </row>
    <row r="52">
      <c r="A52" s="3" t="s">
        <v>146</v>
      </c>
      <c r="B52" s="3" t="s">
        <v>147</v>
      </c>
      <c r="C52" s="4" t="str">
        <f>IFERROR(__xludf.DUMMYFUNCTION("GOOGLETRANSLATE(B52,""en"",""ta"")"),"வீடு")</f>
        <v>வீடு</v>
      </c>
      <c r="D52" s="4" t="str">
        <f>IFERROR(__xludf.DUMMYFUNCTION("GOOGLETRANSLATE(B52,""en"",""hi"")"),"घर")</f>
        <v>घर</v>
      </c>
      <c r="E52" s="4" t="str">
        <f>IFERROR(__xludf.DUMMYFUNCTION("GOOGLETRANSLATE(B52,""en"",""id"")"),"Rumah")</f>
        <v>Rumah</v>
      </c>
      <c r="F52" s="4" t="str">
        <f>IFERROR(__xludf.DUMMYFUNCTION("GOOGLETRANSLATE(B52,""en"",""ms"")"),"Rumah")</f>
        <v>Rumah</v>
      </c>
      <c r="G52" s="4" t="str">
        <f>IFERROR(__xludf.DUMMYFUNCTION("GOOGLETRANSLATE(B52,""en"",""de"")"),"Heim")</f>
        <v>Heim</v>
      </c>
      <c r="H52" s="4" t="str">
        <f>IFERROR(__xludf.DUMMYFUNCTION("GOOGLETRANSLATE(B52,""en"",""es"")"),"Hogar")</f>
        <v>Hogar</v>
      </c>
      <c r="I52" s="4" t="str">
        <f>IFERROR(__xludf.DUMMYFUNCTION("GOOGLETRANSLATE(B52,""en"",""fr"")"),"Maison")</f>
        <v>Maison</v>
      </c>
      <c r="J52" s="4" t="str">
        <f>IFERROR(__xludf.DUMMYFUNCTION("GOOGLETRANSLATE(B52,""en"",""it"")"),"Casa")</f>
        <v>Casa</v>
      </c>
      <c r="K52" s="4" t="str">
        <f>IFERROR(__xludf.DUMMYFUNCTION("GOOGLETRANSLATE(B52,""en"",""pt"")"),"Lar")</f>
        <v>Lar</v>
      </c>
      <c r="L52" s="4" t="str">
        <f>IFERROR(__xludf.DUMMYFUNCTION("GOOGLETRANSLATE(B52,""en"",""ro"")"),"Acasă")</f>
        <v>Acasă</v>
      </c>
      <c r="M52" s="4" t="str">
        <f>IFERROR(__xludf.DUMMYFUNCTION("GOOGLETRANSLATE(B52,""en"",""vi"")"),"Trang chủ")</f>
        <v>Trang chủ</v>
      </c>
      <c r="N52" s="4" t="str">
        <f>IFERROR(__xludf.DUMMYFUNCTION("GOOGLETRANSLATE(B52,""en"",""ru"")"),"Дом")</f>
        <v>Дом</v>
      </c>
      <c r="O52" s="4" t="str">
        <f>IFERROR(__xludf.DUMMYFUNCTION("GOOGLETRANSLATE(B52,""en"",""tr"")"),"Ev")</f>
        <v>Ev</v>
      </c>
      <c r="P52" s="4" t="str">
        <f>IFERROR(__xludf.DUMMYFUNCTION("GOOGLETRANSLATE(B52,""en"",""ar"")"),"بيت")</f>
        <v>بيت</v>
      </c>
      <c r="Q52" s="4" t="str">
        <f>IFERROR(__xludf.DUMMYFUNCTION("GOOGLETRANSLATE(B52,""en"",""mr"")"),"घर")</f>
        <v>घर</v>
      </c>
      <c r="R52" s="4" t="str">
        <f>IFERROR(__xludf.DUMMYFUNCTION("GOOGLETRANSLATE(B52,""en"",""gu"")"),"ઘર")</f>
        <v>ઘર</v>
      </c>
      <c r="S52" s="4" t="str">
        <f>IFERROR(__xludf.DUMMYFUNCTION("GOOGLETRANSLATE(B52,""en"",""bn"")"),"বাড়ি")</f>
        <v>বাড়ি</v>
      </c>
      <c r="T52" s="4" t="str">
        <f>IFERROR(__xludf.DUMMYFUNCTION("GOOGLETRANSLATE(B52,""en"",""pa"")"),"ਘਰ")</f>
        <v>ਘਰ</v>
      </c>
      <c r="U52" s="4" t="str">
        <f>IFERROR(__xludf.DUMMYFUNCTION("GOOGLETRANSLATE(B52,""en"",""te"")"),"హోమ్")</f>
        <v>హోమ్</v>
      </c>
      <c r="V52" s="4" t="str">
        <f>IFERROR(__xludf.DUMMYFUNCTION("GOOGLETRANSLATE(B52,""en"",""kn"")"),"ಮುಖಪುಟ")</f>
        <v>ಮುಖಪುಟ</v>
      </c>
      <c r="W52" s="4" t="str">
        <f>IFERROR(__xludf.DUMMYFUNCTION("GOOGLETRANSLATE(B52,""en"",""ml"")"),"വീട്")</f>
        <v>വീട്</v>
      </c>
      <c r="X52" s="4" t="str">
        <f>IFERROR(__xludf.DUMMYFUNCTION("GOOGLETRANSLATE(B52,""en"",""th"")"),"บ้าน")</f>
        <v>บ้าน</v>
      </c>
      <c r="Y52" s="4" t="str">
        <f>IFERROR(__xludf.DUMMYFUNCTION("GOOGLETRANSLATE(B52,""en"",""ko"")"),"집")</f>
        <v>집</v>
      </c>
      <c r="Z52" s="4" t="str">
        <f>IFERROR(__xludf.DUMMYFUNCTION("GOOGLETRANSLATE(B52,""en"",""zh"")"),"家")</f>
        <v>家</v>
      </c>
      <c r="AA52" s="4" t="str">
        <f>IFERROR(__xludf.DUMMYFUNCTION("GOOGLETRANSLATE(B52,""en"",""zh-TW"")"),"家")</f>
        <v>家</v>
      </c>
      <c r="AB52" s="4" t="str">
        <f>IFERROR(__xludf.DUMMYFUNCTION("GOOGLETRANSLATE(B52,""en"",""ja"")"),"家")</f>
        <v>家</v>
      </c>
      <c r="AC52" s="4" t="str">
        <f>IFERROR(__xludf.DUMMYFUNCTION("GOOGLETRANSLATE(B52,""en"",""bg"")"),"Начало")</f>
        <v>Начало</v>
      </c>
      <c r="AD52" s="4" t="str">
        <f>IFERROR(__xludf.DUMMYFUNCTION("GOOGLETRANSLATE(B52,""en"",""cs"")"),"Domov")</f>
        <v>Domov</v>
      </c>
      <c r="AE52" s="4" t="str">
        <f>IFERROR(__xludf.DUMMYFUNCTION("GOOGLETRANSLATE(B52,""en"",""da"")"),"Hjem")</f>
        <v>Hjem</v>
      </c>
      <c r="AF52" s="4" t="str">
        <f>IFERROR(__xludf.DUMMYFUNCTION("GOOGLETRANSLATE(B52,""en"",""el"")"),"Σπίτι")</f>
        <v>Σπίτι</v>
      </c>
      <c r="AG52" s="4" t="str">
        <f>IFERROR(__xludf.DUMMYFUNCTION("GOOGLETRANSLATE(B52,""en"",""et"")"),"Kodu")</f>
        <v>Kodu</v>
      </c>
      <c r="AH52" s="4" t="str">
        <f>IFERROR(__xludf.DUMMYFUNCTION("GOOGLETRANSLATE(B52,""en"",""fi"")"),"Kotiin")</f>
        <v>Kotiin</v>
      </c>
      <c r="AI52" s="4" t="str">
        <f>IFERROR(__xludf.DUMMYFUNCTION("GOOGLETRANSLATE(B52,""en"",""hr"")"),"Dom")</f>
        <v>Dom</v>
      </c>
      <c r="AJ52" s="4" t="str">
        <f>IFERROR(__xludf.DUMMYFUNCTION("GOOGLETRANSLATE(B52,""en"",""hu"")"),"Otthon")</f>
        <v>Otthon</v>
      </c>
      <c r="AK52" s="4" t="str">
        <f>IFERROR(__xludf.DUMMYFUNCTION("GOOGLETRANSLATE(B52,""en"",""hy"")"),"Տուն")</f>
        <v>Տուն</v>
      </c>
      <c r="AL52" s="4" t="str">
        <f>IFERROR(__xludf.DUMMYFUNCTION("GOOGLETRANSLATE(B52,""en"",""ca"")"),"a casa")</f>
        <v>a casa</v>
      </c>
      <c r="AM52" s="4" t="str">
        <f>IFERROR(__xludf.DUMMYFUNCTION("GOOGLETRANSLATE(B52,""en"",""nl"")"),"Thuis")</f>
        <v>Thuis</v>
      </c>
      <c r="AN52" s="4" t="str">
        <f>IFERROR(__xludf.DUMMYFUNCTION("GOOGLETRANSLATE(B52,""en"",""he"")"),"בַּיִת")</f>
        <v>בַּיִת</v>
      </c>
      <c r="AO52" s="4" t="str">
        <f>IFERROR(__xludf.DUMMYFUNCTION("GOOGLETRANSLATE(B52,""en"",""is"")"),"Heim")</f>
        <v>Heim</v>
      </c>
      <c r="AP52" s="4" t="str">
        <f>IFERROR(__xludf.DUMMYFUNCTION("GOOGLETRANSLATE(B52,""en"",""no"")"),"Hjem")</f>
        <v>Hjem</v>
      </c>
      <c r="AQ52" s="4" t="str">
        <f>IFERROR(__xludf.DUMMYFUNCTION("GOOGLETRANSLATE(B52,""en"",""fa"")"),"صفحه اصلی")</f>
        <v>صفحه اصلی</v>
      </c>
      <c r="AR52" s="4" t="str">
        <f>IFERROR(__xludf.DUMMYFUNCTION("GOOGLETRANSLATE(B52,""en"",""pl"")"),"Dom")</f>
        <v>Dom</v>
      </c>
      <c r="AS52" s="4" t="str">
        <f>IFERROR(__xludf.DUMMYFUNCTION("GOOGLETRANSLATE(B52,""en"",""sv"")"),"Hem")</f>
        <v>Hem</v>
      </c>
      <c r="AT52" s="4" t="str">
        <f>IFERROR(__xludf.DUMMYFUNCTION("GOOGLETRANSLATE(B52,""en"",""uk"")"),"додому")</f>
        <v>додому</v>
      </c>
      <c r="AU52" s="4" t="str">
        <f>IFERROR(__xludf.DUMMYFUNCTION("GOOGLETRANSLATE(B52,""en"",""zu"")"),"Ikhaya")</f>
        <v>Ikhaya</v>
      </c>
      <c r="AV52" s="4" t="str">
        <f>IFERROR(__xludf.DUMMYFUNCTION("GOOGLETRANSLATE(B52,""en"",""sr"")"),"Хоме")</f>
        <v>Хоме</v>
      </c>
    </row>
    <row r="53">
      <c r="A53" s="3" t="s">
        <v>148</v>
      </c>
      <c r="B53" s="3" t="s">
        <v>149</v>
      </c>
      <c r="C53" s="4" t="str">
        <f>IFERROR(__xludf.DUMMYFUNCTION("GOOGLETRANSLATE(B53,""en"",""ta"")"),"கணக்கு")</f>
        <v>கணக்கு</v>
      </c>
      <c r="D53" s="4" t="str">
        <f>IFERROR(__xludf.DUMMYFUNCTION("GOOGLETRANSLATE(B53,""en"",""hi"")"),"खाता")</f>
        <v>खाता</v>
      </c>
      <c r="E53" s="4" t="str">
        <f>IFERROR(__xludf.DUMMYFUNCTION("GOOGLETRANSLATE(B53,""en"",""id"")"),"Akun")</f>
        <v>Akun</v>
      </c>
      <c r="F53" s="4" t="str">
        <f>IFERROR(__xludf.DUMMYFUNCTION("GOOGLETRANSLATE(B53,""en"",""ms"")"),"Akaun")</f>
        <v>Akaun</v>
      </c>
      <c r="G53" s="4" t="str">
        <f>IFERROR(__xludf.DUMMYFUNCTION("GOOGLETRANSLATE(B53,""en"",""de"")"),"Konto")</f>
        <v>Konto</v>
      </c>
      <c r="H53" s="4" t="str">
        <f>IFERROR(__xludf.DUMMYFUNCTION("GOOGLETRANSLATE(B53,""en"",""es"")"),"Cuenta")</f>
        <v>Cuenta</v>
      </c>
      <c r="I53" s="4" t="str">
        <f>IFERROR(__xludf.DUMMYFUNCTION("GOOGLETRANSLATE(B53,""en"",""fr"")"),"Compte")</f>
        <v>Compte</v>
      </c>
      <c r="J53" s="4" t="str">
        <f>IFERROR(__xludf.DUMMYFUNCTION("GOOGLETRANSLATE(B53,""en"",""it"")"),"Account")</f>
        <v>Account</v>
      </c>
      <c r="K53" s="4" t="str">
        <f>IFERROR(__xludf.DUMMYFUNCTION("GOOGLETRANSLATE(B53,""en"",""pt"")"),"Conta")</f>
        <v>Conta</v>
      </c>
      <c r="L53" s="4" t="str">
        <f>IFERROR(__xludf.DUMMYFUNCTION("GOOGLETRANSLATE(B53,""en"",""ro"")"),"Cont")</f>
        <v>Cont</v>
      </c>
      <c r="M53" s="4" t="str">
        <f>IFERROR(__xludf.DUMMYFUNCTION("GOOGLETRANSLATE(B53,""en"",""vi"")"),"Tài khoản")</f>
        <v>Tài khoản</v>
      </c>
      <c r="N53" s="4" t="str">
        <f>IFERROR(__xludf.DUMMYFUNCTION("GOOGLETRANSLATE(B53,""en"",""ru"")"),"Счет")</f>
        <v>Счет</v>
      </c>
      <c r="O53" s="4" t="str">
        <f>IFERROR(__xludf.DUMMYFUNCTION("GOOGLETRANSLATE(B53,""en"",""tr"")"),"Hesap")</f>
        <v>Hesap</v>
      </c>
      <c r="P53" s="4" t="str">
        <f>IFERROR(__xludf.DUMMYFUNCTION("GOOGLETRANSLATE(B53,""en"",""ar"")"),"حساب")</f>
        <v>حساب</v>
      </c>
      <c r="Q53" s="4" t="str">
        <f>IFERROR(__xludf.DUMMYFUNCTION("GOOGLETRANSLATE(B53,""en"",""mr"")"),"खाते")</f>
        <v>खाते</v>
      </c>
      <c r="R53" s="4" t="str">
        <f>IFERROR(__xludf.DUMMYFUNCTION("GOOGLETRANSLATE(B53,""en"",""gu"")"),"એકાઉન્ટ")</f>
        <v>એકાઉન્ટ</v>
      </c>
      <c r="S53" s="4" t="str">
        <f>IFERROR(__xludf.DUMMYFUNCTION("GOOGLETRANSLATE(B53,""en"",""bn"")"),"হিসাব")</f>
        <v>হিসাব</v>
      </c>
      <c r="T53" s="4" t="str">
        <f>IFERROR(__xludf.DUMMYFUNCTION("GOOGLETRANSLATE(B53,""en"",""pa"")"),"ਖਾਤਾ")</f>
        <v>ਖਾਤਾ</v>
      </c>
      <c r="U53" s="4" t="str">
        <f>IFERROR(__xludf.DUMMYFUNCTION("GOOGLETRANSLATE(B53,""en"",""te"")"),"ఖాతా")</f>
        <v>ఖాతా</v>
      </c>
      <c r="V53" s="4" t="str">
        <f>IFERROR(__xludf.DUMMYFUNCTION("GOOGLETRANSLATE(B53,""en"",""kn"")"),"ಖಾತೆ")</f>
        <v>ಖಾತೆ</v>
      </c>
      <c r="W53" s="4" t="str">
        <f>IFERROR(__xludf.DUMMYFUNCTION("GOOGLETRANSLATE(B53,""en"",""ml"")"),"അക്കൗണ്ട്")</f>
        <v>അക്കൗണ്ട്</v>
      </c>
      <c r="X53" s="4" t="str">
        <f>IFERROR(__xludf.DUMMYFUNCTION("GOOGLETRANSLATE(B53,""en"",""th"")"),"บัญชี")</f>
        <v>บัญชี</v>
      </c>
      <c r="Y53" s="4" t="str">
        <f>IFERROR(__xludf.DUMMYFUNCTION("GOOGLETRANSLATE(B53,""en"",""ko"")"),"계정")</f>
        <v>계정</v>
      </c>
      <c r="Z53" s="4" t="str">
        <f>IFERROR(__xludf.DUMMYFUNCTION("GOOGLETRANSLATE(B53,""en"",""zh"")"),"帐户")</f>
        <v>帐户</v>
      </c>
      <c r="AA53" s="4" t="str">
        <f>IFERROR(__xludf.DUMMYFUNCTION("GOOGLETRANSLATE(B53,""en"",""zh-TW"")"),"帳戶")</f>
        <v>帳戶</v>
      </c>
      <c r="AB53" s="4" t="str">
        <f>IFERROR(__xludf.DUMMYFUNCTION("GOOGLETRANSLATE(B53,""en"",""ja"")"),"アカウント")</f>
        <v>アカウント</v>
      </c>
      <c r="AC53" s="4" t="str">
        <f>IFERROR(__xludf.DUMMYFUNCTION("GOOGLETRANSLATE(B53,""en"",""bg"")"),"акаунт")</f>
        <v>акаунт</v>
      </c>
      <c r="AD53" s="4" t="str">
        <f>IFERROR(__xludf.DUMMYFUNCTION("GOOGLETRANSLATE(B53,""en"",""cs"")"),"Účet")</f>
        <v>Účet</v>
      </c>
      <c r="AE53" s="4" t="str">
        <f>IFERROR(__xludf.DUMMYFUNCTION("GOOGLETRANSLATE(B53,""en"",""da"")"),"Konto")</f>
        <v>Konto</v>
      </c>
      <c r="AF53" s="4" t="str">
        <f>IFERROR(__xludf.DUMMYFUNCTION("GOOGLETRANSLATE(B53,""en"",""el"")"),"Λογαριασμός")</f>
        <v>Λογαριασμός</v>
      </c>
      <c r="AG53" s="4" t="str">
        <f>IFERROR(__xludf.DUMMYFUNCTION("GOOGLETRANSLATE(B53,""en"",""et"")"),"konto")</f>
        <v>konto</v>
      </c>
      <c r="AH53" s="4" t="str">
        <f>IFERROR(__xludf.DUMMYFUNCTION("GOOGLETRANSLATE(B53,""en"",""fi"")"),"Tili")</f>
        <v>Tili</v>
      </c>
      <c r="AI53" s="4" t="str">
        <f>IFERROR(__xludf.DUMMYFUNCTION("GOOGLETRANSLATE(B53,""en"",""hr"")"),"Račun")</f>
        <v>Račun</v>
      </c>
      <c r="AJ53" s="4" t="str">
        <f>IFERROR(__xludf.DUMMYFUNCTION("GOOGLETRANSLATE(B53,""en"",""hu"")"),"fiók")</f>
        <v>fiók</v>
      </c>
      <c r="AK53" s="4" t="str">
        <f>IFERROR(__xludf.DUMMYFUNCTION("GOOGLETRANSLATE(B53,""en"",""hy"")"),"Հաշիվ")</f>
        <v>Հաշիվ</v>
      </c>
      <c r="AL53" s="4" t="str">
        <f>IFERROR(__xludf.DUMMYFUNCTION("GOOGLETRANSLATE(B53,""en"",""ca"")"),"Compte")</f>
        <v>Compte</v>
      </c>
      <c r="AM53" s="4" t="str">
        <f>IFERROR(__xludf.DUMMYFUNCTION("GOOGLETRANSLATE(B53,""en"",""nl"")"),"Rekening")</f>
        <v>Rekening</v>
      </c>
      <c r="AN53" s="4" t="str">
        <f>IFERROR(__xludf.DUMMYFUNCTION("GOOGLETRANSLATE(B53,""en"",""he"")"),"חֶשְׁבּוֹן")</f>
        <v>חֶשְׁבּוֹן</v>
      </c>
      <c r="AO53" s="4" t="str">
        <f>IFERROR(__xludf.DUMMYFUNCTION("GOOGLETRANSLATE(B53,""en"",""is"")"),"Reikningur")</f>
        <v>Reikningur</v>
      </c>
      <c r="AP53" s="4" t="str">
        <f>IFERROR(__xludf.DUMMYFUNCTION("GOOGLETRANSLATE(B53,""en"",""no"")"),"Konto")</f>
        <v>Konto</v>
      </c>
      <c r="AQ53" s="4" t="str">
        <f>IFERROR(__xludf.DUMMYFUNCTION("GOOGLETRANSLATE(B53,""en"",""fa"")"),"حساب")</f>
        <v>حساب</v>
      </c>
      <c r="AR53" s="4" t="str">
        <f>IFERROR(__xludf.DUMMYFUNCTION("GOOGLETRANSLATE(B53,""en"",""pl"")"),"Konto")</f>
        <v>Konto</v>
      </c>
      <c r="AS53" s="4" t="str">
        <f>IFERROR(__xludf.DUMMYFUNCTION("GOOGLETRANSLATE(B53,""en"",""sv"")"),"Konto")</f>
        <v>Konto</v>
      </c>
      <c r="AT53" s="4" t="str">
        <f>IFERROR(__xludf.DUMMYFUNCTION("GOOGLETRANSLATE(B53,""en"",""uk"")"),"Обліковий запис")</f>
        <v>Обліковий запис</v>
      </c>
      <c r="AU53" s="4" t="str">
        <f>IFERROR(__xludf.DUMMYFUNCTION("GOOGLETRANSLATE(B53,""en"",""zu"")"),"I-akhawunti")</f>
        <v>I-akhawunti</v>
      </c>
      <c r="AV53" s="4" t="str">
        <f>IFERROR(__xludf.DUMMYFUNCTION("GOOGLETRANSLATE(B53,""en"",""sr"")"),"Рачун")</f>
        <v>Рачун</v>
      </c>
    </row>
    <row r="54">
      <c r="A54" s="3" t="s">
        <v>150</v>
      </c>
      <c r="B54" s="3" t="s">
        <v>151</v>
      </c>
      <c r="C54" s="4" t="str">
        <f>IFERROR(__xludf.DUMMYFUNCTION("GOOGLETRANSLATE(B54,""en"",""ta"")"),"மொழி")</f>
        <v>மொழி</v>
      </c>
      <c r="D54" s="4" t="str">
        <f>IFERROR(__xludf.DUMMYFUNCTION("GOOGLETRANSLATE(B54,""en"",""hi"")"),"भाषा")</f>
        <v>भाषा</v>
      </c>
      <c r="E54" s="4" t="str">
        <f>IFERROR(__xludf.DUMMYFUNCTION("GOOGLETRANSLATE(B54,""en"",""id"")"),"Bahasa")</f>
        <v>Bahasa</v>
      </c>
      <c r="F54" s="4" t="str">
        <f>IFERROR(__xludf.DUMMYFUNCTION("GOOGLETRANSLATE(B54,""en"",""ms"")"),"Bahasa")</f>
        <v>Bahasa</v>
      </c>
      <c r="G54" s="4" t="str">
        <f>IFERROR(__xludf.DUMMYFUNCTION("GOOGLETRANSLATE(B54,""en"",""de"")"),"Sprache")</f>
        <v>Sprache</v>
      </c>
      <c r="H54" s="4" t="str">
        <f>IFERROR(__xludf.DUMMYFUNCTION("GOOGLETRANSLATE(B54,""en"",""es"")"),"Idioma")</f>
        <v>Idioma</v>
      </c>
      <c r="I54" s="4" t="str">
        <f>IFERROR(__xludf.DUMMYFUNCTION("GOOGLETRANSLATE(B54,""en"",""fr"")"),"Langue")</f>
        <v>Langue</v>
      </c>
      <c r="J54" s="4" t="str">
        <f>IFERROR(__xludf.DUMMYFUNCTION("GOOGLETRANSLATE(B54,""en"",""it"")"),"Lingua")</f>
        <v>Lingua</v>
      </c>
      <c r="K54" s="4" t="str">
        <f>IFERROR(__xludf.DUMMYFUNCTION("GOOGLETRANSLATE(B54,""en"",""pt"")"),"Linguagem")</f>
        <v>Linguagem</v>
      </c>
      <c r="L54" s="4" t="str">
        <f>IFERROR(__xludf.DUMMYFUNCTION("GOOGLETRANSLATE(B54,""en"",""ro"")"),"Limbă")</f>
        <v>Limbă</v>
      </c>
      <c r="M54" s="4" t="str">
        <f>IFERROR(__xludf.DUMMYFUNCTION("GOOGLETRANSLATE(B54,""en"",""vi"")"),"Ngôn ngữ")</f>
        <v>Ngôn ngữ</v>
      </c>
      <c r="N54" s="4" t="str">
        <f>IFERROR(__xludf.DUMMYFUNCTION("GOOGLETRANSLATE(B54,""en"",""ru"")"),"Язык")</f>
        <v>Язык</v>
      </c>
      <c r="O54" s="4" t="str">
        <f>IFERROR(__xludf.DUMMYFUNCTION("GOOGLETRANSLATE(B54,""en"",""tr"")"),"Dil")</f>
        <v>Dil</v>
      </c>
      <c r="P54" s="4" t="str">
        <f>IFERROR(__xludf.DUMMYFUNCTION("GOOGLETRANSLATE(B54,""en"",""ar"")"),"لغة")</f>
        <v>لغة</v>
      </c>
      <c r="Q54" s="4" t="str">
        <f>IFERROR(__xludf.DUMMYFUNCTION("GOOGLETRANSLATE(B54,""en"",""mr"")"),"भाषा")</f>
        <v>भाषा</v>
      </c>
      <c r="R54" s="4" t="str">
        <f>IFERROR(__xludf.DUMMYFUNCTION("GOOGLETRANSLATE(B54,""en"",""gu"")"),"ભાષા")</f>
        <v>ભાષા</v>
      </c>
      <c r="S54" s="4" t="str">
        <f>IFERROR(__xludf.DUMMYFUNCTION("GOOGLETRANSLATE(B54,""en"",""bn"")"),"ভাষা")</f>
        <v>ভাষা</v>
      </c>
      <c r="T54" s="4" t="str">
        <f>IFERROR(__xludf.DUMMYFUNCTION("GOOGLETRANSLATE(B54,""en"",""pa"")"),"ਭਾਸ਼ਾ")</f>
        <v>ਭਾਸ਼ਾ</v>
      </c>
      <c r="U54" s="4" t="str">
        <f>IFERROR(__xludf.DUMMYFUNCTION("GOOGLETRANSLATE(B54,""en"",""te"")"),"భాష")</f>
        <v>భాష</v>
      </c>
      <c r="V54" s="4" t="str">
        <f>IFERROR(__xludf.DUMMYFUNCTION("GOOGLETRANSLATE(B54,""en"",""kn"")"),"ಭಾಷೆ")</f>
        <v>ಭಾಷೆ</v>
      </c>
      <c r="W54" s="4" t="str">
        <f>IFERROR(__xludf.DUMMYFUNCTION("GOOGLETRANSLATE(B54,""en"",""ml"")"),"ഭാഷ")</f>
        <v>ഭാഷ</v>
      </c>
      <c r="X54" s="4" t="str">
        <f>IFERROR(__xludf.DUMMYFUNCTION("GOOGLETRANSLATE(B54,""en"",""th"")"),"ภาษา")</f>
        <v>ภาษา</v>
      </c>
      <c r="Y54" s="4" t="str">
        <f>IFERROR(__xludf.DUMMYFUNCTION("GOOGLETRANSLATE(B54,""en"",""ko"")"),"언어")</f>
        <v>언어</v>
      </c>
      <c r="Z54" s="4" t="str">
        <f>IFERROR(__xludf.DUMMYFUNCTION("GOOGLETRANSLATE(B54,""en"",""zh"")"),"语言")</f>
        <v>语言</v>
      </c>
      <c r="AA54" s="4" t="str">
        <f>IFERROR(__xludf.DUMMYFUNCTION("GOOGLETRANSLATE(B54,""en"",""zh-TW"")"),"語言")</f>
        <v>語言</v>
      </c>
      <c r="AB54" s="4" t="str">
        <f>IFERROR(__xludf.DUMMYFUNCTION("GOOGLETRANSLATE(B54,""en"",""ja"")"),"言語")</f>
        <v>言語</v>
      </c>
      <c r="AC54" s="4" t="str">
        <f>IFERROR(__xludf.DUMMYFUNCTION("GOOGLETRANSLATE(B54,""en"",""bg"")"),"език")</f>
        <v>език</v>
      </c>
      <c r="AD54" s="4" t="str">
        <f>IFERROR(__xludf.DUMMYFUNCTION("GOOGLETRANSLATE(B54,""en"",""cs"")"),"Jazyk")</f>
        <v>Jazyk</v>
      </c>
      <c r="AE54" s="4" t="str">
        <f>IFERROR(__xludf.DUMMYFUNCTION("GOOGLETRANSLATE(B54,""en"",""da"")"),"Sprog")</f>
        <v>Sprog</v>
      </c>
      <c r="AF54" s="4" t="str">
        <f>IFERROR(__xludf.DUMMYFUNCTION("GOOGLETRANSLATE(B54,""en"",""el"")"),"Γλώσσα")</f>
        <v>Γλώσσα</v>
      </c>
      <c r="AG54" s="4" t="str">
        <f>IFERROR(__xludf.DUMMYFUNCTION("GOOGLETRANSLATE(B54,""en"",""et"")"),"Keel")</f>
        <v>Keel</v>
      </c>
      <c r="AH54" s="4" t="str">
        <f>IFERROR(__xludf.DUMMYFUNCTION("GOOGLETRANSLATE(B54,""en"",""fi"")"),"Kieli")</f>
        <v>Kieli</v>
      </c>
      <c r="AI54" s="4" t="str">
        <f>IFERROR(__xludf.DUMMYFUNCTION("GOOGLETRANSLATE(B54,""en"",""hr"")"),"Jezik")</f>
        <v>Jezik</v>
      </c>
      <c r="AJ54" s="4" t="str">
        <f>IFERROR(__xludf.DUMMYFUNCTION("GOOGLETRANSLATE(B54,""en"",""hu"")"),"Nyelv")</f>
        <v>Nyelv</v>
      </c>
      <c r="AK54" s="4" t="str">
        <f>IFERROR(__xludf.DUMMYFUNCTION("GOOGLETRANSLATE(B54,""en"",""hy"")"),"Լեզու")</f>
        <v>Լեզու</v>
      </c>
      <c r="AL54" s="4" t="str">
        <f>IFERROR(__xludf.DUMMYFUNCTION("GOOGLETRANSLATE(B54,""en"",""ca"")"),"Llengua")</f>
        <v>Llengua</v>
      </c>
      <c r="AM54" s="4" t="str">
        <f>IFERROR(__xludf.DUMMYFUNCTION("GOOGLETRANSLATE(B54,""en"",""nl"")"),"Taal")</f>
        <v>Taal</v>
      </c>
      <c r="AN54" s="4" t="str">
        <f>IFERROR(__xludf.DUMMYFUNCTION("GOOGLETRANSLATE(B54,""en"",""he"")"),"שָׂפָה")</f>
        <v>שָׂפָה</v>
      </c>
      <c r="AO54" s="4" t="str">
        <f>IFERROR(__xludf.DUMMYFUNCTION("GOOGLETRANSLATE(B54,""en"",""is"")"),"Tungumál")</f>
        <v>Tungumál</v>
      </c>
      <c r="AP54" s="4" t="str">
        <f>IFERROR(__xludf.DUMMYFUNCTION("GOOGLETRANSLATE(B54,""en"",""no"")"),"Språk")</f>
        <v>Språk</v>
      </c>
      <c r="AQ54" s="4" t="str">
        <f>IFERROR(__xludf.DUMMYFUNCTION("GOOGLETRANSLATE(B54,""en"",""fa"")"),"زبان")</f>
        <v>زبان</v>
      </c>
      <c r="AR54" s="4" t="str">
        <f>IFERROR(__xludf.DUMMYFUNCTION("GOOGLETRANSLATE(B54,""en"",""pl"")"),"Język")</f>
        <v>Język</v>
      </c>
      <c r="AS54" s="4" t="str">
        <f>IFERROR(__xludf.DUMMYFUNCTION("GOOGLETRANSLATE(B54,""en"",""sv"")"),"Språk")</f>
        <v>Språk</v>
      </c>
      <c r="AT54" s="4" t="str">
        <f>IFERROR(__xludf.DUMMYFUNCTION("GOOGLETRANSLATE(B54,""en"",""uk"")"),"Мова")</f>
        <v>Мова</v>
      </c>
      <c r="AU54" s="4" t="str">
        <f>IFERROR(__xludf.DUMMYFUNCTION("GOOGLETRANSLATE(B54,""en"",""zu"")"),"Ulimi")</f>
        <v>Ulimi</v>
      </c>
      <c r="AV54" s="4" t="str">
        <f>IFERROR(__xludf.DUMMYFUNCTION("GOOGLETRANSLATE(B54,""en"",""sr"")"),"Језик")</f>
        <v>Језик</v>
      </c>
    </row>
    <row r="55">
      <c r="A55" s="3" t="s">
        <v>152</v>
      </c>
      <c r="B55" s="3" t="s">
        <v>153</v>
      </c>
      <c r="C55" s="4" t="str">
        <f>IFERROR(__xludf.DUMMYFUNCTION("GOOGLETRANSLATE(B55,""en"",""ta"")"),"அறிவிப்புகள்")</f>
        <v>அறிவிப்புகள்</v>
      </c>
      <c r="D55" s="4" t="str">
        <f>IFERROR(__xludf.DUMMYFUNCTION("GOOGLETRANSLATE(B55,""en"",""hi"")"),"सूचनाएं")</f>
        <v>सूचनाएं</v>
      </c>
      <c r="E55" s="4" t="str">
        <f>IFERROR(__xludf.DUMMYFUNCTION("GOOGLETRANSLATE(B55,""en"",""id"")"),"Pemberitahuan")</f>
        <v>Pemberitahuan</v>
      </c>
      <c r="F55" s="4" t="str">
        <f>IFERROR(__xludf.DUMMYFUNCTION("GOOGLETRANSLATE(B55,""en"",""ms"")"),"Pemberitahuan")</f>
        <v>Pemberitahuan</v>
      </c>
      <c r="G55" s="4" t="str">
        <f>IFERROR(__xludf.DUMMYFUNCTION("GOOGLETRANSLATE(B55,""en"",""de"")"),"Benachrichtigungen")</f>
        <v>Benachrichtigungen</v>
      </c>
      <c r="H55" s="4" t="str">
        <f>IFERROR(__xludf.DUMMYFUNCTION("GOOGLETRANSLATE(B55,""en"",""es"")"),"Notificaciones")</f>
        <v>Notificaciones</v>
      </c>
      <c r="I55" s="4" t="str">
        <f>IFERROR(__xludf.DUMMYFUNCTION("GOOGLETRANSLATE(B55,""en"",""fr"")"),"Notifications")</f>
        <v>Notifications</v>
      </c>
      <c r="J55" s="4" t="str">
        <f>IFERROR(__xludf.DUMMYFUNCTION("GOOGLETRANSLATE(B55,""en"",""it"")"),"Notifiche")</f>
        <v>Notifiche</v>
      </c>
      <c r="K55" s="4" t="str">
        <f>IFERROR(__xludf.DUMMYFUNCTION("GOOGLETRANSLATE(B55,""en"",""pt"")"),"Notificações")</f>
        <v>Notificações</v>
      </c>
      <c r="L55" s="4" t="str">
        <f>IFERROR(__xludf.DUMMYFUNCTION("GOOGLETRANSLATE(B55,""en"",""ro"")"),"Notificări")</f>
        <v>Notificări</v>
      </c>
      <c r="M55" s="4" t="str">
        <f>IFERROR(__xludf.DUMMYFUNCTION("GOOGLETRANSLATE(B55,""en"",""vi"")"),"Thông báo")</f>
        <v>Thông báo</v>
      </c>
      <c r="N55" s="4" t="str">
        <f>IFERROR(__xludf.DUMMYFUNCTION("GOOGLETRANSLATE(B55,""en"",""ru"")"),"Уведомления")</f>
        <v>Уведомления</v>
      </c>
      <c r="O55" s="4" t="str">
        <f>IFERROR(__xludf.DUMMYFUNCTION("GOOGLETRANSLATE(B55,""en"",""tr"")"),"Bildirimler")</f>
        <v>Bildirimler</v>
      </c>
      <c r="P55" s="4" t="str">
        <f>IFERROR(__xludf.DUMMYFUNCTION("GOOGLETRANSLATE(B55,""en"",""ar"")"),"إشعارات")</f>
        <v>إشعارات</v>
      </c>
      <c r="Q55" s="4" t="str">
        <f>IFERROR(__xludf.DUMMYFUNCTION("GOOGLETRANSLATE(B55,""en"",""mr"")"),"सूचना")</f>
        <v>सूचना</v>
      </c>
      <c r="R55" s="4" t="str">
        <f>IFERROR(__xludf.DUMMYFUNCTION("GOOGLETRANSLATE(B55,""en"",""gu"")"),"સૂચનાઓ")</f>
        <v>સૂચનાઓ</v>
      </c>
      <c r="S55" s="4" t="str">
        <f>IFERROR(__xludf.DUMMYFUNCTION("GOOGLETRANSLATE(B55,""en"",""bn"")"),"বিজ্ঞপ্তি")</f>
        <v>বিজ্ঞপ্তি</v>
      </c>
      <c r="T55" s="4" t="str">
        <f>IFERROR(__xludf.DUMMYFUNCTION("GOOGLETRANSLATE(B55,""en"",""pa"")"),"ਸੂਚਨਾਵਾਂ")</f>
        <v>ਸੂਚਨਾਵਾਂ</v>
      </c>
      <c r="U55" s="4" t="str">
        <f>IFERROR(__xludf.DUMMYFUNCTION("GOOGLETRANSLATE(B55,""en"",""te"")"),"నోటిఫికేషన్‌లు")</f>
        <v>నోటిఫికేషన్‌లు</v>
      </c>
      <c r="V55" s="4" t="str">
        <f>IFERROR(__xludf.DUMMYFUNCTION("GOOGLETRANSLATE(B55,""en"",""kn"")"),"ಅಧಿಸೂಚನೆಗಳು")</f>
        <v>ಅಧಿಸೂಚನೆಗಳು</v>
      </c>
      <c r="W55" s="4" t="str">
        <f>IFERROR(__xludf.DUMMYFUNCTION("GOOGLETRANSLATE(B55,""en"",""ml"")"),"അറിയിപ്പുകൾ")</f>
        <v>അറിയിപ്പുകൾ</v>
      </c>
      <c r="X55" s="4" t="str">
        <f>IFERROR(__xludf.DUMMYFUNCTION("GOOGLETRANSLATE(B55,""en"",""th"")"),"การแจ้งเตือน")</f>
        <v>การแจ้งเตือน</v>
      </c>
      <c r="Y55" s="4" t="str">
        <f>IFERROR(__xludf.DUMMYFUNCTION("GOOGLETRANSLATE(B55,""en"",""ko"")"),"알림")</f>
        <v>알림</v>
      </c>
      <c r="Z55" s="4" t="str">
        <f>IFERROR(__xludf.DUMMYFUNCTION("GOOGLETRANSLATE(B55,""en"",""zh"")"),"通知")</f>
        <v>通知</v>
      </c>
      <c r="AA55" s="4" t="str">
        <f>IFERROR(__xludf.DUMMYFUNCTION("GOOGLETRANSLATE(B55,""en"",""zh-TW"")"),"通知")</f>
        <v>通知</v>
      </c>
      <c r="AB55" s="4" t="str">
        <f>IFERROR(__xludf.DUMMYFUNCTION("GOOGLETRANSLATE(B55,""en"",""ja"")"),"通知")</f>
        <v>通知</v>
      </c>
      <c r="AC55" s="4" t="str">
        <f>IFERROR(__xludf.DUMMYFUNCTION("GOOGLETRANSLATE(B55,""en"",""bg"")"),"Известия")</f>
        <v>Известия</v>
      </c>
      <c r="AD55" s="4" t="str">
        <f>IFERROR(__xludf.DUMMYFUNCTION("GOOGLETRANSLATE(B55,""en"",""cs"")"),"Oznámení")</f>
        <v>Oznámení</v>
      </c>
      <c r="AE55" s="4" t="str">
        <f>IFERROR(__xludf.DUMMYFUNCTION("GOOGLETRANSLATE(B55,""en"",""da"")"),"Meddelelser")</f>
        <v>Meddelelser</v>
      </c>
      <c r="AF55" s="4" t="str">
        <f>IFERROR(__xludf.DUMMYFUNCTION("GOOGLETRANSLATE(B55,""en"",""el"")"),"Ειδοποιήσεις")</f>
        <v>Ειδοποιήσεις</v>
      </c>
      <c r="AG55" s="4" t="str">
        <f>IFERROR(__xludf.DUMMYFUNCTION("GOOGLETRANSLATE(B55,""en"",""et"")"),"Märguanded")</f>
        <v>Märguanded</v>
      </c>
      <c r="AH55" s="4" t="str">
        <f>IFERROR(__xludf.DUMMYFUNCTION("GOOGLETRANSLATE(B55,""en"",""fi"")"),"Ilmoitukset")</f>
        <v>Ilmoitukset</v>
      </c>
      <c r="AI55" s="4" t="str">
        <f>IFERROR(__xludf.DUMMYFUNCTION("GOOGLETRANSLATE(B55,""en"",""hr"")"),"Obavijesti")</f>
        <v>Obavijesti</v>
      </c>
      <c r="AJ55" s="4" t="str">
        <f>IFERROR(__xludf.DUMMYFUNCTION("GOOGLETRANSLATE(B55,""en"",""hu"")"),"Értesítések")</f>
        <v>Értesítések</v>
      </c>
      <c r="AK55" s="4" t="str">
        <f>IFERROR(__xludf.DUMMYFUNCTION("GOOGLETRANSLATE(B55,""en"",""hy"")"),"Ծանուցումներ")</f>
        <v>Ծանուցումներ</v>
      </c>
      <c r="AL55" s="4" t="str">
        <f>IFERROR(__xludf.DUMMYFUNCTION("GOOGLETRANSLATE(B55,""en"",""ca"")"),"Notificacions")</f>
        <v>Notificacions</v>
      </c>
      <c r="AM55" s="4" t="str">
        <f>IFERROR(__xludf.DUMMYFUNCTION("GOOGLETRANSLATE(B55,""en"",""nl"")"),"Meldingen")</f>
        <v>Meldingen</v>
      </c>
      <c r="AN55" s="4" t="str">
        <f>IFERROR(__xludf.DUMMYFUNCTION("GOOGLETRANSLATE(B55,""en"",""he"")"),"התראות")</f>
        <v>התראות</v>
      </c>
      <c r="AO55" s="4" t="str">
        <f>IFERROR(__xludf.DUMMYFUNCTION("GOOGLETRANSLATE(B55,""en"",""is"")"),"Tilkynningar")</f>
        <v>Tilkynningar</v>
      </c>
      <c r="AP55" s="4" t="str">
        <f>IFERROR(__xludf.DUMMYFUNCTION("GOOGLETRANSLATE(B55,""en"",""no"")"),"Varsler")</f>
        <v>Varsler</v>
      </c>
      <c r="AQ55" s="4" t="str">
        <f>IFERROR(__xludf.DUMMYFUNCTION("GOOGLETRANSLATE(B55,""en"",""fa"")"),"اطلاعیه ها")</f>
        <v>اطلاعیه ها</v>
      </c>
      <c r="AR55" s="4" t="str">
        <f>IFERROR(__xludf.DUMMYFUNCTION("GOOGLETRANSLATE(B55,""en"",""pl"")"),"Powiadomienia")</f>
        <v>Powiadomienia</v>
      </c>
      <c r="AS55" s="4" t="str">
        <f>IFERROR(__xludf.DUMMYFUNCTION("GOOGLETRANSLATE(B55,""en"",""sv"")"),"Aviseringar")</f>
        <v>Aviseringar</v>
      </c>
      <c r="AT55" s="4" t="str">
        <f>IFERROR(__xludf.DUMMYFUNCTION("GOOGLETRANSLATE(B55,""en"",""uk"")"),"Сповіщення")</f>
        <v>Сповіщення</v>
      </c>
      <c r="AU55" s="4" t="str">
        <f>IFERROR(__xludf.DUMMYFUNCTION("GOOGLETRANSLATE(B55,""en"",""zu"")"),"Izaziso")</f>
        <v>Izaziso</v>
      </c>
      <c r="AV55" s="4" t="str">
        <f>IFERROR(__xludf.DUMMYFUNCTION("GOOGLETRANSLATE(B55,""en"",""sr"")"),"Обавештења")</f>
        <v>Обавештења</v>
      </c>
    </row>
    <row r="56">
      <c r="A56" s="3" t="s">
        <v>154</v>
      </c>
      <c r="B56" s="3" t="s">
        <v>155</v>
      </c>
      <c r="C56" s="4" t="str">
        <f>IFERROR(__xludf.DUMMYFUNCTION("GOOGLETRANSLATE(B56,""en"",""ta"")"),"அமைப்புகள்")</f>
        <v>அமைப்புகள்</v>
      </c>
      <c r="D56" s="4" t="str">
        <f>IFERROR(__xludf.DUMMYFUNCTION("GOOGLETRANSLATE(B56,""en"",""hi"")"),"सेटिंग्स")</f>
        <v>सेटिंग्स</v>
      </c>
      <c r="E56" s="4" t="str">
        <f>IFERROR(__xludf.DUMMYFUNCTION("GOOGLETRANSLATE(B56,""en"",""id"")"),"Pengaturan")</f>
        <v>Pengaturan</v>
      </c>
      <c r="F56" s="4" t="str">
        <f>IFERROR(__xludf.DUMMYFUNCTION("GOOGLETRANSLATE(B56,""en"",""ms"")"),"tetapan")</f>
        <v>tetapan</v>
      </c>
      <c r="G56" s="4" t="str">
        <f>IFERROR(__xludf.DUMMYFUNCTION("GOOGLETRANSLATE(B56,""en"",""de"")"),"Einstellungen")</f>
        <v>Einstellungen</v>
      </c>
      <c r="H56" s="4" t="str">
        <f>IFERROR(__xludf.DUMMYFUNCTION("GOOGLETRANSLATE(B56,""en"",""es"")"),"Ajustes")</f>
        <v>Ajustes</v>
      </c>
      <c r="I56" s="4" t="str">
        <f>IFERROR(__xludf.DUMMYFUNCTION("GOOGLETRANSLATE(B56,""en"",""fr"")"),"Paramètres")</f>
        <v>Paramètres</v>
      </c>
      <c r="J56" s="4" t="str">
        <f>IFERROR(__xludf.DUMMYFUNCTION("GOOGLETRANSLATE(B56,""en"",""it"")"),"Impostazioni")</f>
        <v>Impostazioni</v>
      </c>
      <c r="K56" s="4" t="str">
        <f>IFERROR(__xludf.DUMMYFUNCTION("GOOGLETRANSLATE(B56,""en"",""pt"")"),"Configurações")</f>
        <v>Configurações</v>
      </c>
      <c r="L56" s="4" t="str">
        <f>IFERROR(__xludf.DUMMYFUNCTION("GOOGLETRANSLATE(B56,""en"",""ro"")"),"Setări")</f>
        <v>Setări</v>
      </c>
      <c r="M56" s="4" t="str">
        <f>IFERROR(__xludf.DUMMYFUNCTION("GOOGLETRANSLATE(B56,""en"",""vi"")"),"Cài đặt")</f>
        <v>Cài đặt</v>
      </c>
      <c r="N56" s="4" t="str">
        <f>IFERROR(__xludf.DUMMYFUNCTION("GOOGLETRANSLATE(B56,""en"",""ru"")"),"Настройки")</f>
        <v>Настройки</v>
      </c>
      <c r="O56" s="4" t="str">
        <f>IFERROR(__xludf.DUMMYFUNCTION("GOOGLETRANSLATE(B56,""en"",""tr"")"),"Ayarlar")</f>
        <v>Ayarlar</v>
      </c>
      <c r="P56" s="4" t="str">
        <f>IFERROR(__xludf.DUMMYFUNCTION("GOOGLETRANSLATE(B56,""en"",""ar"")"),"إعدادات")</f>
        <v>إعدادات</v>
      </c>
      <c r="Q56" s="4" t="str">
        <f>IFERROR(__xludf.DUMMYFUNCTION("GOOGLETRANSLATE(B56,""en"",""mr"")"),"सेटिंग्ज")</f>
        <v>सेटिंग्ज</v>
      </c>
      <c r="R56" s="4" t="str">
        <f>IFERROR(__xludf.DUMMYFUNCTION("GOOGLETRANSLATE(B56,""en"",""gu"")"),"સેટિંગ્સ")</f>
        <v>સેટિંગ્સ</v>
      </c>
      <c r="S56" s="4" t="str">
        <f>IFERROR(__xludf.DUMMYFUNCTION("GOOGLETRANSLATE(B56,""en"",""bn"")"),"সেটিংস")</f>
        <v>সেটিংস</v>
      </c>
      <c r="T56" s="4" t="str">
        <f>IFERROR(__xludf.DUMMYFUNCTION("GOOGLETRANSLATE(B56,""en"",""pa"")"),"ਸੈਟਿੰਗਾਂ")</f>
        <v>ਸੈਟਿੰਗਾਂ</v>
      </c>
      <c r="U56" s="4" t="str">
        <f>IFERROR(__xludf.DUMMYFUNCTION("GOOGLETRANSLATE(B56,""en"",""te"")"),"సెట్టింగ్‌లు")</f>
        <v>సెట్టింగ్‌లు</v>
      </c>
      <c r="V56" s="4" t="str">
        <f>IFERROR(__xludf.DUMMYFUNCTION("GOOGLETRANSLATE(B56,""en"",""kn"")"),"ಸೆಟ್ಟಿಂಗ್‌ಗಳು")</f>
        <v>ಸೆಟ್ಟಿಂಗ್‌ಗಳು</v>
      </c>
      <c r="W56" s="4" t="str">
        <f>IFERROR(__xludf.DUMMYFUNCTION("GOOGLETRANSLATE(B56,""en"",""ml"")"),"ക്രമീകരണങ്ങൾ")</f>
        <v>ക്രമീകരണങ്ങൾ</v>
      </c>
      <c r="X56" s="4" t="str">
        <f>IFERROR(__xludf.DUMMYFUNCTION("GOOGLETRANSLATE(B56,""en"",""th"")"),"การตั้งค่า")</f>
        <v>การตั้งค่า</v>
      </c>
      <c r="Y56" s="4" t="str">
        <f>IFERROR(__xludf.DUMMYFUNCTION("GOOGLETRANSLATE(B56,""en"",""ko"")"),"설정")</f>
        <v>설정</v>
      </c>
      <c r="Z56" s="4" t="str">
        <f>IFERROR(__xludf.DUMMYFUNCTION("GOOGLETRANSLATE(B56,""en"",""zh"")"),"设置")</f>
        <v>设置</v>
      </c>
      <c r="AA56" s="4" t="str">
        <f>IFERROR(__xludf.DUMMYFUNCTION("GOOGLETRANSLATE(B56,""en"",""zh-TW"")"),"設定")</f>
        <v>設定</v>
      </c>
      <c r="AB56" s="4" t="str">
        <f>IFERROR(__xludf.DUMMYFUNCTION("GOOGLETRANSLATE(B56,""en"",""ja"")"),"設定")</f>
        <v>設定</v>
      </c>
      <c r="AC56" s="4" t="str">
        <f>IFERROR(__xludf.DUMMYFUNCTION("GOOGLETRANSLATE(B56,""en"",""bg"")"),"Настройки")</f>
        <v>Настройки</v>
      </c>
      <c r="AD56" s="4" t="str">
        <f>IFERROR(__xludf.DUMMYFUNCTION("GOOGLETRANSLATE(B56,""en"",""cs"")"),"Nastavení")</f>
        <v>Nastavení</v>
      </c>
      <c r="AE56" s="4" t="str">
        <f>IFERROR(__xludf.DUMMYFUNCTION("GOOGLETRANSLATE(B56,""en"",""da"")"),"Indstillinger")</f>
        <v>Indstillinger</v>
      </c>
      <c r="AF56" s="4" t="str">
        <f>IFERROR(__xludf.DUMMYFUNCTION("GOOGLETRANSLATE(B56,""en"",""el"")"),"Ρυθμίσεις")</f>
        <v>Ρυθμίσεις</v>
      </c>
      <c r="AG56" s="4" t="str">
        <f>IFERROR(__xludf.DUMMYFUNCTION("GOOGLETRANSLATE(B56,""en"",""et"")"),"Seaded")</f>
        <v>Seaded</v>
      </c>
      <c r="AH56" s="4" t="str">
        <f>IFERROR(__xludf.DUMMYFUNCTION("GOOGLETRANSLATE(B56,""en"",""fi"")"),"Asetukset")</f>
        <v>Asetukset</v>
      </c>
      <c r="AI56" s="4" t="str">
        <f>IFERROR(__xludf.DUMMYFUNCTION("GOOGLETRANSLATE(B56,""en"",""hr"")"),"postavke")</f>
        <v>postavke</v>
      </c>
      <c r="AJ56" s="4" t="str">
        <f>IFERROR(__xludf.DUMMYFUNCTION("GOOGLETRANSLATE(B56,""en"",""hu"")"),"Beállítások elemre")</f>
        <v>Beállítások elemre</v>
      </c>
      <c r="AK56" s="4" t="str">
        <f>IFERROR(__xludf.DUMMYFUNCTION("GOOGLETRANSLATE(B56,""en"",""hy"")"),"Կարգավորումներ")</f>
        <v>Կարգավորումներ</v>
      </c>
      <c r="AL56" s="4" t="str">
        <f>IFERROR(__xludf.DUMMYFUNCTION("GOOGLETRANSLATE(B56,""en"",""ca"")"),"Configuració")</f>
        <v>Configuració</v>
      </c>
      <c r="AM56" s="4" t="str">
        <f>IFERROR(__xludf.DUMMYFUNCTION("GOOGLETRANSLATE(B56,""en"",""nl"")"),"Instellingen")</f>
        <v>Instellingen</v>
      </c>
      <c r="AN56" s="4" t="str">
        <f>IFERROR(__xludf.DUMMYFUNCTION("GOOGLETRANSLATE(B56,""en"",""he"")"),"הגדרות")</f>
        <v>הגדרות</v>
      </c>
      <c r="AO56" s="4" t="str">
        <f>IFERROR(__xludf.DUMMYFUNCTION("GOOGLETRANSLATE(B56,""en"",""is"")"),"Stillingar")</f>
        <v>Stillingar</v>
      </c>
      <c r="AP56" s="4" t="str">
        <f>IFERROR(__xludf.DUMMYFUNCTION("GOOGLETRANSLATE(B56,""en"",""no"")"),"Innstillinger")</f>
        <v>Innstillinger</v>
      </c>
      <c r="AQ56" s="4" t="str">
        <f>IFERROR(__xludf.DUMMYFUNCTION("GOOGLETRANSLATE(B56,""en"",""fa"")"),"تنظیمات")</f>
        <v>تنظیمات</v>
      </c>
      <c r="AR56" s="4" t="str">
        <f>IFERROR(__xludf.DUMMYFUNCTION("GOOGLETRANSLATE(B56,""en"",""pl"")"),"Ustawienia")</f>
        <v>Ustawienia</v>
      </c>
      <c r="AS56" s="4" t="str">
        <f>IFERROR(__xludf.DUMMYFUNCTION("GOOGLETRANSLATE(B56,""en"",""sv"")"),"Inställningar")</f>
        <v>Inställningar</v>
      </c>
      <c r="AT56" s="4" t="str">
        <f>IFERROR(__xludf.DUMMYFUNCTION("GOOGLETRANSLATE(B56,""en"",""uk"")"),"Налаштування")</f>
        <v>Налаштування</v>
      </c>
      <c r="AU56" s="4" t="str">
        <f>IFERROR(__xludf.DUMMYFUNCTION("GOOGLETRANSLATE(B56,""en"",""zu"")"),"Izilungiselelo")</f>
        <v>Izilungiselelo</v>
      </c>
      <c r="AV56" s="4" t="str">
        <f>IFERROR(__xludf.DUMMYFUNCTION("GOOGLETRANSLATE(B56,""en"",""sr"")"),"Подешавања")</f>
        <v>Подешавања</v>
      </c>
    </row>
    <row r="57">
      <c r="A57" s="3" t="s">
        <v>156</v>
      </c>
      <c r="B57" s="3" t="s">
        <v>157</v>
      </c>
      <c r="C57" s="4" t="str">
        <f>IFERROR(__xludf.DUMMYFUNCTION("GOOGLETRANSLATE(B57,""en"",""ta"")"),"வழக்கைப் பயன்படுத்தவும்")</f>
        <v>வழக்கைப் பயன்படுத்தவும்</v>
      </c>
      <c r="D57" s="4" t="str">
        <f>IFERROR(__xludf.DUMMYFUNCTION("GOOGLETRANSLATE(B57,""en"",""hi"")"),"उदाहरण")</f>
        <v>उदाहरण</v>
      </c>
      <c r="E57" s="4" t="str">
        <f>IFERROR(__xludf.DUMMYFUNCTION("GOOGLETRANSLATE(B57,""en"",""id"")"),"Kasus Penggunaan")</f>
        <v>Kasus Penggunaan</v>
      </c>
      <c r="F57" s="4" t="str">
        <f>IFERROR(__xludf.DUMMYFUNCTION("GOOGLETRANSLATE(B57,""en"",""ms"")"),"Use Case")</f>
        <v>Use Case</v>
      </c>
      <c r="G57" s="4" t="str">
        <f>IFERROR(__xludf.DUMMYFUNCTION("GOOGLETRANSLATE(B57,""en"",""de"")"),"Anwendungsfall")</f>
        <v>Anwendungsfall</v>
      </c>
      <c r="H57" s="4" t="str">
        <f>IFERROR(__xludf.DUMMYFUNCTION("GOOGLETRANSLATE(B57,""en"",""es"")"),"Caso de uso")</f>
        <v>Caso de uso</v>
      </c>
      <c r="I57" s="4" t="str">
        <f>IFERROR(__xludf.DUMMYFUNCTION("GOOGLETRANSLATE(B57,""en"",""fr"")"),"Cas d'utilisation")</f>
        <v>Cas d'utilisation</v>
      </c>
      <c r="J57" s="4" t="str">
        <f>IFERROR(__xludf.DUMMYFUNCTION("GOOGLETRANSLATE(B57,""en"",""it"")"),"Caso d'uso")</f>
        <v>Caso d'uso</v>
      </c>
      <c r="K57" s="4" t="str">
        <f>IFERROR(__xludf.DUMMYFUNCTION("GOOGLETRANSLATE(B57,""en"",""pt"")"),"Caso de uso")</f>
        <v>Caso de uso</v>
      </c>
      <c r="L57" s="4" t="str">
        <f>IFERROR(__xludf.DUMMYFUNCTION("GOOGLETRANSLATE(B57,""en"",""ro"")"),"Caz de utilizare")</f>
        <v>Caz de utilizare</v>
      </c>
      <c r="M57" s="4" t="str">
        <f>IFERROR(__xludf.DUMMYFUNCTION("GOOGLETRANSLATE(B57,""en"",""vi"")"),"Trường hợp sử dụng")</f>
        <v>Trường hợp sử dụng</v>
      </c>
      <c r="N57" s="4" t="str">
        <f>IFERROR(__xludf.DUMMYFUNCTION("GOOGLETRANSLATE(B57,""en"",""ru"")"),"Вариант использования")</f>
        <v>Вариант использования</v>
      </c>
      <c r="O57" s="4" t="str">
        <f>IFERROR(__xludf.DUMMYFUNCTION("GOOGLETRANSLATE(B57,""en"",""tr"")"),"Kullanım Örneği")</f>
        <v>Kullanım Örneği</v>
      </c>
      <c r="P57" s="4" t="str">
        <f>IFERROR(__xludf.DUMMYFUNCTION("GOOGLETRANSLATE(B57,""en"",""ar"")"),"حالة الاستخدام")</f>
        <v>حالة الاستخدام</v>
      </c>
      <c r="Q57" s="4" t="str">
        <f>IFERROR(__xludf.DUMMYFUNCTION("GOOGLETRANSLATE(B57,""en"",""mr"")"),"केस वापरा")</f>
        <v>केस वापरा</v>
      </c>
      <c r="R57" s="4" t="str">
        <f>IFERROR(__xludf.DUMMYFUNCTION("GOOGLETRANSLATE(B57,""en"",""gu"")"),"કેસનો ઉપયોગ કરો")</f>
        <v>કેસનો ઉપયોગ કરો</v>
      </c>
      <c r="S57" s="4" t="str">
        <f>IFERROR(__xludf.DUMMYFUNCTION("GOOGLETRANSLATE(B57,""en"",""bn"")"),"কেস ব্যবহার করুন")</f>
        <v>কেস ব্যবহার করুন</v>
      </c>
      <c r="T57" s="4" t="str">
        <f>IFERROR(__xludf.DUMMYFUNCTION("GOOGLETRANSLATE(B57,""en"",""pa"")"),"ਕੇਸ ਦੀ ਵਰਤੋਂ ਕਰੋ")</f>
        <v>ਕੇਸ ਦੀ ਵਰਤੋਂ ਕਰੋ</v>
      </c>
      <c r="U57" s="4" t="str">
        <f>IFERROR(__xludf.DUMMYFUNCTION("GOOGLETRANSLATE(B57,""en"",""te"")"),"కేస్ ఉపయోగించండి")</f>
        <v>కేస్ ఉపయోగించండి</v>
      </c>
      <c r="V57" s="4" t="str">
        <f>IFERROR(__xludf.DUMMYFUNCTION("GOOGLETRANSLATE(B57,""en"",""kn"")"),"ಕೇಸ್ ಬಳಸಿ")</f>
        <v>ಕೇಸ್ ಬಳಸಿ</v>
      </c>
      <c r="W57" s="4" t="str">
        <f>IFERROR(__xludf.DUMMYFUNCTION("GOOGLETRANSLATE(B57,""en"",""ml"")"),"കേസ് ഉപയോഗിക്കുക")</f>
        <v>കേസ് ഉപയോഗിക്കുക</v>
      </c>
      <c r="X57" s="4" t="str">
        <f>IFERROR(__xludf.DUMMYFUNCTION("GOOGLETRANSLATE(B57,""en"",""th"")"),"กรณีการใช้งาน")</f>
        <v>กรณีการใช้งาน</v>
      </c>
      <c r="Y57" s="4" t="str">
        <f>IFERROR(__xludf.DUMMYFUNCTION("GOOGLETRANSLATE(B57,""en"",""ko"")"),"사용 사례")</f>
        <v>사용 사례</v>
      </c>
      <c r="Z57" s="4" t="str">
        <f>IFERROR(__xludf.DUMMYFUNCTION("GOOGLETRANSLATE(B57,""en"",""zh"")"),"用例")</f>
        <v>用例</v>
      </c>
      <c r="AA57" s="4" t="str">
        <f>IFERROR(__xludf.DUMMYFUNCTION("GOOGLETRANSLATE(B57,""en"",""zh-TW"")"),"用例")</f>
        <v>用例</v>
      </c>
      <c r="AB57" s="4" t="str">
        <f>IFERROR(__xludf.DUMMYFUNCTION("GOOGLETRANSLATE(B57,""en"",""ja"")"),"使用事例")</f>
        <v>使用事例</v>
      </c>
      <c r="AC57" s="4" t="str">
        <f>IFERROR(__xludf.DUMMYFUNCTION("GOOGLETRANSLATE(B57,""en"",""bg"")"),"Случай на употреба")</f>
        <v>Случай на употреба</v>
      </c>
      <c r="AD57" s="4" t="str">
        <f>IFERROR(__xludf.DUMMYFUNCTION("GOOGLETRANSLATE(B57,""en"",""cs"")"),"Use Case")</f>
        <v>Use Case</v>
      </c>
      <c r="AE57" s="4" t="str">
        <f>IFERROR(__xludf.DUMMYFUNCTION("GOOGLETRANSLATE(B57,""en"",""da"")"),"Use Case")</f>
        <v>Use Case</v>
      </c>
      <c r="AF57" s="4" t="str">
        <f>IFERROR(__xludf.DUMMYFUNCTION("GOOGLETRANSLATE(B57,""en"",""el"")"),"Περίπτωση χρήσης")</f>
        <v>Περίπτωση χρήσης</v>
      </c>
      <c r="AG57" s="4" t="str">
        <f>IFERROR(__xludf.DUMMYFUNCTION("GOOGLETRANSLATE(B57,""en"",""et"")"),"Kasuta Case")</f>
        <v>Kasuta Case</v>
      </c>
      <c r="AH57" s="4" t="str">
        <f>IFERROR(__xludf.DUMMYFUNCTION("GOOGLETRANSLATE(B57,""en"",""fi"")"),"Käytä Case")</f>
        <v>Käytä Case</v>
      </c>
      <c r="AI57" s="4" t="str">
        <f>IFERROR(__xludf.DUMMYFUNCTION("GOOGLETRANSLATE(B57,""en"",""hr"")"),"Slučaj upotrebe")</f>
        <v>Slučaj upotrebe</v>
      </c>
      <c r="AJ57" s="4" t="str">
        <f>IFERROR(__xludf.DUMMYFUNCTION("GOOGLETRANSLATE(B57,""en"",""hu"")"),"Használati eset")</f>
        <v>Használati eset</v>
      </c>
      <c r="AK57" s="4" t="str">
        <f>IFERROR(__xludf.DUMMYFUNCTION("GOOGLETRANSLATE(B57,""en"",""hy"")"),"Օգտագործեք գործը")</f>
        <v>Օգտագործեք գործը</v>
      </c>
      <c r="AL57" s="4" t="str">
        <f>IFERROR(__xludf.DUMMYFUNCTION("GOOGLETRANSLATE(B57,""en"",""ca"")"),"Cas d'ús")</f>
        <v>Cas d'ús</v>
      </c>
      <c r="AM57" s="4" t="str">
        <f>IFERROR(__xludf.DUMMYFUNCTION("GOOGLETRANSLATE(B57,""en"",""nl"")"),"Gebruiksscenario")</f>
        <v>Gebruiksscenario</v>
      </c>
      <c r="AN57" s="4" t="str">
        <f>IFERROR(__xludf.DUMMYFUNCTION("GOOGLETRANSLATE(B57,""en"",""he"")"),"Use Case")</f>
        <v>Use Case</v>
      </c>
      <c r="AO57" s="4" t="str">
        <f>IFERROR(__xludf.DUMMYFUNCTION("GOOGLETRANSLATE(B57,""en"",""is"")"),"Notkunarmál")</f>
        <v>Notkunarmál</v>
      </c>
      <c r="AP57" s="4" t="str">
        <f>IFERROR(__xludf.DUMMYFUNCTION("GOOGLETRANSLATE(B57,""en"",""no"")"),"Bruk Case")</f>
        <v>Bruk Case</v>
      </c>
      <c r="AQ57" s="4" t="str">
        <f>IFERROR(__xludf.DUMMYFUNCTION("GOOGLETRANSLATE(B57,""en"",""fa"")"),"استفاده از مورد")</f>
        <v>استفاده از مورد</v>
      </c>
      <c r="AR57" s="4" t="str">
        <f>IFERROR(__xludf.DUMMYFUNCTION("GOOGLETRANSLATE(B57,""en"",""pl"")"),"Przypadek użycia")</f>
        <v>Przypadek użycia</v>
      </c>
      <c r="AS57" s="4" t="str">
        <f>IFERROR(__xludf.DUMMYFUNCTION("GOOGLETRANSLATE(B57,""en"",""sv"")"),"Användningsfall")</f>
        <v>Användningsfall</v>
      </c>
      <c r="AT57" s="4" t="str">
        <f>IFERROR(__xludf.DUMMYFUNCTION("GOOGLETRANSLATE(B57,""en"",""uk"")"),"Випадок використання")</f>
        <v>Випадок використання</v>
      </c>
      <c r="AU57" s="4" t="str">
        <f>IFERROR(__xludf.DUMMYFUNCTION("GOOGLETRANSLATE(B57,""en"",""zu"")"),"Sebenzisa Ikesi")</f>
        <v>Sebenzisa Ikesi</v>
      </c>
      <c r="AV57" s="4" t="str">
        <f>IFERROR(__xludf.DUMMYFUNCTION("GOOGLETRANSLATE(B57,""en"",""sr"")"),"Случај употребе")</f>
        <v>Случај употребе</v>
      </c>
    </row>
    <row r="58">
      <c r="A58" s="3" t="s">
        <v>158</v>
      </c>
      <c r="B58" s="3" t="s">
        <v>159</v>
      </c>
      <c r="C58" s="4" t="str">
        <f>IFERROR(__xludf.DUMMYFUNCTION("GOOGLETRANSLATE(B58,""en"",""ta"")"),"உதவி வீடியோ")</f>
        <v>உதவி வீடியோ</v>
      </c>
      <c r="D58" s="4" t="str">
        <f>IFERROR(__xludf.DUMMYFUNCTION("GOOGLETRANSLATE(B58,""en"",""hi"")"),"सहायता वीडियो")</f>
        <v>सहायता वीडियो</v>
      </c>
      <c r="E58" s="4" t="str">
        <f>IFERROR(__xludf.DUMMYFUNCTION("GOOGLETRANSLATE(B58,""en"",""id"")"),"Video Bantuan")</f>
        <v>Video Bantuan</v>
      </c>
      <c r="F58" s="4" t="str">
        <f>IFERROR(__xludf.DUMMYFUNCTION("GOOGLETRANSLATE(B58,""en"",""ms"")"),"Video Bantuan")</f>
        <v>Video Bantuan</v>
      </c>
      <c r="G58" s="4" t="str">
        <f>IFERROR(__xludf.DUMMYFUNCTION("GOOGLETRANSLATE(B58,""en"",""de"")"),"Hilfevideo")</f>
        <v>Hilfevideo</v>
      </c>
      <c r="H58" s="4" t="str">
        <f>IFERROR(__xludf.DUMMYFUNCTION("GOOGLETRANSLATE(B58,""en"",""es"")"),"Vídeo de ayuda")</f>
        <v>Vídeo de ayuda</v>
      </c>
      <c r="I58" s="4" t="str">
        <f>IFERROR(__xludf.DUMMYFUNCTION("GOOGLETRANSLATE(B58,""en"",""fr"")"),"Vidéo d'aide")</f>
        <v>Vidéo d'aide</v>
      </c>
      <c r="J58" s="4" t="str">
        <f>IFERROR(__xludf.DUMMYFUNCTION("GOOGLETRANSLATE(B58,""en"",""it"")"),"Video di aiuto")</f>
        <v>Video di aiuto</v>
      </c>
      <c r="K58" s="4" t="str">
        <f>IFERROR(__xludf.DUMMYFUNCTION("GOOGLETRANSLATE(B58,""en"",""pt"")"),"Vídeo de ajuda")</f>
        <v>Vídeo de ajuda</v>
      </c>
      <c r="L58" s="4" t="str">
        <f>IFERROR(__xludf.DUMMYFUNCTION("GOOGLETRANSLATE(B58,""en"",""ro"")"),"Video de ajutor")</f>
        <v>Video de ajutor</v>
      </c>
      <c r="M58" s="4" t="str">
        <f>IFERROR(__xludf.DUMMYFUNCTION("GOOGLETRANSLATE(B58,""en"",""vi"")"),"Video trợ giúp")</f>
        <v>Video trợ giúp</v>
      </c>
      <c r="N58" s="4" t="str">
        <f>IFERROR(__xludf.DUMMYFUNCTION("GOOGLETRANSLATE(B58,""en"",""ru"")"),"Видео Помощь")</f>
        <v>Видео Помощь</v>
      </c>
      <c r="O58" s="4" t="str">
        <f>IFERROR(__xludf.DUMMYFUNCTION("GOOGLETRANSLATE(B58,""en"",""tr"")"),"Yardım Videosu")</f>
        <v>Yardım Videosu</v>
      </c>
      <c r="P58" s="4" t="str">
        <f>IFERROR(__xludf.DUMMYFUNCTION("GOOGLETRANSLATE(B58,""en"",""ar"")"),"فيديو المساعدة")</f>
        <v>فيديو المساعدة</v>
      </c>
      <c r="Q58" s="4" t="str">
        <f>IFERROR(__xludf.DUMMYFUNCTION("GOOGLETRANSLATE(B58,""en"",""mr"")"),"मदत व्हिडिओ")</f>
        <v>मदत व्हिडिओ</v>
      </c>
      <c r="R58" s="4" t="str">
        <f>IFERROR(__xludf.DUMMYFUNCTION("GOOGLETRANSLATE(B58,""en"",""gu"")"),"મદદ વિડિઓ")</f>
        <v>મદદ વિડિઓ</v>
      </c>
      <c r="S58" s="4" t="str">
        <f>IFERROR(__xludf.DUMMYFUNCTION("GOOGLETRANSLATE(B58,""en"",""bn"")"),"সাহায্য ভিডিও")</f>
        <v>সাহায্য ভিডিও</v>
      </c>
      <c r="T58" s="4" t="str">
        <f>IFERROR(__xludf.DUMMYFUNCTION("GOOGLETRANSLATE(B58,""en"",""pa"")"),"ਮਦਦ ਵੀਡੀਓ")</f>
        <v>ਮਦਦ ਵੀਡੀਓ</v>
      </c>
      <c r="U58" s="4" t="str">
        <f>IFERROR(__xludf.DUMMYFUNCTION("GOOGLETRANSLATE(B58,""en"",""te"")"),"సహాయ వీడియో")</f>
        <v>సహాయ వీడియో</v>
      </c>
      <c r="V58" s="4" t="str">
        <f>IFERROR(__xludf.DUMMYFUNCTION("GOOGLETRANSLATE(B58,""en"",""kn"")"),"ಸಹಾಯ ವೀಡಿಯೊ")</f>
        <v>ಸಹಾಯ ವೀಡಿಯೊ</v>
      </c>
      <c r="W58" s="4" t="str">
        <f>IFERROR(__xludf.DUMMYFUNCTION("GOOGLETRANSLATE(B58,""en"",""ml"")"),"സഹായ വീഡിയോ")</f>
        <v>സഹായ വീഡിയോ</v>
      </c>
      <c r="X58" s="4" t="str">
        <f>IFERROR(__xludf.DUMMYFUNCTION("GOOGLETRANSLATE(B58,""en"",""th"")"),"วีดีโอช่วยเหลือ")</f>
        <v>วีดีโอช่วยเหลือ</v>
      </c>
      <c r="Y58" s="4" t="str">
        <f>IFERROR(__xludf.DUMMYFUNCTION("GOOGLETRANSLATE(B58,""en"",""ko"")"),"도움말 비디오")</f>
        <v>도움말 비디오</v>
      </c>
      <c r="Z58" s="4" t="str">
        <f>IFERROR(__xludf.DUMMYFUNCTION("GOOGLETRANSLATE(B58,""en"",""zh"")"),"帮助视频")</f>
        <v>帮助视频</v>
      </c>
      <c r="AA58" s="4" t="str">
        <f>IFERROR(__xludf.DUMMYFUNCTION("GOOGLETRANSLATE(B58,""en"",""zh-TW"")"),"幫助視頻")</f>
        <v>幫助視頻</v>
      </c>
      <c r="AB58" s="4" t="str">
        <f>IFERROR(__xludf.DUMMYFUNCTION("GOOGLETRANSLATE(B58,""en"",""ja"")"),"ヘルプビデオ")</f>
        <v>ヘルプビデオ</v>
      </c>
      <c r="AC58" s="4" t="str">
        <f>IFERROR(__xludf.DUMMYFUNCTION("GOOGLETRANSLATE(B58,""en"",""bg"")"),"Помощно видео")</f>
        <v>Помощно видео</v>
      </c>
      <c r="AD58" s="4" t="str">
        <f>IFERROR(__xludf.DUMMYFUNCTION("GOOGLETRANSLATE(B58,""en"",""cs"")"),"Video nápovědy")</f>
        <v>Video nápovědy</v>
      </c>
      <c r="AE58" s="4" t="str">
        <f>IFERROR(__xludf.DUMMYFUNCTION("GOOGLETRANSLATE(B58,""en"",""da"")"),"Hjælp video")</f>
        <v>Hjælp video</v>
      </c>
      <c r="AF58" s="4" t="str">
        <f>IFERROR(__xludf.DUMMYFUNCTION("GOOGLETRANSLATE(B58,""en"",""el"")"),"Βίντεο βοήθειας")</f>
        <v>Βίντεο βοήθειας</v>
      </c>
      <c r="AG58" s="4" t="str">
        <f>IFERROR(__xludf.DUMMYFUNCTION("GOOGLETRANSLATE(B58,""en"",""et"")"),"Abivideo")</f>
        <v>Abivideo</v>
      </c>
      <c r="AH58" s="4" t="str">
        <f>IFERROR(__xludf.DUMMYFUNCTION("GOOGLETRANSLATE(B58,""en"",""fi"")"),"Ohjevideo")</f>
        <v>Ohjevideo</v>
      </c>
      <c r="AI58" s="4" t="str">
        <f>IFERROR(__xludf.DUMMYFUNCTION("GOOGLETRANSLATE(B58,""en"",""hr"")"),"Video pomoći")</f>
        <v>Video pomoći</v>
      </c>
      <c r="AJ58" s="4" t="str">
        <f>IFERROR(__xludf.DUMMYFUNCTION("GOOGLETRANSLATE(B58,""en"",""hu"")"),"Súgó videó")</f>
        <v>Súgó videó</v>
      </c>
      <c r="AK58" s="4" t="str">
        <f>IFERROR(__xludf.DUMMYFUNCTION("GOOGLETRANSLATE(B58,""en"",""hy"")"),"Օգնության տեսանյութ")</f>
        <v>Օգնության տեսանյութ</v>
      </c>
      <c r="AL58" s="4" t="str">
        <f>IFERROR(__xludf.DUMMYFUNCTION("GOOGLETRANSLATE(B58,""en"",""ca"")"),"Vídeo d'ajuda")</f>
        <v>Vídeo d'ajuda</v>
      </c>
      <c r="AM58" s="4" t="str">
        <f>IFERROR(__xludf.DUMMYFUNCTION("GOOGLETRANSLATE(B58,""en"",""nl"")"),"Helpvideo")</f>
        <v>Helpvideo</v>
      </c>
      <c r="AN58" s="4" t="str">
        <f>IFERROR(__xludf.DUMMYFUNCTION("GOOGLETRANSLATE(B58,""en"",""he"")"),"סרטון עזרה")</f>
        <v>סרטון עזרה</v>
      </c>
      <c r="AO58" s="4" t="str">
        <f>IFERROR(__xludf.DUMMYFUNCTION("GOOGLETRANSLATE(B58,""en"",""is"")"),"Hjálpar myndband")</f>
        <v>Hjálpar myndband</v>
      </c>
      <c r="AP58" s="4" t="str">
        <f>IFERROR(__xludf.DUMMYFUNCTION("GOOGLETRANSLATE(B58,""en"",""no"")"),"Hjelpevideo")</f>
        <v>Hjelpevideo</v>
      </c>
      <c r="AQ58" s="4" t="str">
        <f>IFERROR(__xludf.DUMMYFUNCTION("GOOGLETRANSLATE(B58,""en"",""fa"")"),"ویدیوی راهنما")</f>
        <v>ویدیوی راهنما</v>
      </c>
      <c r="AR58" s="4" t="str">
        <f>IFERROR(__xludf.DUMMYFUNCTION("GOOGLETRANSLATE(B58,""en"",""pl"")"),"Pomoc wideo")</f>
        <v>Pomoc wideo</v>
      </c>
      <c r="AS58" s="4" t="str">
        <f>IFERROR(__xludf.DUMMYFUNCTION("GOOGLETRANSLATE(B58,""en"",""sv"")"),"Hjälpvideo")</f>
        <v>Hjälpvideo</v>
      </c>
      <c r="AT58" s="4" t="str">
        <f>IFERROR(__xludf.DUMMYFUNCTION("GOOGLETRANSLATE(B58,""en"",""uk"")"),"Довідкове відео")</f>
        <v>Довідкове відео</v>
      </c>
      <c r="AU58" s="4" t="str">
        <f>IFERROR(__xludf.DUMMYFUNCTION("GOOGLETRANSLATE(B58,""en"",""zu"")"),"Ividiyo yosizo")</f>
        <v>Ividiyo yosizo</v>
      </c>
      <c r="AV58" s="4" t="str">
        <f>IFERROR(__xludf.DUMMYFUNCTION("GOOGLETRANSLATE(B58,""en"",""sr"")"),"Видео за помоћ")</f>
        <v>Видео за помоћ</v>
      </c>
    </row>
    <row r="59">
      <c r="A59" s="3" t="s">
        <v>160</v>
      </c>
      <c r="B59" s="3" t="s">
        <v>161</v>
      </c>
      <c r="C59" s="4" t="str">
        <f>IFERROR(__xludf.DUMMYFUNCTION("GOOGLETRANSLATE(B59,""en"",""ta"")"),"ஆப்ஸைப் பகிரவும்")</f>
        <v>ஆப்ஸைப் பகிரவும்</v>
      </c>
      <c r="D59" s="4" t="str">
        <f>IFERROR(__xludf.DUMMYFUNCTION("GOOGLETRANSLATE(B59,""en"",""hi"")"),"ऐप साझा करें")</f>
        <v>ऐप साझा करें</v>
      </c>
      <c r="E59" s="4" t="str">
        <f>IFERROR(__xludf.DUMMYFUNCTION("GOOGLETRANSLATE(B59,""en"",""id"")"),"Bagikan Aplikasi")</f>
        <v>Bagikan Aplikasi</v>
      </c>
      <c r="F59" s="4" t="str">
        <f>IFERROR(__xludf.DUMMYFUNCTION("GOOGLETRANSLATE(B59,""en"",""ms"")"),"Kongsi Apl")</f>
        <v>Kongsi Apl</v>
      </c>
      <c r="G59" s="4" t="str">
        <f>IFERROR(__xludf.DUMMYFUNCTION("GOOGLETRANSLATE(B59,""en"",""de"")"),"App teilen")</f>
        <v>App teilen</v>
      </c>
      <c r="H59" s="4" t="str">
        <f>IFERROR(__xludf.DUMMYFUNCTION("GOOGLETRANSLATE(B59,""en"",""es"")"),"Compartir aplicación")</f>
        <v>Compartir aplicación</v>
      </c>
      <c r="I59" s="4" t="str">
        <f>IFERROR(__xludf.DUMMYFUNCTION("GOOGLETRANSLATE(B59,""en"",""fr"")"),"Partager l'application")</f>
        <v>Partager l'application</v>
      </c>
      <c r="J59" s="4" t="str">
        <f>IFERROR(__xludf.DUMMYFUNCTION("GOOGLETRANSLATE(B59,""en"",""it"")"),"Condividi app")</f>
        <v>Condividi app</v>
      </c>
      <c r="K59" s="4" t="str">
        <f>IFERROR(__xludf.DUMMYFUNCTION("GOOGLETRANSLATE(B59,""en"",""pt"")"),"Compartilhar aplicativo")</f>
        <v>Compartilhar aplicativo</v>
      </c>
      <c r="L59" s="4" t="str">
        <f>IFERROR(__xludf.DUMMYFUNCTION("GOOGLETRANSLATE(B59,""en"",""ro"")"),"Partajați aplicația")</f>
        <v>Partajați aplicația</v>
      </c>
      <c r="M59" s="4" t="str">
        <f>IFERROR(__xludf.DUMMYFUNCTION("GOOGLETRANSLATE(B59,""en"",""vi"")"),"Chia sẻ ứng dụng")</f>
        <v>Chia sẻ ứng dụng</v>
      </c>
      <c r="N59" s="4" t="str">
        <f>IFERROR(__xludf.DUMMYFUNCTION("GOOGLETRANSLATE(B59,""en"",""ru"")"),"Поделиться приложением")</f>
        <v>Поделиться приложением</v>
      </c>
      <c r="O59" s="4" t="str">
        <f>IFERROR(__xludf.DUMMYFUNCTION("GOOGLETRANSLATE(B59,""en"",""tr"")"),"Uygulamayı Paylaş")</f>
        <v>Uygulamayı Paylaş</v>
      </c>
      <c r="P59" s="4" t="str">
        <f>IFERROR(__xludf.DUMMYFUNCTION("GOOGLETRANSLATE(B59,""en"",""ar"")"),"مشاركة التطبيق")</f>
        <v>مشاركة التطبيق</v>
      </c>
      <c r="Q59" s="4" t="str">
        <f>IFERROR(__xludf.DUMMYFUNCTION("GOOGLETRANSLATE(B59,""en"",""mr"")"),"ॲप शेअर करा")</f>
        <v>ॲप शेअर करा</v>
      </c>
      <c r="R59" s="4" t="str">
        <f>IFERROR(__xludf.DUMMYFUNCTION("GOOGLETRANSLATE(B59,""en"",""gu"")"),"એપ શેર કરો")</f>
        <v>એપ શેર કરો</v>
      </c>
      <c r="S59" s="4" t="str">
        <f>IFERROR(__xludf.DUMMYFUNCTION("GOOGLETRANSLATE(B59,""en"",""bn"")"),"অ্যাপ শেয়ার করুন")</f>
        <v>অ্যাপ শেয়ার করুন</v>
      </c>
      <c r="T59" s="4" t="str">
        <f>IFERROR(__xludf.DUMMYFUNCTION("GOOGLETRANSLATE(B59,""en"",""pa"")"),"ਐਪ ਸ਼ੇਅਰ ਕਰੋ")</f>
        <v>ਐਪ ਸ਼ੇਅਰ ਕਰੋ</v>
      </c>
      <c r="U59" s="4" t="str">
        <f>IFERROR(__xludf.DUMMYFUNCTION("GOOGLETRANSLATE(B59,""en"",""te"")"),"యాప్‌ను భాగస్వామ్యం చేయండి")</f>
        <v>యాప్‌ను భాగస్వామ్యం చేయండి</v>
      </c>
      <c r="V59" s="4" t="str">
        <f>IFERROR(__xludf.DUMMYFUNCTION("GOOGLETRANSLATE(B59,""en"",""kn"")"),"ಅಪ್ಲಿಕೇಶನ್ ಹಂಚಿಕೊಳ್ಳಿ")</f>
        <v>ಅಪ್ಲಿಕೇಶನ್ ಹಂಚಿಕೊಳ್ಳಿ</v>
      </c>
      <c r="W59" s="4" t="str">
        <f>IFERROR(__xludf.DUMMYFUNCTION("GOOGLETRANSLATE(B59,""en"",""ml"")"),"ആപ്പ് പങ്കിടുക")</f>
        <v>ആപ്പ് പങ്കിടുക</v>
      </c>
      <c r="X59" s="4" t="str">
        <f>IFERROR(__xludf.DUMMYFUNCTION("GOOGLETRANSLATE(B59,""en"",""th"")"),"แชร์แอป")</f>
        <v>แชร์แอป</v>
      </c>
      <c r="Y59" s="4" t="str">
        <f>IFERROR(__xludf.DUMMYFUNCTION("GOOGLETRANSLATE(B59,""en"",""ko"")"),"앱 공유")</f>
        <v>앱 공유</v>
      </c>
      <c r="Z59" s="4" t="str">
        <f>IFERROR(__xludf.DUMMYFUNCTION("GOOGLETRANSLATE(B59,""en"",""zh"")"),"分享应用程序")</f>
        <v>分享应用程序</v>
      </c>
      <c r="AA59" s="4" t="str">
        <f>IFERROR(__xludf.DUMMYFUNCTION("GOOGLETRANSLATE(B59,""en"",""zh-TW"")"),"分享應用程式")</f>
        <v>分享應用程式</v>
      </c>
      <c r="AB59" s="4" t="str">
        <f>IFERROR(__xludf.DUMMYFUNCTION("GOOGLETRANSLATE(B59,""en"",""ja"")"),"アプリを共有")</f>
        <v>アプリを共有</v>
      </c>
      <c r="AC59" s="4" t="str">
        <f>IFERROR(__xludf.DUMMYFUNCTION("GOOGLETRANSLATE(B59,""en"",""bg"")"),"Приложение за споделяне")</f>
        <v>Приложение за споделяне</v>
      </c>
      <c r="AD59" s="4" t="str">
        <f>IFERROR(__xludf.DUMMYFUNCTION("GOOGLETRANSLATE(B59,""en"",""cs"")"),"Sdílet aplikaci")</f>
        <v>Sdílet aplikaci</v>
      </c>
      <c r="AE59" s="4" t="str">
        <f>IFERROR(__xludf.DUMMYFUNCTION("GOOGLETRANSLATE(B59,""en"",""da"")"),"Del app")</f>
        <v>Del app</v>
      </c>
      <c r="AF59" s="4" t="str">
        <f>IFERROR(__xludf.DUMMYFUNCTION("GOOGLETRANSLATE(B59,""en"",""el"")"),"Κοινή χρήση εφαρμογής")</f>
        <v>Κοινή χρήση εφαρμογής</v>
      </c>
      <c r="AG59" s="4" t="str">
        <f>IFERROR(__xludf.DUMMYFUNCTION("GOOGLETRANSLATE(B59,""en"",""et"")"),"Jaga rakendust")</f>
        <v>Jaga rakendust</v>
      </c>
      <c r="AH59" s="4" t="str">
        <f>IFERROR(__xludf.DUMMYFUNCTION("GOOGLETRANSLATE(B59,""en"",""fi"")"),"Jaa sovellus")</f>
        <v>Jaa sovellus</v>
      </c>
      <c r="AI59" s="4" t="str">
        <f>IFERROR(__xludf.DUMMYFUNCTION("GOOGLETRANSLATE(B59,""en"",""hr"")"),"Dijeli aplikaciju")</f>
        <v>Dijeli aplikaciju</v>
      </c>
      <c r="AJ59" s="4" t="str">
        <f>IFERROR(__xludf.DUMMYFUNCTION("GOOGLETRANSLATE(B59,""en"",""hu"")"),"Share App")</f>
        <v>Share App</v>
      </c>
      <c r="AK59" s="4" t="str">
        <f>IFERROR(__xludf.DUMMYFUNCTION("GOOGLETRANSLATE(B59,""en"",""hy"")"),"Համօգտագործել հավելվածը")</f>
        <v>Համօգտագործել հավելվածը</v>
      </c>
      <c r="AL59" s="4" t="str">
        <f>IFERROR(__xludf.DUMMYFUNCTION("GOOGLETRANSLATE(B59,""en"",""ca"")"),"Comparteix l'aplicació")</f>
        <v>Comparteix l'aplicació</v>
      </c>
      <c r="AM59" s="4" t="str">
        <f>IFERROR(__xludf.DUMMYFUNCTION("GOOGLETRANSLATE(B59,""en"",""nl"")"),"App delen")</f>
        <v>App delen</v>
      </c>
      <c r="AN59" s="4" t="str">
        <f>IFERROR(__xludf.DUMMYFUNCTION("GOOGLETRANSLATE(B59,""en"",""he"")"),"שתף אפליקציה")</f>
        <v>שתף אפליקציה</v>
      </c>
      <c r="AO59" s="4" t="str">
        <f>IFERROR(__xludf.DUMMYFUNCTION("GOOGLETRANSLATE(B59,""en"",""is"")"),"Deila app")</f>
        <v>Deila app</v>
      </c>
      <c r="AP59" s="4" t="str">
        <f>IFERROR(__xludf.DUMMYFUNCTION("GOOGLETRANSLATE(B59,""en"",""no"")"),"Del appen")</f>
        <v>Del appen</v>
      </c>
      <c r="AQ59" s="4" t="str">
        <f>IFERROR(__xludf.DUMMYFUNCTION("GOOGLETRANSLATE(B59,""en"",""fa"")"),"اشتراک گذاری برنامه")</f>
        <v>اشتراک گذاری برنامه</v>
      </c>
      <c r="AR59" s="4" t="str">
        <f>IFERROR(__xludf.DUMMYFUNCTION("GOOGLETRANSLATE(B59,""en"",""pl"")"),"Udostępnij aplikację")</f>
        <v>Udostępnij aplikację</v>
      </c>
      <c r="AS59" s="4" t="str">
        <f>IFERROR(__xludf.DUMMYFUNCTION("GOOGLETRANSLATE(B59,""en"",""sv"")"),"Dela appen")</f>
        <v>Dela appen</v>
      </c>
      <c r="AT59" s="4" t="str">
        <f>IFERROR(__xludf.DUMMYFUNCTION("GOOGLETRANSLATE(B59,""en"",""uk"")"),"Поділитися додатком")</f>
        <v>Поділитися додатком</v>
      </c>
      <c r="AU59" s="4" t="str">
        <f>IFERROR(__xludf.DUMMYFUNCTION("GOOGLETRANSLATE(B59,""en"",""zu"")"),"Yabelana ngohlelo lokusebenza")</f>
        <v>Yabelana ngohlelo lokusebenza</v>
      </c>
      <c r="AV59" s="4" t="str">
        <f>IFERROR(__xludf.DUMMYFUNCTION("GOOGLETRANSLATE(B59,""en"",""sr"")"),"Делите апликацију")</f>
        <v>Делите апликацију</v>
      </c>
    </row>
    <row r="60">
      <c r="A60" s="3" t="s">
        <v>162</v>
      </c>
      <c r="B60" s="3" t="s">
        <v>61</v>
      </c>
      <c r="C60" s="4" t="str">
        <f>IFERROR(__xludf.DUMMYFUNCTION("GOOGLETRANSLATE(B60,""en"",""ta"")"),"பயனர் கருத்து")</f>
        <v>பயனர் கருத்து</v>
      </c>
      <c r="D60" s="4" t="str">
        <f>IFERROR(__xludf.DUMMYFUNCTION("GOOGLETRANSLATE(B60,""en"",""hi"")"),"उपयोगकर्ता प्रतिसाद")</f>
        <v>उपयोगकर्ता प्रतिसाद</v>
      </c>
      <c r="E60" s="4" t="str">
        <f>IFERROR(__xludf.DUMMYFUNCTION("GOOGLETRANSLATE(B60,""en"",""id"")"),"Umpan Balik Pengguna")</f>
        <v>Umpan Balik Pengguna</v>
      </c>
      <c r="F60" s="4" t="str">
        <f>IFERROR(__xludf.DUMMYFUNCTION("GOOGLETRANSLATE(B60,""en"",""ms"")"),"Maklum Balas Pengguna")</f>
        <v>Maklum Balas Pengguna</v>
      </c>
      <c r="G60" s="4" t="str">
        <f>IFERROR(__xludf.DUMMYFUNCTION("GOOGLETRANSLATE(B60,""en"",""de"")"),"Benutzerfeedback")</f>
        <v>Benutzerfeedback</v>
      </c>
      <c r="H60" s="4" t="str">
        <f>IFERROR(__xludf.DUMMYFUNCTION("GOOGLETRANSLATE(B60,""en"",""es"")"),"Comentarios de los usuarios")</f>
        <v>Comentarios de los usuarios</v>
      </c>
      <c r="I60" s="4" t="str">
        <f>IFERROR(__xludf.DUMMYFUNCTION("GOOGLETRANSLATE(B60,""en"",""fr"")"),"Commentaires des utilisateurs")</f>
        <v>Commentaires des utilisateurs</v>
      </c>
      <c r="J60" s="4" t="str">
        <f>IFERROR(__xludf.DUMMYFUNCTION("GOOGLETRANSLATE(B60,""en"",""it"")"),"Feedback degli utenti")</f>
        <v>Feedback degli utenti</v>
      </c>
      <c r="K60" s="4" t="str">
        <f>IFERROR(__xludf.DUMMYFUNCTION("GOOGLETRANSLATE(B60,""en"",""pt"")"),"Comentários do usuário")</f>
        <v>Comentários do usuário</v>
      </c>
      <c r="L60" s="4" t="str">
        <f>IFERROR(__xludf.DUMMYFUNCTION("GOOGLETRANSLATE(B60,""en"",""ro"")"),"Feedback utilizator")</f>
        <v>Feedback utilizator</v>
      </c>
      <c r="M60" s="4" t="str">
        <f>IFERROR(__xludf.DUMMYFUNCTION("GOOGLETRANSLATE(B60,""en"",""vi"")"),"Phản hồi của người dùng")</f>
        <v>Phản hồi của người dùng</v>
      </c>
      <c r="N60" s="4" t="str">
        <f>IFERROR(__xludf.DUMMYFUNCTION("GOOGLETRANSLATE(B60,""en"",""ru"")"),"Отзывы пользователей")</f>
        <v>Отзывы пользователей</v>
      </c>
      <c r="O60" s="4" t="str">
        <f>IFERROR(__xludf.DUMMYFUNCTION("GOOGLETRANSLATE(B60,""en"",""tr"")"),"Kullanıcı Geri Bildirimi")</f>
        <v>Kullanıcı Geri Bildirimi</v>
      </c>
      <c r="P60" s="4" t="str">
        <f>IFERROR(__xludf.DUMMYFUNCTION("GOOGLETRANSLATE(B60,""en"",""ar"")"),"تعليقات المستخدم")</f>
        <v>تعليقات المستخدم</v>
      </c>
      <c r="Q60" s="4" t="str">
        <f>IFERROR(__xludf.DUMMYFUNCTION("GOOGLETRANSLATE(B60,""en"",""mr"")"),"वापरकर्ता अभिप्राय")</f>
        <v>वापरकर्ता अभिप्राय</v>
      </c>
      <c r="R60" s="4" t="str">
        <f>IFERROR(__xludf.DUMMYFUNCTION("GOOGLETRANSLATE(B60,""en"",""gu"")"),"વપરાશકર્તા પ્રતિસાદ")</f>
        <v>વપરાશકર્તા પ્રતિસાદ</v>
      </c>
      <c r="S60" s="4" t="str">
        <f>IFERROR(__xludf.DUMMYFUNCTION("GOOGLETRANSLATE(B60,""en"",""bn"")"),"ব্যবহারকারীর প্রতিক্রিয়া")</f>
        <v>ব্যবহারকারীর প্রতিক্রিয়া</v>
      </c>
      <c r="T60" s="4" t="str">
        <f>IFERROR(__xludf.DUMMYFUNCTION("GOOGLETRANSLATE(B60,""en"",""pa"")"),"ਯੂਜ਼ਰ ਫੀਡਬੈਕ")</f>
        <v>ਯੂਜ਼ਰ ਫੀਡਬੈਕ</v>
      </c>
      <c r="U60" s="4" t="str">
        <f>IFERROR(__xludf.DUMMYFUNCTION("GOOGLETRANSLATE(B60,""en"",""te"")"),"వినియోగదారు అభిప్రాయం")</f>
        <v>వినియోగదారు అభిప్రాయం</v>
      </c>
      <c r="V60" s="4" t="str">
        <f>IFERROR(__xludf.DUMMYFUNCTION("GOOGLETRANSLATE(B60,""en"",""kn"")"),"ಬಳಕೆದಾರರ ಪ್ರತಿಕ್ರಿಯೆ")</f>
        <v>ಬಳಕೆದಾರರ ಪ್ರತಿಕ್ರಿಯೆ</v>
      </c>
      <c r="W60" s="4" t="str">
        <f>IFERROR(__xludf.DUMMYFUNCTION("GOOGLETRANSLATE(B60,""en"",""ml"")"),"ഉപയോക്തൃ ഫീഡ്ബാക്ക്")</f>
        <v>ഉപയോക്തൃ ഫീഡ്ബാക്ക്</v>
      </c>
      <c r="X60" s="4" t="str">
        <f>IFERROR(__xludf.DUMMYFUNCTION("GOOGLETRANSLATE(B60,""en"",""th"")"),"ความคิดเห็นของผู้ใช้")</f>
        <v>ความคิดเห็นของผู้ใช้</v>
      </c>
      <c r="Y60" s="4" t="str">
        <f>IFERROR(__xludf.DUMMYFUNCTION("GOOGLETRANSLATE(B60,""en"",""ko"")"),"사용자 피드백")</f>
        <v>사용자 피드백</v>
      </c>
      <c r="Z60" s="4" t="str">
        <f>IFERROR(__xludf.DUMMYFUNCTION("GOOGLETRANSLATE(B60,""en"",""zh"")"),"用户反馈")</f>
        <v>用户反馈</v>
      </c>
      <c r="AA60" s="4" t="str">
        <f>IFERROR(__xludf.DUMMYFUNCTION("GOOGLETRANSLATE(B60,""en"",""zh-TW"")"),"使用者回饋")</f>
        <v>使用者回饋</v>
      </c>
      <c r="AB60" s="4" t="str">
        <f>IFERROR(__xludf.DUMMYFUNCTION("GOOGLETRANSLATE(B60,""en"",""ja"")"),"ユーザーフィードバック")</f>
        <v>ユーザーフィードバック</v>
      </c>
      <c r="AC60" s="4" t="str">
        <f>IFERROR(__xludf.DUMMYFUNCTION("GOOGLETRANSLATE(B60,""en"",""bg"")"),"Потребителски отзиви")</f>
        <v>Потребителски отзиви</v>
      </c>
      <c r="AD60" s="4" t="str">
        <f>IFERROR(__xludf.DUMMYFUNCTION("GOOGLETRANSLATE(B60,""en"",""cs"")"),"Uživatelská zpětná vazba")</f>
        <v>Uživatelská zpětná vazba</v>
      </c>
      <c r="AE60" s="4" t="str">
        <f>IFERROR(__xludf.DUMMYFUNCTION("GOOGLETRANSLATE(B60,""en"",""da"")"),"Brugerfeedback")</f>
        <v>Brugerfeedback</v>
      </c>
      <c r="AF60" s="4" t="str">
        <f>IFERROR(__xludf.DUMMYFUNCTION("GOOGLETRANSLATE(B60,""en"",""el"")"),"Σχόλια χρήστη")</f>
        <v>Σχόλια χρήστη</v>
      </c>
      <c r="AG60" s="4" t="str">
        <f>IFERROR(__xludf.DUMMYFUNCTION("GOOGLETRANSLATE(B60,""en"",""et"")"),"Kasutajate tagasiside")</f>
        <v>Kasutajate tagasiside</v>
      </c>
      <c r="AH60" s="4" t="str">
        <f>IFERROR(__xludf.DUMMYFUNCTION("GOOGLETRANSLATE(B60,""en"",""fi"")"),"Käyttäjien palaute")</f>
        <v>Käyttäjien palaute</v>
      </c>
      <c r="AI60" s="4" t="str">
        <f>IFERROR(__xludf.DUMMYFUNCTION("GOOGLETRANSLATE(B60,""en"",""hr"")"),"Povratne informacije korisnika")</f>
        <v>Povratne informacije korisnika</v>
      </c>
      <c r="AJ60" s="4" t="str">
        <f>IFERROR(__xludf.DUMMYFUNCTION("GOOGLETRANSLATE(B60,""en"",""hu"")"),"Felhasználói visszajelzés")</f>
        <v>Felhasználói visszajelzés</v>
      </c>
      <c r="AK60" s="4" t="str">
        <f>IFERROR(__xludf.DUMMYFUNCTION("GOOGLETRANSLATE(B60,""en"",""hy"")"),"Օգտատիրոջ հետադարձ կապ")</f>
        <v>Օգտատիրոջ հետադարձ կապ</v>
      </c>
      <c r="AL60" s="4" t="str">
        <f>IFERROR(__xludf.DUMMYFUNCTION("GOOGLETRANSLATE(B60,""en"",""ca"")"),"Comentaris dels usuaris")</f>
        <v>Comentaris dels usuaris</v>
      </c>
      <c r="AM60" s="4" t="str">
        <f>IFERROR(__xludf.DUMMYFUNCTION("GOOGLETRANSLATE(B60,""en"",""nl"")"),"Gebruikersfeedback")</f>
        <v>Gebruikersfeedback</v>
      </c>
      <c r="AN60" s="4" t="str">
        <f>IFERROR(__xludf.DUMMYFUNCTION("GOOGLETRANSLATE(B60,""en"",""he"")"),"משוב משתמש")</f>
        <v>משוב משתמש</v>
      </c>
      <c r="AO60" s="4" t="str">
        <f>IFERROR(__xludf.DUMMYFUNCTION("GOOGLETRANSLATE(B60,""en"",""is"")"),"Viðbrögð notenda")</f>
        <v>Viðbrögð notenda</v>
      </c>
      <c r="AP60" s="4" t="str">
        <f>IFERROR(__xludf.DUMMYFUNCTION("GOOGLETRANSLATE(B60,""en"",""no"")"),"Tilbakemelding fra bruker")</f>
        <v>Tilbakemelding fra bruker</v>
      </c>
      <c r="AQ60" s="4" t="str">
        <f>IFERROR(__xludf.DUMMYFUNCTION("GOOGLETRANSLATE(B60,""en"",""fa"")"),"بازخورد کاربر")</f>
        <v>بازخورد کاربر</v>
      </c>
      <c r="AR60" s="4" t="str">
        <f>IFERROR(__xludf.DUMMYFUNCTION("GOOGLETRANSLATE(B60,""en"",""pl"")"),"Opinie użytkowników")</f>
        <v>Opinie użytkowników</v>
      </c>
      <c r="AS60" s="4" t="str">
        <f>IFERROR(__xludf.DUMMYFUNCTION("GOOGLETRANSLATE(B60,""en"",""sv"")"),"Användarfeedback")</f>
        <v>Användarfeedback</v>
      </c>
      <c r="AT60" s="4" t="str">
        <f>IFERROR(__xludf.DUMMYFUNCTION("GOOGLETRANSLATE(B60,""en"",""uk"")"),"Відгуки користувачів")</f>
        <v>Відгуки користувачів</v>
      </c>
      <c r="AU60" s="4" t="str">
        <f>IFERROR(__xludf.DUMMYFUNCTION("GOOGLETRANSLATE(B60,""en"",""zu"")"),"Impendulo yomsebenzisi")</f>
        <v>Impendulo yomsebenzisi</v>
      </c>
      <c r="AV60" s="4" t="str">
        <f>IFERROR(__xludf.DUMMYFUNCTION("GOOGLETRANSLATE(B60,""en"",""sr"")"),"Повратне информације корисника")</f>
        <v>Повратне информације корисника</v>
      </c>
    </row>
    <row r="61">
      <c r="A61" s="3" t="s">
        <v>163</v>
      </c>
      <c r="B61" s="3" t="s">
        <v>164</v>
      </c>
      <c r="C61" s="4" t="str">
        <f>IFERROR(__xludf.DUMMYFUNCTION("GOOGLETRANSLATE(B61,""en"",""ta"")"),"பிழை அறிக்கை")</f>
        <v>பிழை அறிக்கை</v>
      </c>
      <c r="D61" s="4" t="str">
        <f>IFERROR(__xludf.DUMMYFUNCTION("GOOGLETRANSLATE(B61,""en"",""hi"")"),"त्रुटि रिपोर्ट")</f>
        <v>त्रुटि रिपोर्ट</v>
      </c>
      <c r="E61" s="4" t="str">
        <f>IFERROR(__xludf.DUMMYFUNCTION("GOOGLETRANSLATE(B61,""en"",""id"")"),"Laporan Kesalahan")</f>
        <v>Laporan Kesalahan</v>
      </c>
      <c r="F61" s="4" t="str">
        <f>IFERROR(__xludf.DUMMYFUNCTION("GOOGLETRANSLATE(B61,""en"",""ms"")"),"Laporan Ralat")</f>
        <v>Laporan Ralat</v>
      </c>
      <c r="G61" s="4" t="str">
        <f>IFERROR(__xludf.DUMMYFUNCTION("GOOGLETRANSLATE(B61,""en"",""de"")"),"Fehlerbericht")</f>
        <v>Fehlerbericht</v>
      </c>
      <c r="H61" s="4" t="str">
        <f>IFERROR(__xludf.DUMMYFUNCTION("GOOGLETRANSLATE(B61,""en"",""es"")"),"Informe de errores")</f>
        <v>Informe de errores</v>
      </c>
      <c r="I61" s="4" t="str">
        <f>IFERROR(__xludf.DUMMYFUNCTION("GOOGLETRANSLATE(B61,""en"",""fr"")"),"Rapport d'erreur")</f>
        <v>Rapport d'erreur</v>
      </c>
      <c r="J61" s="4" t="str">
        <f>IFERROR(__xludf.DUMMYFUNCTION("GOOGLETRANSLATE(B61,""en"",""it"")"),"Segnalazione di errore")</f>
        <v>Segnalazione di errore</v>
      </c>
      <c r="K61" s="4" t="str">
        <f>IFERROR(__xludf.DUMMYFUNCTION("GOOGLETRANSLATE(B61,""en"",""pt"")"),"Relatório de erro")</f>
        <v>Relatório de erro</v>
      </c>
      <c r="L61" s="4" t="str">
        <f>IFERROR(__xludf.DUMMYFUNCTION("GOOGLETRANSLATE(B61,""en"",""ro"")"),"Raport de eroare")</f>
        <v>Raport de eroare</v>
      </c>
      <c r="M61" s="4" t="str">
        <f>IFERROR(__xludf.DUMMYFUNCTION("GOOGLETRANSLATE(B61,""en"",""vi"")"),"Báo cáo lỗi")</f>
        <v>Báo cáo lỗi</v>
      </c>
      <c r="N61" s="4" t="str">
        <f>IFERROR(__xludf.DUMMYFUNCTION("GOOGLETRANSLATE(B61,""en"",""ru"")"),"Отчет об ошибке")</f>
        <v>Отчет об ошибке</v>
      </c>
      <c r="O61" s="4" t="str">
        <f>IFERROR(__xludf.DUMMYFUNCTION("GOOGLETRANSLATE(B61,""en"",""tr"")"),"Hata Raporu")</f>
        <v>Hata Raporu</v>
      </c>
      <c r="P61" s="4" t="str">
        <f>IFERROR(__xludf.DUMMYFUNCTION("GOOGLETRANSLATE(B61,""en"",""ar"")"),"تقرير الخطأ")</f>
        <v>تقرير الخطأ</v>
      </c>
      <c r="Q61" s="4" t="str">
        <f>IFERROR(__xludf.DUMMYFUNCTION("GOOGLETRANSLATE(B61,""en"",""mr"")"),"त्रुटी अहवाल")</f>
        <v>त्रुटी अहवाल</v>
      </c>
      <c r="R61" s="4" t="str">
        <f>IFERROR(__xludf.DUMMYFUNCTION("GOOGLETRANSLATE(B61,""en"",""gu"")"),"ભૂલ રિપોર્ટ")</f>
        <v>ભૂલ રિપોર્ટ</v>
      </c>
      <c r="S61" s="4" t="str">
        <f>IFERROR(__xludf.DUMMYFUNCTION("GOOGLETRANSLATE(B61,""en"",""bn"")"),"ত্রুটি রিপোর্ট")</f>
        <v>ত্রুটি রিপোর্ট</v>
      </c>
      <c r="T61" s="4" t="str">
        <f>IFERROR(__xludf.DUMMYFUNCTION("GOOGLETRANSLATE(B61,""en"",""pa"")"),"ਗੜਬੜ ਰਿਪੋਰਟ")</f>
        <v>ਗੜਬੜ ਰਿਪੋਰਟ</v>
      </c>
      <c r="U61" s="4" t="str">
        <f>IFERROR(__xludf.DUMMYFUNCTION("GOOGLETRANSLATE(B61,""en"",""te"")"),"ఎర్రర్ రిపోర్ట్")</f>
        <v>ఎర్రర్ రిపోర్ట్</v>
      </c>
      <c r="V61" s="4" t="str">
        <f>IFERROR(__xludf.DUMMYFUNCTION("GOOGLETRANSLATE(B61,""en"",""kn"")"),"ದೋಷ ವರದಿ")</f>
        <v>ದೋಷ ವರದಿ</v>
      </c>
      <c r="W61" s="4" t="str">
        <f>IFERROR(__xludf.DUMMYFUNCTION("GOOGLETRANSLATE(B61,""en"",""ml"")"),"പിശക് റിപ്പോർട്ട്")</f>
        <v>പിശക് റിപ്പോർട്ട്</v>
      </c>
      <c r="X61" s="4" t="str">
        <f>IFERROR(__xludf.DUMMYFUNCTION("GOOGLETRANSLATE(B61,""en"",""th"")"),"รายงานข้อผิดพลาด")</f>
        <v>รายงานข้อผิดพลาด</v>
      </c>
      <c r="Y61" s="4" t="str">
        <f>IFERROR(__xludf.DUMMYFUNCTION("GOOGLETRANSLATE(B61,""en"",""ko"")"),"오류 보고서")</f>
        <v>오류 보고서</v>
      </c>
      <c r="Z61" s="4" t="str">
        <f>IFERROR(__xludf.DUMMYFUNCTION("GOOGLETRANSLATE(B61,""en"",""zh"")"),"错误报告")</f>
        <v>错误报告</v>
      </c>
      <c r="AA61" s="4" t="str">
        <f>IFERROR(__xludf.DUMMYFUNCTION("GOOGLETRANSLATE(B61,""en"",""zh-TW"")"),"錯誤報告")</f>
        <v>錯誤報告</v>
      </c>
      <c r="AB61" s="4" t="str">
        <f>IFERROR(__xludf.DUMMYFUNCTION("GOOGLETRANSLATE(B61,""en"",""ja"")"),"エラーレポート")</f>
        <v>エラーレポート</v>
      </c>
      <c r="AC61" s="4" t="str">
        <f>IFERROR(__xludf.DUMMYFUNCTION("GOOGLETRANSLATE(B61,""en"",""bg"")"),"Доклад за грешка")</f>
        <v>Доклад за грешка</v>
      </c>
      <c r="AD61" s="4" t="str">
        <f>IFERROR(__xludf.DUMMYFUNCTION("GOOGLETRANSLATE(B61,""en"",""cs"")"),"Zpráva o chybě")</f>
        <v>Zpráva o chybě</v>
      </c>
      <c r="AE61" s="4" t="str">
        <f>IFERROR(__xludf.DUMMYFUNCTION("GOOGLETRANSLATE(B61,""en"",""da"")"),"Fejlrapport")</f>
        <v>Fejlrapport</v>
      </c>
      <c r="AF61" s="4" t="str">
        <f>IFERROR(__xludf.DUMMYFUNCTION("GOOGLETRANSLATE(B61,""en"",""el"")"),"Αναφορά σφάλματος")</f>
        <v>Αναφορά σφάλματος</v>
      </c>
      <c r="AG61" s="4" t="str">
        <f>IFERROR(__xludf.DUMMYFUNCTION("GOOGLETRANSLATE(B61,""en"",""et"")"),"Veaaruanne")</f>
        <v>Veaaruanne</v>
      </c>
      <c r="AH61" s="4" t="str">
        <f>IFERROR(__xludf.DUMMYFUNCTION("GOOGLETRANSLATE(B61,""en"",""fi"")"),"Virheilmoitus")</f>
        <v>Virheilmoitus</v>
      </c>
      <c r="AI61" s="4" t="str">
        <f>IFERROR(__xludf.DUMMYFUNCTION("GOOGLETRANSLATE(B61,""en"",""hr"")"),"Izvješće o pogrešci")</f>
        <v>Izvješće o pogrešci</v>
      </c>
      <c r="AJ61" s="4" t="str">
        <f>IFERROR(__xludf.DUMMYFUNCTION("GOOGLETRANSLATE(B61,""en"",""hu"")"),"Hibajelentés")</f>
        <v>Hibajelentés</v>
      </c>
      <c r="AK61" s="4" t="str">
        <f>IFERROR(__xludf.DUMMYFUNCTION("GOOGLETRANSLATE(B61,""en"",""hy"")"),"Սխալի հաշվետվություն")</f>
        <v>Սխալի հաշվետվություն</v>
      </c>
      <c r="AL61" s="4" t="str">
        <f>IFERROR(__xludf.DUMMYFUNCTION("GOOGLETRANSLATE(B61,""en"",""ca"")"),"Informe d'error")</f>
        <v>Informe d'error</v>
      </c>
      <c r="AM61" s="4" t="str">
        <f>IFERROR(__xludf.DUMMYFUNCTION("GOOGLETRANSLATE(B61,""en"",""nl"")"),"Foutrapport")</f>
        <v>Foutrapport</v>
      </c>
      <c r="AN61" s="4" t="str">
        <f>IFERROR(__xludf.DUMMYFUNCTION("GOOGLETRANSLATE(B61,""en"",""he"")"),"דוח שגיאות")</f>
        <v>דוח שגיאות</v>
      </c>
      <c r="AO61" s="4" t="str">
        <f>IFERROR(__xludf.DUMMYFUNCTION("GOOGLETRANSLATE(B61,""en"",""is"")"),"Villuskýrsla")</f>
        <v>Villuskýrsla</v>
      </c>
      <c r="AP61" s="4" t="str">
        <f>IFERROR(__xludf.DUMMYFUNCTION("GOOGLETRANSLATE(B61,""en"",""no"")"),"Feilrapport")</f>
        <v>Feilrapport</v>
      </c>
      <c r="AQ61" s="4" t="str">
        <f>IFERROR(__xludf.DUMMYFUNCTION("GOOGLETRANSLATE(B61,""en"",""fa"")"),"گزارش خطا")</f>
        <v>گزارش خطا</v>
      </c>
      <c r="AR61" s="4" t="str">
        <f>IFERROR(__xludf.DUMMYFUNCTION("GOOGLETRANSLATE(B61,""en"",""pl"")"),"Raport o błędach")</f>
        <v>Raport o błędach</v>
      </c>
      <c r="AS61" s="4" t="str">
        <f>IFERROR(__xludf.DUMMYFUNCTION("GOOGLETRANSLATE(B61,""en"",""sv"")"),"Felrapport")</f>
        <v>Felrapport</v>
      </c>
      <c r="AT61" s="4" t="str">
        <f>IFERROR(__xludf.DUMMYFUNCTION("GOOGLETRANSLATE(B61,""en"",""uk"")"),"Звіт про помилку")</f>
        <v>Звіт про помилку</v>
      </c>
      <c r="AU61" s="4" t="str">
        <f>IFERROR(__xludf.DUMMYFUNCTION("GOOGLETRANSLATE(B61,""en"",""zu"")"),"Umbiko Wephutha")</f>
        <v>Umbiko Wephutha</v>
      </c>
      <c r="AV61" s="4" t="str">
        <f>IFERROR(__xludf.DUMMYFUNCTION("GOOGLETRANSLATE(B61,""en"",""sr"")"),"Извештај о грешци")</f>
        <v>Извештај о грешци</v>
      </c>
    </row>
    <row r="62">
      <c r="A62" s="3" t="s">
        <v>165</v>
      </c>
      <c r="B62" s="3" t="s">
        <v>166</v>
      </c>
      <c r="C62" s="4" t="str">
        <f>IFERROR(__xludf.DUMMYFUNCTION("GOOGLETRANSLATE(B62,""en"",""ta"")"),"FB பக்கத்தைப் பார்வையிடவும்")</f>
        <v>FB பக்கத்தைப் பார்வையிடவும்</v>
      </c>
      <c r="D62" s="4" t="str">
        <f>IFERROR(__xludf.DUMMYFUNCTION("GOOGLETRANSLATE(B62,""en"",""hi"")"),"FB पेज पर जाएँ")</f>
        <v>FB पेज पर जाएँ</v>
      </c>
      <c r="E62" s="4" t="str">
        <f>IFERROR(__xludf.DUMMYFUNCTION("GOOGLETRANSLATE(B62,""en"",""id"")"),"Kunjungi Halaman FB")</f>
        <v>Kunjungi Halaman FB</v>
      </c>
      <c r="F62" s="4" t="str">
        <f>IFERROR(__xludf.DUMMYFUNCTION("GOOGLETRANSLATE(B62,""en"",""ms"")"),"Layari FB Page")</f>
        <v>Layari FB Page</v>
      </c>
      <c r="G62" s="4" t="str">
        <f>IFERROR(__xludf.DUMMYFUNCTION("GOOGLETRANSLATE(B62,""en"",""de"")"),"Besuchen Sie die FB-Seite")</f>
        <v>Besuchen Sie die FB-Seite</v>
      </c>
      <c r="H62" s="4" t="str">
        <f>IFERROR(__xludf.DUMMYFUNCTION("GOOGLETRANSLATE(B62,""en"",""es"")"),"Visita la página de Facebook")</f>
        <v>Visita la página de Facebook</v>
      </c>
      <c r="I62" s="4" t="str">
        <f>IFERROR(__xludf.DUMMYFUNCTION("GOOGLETRANSLATE(B62,""en"",""fr"")"),"Visitez la page FB")</f>
        <v>Visitez la page FB</v>
      </c>
      <c r="J62" s="4" t="str">
        <f>IFERROR(__xludf.DUMMYFUNCTION("GOOGLETRANSLATE(B62,""en"",""it"")"),"Visita la pagina FB")</f>
        <v>Visita la pagina FB</v>
      </c>
      <c r="K62" s="4" t="str">
        <f>IFERROR(__xludf.DUMMYFUNCTION("GOOGLETRANSLATE(B62,""en"",""pt"")"),"Visite a página do FB")</f>
        <v>Visite a página do FB</v>
      </c>
      <c r="L62" s="4" t="str">
        <f>IFERROR(__xludf.DUMMYFUNCTION("GOOGLETRANSLATE(B62,""en"",""ro"")"),"Vizitează pagina FB")</f>
        <v>Vizitează pagina FB</v>
      </c>
      <c r="M62" s="4" t="str">
        <f>IFERROR(__xludf.DUMMYFUNCTION("GOOGLETRANSLATE(B62,""en"",""vi"")"),"Truy cập trang FB")</f>
        <v>Truy cập trang FB</v>
      </c>
      <c r="N62" s="4" t="str">
        <f>IFERROR(__xludf.DUMMYFUNCTION("GOOGLETRANSLATE(B62,""en"",""ru"")"),"Посетите страницу FB")</f>
        <v>Посетите страницу FB</v>
      </c>
      <c r="O62" s="4" t="str">
        <f>IFERROR(__xludf.DUMMYFUNCTION("GOOGLETRANSLATE(B62,""en"",""tr"")"),"FB Sayfasını ziyaret edin")</f>
        <v>FB Sayfasını ziyaret edin</v>
      </c>
      <c r="P62" s="4" t="str">
        <f>IFERROR(__xludf.DUMMYFUNCTION("GOOGLETRANSLATE(B62,""en"",""ar"")"),"قم بزيارة صفحة الفيسبوك")</f>
        <v>قم بزيارة صفحة الفيسبوك</v>
      </c>
      <c r="Q62" s="4" t="str">
        <f>IFERROR(__xludf.DUMMYFUNCTION("GOOGLETRANSLATE(B62,""en"",""mr"")"),"FB पेज ला भेट द्या")</f>
        <v>FB पेज ला भेट द्या</v>
      </c>
      <c r="R62" s="4" t="str">
        <f>IFERROR(__xludf.DUMMYFUNCTION("GOOGLETRANSLATE(B62,""en"",""gu"")"),"FB પેજની મુલાકાત લો")</f>
        <v>FB પેજની મુલાકાત લો</v>
      </c>
      <c r="S62" s="4" t="str">
        <f>IFERROR(__xludf.DUMMYFUNCTION("GOOGLETRANSLATE(B62,""en"",""bn"")"),"FB পেজ দেখুন")</f>
        <v>FB পেজ দেখুন</v>
      </c>
      <c r="T62" s="4" t="str">
        <f>IFERROR(__xludf.DUMMYFUNCTION("GOOGLETRANSLATE(B62,""en"",""pa"")"),"FB ਪੇਜ 'ਤੇ ਜਾਓ")</f>
        <v>FB ਪੇਜ 'ਤੇ ਜਾਓ</v>
      </c>
      <c r="U62" s="4" t="str">
        <f>IFERROR(__xludf.DUMMYFUNCTION("GOOGLETRANSLATE(B62,""en"",""te"")"),"FB పేజీని సందర్శించండి")</f>
        <v>FB పేజీని సందర్శించండి</v>
      </c>
      <c r="V62" s="4" t="str">
        <f>IFERROR(__xludf.DUMMYFUNCTION("GOOGLETRANSLATE(B62,""en"",""kn"")"),"FB ಪುಟಕ್ಕೆ ಭೇಟಿ ನೀಡಿ")</f>
        <v>FB ಪುಟಕ್ಕೆ ಭೇಟಿ ನೀಡಿ</v>
      </c>
      <c r="W62" s="4" t="str">
        <f>IFERROR(__xludf.DUMMYFUNCTION("GOOGLETRANSLATE(B62,""en"",""ml"")"),"FB പേജ് സന്ദർശിക്കുക")</f>
        <v>FB പേജ് സന്ദർശിക്കുക</v>
      </c>
      <c r="X62" s="4" t="str">
        <f>IFERROR(__xludf.DUMMYFUNCTION("GOOGLETRANSLATE(B62,""en"",""th"")"),"เยี่ยมชมเพจ FB")</f>
        <v>เยี่ยมชมเพจ FB</v>
      </c>
      <c r="Y62" s="4" t="str">
        <f>IFERROR(__xludf.DUMMYFUNCTION("GOOGLETRANSLATE(B62,""en"",""ko"")"),"FB 페이지 방문")</f>
        <v>FB 페이지 방문</v>
      </c>
      <c r="Z62" s="4" t="str">
        <f>IFERROR(__xludf.DUMMYFUNCTION("GOOGLETRANSLATE(B62,""en"",""zh"")"),"访问 FB 页面")</f>
        <v>访问 FB 页面</v>
      </c>
      <c r="AA62" s="4" t="str">
        <f>IFERROR(__xludf.DUMMYFUNCTION("GOOGLETRANSLATE(B62,""en"",""zh-TW"")"),"造訪 FB 頁面")</f>
        <v>造訪 FB 頁面</v>
      </c>
      <c r="AB62" s="4" t="str">
        <f>IFERROR(__xludf.DUMMYFUNCTION("GOOGLETRANSLATE(B62,""en"",""ja"")"),"FBページを訪問")</f>
        <v>FBページを訪問</v>
      </c>
      <c r="AC62" s="4" t="str">
        <f>IFERROR(__xludf.DUMMYFUNCTION("GOOGLETRANSLATE(B62,""en"",""bg"")"),"Посетете FB страницата")</f>
        <v>Посетете FB страницата</v>
      </c>
      <c r="AD62" s="4" t="str">
        <f>IFERROR(__xludf.DUMMYFUNCTION("GOOGLETRANSLATE(B62,""en"",""cs"")"),"Navštivte FB stránku")</f>
        <v>Navštivte FB stránku</v>
      </c>
      <c r="AE62" s="4" t="str">
        <f>IFERROR(__xludf.DUMMYFUNCTION("GOOGLETRANSLATE(B62,""en"",""da"")"),"Besøg FB side")</f>
        <v>Besøg FB side</v>
      </c>
      <c r="AF62" s="4" t="str">
        <f>IFERROR(__xludf.DUMMYFUNCTION("GOOGLETRANSLATE(B62,""en"",""el"")"),"Επισκεφθείτε τη σελίδα FB")</f>
        <v>Επισκεφθείτε τη σελίδα FB</v>
      </c>
      <c r="AG62" s="4" t="str">
        <f>IFERROR(__xludf.DUMMYFUNCTION("GOOGLETRANSLATE(B62,""en"",""et"")"),"Külasta FB lehte")</f>
        <v>Külasta FB lehte</v>
      </c>
      <c r="AH62" s="4" t="str">
        <f>IFERROR(__xludf.DUMMYFUNCTION("GOOGLETRANSLATE(B62,""en"",""fi"")"),"Vieraile FB-sivulla")</f>
        <v>Vieraile FB-sivulla</v>
      </c>
      <c r="AI62" s="4" t="str">
        <f>IFERROR(__xludf.DUMMYFUNCTION("GOOGLETRANSLATE(B62,""en"",""hr"")"),"Posjetite FB stranicu")</f>
        <v>Posjetite FB stranicu</v>
      </c>
      <c r="AJ62" s="4" t="str">
        <f>IFERROR(__xludf.DUMMYFUNCTION("GOOGLETRANSLATE(B62,""en"",""hu"")"),"Látogass el FB oldalra")</f>
        <v>Látogass el FB oldalra</v>
      </c>
      <c r="AK62" s="4" t="str">
        <f>IFERROR(__xludf.DUMMYFUNCTION("GOOGLETRANSLATE(B62,""en"",""hy"")"),"Այցելեք ՖԲ էջ")</f>
        <v>Այցելեք ՖԲ էջ</v>
      </c>
      <c r="AL62" s="4" t="str">
        <f>IFERROR(__xludf.DUMMYFUNCTION("GOOGLETRANSLATE(B62,""en"",""ca"")"),"Visita la pàgina FB")</f>
        <v>Visita la pàgina FB</v>
      </c>
      <c r="AM62" s="4" t="str">
        <f>IFERROR(__xludf.DUMMYFUNCTION("GOOGLETRANSLATE(B62,""en"",""nl"")"),"Bezoek FB-pagina")</f>
        <v>Bezoek FB-pagina</v>
      </c>
      <c r="AN62" s="4" t="str">
        <f>IFERROR(__xludf.DUMMYFUNCTION("GOOGLETRANSLATE(B62,""en"",""he"")"),"בקר בדף FB")</f>
        <v>בקר בדף FB</v>
      </c>
      <c r="AO62" s="4" t="str">
        <f>IFERROR(__xludf.DUMMYFUNCTION("GOOGLETRANSLATE(B62,""en"",""is"")"),"Farðu á FB síðuna")</f>
        <v>Farðu á FB síðuna</v>
      </c>
      <c r="AP62" s="4" t="str">
        <f>IFERROR(__xludf.DUMMYFUNCTION("GOOGLETRANSLATE(B62,""en"",""no"")"),"Besøk FB-siden")</f>
        <v>Besøk FB-siden</v>
      </c>
      <c r="AQ62" s="4" t="str">
        <f>IFERROR(__xludf.DUMMYFUNCTION("GOOGLETRANSLATE(B62,""en"",""fa"")"),"از صفحه FB دیدن کنید")</f>
        <v>از صفحه FB دیدن کنید</v>
      </c>
      <c r="AR62" s="4" t="str">
        <f>IFERROR(__xludf.DUMMYFUNCTION("GOOGLETRANSLATE(B62,""en"",""pl"")"),"Odwiedź stronę na FB")</f>
        <v>Odwiedź stronę na FB</v>
      </c>
      <c r="AS62" s="4" t="str">
        <f>IFERROR(__xludf.DUMMYFUNCTION("GOOGLETRANSLATE(B62,""en"",""sv"")"),"Besök FB-sidan")</f>
        <v>Besök FB-sidan</v>
      </c>
      <c r="AT62" s="4" t="str">
        <f>IFERROR(__xludf.DUMMYFUNCTION("GOOGLETRANSLATE(B62,""en"",""uk"")"),"Відвідайте сторінку FB")</f>
        <v>Відвідайте сторінку FB</v>
      </c>
      <c r="AU62" s="4" t="str">
        <f>IFERROR(__xludf.DUMMYFUNCTION("GOOGLETRANSLATE(B62,""en"",""zu"")"),"Vakashela Ikhasi le-FB")</f>
        <v>Vakashela Ikhasi le-FB</v>
      </c>
      <c r="AV62" s="4" t="str">
        <f>IFERROR(__xludf.DUMMYFUNCTION("GOOGLETRANSLATE(B62,""en"",""sr"")"),"Посетите ФБ страницу")</f>
        <v>Посетите ФБ страницу</v>
      </c>
    </row>
    <row r="63">
      <c r="A63" s="3" t="s">
        <v>167</v>
      </c>
      <c r="B63" s="3" t="s">
        <v>168</v>
      </c>
      <c r="C63" s="4" t="str">
        <f>IFERROR(__xludf.DUMMYFUNCTION("GOOGLETRANSLATE(B63,""en"",""ta"")"),"எங்களைப் பற்றி")</f>
        <v>எங்களைப் பற்றி</v>
      </c>
      <c r="D63" s="4" t="str">
        <f>IFERROR(__xludf.DUMMYFUNCTION("GOOGLETRANSLATE(B63,""en"",""hi"")"),"हमारे बारे में")</f>
        <v>हमारे बारे में</v>
      </c>
      <c r="E63" s="4" t="str">
        <f>IFERROR(__xludf.DUMMYFUNCTION("GOOGLETRANSLATE(B63,""en"",""id"")"),"Tentang Kami")</f>
        <v>Tentang Kami</v>
      </c>
      <c r="F63" s="4" t="str">
        <f>IFERROR(__xludf.DUMMYFUNCTION("GOOGLETRANSLATE(B63,""en"",""ms"")"),"Tentang Kami")</f>
        <v>Tentang Kami</v>
      </c>
      <c r="G63" s="4" t="str">
        <f>IFERROR(__xludf.DUMMYFUNCTION("GOOGLETRANSLATE(B63,""en"",""de"")"),"Über uns")</f>
        <v>Über uns</v>
      </c>
      <c r="H63" s="4" t="str">
        <f>IFERROR(__xludf.DUMMYFUNCTION("GOOGLETRANSLATE(B63,""en"",""es"")"),"Sobre nosotros")</f>
        <v>Sobre nosotros</v>
      </c>
      <c r="I63" s="4" t="str">
        <f>IFERROR(__xludf.DUMMYFUNCTION("GOOGLETRANSLATE(B63,""en"",""fr"")"),"À propos de nous")</f>
        <v>À propos de nous</v>
      </c>
      <c r="J63" s="4" t="str">
        <f>IFERROR(__xludf.DUMMYFUNCTION("GOOGLETRANSLATE(B63,""en"",""it"")"),"Chi siamo")</f>
        <v>Chi siamo</v>
      </c>
      <c r="K63" s="4" t="str">
        <f>IFERROR(__xludf.DUMMYFUNCTION("GOOGLETRANSLATE(B63,""en"",""pt"")"),"Sobre nós")</f>
        <v>Sobre nós</v>
      </c>
      <c r="L63" s="4" t="str">
        <f>IFERROR(__xludf.DUMMYFUNCTION("GOOGLETRANSLATE(B63,""en"",""ro"")"),"Despre noi")</f>
        <v>Despre noi</v>
      </c>
      <c r="M63" s="4" t="str">
        <f>IFERROR(__xludf.DUMMYFUNCTION("GOOGLETRANSLATE(B63,""en"",""vi"")"),"Giới thiệu về chúng tôi")</f>
        <v>Giới thiệu về chúng tôi</v>
      </c>
      <c r="N63" s="4" t="str">
        <f>IFERROR(__xludf.DUMMYFUNCTION("GOOGLETRANSLATE(B63,""en"",""ru"")"),"О нас")</f>
        <v>О нас</v>
      </c>
      <c r="O63" s="4" t="str">
        <f>IFERROR(__xludf.DUMMYFUNCTION("GOOGLETRANSLATE(B63,""en"",""tr"")"),"Hakkımızda")</f>
        <v>Hakkımızda</v>
      </c>
      <c r="P63" s="4" t="str">
        <f>IFERROR(__xludf.DUMMYFUNCTION("GOOGLETRANSLATE(B63,""en"",""ar"")"),"معلومات عنا")</f>
        <v>معلومات عنا</v>
      </c>
      <c r="Q63" s="4" t="str">
        <f>IFERROR(__xludf.DUMMYFUNCTION("GOOGLETRANSLATE(B63,""en"",""mr"")"),"आमच्याबद्दल")</f>
        <v>आमच्याबद्दल</v>
      </c>
      <c r="R63" s="4" t="str">
        <f>IFERROR(__xludf.DUMMYFUNCTION("GOOGLETRANSLATE(B63,""en"",""gu"")"),"અમારા વિશે")</f>
        <v>અમારા વિશે</v>
      </c>
      <c r="S63" s="4" t="str">
        <f>IFERROR(__xludf.DUMMYFUNCTION("GOOGLETRANSLATE(B63,""en"",""bn"")"),"আমাদের সম্পর্কে")</f>
        <v>আমাদের সম্পর্কে</v>
      </c>
      <c r="T63" s="4" t="str">
        <f>IFERROR(__xludf.DUMMYFUNCTION("GOOGLETRANSLATE(B63,""en"",""pa"")"),"ਸਾਡੇ ਬਾਰੇ")</f>
        <v>ਸਾਡੇ ਬਾਰੇ</v>
      </c>
      <c r="U63" s="4" t="str">
        <f>IFERROR(__xludf.DUMMYFUNCTION("GOOGLETRANSLATE(B63,""en"",""te"")"),"మా గురించి")</f>
        <v>మా గురించి</v>
      </c>
      <c r="V63" s="4" t="str">
        <f>IFERROR(__xludf.DUMMYFUNCTION("GOOGLETRANSLATE(B63,""en"",""kn"")"),"ನಮ್ಮ ಬಗ್ಗೆ")</f>
        <v>ನಮ್ಮ ಬಗ್ಗೆ</v>
      </c>
      <c r="W63" s="4" t="str">
        <f>IFERROR(__xludf.DUMMYFUNCTION("GOOGLETRANSLATE(B63,""en"",""ml"")"),"ഞങ്ങളേക്കുറിച്ച്")</f>
        <v>ഞങ്ങളേക്കുറിച്ച്</v>
      </c>
      <c r="X63" s="4" t="str">
        <f>IFERROR(__xludf.DUMMYFUNCTION("GOOGLETRANSLATE(B63,""en"",""th"")"),"เกี่ยวกับเรา")</f>
        <v>เกี่ยวกับเรา</v>
      </c>
      <c r="Y63" s="4" t="str">
        <f>IFERROR(__xludf.DUMMYFUNCTION("GOOGLETRANSLATE(B63,""en"",""ko"")"),"회사 소개")</f>
        <v>회사 소개</v>
      </c>
      <c r="Z63" s="4" t="str">
        <f>IFERROR(__xludf.DUMMYFUNCTION("GOOGLETRANSLATE(B63,""en"",""zh"")"),"关于我们")</f>
        <v>关于我们</v>
      </c>
      <c r="AA63" s="4" t="str">
        <f>IFERROR(__xludf.DUMMYFUNCTION("GOOGLETRANSLATE(B63,""en"",""zh-TW"")"),"關於我們")</f>
        <v>關於我們</v>
      </c>
      <c r="AB63" s="4" t="str">
        <f>IFERROR(__xludf.DUMMYFUNCTION("GOOGLETRANSLATE(B63,""en"",""ja"")"),"私たちについて")</f>
        <v>私たちについて</v>
      </c>
      <c r="AC63" s="4" t="str">
        <f>IFERROR(__xludf.DUMMYFUNCTION("GOOGLETRANSLATE(B63,""en"",""bg"")"),"За нас")</f>
        <v>За нас</v>
      </c>
      <c r="AD63" s="4" t="str">
        <f>IFERROR(__xludf.DUMMYFUNCTION("GOOGLETRANSLATE(B63,""en"",""cs"")"),"O nás")</f>
        <v>O nás</v>
      </c>
      <c r="AE63" s="4" t="str">
        <f>IFERROR(__xludf.DUMMYFUNCTION("GOOGLETRANSLATE(B63,""en"",""da"")"),"Om os")</f>
        <v>Om os</v>
      </c>
      <c r="AF63" s="4" t="str">
        <f>IFERROR(__xludf.DUMMYFUNCTION("GOOGLETRANSLATE(B63,""en"",""el"")"),"Σχετικά με εμάς")</f>
        <v>Σχετικά με εμάς</v>
      </c>
      <c r="AG63" s="4" t="str">
        <f>IFERROR(__xludf.DUMMYFUNCTION("GOOGLETRANSLATE(B63,""en"",""et"")"),"Meie kohta")</f>
        <v>Meie kohta</v>
      </c>
      <c r="AH63" s="4" t="str">
        <f>IFERROR(__xludf.DUMMYFUNCTION("GOOGLETRANSLATE(B63,""en"",""fi"")"),"Tietoja meistä")</f>
        <v>Tietoja meistä</v>
      </c>
      <c r="AI63" s="4" t="str">
        <f>IFERROR(__xludf.DUMMYFUNCTION("GOOGLETRANSLATE(B63,""en"",""hr"")"),"O nama")</f>
        <v>O nama</v>
      </c>
      <c r="AJ63" s="4" t="str">
        <f>IFERROR(__xludf.DUMMYFUNCTION("GOOGLETRANSLATE(B63,""en"",""hu"")"),"Rólunk")</f>
        <v>Rólunk</v>
      </c>
      <c r="AK63" s="4" t="str">
        <f>IFERROR(__xludf.DUMMYFUNCTION("GOOGLETRANSLATE(B63,""en"",""hy"")"),"Մեր մասին")</f>
        <v>Մեր մասին</v>
      </c>
      <c r="AL63" s="4" t="str">
        <f>IFERROR(__xludf.DUMMYFUNCTION("GOOGLETRANSLATE(B63,""en"",""ca"")"),"Sobre Nosaltres")</f>
        <v>Sobre Nosaltres</v>
      </c>
      <c r="AM63" s="4" t="str">
        <f>IFERROR(__xludf.DUMMYFUNCTION("GOOGLETRANSLATE(B63,""en"",""nl"")"),"Over ons")</f>
        <v>Over ons</v>
      </c>
      <c r="AN63" s="4" t="str">
        <f>IFERROR(__xludf.DUMMYFUNCTION("GOOGLETRANSLATE(B63,""en"",""he"")"),"אודותינו")</f>
        <v>אודותינו</v>
      </c>
      <c r="AO63" s="4" t="str">
        <f>IFERROR(__xludf.DUMMYFUNCTION("GOOGLETRANSLATE(B63,""en"",""is"")"),"Um okkur")</f>
        <v>Um okkur</v>
      </c>
      <c r="AP63" s="4" t="str">
        <f>IFERROR(__xludf.DUMMYFUNCTION("GOOGLETRANSLATE(B63,""en"",""no"")"),"Om oss")</f>
        <v>Om oss</v>
      </c>
      <c r="AQ63" s="4" t="str">
        <f>IFERROR(__xludf.DUMMYFUNCTION("GOOGLETRANSLATE(B63,""en"",""fa"")"),"درباره ما")</f>
        <v>درباره ما</v>
      </c>
      <c r="AR63" s="4" t="str">
        <f>IFERROR(__xludf.DUMMYFUNCTION("GOOGLETRANSLATE(B63,""en"",""pl"")"),"O nas")</f>
        <v>O nas</v>
      </c>
      <c r="AS63" s="4" t="str">
        <f>IFERROR(__xludf.DUMMYFUNCTION("GOOGLETRANSLATE(B63,""en"",""sv"")"),"Om oss")</f>
        <v>Om oss</v>
      </c>
      <c r="AT63" s="4" t="str">
        <f>IFERROR(__xludf.DUMMYFUNCTION("GOOGLETRANSLATE(B63,""en"",""uk"")"),"Про нас")</f>
        <v>Про нас</v>
      </c>
      <c r="AU63" s="4" t="str">
        <f>IFERROR(__xludf.DUMMYFUNCTION("GOOGLETRANSLATE(B63,""en"",""zu"")"),"Mayelana NATHI")</f>
        <v>Mayelana NATHI</v>
      </c>
      <c r="AV63" s="4" t="str">
        <f>IFERROR(__xludf.DUMMYFUNCTION("GOOGLETRANSLATE(B63,""en"",""sr"")"),"О нама")</f>
        <v>О нама</v>
      </c>
    </row>
    <row r="64">
      <c r="A64" s="3" t="s">
        <v>169</v>
      </c>
      <c r="B64" s="3" t="s">
        <v>170</v>
      </c>
      <c r="C64" s="4" t="str">
        <f>IFERROR(__xludf.DUMMYFUNCTION("GOOGLETRANSLATE(B64,""en"",""ta"")"),"தனியுரிமைக் கொள்கை")</f>
        <v>தனியுரிமைக் கொள்கை</v>
      </c>
      <c r="D64" s="4" t="str">
        <f>IFERROR(__xludf.DUMMYFUNCTION("GOOGLETRANSLATE(B64,""en"",""hi"")"),"गोपनीयता नीति")</f>
        <v>गोपनीयता नीति</v>
      </c>
      <c r="E64" s="4" t="str">
        <f>IFERROR(__xludf.DUMMYFUNCTION("GOOGLETRANSLATE(B64,""en"",""id"")"),"Kebijakan Privasi")</f>
        <v>Kebijakan Privasi</v>
      </c>
      <c r="F64" s="4" t="str">
        <f>IFERROR(__xludf.DUMMYFUNCTION("GOOGLETRANSLATE(B64,""en"",""ms"")"),"Dasar Privasi")</f>
        <v>Dasar Privasi</v>
      </c>
      <c r="G64" s="4" t="str">
        <f>IFERROR(__xludf.DUMMYFUNCTION("GOOGLETRANSLATE(B64,""en"",""de"")"),"Datenschutzrichtlinie")</f>
        <v>Datenschutzrichtlinie</v>
      </c>
      <c r="H64" s="4" t="str">
        <f>IFERROR(__xludf.DUMMYFUNCTION("GOOGLETRANSLATE(B64,""en"",""es"")"),"política de privacidad")</f>
        <v>política de privacidad</v>
      </c>
      <c r="I64" s="4" t="str">
        <f>IFERROR(__xludf.DUMMYFUNCTION("GOOGLETRANSLATE(B64,""en"",""fr"")"),"politique de confidentialité")</f>
        <v>politique de confidentialité</v>
      </c>
      <c r="J64" s="4" t="str">
        <f>IFERROR(__xludf.DUMMYFUNCTION("GOOGLETRANSLATE(B64,""en"",""it"")"),"politica sulla riservatezza")</f>
        <v>politica sulla riservatezza</v>
      </c>
      <c r="K64" s="4" t="str">
        <f>IFERROR(__xludf.DUMMYFUNCTION("GOOGLETRANSLATE(B64,""en"",""pt"")"),"política de Privacidade")</f>
        <v>política de Privacidade</v>
      </c>
      <c r="L64" s="4" t="str">
        <f>IFERROR(__xludf.DUMMYFUNCTION("GOOGLETRANSLATE(B64,""en"",""ro"")"),"Politica de confidențialitate")</f>
        <v>Politica de confidențialitate</v>
      </c>
      <c r="M64" s="4" t="str">
        <f>IFERROR(__xludf.DUMMYFUNCTION("GOOGLETRANSLATE(B64,""en"",""vi"")"),"Chính sách bảo mật")</f>
        <v>Chính sách bảo mật</v>
      </c>
      <c r="N64" s="4" t="str">
        <f>IFERROR(__xludf.DUMMYFUNCTION("GOOGLETRANSLATE(B64,""en"",""ru"")"),"политика конфиденциальности")</f>
        <v>политика конфиденциальности</v>
      </c>
      <c r="O64" s="4" t="str">
        <f>IFERROR(__xludf.DUMMYFUNCTION("GOOGLETRANSLATE(B64,""en"",""tr"")"),"Gizlilik Politikası")</f>
        <v>Gizlilik Politikası</v>
      </c>
      <c r="P64" s="4" t="str">
        <f>IFERROR(__xludf.DUMMYFUNCTION("GOOGLETRANSLATE(B64,""en"",""ar"")"),"سياسة الخصوصية")</f>
        <v>سياسة الخصوصية</v>
      </c>
      <c r="Q64" s="4" t="str">
        <f>IFERROR(__xludf.DUMMYFUNCTION("GOOGLETRANSLATE(B64,""en"",""mr"")"),"गोपनीयता धोरण")</f>
        <v>गोपनीयता धोरण</v>
      </c>
      <c r="R64" s="4" t="str">
        <f>IFERROR(__xludf.DUMMYFUNCTION("GOOGLETRANSLATE(B64,""en"",""gu"")"),"ગોપનીયતા નીતિ")</f>
        <v>ગોપનીયતા નીતિ</v>
      </c>
      <c r="S64" s="4" t="str">
        <f>IFERROR(__xludf.DUMMYFUNCTION("GOOGLETRANSLATE(B64,""en"",""bn"")"),"গোপনীয়তা নীতি")</f>
        <v>গোপনীয়তা নীতি</v>
      </c>
      <c r="T64" s="4" t="str">
        <f>IFERROR(__xludf.DUMMYFUNCTION("GOOGLETRANSLATE(B64,""en"",""pa"")"),"ਪਰਾਈਵੇਟ ਨੀਤੀ")</f>
        <v>ਪਰਾਈਵੇਟ ਨੀਤੀ</v>
      </c>
      <c r="U64" s="4" t="str">
        <f>IFERROR(__xludf.DUMMYFUNCTION("GOOGLETRANSLATE(B64,""en"",""te"")"),"గోప్యతా విధానం")</f>
        <v>గోప్యతా విధానం</v>
      </c>
      <c r="V64" s="4" t="str">
        <f>IFERROR(__xludf.DUMMYFUNCTION("GOOGLETRANSLATE(B64,""en"",""kn"")"),"ಗೌಪ್ಯತೆ ನೀತಿ")</f>
        <v>ಗೌಪ್ಯತೆ ನೀತಿ</v>
      </c>
      <c r="W64" s="4" t="str">
        <f>IFERROR(__xludf.DUMMYFUNCTION("GOOGLETRANSLATE(B64,""en"",""ml"")"),"സ്വകാര്യതാ നയം")</f>
        <v>സ്വകാര്യതാ നയം</v>
      </c>
      <c r="X64" s="4" t="str">
        <f>IFERROR(__xludf.DUMMYFUNCTION("GOOGLETRANSLATE(B64,""en"",""th"")"),"นโยบายความเป็นส่วนตัว")</f>
        <v>นโยบายความเป็นส่วนตัว</v>
      </c>
      <c r="Y64" s="4" t="str">
        <f>IFERROR(__xludf.DUMMYFUNCTION("GOOGLETRANSLATE(B64,""en"",""ko"")"),"개인정보 보호정책")</f>
        <v>개인정보 보호정책</v>
      </c>
      <c r="Z64" s="4" t="str">
        <f>IFERROR(__xludf.DUMMYFUNCTION("GOOGLETRANSLATE(B64,""en"",""zh"")"),"隐私政策")</f>
        <v>隐私政策</v>
      </c>
      <c r="AA64" s="4" t="str">
        <f>IFERROR(__xludf.DUMMYFUNCTION("GOOGLETRANSLATE(B64,""en"",""zh-TW"")"),"隱私權政策")</f>
        <v>隱私權政策</v>
      </c>
      <c r="AB64" s="4" t="str">
        <f>IFERROR(__xludf.DUMMYFUNCTION("GOOGLETRANSLATE(B64,""en"",""ja"")"),"プライバシーポリシー")</f>
        <v>プライバシーポリシー</v>
      </c>
      <c r="AC64" s="4" t="str">
        <f>IFERROR(__xludf.DUMMYFUNCTION("GOOGLETRANSLATE(B64,""en"",""bg"")"),"Политика за поверителност")</f>
        <v>Политика за поверителност</v>
      </c>
      <c r="AD64" s="4" t="str">
        <f>IFERROR(__xludf.DUMMYFUNCTION("GOOGLETRANSLATE(B64,""en"",""cs"")"),"Zásady ochrany osobních údajů")</f>
        <v>Zásady ochrany osobních údajů</v>
      </c>
      <c r="AE64" s="4" t="str">
        <f>IFERROR(__xludf.DUMMYFUNCTION("GOOGLETRANSLATE(B64,""en"",""da"")"),"Privatlivspolitik")</f>
        <v>Privatlivspolitik</v>
      </c>
      <c r="AF64" s="4" t="str">
        <f>IFERROR(__xludf.DUMMYFUNCTION("GOOGLETRANSLATE(B64,""en"",""el"")"),"Πολιτική Απορρήτου")</f>
        <v>Πολιτική Απορρήτου</v>
      </c>
      <c r="AG64" s="4" t="str">
        <f>IFERROR(__xludf.DUMMYFUNCTION("GOOGLETRANSLATE(B64,""en"",""et"")"),"Privaatsuspoliitika")</f>
        <v>Privaatsuspoliitika</v>
      </c>
      <c r="AH64" s="4" t="str">
        <f>IFERROR(__xludf.DUMMYFUNCTION("GOOGLETRANSLATE(B64,""en"",""fi"")"),"Tietosuojakäytäntö")</f>
        <v>Tietosuojakäytäntö</v>
      </c>
      <c r="AI64" s="4" t="str">
        <f>IFERROR(__xludf.DUMMYFUNCTION("GOOGLETRANSLATE(B64,""en"",""hr"")"),"Politika privatnosti")</f>
        <v>Politika privatnosti</v>
      </c>
      <c r="AJ64" s="4" t="str">
        <f>IFERROR(__xludf.DUMMYFUNCTION("GOOGLETRANSLATE(B64,""en"",""hu"")"),"Adatvédelmi szabályzat")</f>
        <v>Adatvédelmi szabályzat</v>
      </c>
      <c r="AK64" s="4" t="str">
        <f>IFERROR(__xludf.DUMMYFUNCTION("GOOGLETRANSLATE(B64,""en"",""hy"")"),"Գաղտնիության քաղաքականություն")</f>
        <v>Գաղտնիության քաղաքականություն</v>
      </c>
      <c r="AL64" s="4" t="str">
        <f>IFERROR(__xludf.DUMMYFUNCTION("GOOGLETRANSLATE(B64,""en"",""ca"")"),"Política de privadesa")</f>
        <v>Política de privadesa</v>
      </c>
      <c r="AM64" s="4" t="str">
        <f>IFERROR(__xludf.DUMMYFUNCTION("GOOGLETRANSLATE(B64,""en"",""nl"")"),"Privacybeleid")</f>
        <v>Privacybeleid</v>
      </c>
      <c r="AN64" s="4" t="str">
        <f>IFERROR(__xludf.DUMMYFUNCTION("GOOGLETRANSLATE(B64,""en"",""he"")"),"מדיניות פרטיות")</f>
        <v>מדיניות פרטיות</v>
      </c>
      <c r="AO64" s="4" t="str">
        <f>IFERROR(__xludf.DUMMYFUNCTION("GOOGLETRANSLATE(B64,""en"",""is"")"),"Persónuverndarstefna")</f>
        <v>Persónuverndarstefna</v>
      </c>
      <c r="AP64" s="4" t="str">
        <f>IFERROR(__xludf.DUMMYFUNCTION("GOOGLETRANSLATE(B64,""en"",""no"")"),"Personvernerklæring")</f>
        <v>Personvernerklæring</v>
      </c>
      <c r="AQ64" s="4" t="str">
        <f>IFERROR(__xludf.DUMMYFUNCTION("GOOGLETRANSLATE(B64,""en"",""fa"")"),"سیاست حفظ حریم خصوصی")</f>
        <v>سیاست حفظ حریم خصوصی</v>
      </c>
      <c r="AR64" s="4" t="str">
        <f>IFERROR(__xludf.DUMMYFUNCTION("GOOGLETRANSLATE(B64,""en"",""pl"")"),"Polityka prywatności")</f>
        <v>Polityka prywatności</v>
      </c>
      <c r="AS64" s="4" t="str">
        <f>IFERROR(__xludf.DUMMYFUNCTION("GOOGLETRANSLATE(B64,""en"",""sv"")"),"Sekretesspolicy")</f>
        <v>Sekretesspolicy</v>
      </c>
      <c r="AT64" s="4" t="str">
        <f>IFERROR(__xludf.DUMMYFUNCTION("GOOGLETRANSLATE(B64,""en"",""uk"")"),"Політика конфіденційності")</f>
        <v>Політика конфіденційності</v>
      </c>
      <c r="AU64" s="4" t="str">
        <f>IFERROR(__xludf.DUMMYFUNCTION("GOOGLETRANSLATE(B64,""en"",""zu"")"),"Inqubomgomo yobumfihlo")</f>
        <v>Inqubomgomo yobumfihlo</v>
      </c>
      <c r="AV64" s="4" t="str">
        <f>IFERROR(__xludf.DUMMYFUNCTION("GOOGLETRANSLATE(B64,""en"",""sr"")"),"Политика приватности")</f>
        <v>Политика приватности</v>
      </c>
    </row>
    <row r="65">
      <c r="A65" s="3" t="s">
        <v>171</v>
      </c>
      <c r="B65" s="3" t="s">
        <v>172</v>
      </c>
      <c r="C65" s="4" t="str">
        <f>IFERROR(__xludf.DUMMYFUNCTION("GOOGLETRANSLATE(B65,""en"",""ta"")"),"மொழியைத் தேர்ந்தெடுக்கவும்")</f>
        <v>மொழியைத் தேர்ந்தெடுக்கவும்</v>
      </c>
      <c r="D65" s="4" t="str">
        <f>IFERROR(__xludf.DUMMYFUNCTION("GOOGLETRANSLATE(B65,""en"",""hi"")"),"भाषा चुनें")</f>
        <v>भाषा चुनें</v>
      </c>
      <c r="E65" s="4" t="str">
        <f>IFERROR(__xludf.DUMMYFUNCTION("GOOGLETRANSLATE(B65,""en"",""id"")"),"Pilih Bahasa")</f>
        <v>Pilih Bahasa</v>
      </c>
      <c r="F65" s="4" t="str">
        <f>IFERROR(__xludf.DUMMYFUNCTION("GOOGLETRANSLATE(B65,""en"",""ms"")"),"Pilih Bahasa")</f>
        <v>Pilih Bahasa</v>
      </c>
      <c r="G65" s="4" t="str">
        <f>IFERROR(__xludf.DUMMYFUNCTION("GOOGLETRANSLATE(B65,""en"",""de"")"),"Sprache auswählen")</f>
        <v>Sprache auswählen</v>
      </c>
      <c r="H65" s="4" t="str">
        <f>IFERROR(__xludf.DUMMYFUNCTION("GOOGLETRANSLATE(B65,""en"",""es"")"),"Elija el idioma")</f>
        <v>Elija el idioma</v>
      </c>
      <c r="I65" s="4" t="str">
        <f>IFERROR(__xludf.DUMMYFUNCTION("GOOGLETRANSLATE(B65,""en"",""fr"")"),"Choisir la langue")</f>
        <v>Choisir la langue</v>
      </c>
      <c r="J65" s="4" t="str">
        <f>IFERROR(__xludf.DUMMYFUNCTION("GOOGLETRANSLATE(B65,""en"",""it"")"),"Scegli la lingua")</f>
        <v>Scegli la lingua</v>
      </c>
      <c r="K65" s="4" t="str">
        <f>IFERROR(__xludf.DUMMYFUNCTION("GOOGLETRANSLATE(B65,""en"",""pt"")"),"Escolha o idioma")</f>
        <v>Escolha o idioma</v>
      </c>
      <c r="L65" s="4" t="str">
        <f>IFERROR(__xludf.DUMMYFUNCTION("GOOGLETRANSLATE(B65,""en"",""ro"")"),"Alegeți limba")</f>
        <v>Alegeți limba</v>
      </c>
      <c r="M65" s="4" t="str">
        <f>IFERROR(__xludf.DUMMYFUNCTION("GOOGLETRANSLATE(B65,""en"",""vi"")"),"Chọn ngôn ngữ")</f>
        <v>Chọn ngôn ngữ</v>
      </c>
      <c r="N65" s="4" t="str">
        <f>IFERROR(__xludf.DUMMYFUNCTION("GOOGLETRANSLATE(B65,""en"",""ru"")"),"Выберите язык")</f>
        <v>Выберите язык</v>
      </c>
      <c r="O65" s="4" t="str">
        <f>IFERROR(__xludf.DUMMYFUNCTION("GOOGLETRANSLATE(B65,""en"",""tr"")"),"Dil Seçin")</f>
        <v>Dil Seçin</v>
      </c>
      <c r="P65" s="4" t="str">
        <f>IFERROR(__xludf.DUMMYFUNCTION("GOOGLETRANSLATE(B65,""en"",""ar"")"),"اختر اللغة")</f>
        <v>اختر اللغة</v>
      </c>
      <c r="Q65" s="4" t="str">
        <f>IFERROR(__xludf.DUMMYFUNCTION("GOOGLETRANSLATE(B65,""en"",""mr"")"),"भाषा निवडा")</f>
        <v>भाषा निवडा</v>
      </c>
      <c r="R65" s="4" t="str">
        <f>IFERROR(__xludf.DUMMYFUNCTION("GOOGLETRANSLATE(B65,""en"",""gu"")"),"ભાષા પસંદ કરો")</f>
        <v>ભાષા પસંદ કરો</v>
      </c>
      <c r="S65" s="4" t="str">
        <f>IFERROR(__xludf.DUMMYFUNCTION("GOOGLETRANSLATE(B65,""en"",""bn"")"),"ভাষা নির্বাচন করুন")</f>
        <v>ভাষা নির্বাচন করুন</v>
      </c>
      <c r="T65" s="4" t="str">
        <f>IFERROR(__xludf.DUMMYFUNCTION("GOOGLETRANSLATE(B65,""en"",""pa"")"),"ਭਾਸ਼ਾ ਚੁਣੋ")</f>
        <v>ਭਾਸ਼ਾ ਚੁਣੋ</v>
      </c>
      <c r="U65" s="4" t="str">
        <f>IFERROR(__xludf.DUMMYFUNCTION("GOOGLETRANSLATE(B65,""en"",""te"")"),"భాషను ఎంచుకోండి")</f>
        <v>భాషను ఎంచుకోండి</v>
      </c>
      <c r="V65" s="4" t="str">
        <f>IFERROR(__xludf.DUMMYFUNCTION("GOOGLETRANSLATE(B65,""en"",""kn"")"),"ಭಾಷೆಯನ್ನು ಆರಿಸಿ")</f>
        <v>ಭಾಷೆಯನ್ನು ಆರಿಸಿ</v>
      </c>
      <c r="W65" s="4" t="str">
        <f>IFERROR(__xludf.DUMMYFUNCTION("GOOGLETRANSLATE(B65,""en"",""ml"")"),"ഭാഷ തിരഞ്ഞെടുക്കുക")</f>
        <v>ഭാഷ തിരഞ്ഞെടുക്കുക</v>
      </c>
      <c r="X65" s="4" t="str">
        <f>IFERROR(__xludf.DUMMYFUNCTION("GOOGLETRANSLATE(B65,""en"",""th"")"),"เลือกภาษา")</f>
        <v>เลือกภาษา</v>
      </c>
      <c r="Y65" s="4" t="str">
        <f>IFERROR(__xludf.DUMMYFUNCTION("GOOGLETRANSLATE(B65,""en"",""ko"")"),"언어 선택")</f>
        <v>언어 선택</v>
      </c>
      <c r="Z65" s="4" t="str">
        <f>IFERROR(__xludf.DUMMYFUNCTION("GOOGLETRANSLATE(B65,""en"",""zh"")"),"选择语言")</f>
        <v>选择语言</v>
      </c>
      <c r="AA65" s="4" t="str">
        <f>IFERROR(__xludf.DUMMYFUNCTION("GOOGLETRANSLATE(B65,""en"",""zh-TW"")"),"選擇語言")</f>
        <v>選擇語言</v>
      </c>
      <c r="AB65" s="4" t="str">
        <f>IFERROR(__xludf.DUMMYFUNCTION("GOOGLETRANSLATE(B65,""en"",""ja"")"),"言語を選択")</f>
        <v>言語を選択</v>
      </c>
      <c r="AC65" s="4" t="str">
        <f>IFERROR(__xludf.DUMMYFUNCTION("GOOGLETRANSLATE(B65,""en"",""bg"")"),"Изберете език")</f>
        <v>Изберете език</v>
      </c>
      <c r="AD65" s="4" t="str">
        <f>IFERROR(__xludf.DUMMYFUNCTION("GOOGLETRANSLATE(B65,""en"",""cs"")"),"Vyberte Jazyk")</f>
        <v>Vyberte Jazyk</v>
      </c>
      <c r="AE65" s="4" t="str">
        <f>IFERROR(__xludf.DUMMYFUNCTION("GOOGLETRANSLATE(B65,""en"",""da"")"),"Vælg sprog")</f>
        <v>Vælg sprog</v>
      </c>
      <c r="AF65" s="4" t="str">
        <f>IFERROR(__xludf.DUMMYFUNCTION("GOOGLETRANSLATE(B65,""en"",""el"")"),"Επιλέξτε Γλώσσα")</f>
        <v>Επιλέξτε Γλώσσα</v>
      </c>
      <c r="AG65" s="4" t="str">
        <f>IFERROR(__xludf.DUMMYFUNCTION("GOOGLETRANSLATE(B65,""en"",""et"")"),"Valige keel")</f>
        <v>Valige keel</v>
      </c>
      <c r="AH65" s="4" t="str">
        <f>IFERROR(__xludf.DUMMYFUNCTION("GOOGLETRANSLATE(B65,""en"",""fi"")"),"Valitse Kieli")</f>
        <v>Valitse Kieli</v>
      </c>
      <c r="AI65" s="4" t="str">
        <f>IFERROR(__xludf.DUMMYFUNCTION("GOOGLETRANSLATE(B65,""en"",""hr"")"),"Odaberite jezik")</f>
        <v>Odaberite jezik</v>
      </c>
      <c r="AJ65" s="4" t="str">
        <f>IFERROR(__xludf.DUMMYFUNCTION("GOOGLETRANSLATE(B65,""en"",""hu"")"),"Válassza a Nyelv lehetőséget")</f>
        <v>Válassza a Nyelv lehetőséget</v>
      </c>
      <c r="AK65" s="4" t="str">
        <f>IFERROR(__xludf.DUMMYFUNCTION("GOOGLETRANSLATE(B65,""en"",""hy"")"),"Ընտրեք Լեզուն")</f>
        <v>Ընտրեք Լեզուն</v>
      </c>
      <c r="AL65" s="4" t="str">
        <f>IFERROR(__xludf.DUMMYFUNCTION("GOOGLETRANSLATE(B65,""en"",""ca"")"),"Trieu Idioma")</f>
        <v>Trieu Idioma</v>
      </c>
      <c r="AM65" s="4" t="str">
        <f>IFERROR(__xludf.DUMMYFUNCTION("GOOGLETRANSLATE(B65,""en"",""nl"")"),"Taal kiezen")</f>
        <v>Taal kiezen</v>
      </c>
      <c r="AN65" s="4" t="str">
        <f>IFERROR(__xludf.DUMMYFUNCTION("GOOGLETRANSLATE(B65,""en"",""he"")"),"בחר שפה")</f>
        <v>בחר שפה</v>
      </c>
      <c r="AO65" s="4" t="str">
        <f>IFERROR(__xludf.DUMMYFUNCTION("GOOGLETRANSLATE(B65,""en"",""is"")"),"Veldu Tungumál")</f>
        <v>Veldu Tungumál</v>
      </c>
      <c r="AP65" s="4" t="str">
        <f>IFERROR(__xludf.DUMMYFUNCTION("GOOGLETRANSLATE(B65,""en"",""no"")"),"Velg Språk")</f>
        <v>Velg Språk</v>
      </c>
      <c r="AQ65" s="4" t="str">
        <f>IFERROR(__xludf.DUMMYFUNCTION("GOOGLETRANSLATE(B65,""en"",""fa"")"),"زبان را انتخاب کنید")</f>
        <v>زبان را انتخاب کنید</v>
      </c>
      <c r="AR65" s="4" t="str">
        <f>IFERROR(__xludf.DUMMYFUNCTION("GOOGLETRANSLATE(B65,""en"",""pl"")"),"Wybierz język")</f>
        <v>Wybierz język</v>
      </c>
      <c r="AS65" s="4" t="str">
        <f>IFERROR(__xludf.DUMMYFUNCTION("GOOGLETRANSLATE(B65,""en"",""sv"")"),"Välj Språk")</f>
        <v>Välj Språk</v>
      </c>
      <c r="AT65" s="4" t="str">
        <f>IFERROR(__xludf.DUMMYFUNCTION("GOOGLETRANSLATE(B65,""en"",""uk"")"),"Виберіть мову")</f>
        <v>Виберіть мову</v>
      </c>
      <c r="AU65" s="4" t="str">
        <f>IFERROR(__xludf.DUMMYFUNCTION("GOOGLETRANSLATE(B65,""en"",""zu"")"),"Khetha Ulimi")</f>
        <v>Khetha Ulimi</v>
      </c>
      <c r="AV65" s="4" t="str">
        <f>IFERROR(__xludf.DUMMYFUNCTION("GOOGLETRANSLATE(B65,""en"",""sr"")"),"Изаберите Језик")</f>
        <v>Изаберите Језик</v>
      </c>
    </row>
    <row r="66">
      <c r="A66" s="3" t="s">
        <v>173</v>
      </c>
      <c r="B66" s="3" t="s">
        <v>174</v>
      </c>
      <c r="C66" s="4" t="str">
        <f>IFERROR(__xludf.DUMMYFUNCTION("GOOGLETRANSLATE(B66,""en"",""ta"")"),"அலகு விருப்பத்தேர்வுகள்")</f>
        <v>அலகு விருப்பத்தேர்வுகள்</v>
      </c>
      <c r="D66" s="4" t="str">
        <f>IFERROR(__xludf.DUMMYFUNCTION("GOOGLETRANSLATE(B66,""en"",""hi"")"),"इकाई प्राथमिकताएं")</f>
        <v>इकाई प्राथमिकताएं</v>
      </c>
      <c r="E66" s="4" t="str">
        <f>IFERROR(__xludf.DUMMYFUNCTION("GOOGLETRANSLATE(B66,""en"",""id"")"),"Preferensi Unit")</f>
        <v>Preferensi Unit</v>
      </c>
      <c r="F66" s="4" t="str">
        <f>IFERROR(__xludf.DUMMYFUNCTION("GOOGLETRANSLATE(B66,""en"",""ms"")"),"Keutamaan Unit")</f>
        <v>Keutamaan Unit</v>
      </c>
      <c r="G66" s="4" t="str">
        <f>IFERROR(__xludf.DUMMYFUNCTION("GOOGLETRANSLATE(B66,""en"",""de"")"),"Einheiteneinstellungen")</f>
        <v>Einheiteneinstellungen</v>
      </c>
      <c r="H66" s="4" t="str">
        <f>IFERROR(__xludf.DUMMYFUNCTION("GOOGLETRANSLATE(B66,""en"",""es"")"),"Preferencias de unidad")</f>
        <v>Preferencias de unidad</v>
      </c>
      <c r="I66" s="4" t="str">
        <f>IFERROR(__xludf.DUMMYFUNCTION("GOOGLETRANSLATE(B66,""en"",""fr"")"),"Préférences de l'unité")</f>
        <v>Préférences de l'unité</v>
      </c>
      <c r="J66" s="4" t="str">
        <f>IFERROR(__xludf.DUMMYFUNCTION("GOOGLETRANSLATE(B66,""en"",""it"")"),"Preferenze unità")</f>
        <v>Preferenze unità</v>
      </c>
      <c r="K66" s="4" t="str">
        <f>IFERROR(__xludf.DUMMYFUNCTION("GOOGLETRANSLATE(B66,""en"",""pt"")"),"Preferências da unidade")</f>
        <v>Preferências da unidade</v>
      </c>
      <c r="L66" s="4" t="str">
        <f>IFERROR(__xludf.DUMMYFUNCTION("GOOGLETRANSLATE(B66,""en"",""ro"")"),"Preferințe de unitate")</f>
        <v>Preferințe de unitate</v>
      </c>
      <c r="M66" s="4" t="str">
        <f>IFERROR(__xludf.DUMMYFUNCTION("GOOGLETRANSLATE(B66,""en"",""vi"")"),"Sở thích đơn vị")</f>
        <v>Sở thích đơn vị</v>
      </c>
      <c r="N66" s="4" t="str">
        <f>IFERROR(__xludf.DUMMYFUNCTION("GOOGLETRANSLATE(B66,""en"",""ru"")"),"Настройки единиц измерения")</f>
        <v>Настройки единиц измерения</v>
      </c>
      <c r="O66" s="4" t="str">
        <f>IFERROR(__xludf.DUMMYFUNCTION("GOOGLETRANSLATE(B66,""en"",""tr"")"),"Birim Tercihleri")</f>
        <v>Birim Tercihleri</v>
      </c>
      <c r="P66" s="4" t="str">
        <f>IFERROR(__xludf.DUMMYFUNCTION("GOOGLETRANSLATE(B66,""en"",""ar"")"),"تفضيلات الوحدة")</f>
        <v>تفضيلات الوحدة</v>
      </c>
      <c r="Q66" s="4" t="str">
        <f>IFERROR(__xludf.DUMMYFUNCTION("GOOGLETRANSLATE(B66,""en"",""mr"")"),"युनिट प्राधान्ये")</f>
        <v>युनिट प्राधान्ये</v>
      </c>
      <c r="R66" s="4" t="str">
        <f>IFERROR(__xludf.DUMMYFUNCTION("GOOGLETRANSLATE(B66,""en"",""gu"")"),"એકમ પસંદગીઓ")</f>
        <v>એકમ પસંદગીઓ</v>
      </c>
      <c r="S66" s="4" t="str">
        <f>IFERROR(__xludf.DUMMYFUNCTION("GOOGLETRANSLATE(B66,""en"",""bn"")"),"ইউনিট পছন্দসমূহ")</f>
        <v>ইউনিট পছন্দসমূহ</v>
      </c>
      <c r="T66" s="4" t="str">
        <f>IFERROR(__xludf.DUMMYFUNCTION("GOOGLETRANSLATE(B66,""en"",""pa"")"),"ਯੂਨਿਟ ਤਰਜੀਹਾਂ")</f>
        <v>ਯੂਨਿਟ ਤਰਜੀਹਾਂ</v>
      </c>
      <c r="U66" s="4" t="str">
        <f>IFERROR(__xludf.DUMMYFUNCTION("GOOGLETRANSLATE(B66,""en"",""te"")"),"యూనిట్ ప్రాధాన్యతలు")</f>
        <v>యూనిట్ ప్రాధాన్యతలు</v>
      </c>
      <c r="V66" s="4" t="str">
        <f>IFERROR(__xludf.DUMMYFUNCTION("GOOGLETRANSLATE(B66,""en"",""kn"")"),"ಘಟಕದ ಆದ್ಯತೆಗಳು")</f>
        <v>ಘಟಕದ ಆದ್ಯತೆಗಳು</v>
      </c>
      <c r="W66" s="4" t="str">
        <f>IFERROR(__xludf.DUMMYFUNCTION("GOOGLETRANSLATE(B66,""en"",""ml"")"),"യൂണിറ്റ് മുൻഗണനകൾ")</f>
        <v>യൂണിറ്റ് മുൻഗണനകൾ</v>
      </c>
      <c r="X66" s="4" t="str">
        <f>IFERROR(__xludf.DUMMYFUNCTION("GOOGLETRANSLATE(B66,""en"",""th"")"),"การตั้งค่าหน่วย")</f>
        <v>การตั้งค่าหน่วย</v>
      </c>
      <c r="Y66" s="4" t="str">
        <f>IFERROR(__xludf.DUMMYFUNCTION("GOOGLETRANSLATE(B66,""en"",""ko"")"),"단위 선호도")</f>
        <v>단위 선호도</v>
      </c>
      <c r="Z66" s="4" t="str">
        <f>IFERROR(__xludf.DUMMYFUNCTION("GOOGLETRANSLATE(B66,""en"",""zh"")"),"单位偏好")</f>
        <v>单位偏好</v>
      </c>
      <c r="AA66" s="4" t="str">
        <f>IFERROR(__xludf.DUMMYFUNCTION("GOOGLETRANSLATE(B66,""en"",""zh-TW"")"),"單位偏好")</f>
        <v>單位偏好</v>
      </c>
      <c r="AB66" s="4" t="str">
        <f>IFERROR(__xludf.DUMMYFUNCTION("GOOGLETRANSLATE(B66,""en"",""ja"")"),"ユニットの設定")</f>
        <v>ユニットの設定</v>
      </c>
      <c r="AC66" s="4" t="str">
        <f>IFERROR(__xludf.DUMMYFUNCTION("GOOGLETRANSLATE(B66,""en"",""bg"")"),"Предпочитания за единица")</f>
        <v>Предпочитания за единица</v>
      </c>
      <c r="AD66" s="4" t="str">
        <f>IFERROR(__xludf.DUMMYFUNCTION("GOOGLETRANSLATE(B66,""en"",""cs"")"),"Předvolby jednotky")</f>
        <v>Předvolby jednotky</v>
      </c>
      <c r="AE66" s="4" t="str">
        <f>IFERROR(__xludf.DUMMYFUNCTION("GOOGLETRANSLATE(B66,""en"",""da"")"),"Enhedspræferencer")</f>
        <v>Enhedspræferencer</v>
      </c>
      <c r="AF66" s="4" t="str">
        <f>IFERROR(__xludf.DUMMYFUNCTION("GOOGLETRANSLATE(B66,""en"",""el"")"),"Προτιμήσεις μονάδας")</f>
        <v>Προτιμήσεις μονάδας</v>
      </c>
      <c r="AG66" s="4" t="str">
        <f>IFERROR(__xludf.DUMMYFUNCTION("GOOGLETRANSLATE(B66,""en"",""et"")"),"Ühiku eelistused")</f>
        <v>Ühiku eelistused</v>
      </c>
      <c r="AH66" s="4" t="str">
        <f>IFERROR(__xludf.DUMMYFUNCTION("GOOGLETRANSLATE(B66,""en"",""fi"")"),"Yksikköasetukset")</f>
        <v>Yksikköasetukset</v>
      </c>
      <c r="AI66" s="4" t="str">
        <f>IFERROR(__xludf.DUMMYFUNCTION("GOOGLETRANSLATE(B66,""en"",""hr"")"),"Postavke jedinice")</f>
        <v>Postavke jedinice</v>
      </c>
      <c r="AJ66" s="4" t="str">
        <f>IFERROR(__xludf.DUMMYFUNCTION("GOOGLETRANSLATE(B66,""en"",""hu"")"),"Egységbeállítások")</f>
        <v>Egységbeállítások</v>
      </c>
      <c r="AK66" s="4" t="str">
        <f>IFERROR(__xludf.DUMMYFUNCTION("GOOGLETRANSLATE(B66,""en"",""hy"")"),"Միավորի նախապատվություններ")</f>
        <v>Միավորի նախապատվություններ</v>
      </c>
      <c r="AL66" s="4" t="str">
        <f>IFERROR(__xludf.DUMMYFUNCTION("GOOGLETRANSLATE(B66,""en"",""ca"")"),"Preferències de la unitat")</f>
        <v>Preferències de la unitat</v>
      </c>
      <c r="AM66" s="4" t="str">
        <f>IFERROR(__xludf.DUMMYFUNCTION("GOOGLETRANSLATE(B66,""en"",""nl"")"),"Eenheidvoorkeuren")</f>
        <v>Eenheidvoorkeuren</v>
      </c>
      <c r="AN66" s="4" t="str">
        <f>IFERROR(__xludf.DUMMYFUNCTION("GOOGLETRANSLATE(B66,""en"",""he"")"),"העדפות יחידה")</f>
        <v>העדפות יחידה</v>
      </c>
      <c r="AO66" s="4" t="str">
        <f>IFERROR(__xludf.DUMMYFUNCTION("GOOGLETRANSLATE(B66,""en"",""is"")"),"Einingastillingar")</f>
        <v>Einingastillingar</v>
      </c>
      <c r="AP66" s="4" t="str">
        <f>IFERROR(__xludf.DUMMYFUNCTION("GOOGLETRANSLATE(B66,""en"",""no"")"),"Enhetsinnstillinger")</f>
        <v>Enhetsinnstillinger</v>
      </c>
      <c r="AQ66" s="4" t="str">
        <f>IFERROR(__xludf.DUMMYFUNCTION("GOOGLETRANSLATE(B66,""en"",""fa"")"),"تنظیمات واحد")</f>
        <v>تنظیمات واحد</v>
      </c>
      <c r="AR66" s="4" t="str">
        <f>IFERROR(__xludf.DUMMYFUNCTION("GOOGLETRANSLATE(B66,""en"",""pl"")"),"Preferencje jednostki")</f>
        <v>Preferencje jednostki</v>
      </c>
      <c r="AS66" s="4" t="str">
        <f>IFERROR(__xludf.DUMMYFUNCTION("GOOGLETRANSLATE(B66,""en"",""sv"")"),"Enhetsinställningar")</f>
        <v>Enhetsinställningar</v>
      </c>
      <c r="AT66" s="4" t="str">
        <f>IFERROR(__xludf.DUMMYFUNCTION("GOOGLETRANSLATE(B66,""en"",""uk"")"),"Параметри одиниць")</f>
        <v>Параметри одиниць</v>
      </c>
      <c r="AU66" s="4" t="str">
        <f>IFERROR(__xludf.DUMMYFUNCTION("GOOGLETRANSLATE(B66,""en"",""zu"")"),"Izinketho zeyunithi")</f>
        <v>Izinketho zeyunithi</v>
      </c>
      <c r="AV66" s="4" t="str">
        <f>IFERROR(__xludf.DUMMYFUNCTION("GOOGLETRANSLATE(B66,""en"",""sr"")"),"Подешавања јединица")</f>
        <v>Подешавања јединица</v>
      </c>
    </row>
    <row r="67">
      <c r="A67" s="3" t="s">
        <v>175</v>
      </c>
      <c r="B67" s="3" t="s">
        <v>176</v>
      </c>
      <c r="C67" s="4" t="str">
        <f>IFERROR(__xludf.DUMMYFUNCTION("GOOGLETRANSLATE(B67,""en"",""ta"")"),"தனிப்பயனாக்கு")</f>
        <v>தனிப்பயனாக்கு</v>
      </c>
      <c r="D67" s="4" t="str">
        <f>IFERROR(__xludf.DUMMYFUNCTION("GOOGLETRANSLATE(B67,""en"",""hi"")"),"अनुकूलित करें")</f>
        <v>अनुकूलित करें</v>
      </c>
      <c r="E67" s="4" t="str">
        <f>IFERROR(__xludf.DUMMYFUNCTION("GOOGLETRANSLATE(B67,""en"",""id"")"),"Sesuaikan")</f>
        <v>Sesuaikan</v>
      </c>
      <c r="F67" s="4" t="str">
        <f>IFERROR(__xludf.DUMMYFUNCTION("GOOGLETRANSLATE(B67,""en"",""ms"")"),"Sesuaikan")</f>
        <v>Sesuaikan</v>
      </c>
      <c r="G67" s="4" t="str">
        <f>IFERROR(__xludf.DUMMYFUNCTION("GOOGLETRANSLATE(B67,""en"",""de"")"),"Anpassen")</f>
        <v>Anpassen</v>
      </c>
      <c r="H67" s="4" t="str">
        <f>IFERROR(__xludf.DUMMYFUNCTION("GOOGLETRANSLATE(B67,""en"",""es"")"),"Personalizar")</f>
        <v>Personalizar</v>
      </c>
      <c r="I67" s="4" t="str">
        <f>IFERROR(__xludf.DUMMYFUNCTION("GOOGLETRANSLATE(B67,""en"",""fr"")"),"Personnaliser")</f>
        <v>Personnaliser</v>
      </c>
      <c r="J67" s="4" t="str">
        <f>IFERROR(__xludf.DUMMYFUNCTION("GOOGLETRANSLATE(B67,""en"",""it"")"),"Personalizzare")</f>
        <v>Personalizzare</v>
      </c>
      <c r="K67" s="4" t="str">
        <f>IFERROR(__xludf.DUMMYFUNCTION("GOOGLETRANSLATE(B67,""en"",""pt"")"),"Personalizar")</f>
        <v>Personalizar</v>
      </c>
      <c r="L67" s="4" t="str">
        <f>IFERROR(__xludf.DUMMYFUNCTION("GOOGLETRANSLATE(B67,""en"",""ro"")"),"Personalizați")</f>
        <v>Personalizați</v>
      </c>
      <c r="M67" s="4" t="str">
        <f>IFERROR(__xludf.DUMMYFUNCTION("GOOGLETRANSLATE(B67,""en"",""vi"")"),"Tùy chỉnh")</f>
        <v>Tùy chỉnh</v>
      </c>
      <c r="N67" s="4" t="str">
        <f>IFERROR(__xludf.DUMMYFUNCTION("GOOGLETRANSLATE(B67,""en"",""ru"")"),"Настроить")</f>
        <v>Настроить</v>
      </c>
      <c r="O67" s="4" t="str">
        <f>IFERROR(__xludf.DUMMYFUNCTION("GOOGLETRANSLATE(B67,""en"",""tr"")"),"Özelleştirmek")</f>
        <v>Özelleştirmek</v>
      </c>
      <c r="P67" s="4" t="str">
        <f>IFERROR(__xludf.DUMMYFUNCTION("GOOGLETRANSLATE(B67,""en"",""ar"")"),"تخصيص")</f>
        <v>تخصيص</v>
      </c>
      <c r="Q67" s="4" t="str">
        <f>IFERROR(__xludf.DUMMYFUNCTION("GOOGLETRANSLATE(B67,""en"",""mr"")"),"सानुकूल करा")</f>
        <v>सानुकूल करा</v>
      </c>
      <c r="R67" s="4" t="str">
        <f>IFERROR(__xludf.DUMMYFUNCTION("GOOGLETRANSLATE(B67,""en"",""gu"")"),"કસ્ટમાઇઝ કરો")</f>
        <v>કસ્ટમાઇઝ કરો</v>
      </c>
      <c r="S67" s="4" t="str">
        <f>IFERROR(__xludf.DUMMYFUNCTION("GOOGLETRANSLATE(B67,""en"",""bn"")"),"কাস্টমাইজ করুন")</f>
        <v>কাস্টমাইজ করুন</v>
      </c>
      <c r="T67" s="4" t="str">
        <f>IFERROR(__xludf.DUMMYFUNCTION("GOOGLETRANSLATE(B67,""en"",""pa"")"),"ਅਨੁਕੂਲਿਤ ਕਰੋ")</f>
        <v>ਅਨੁਕੂਲਿਤ ਕਰੋ</v>
      </c>
      <c r="U67" s="4" t="str">
        <f>IFERROR(__xludf.DUMMYFUNCTION("GOOGLETRANSLATE(B67,""en"",""te"")"),"అనుకూలీకరించండి")</f>
        <v>అనుకూలీకరించండి</v>
      </c>
      <c r="V67" s="4" t="str">
        <f>IFERROR(__xludf.DUMMYFUNCTION("GOOGLETRANSLATE(B67,""en"",""kn"")"),"ಕಸ್ಟಮೈಸ್ ಮಾಡಿ")</f>
        <v>ಕಸ್ಟಮೈಸ್ ಮಾಡಿ</v>
      </c>
      <c r="W67" s="4" t="str">
        <f>IFERROR(__xludf.DUMMYFUNCTION("GOOGLETRANSLATE(B67,""en"",""ml"")"),"ഇഷ്ടാനുസൃതമാക്കുക")</f>
        <v>ഇഷ്ടാനുസൃതമാക്കുക</v>
      </c>
      <c r="X67" s="4" t="str">
        <f>IFERROR(__xludf.DUMMYFUNCTION("GOOGLETRANSLATE(B67,""en"",""th"")"),"ปรับแต่ง")</f>
        <v>ปรับแต่ง</v>
      </c>
      <c r="Y67" s="4" t="str">
        <f>IFERROR(__xludf.DUMMYFUNCTION("GOOGLETRANSLATE(B67,""en"",""ko"")"),"사용자 정의")</f>
        <v>사용자 정의</v>
      </c>
      <c r="Z67" s="4" t="str">
        <f>IFERROR(__xludf.DUMMYFUNCTION("GOOGLETRANSLATE(B67,""en"",""zh"")"),"定制")</f>
        <v>定制</v>
      </c>
      <c r="AA67" s="4" t="str">
        <f>IFERROR(__xludf.DUMMYFUNCTION("GOOGLETRANSLATE(B67,""en"",""zh-TW"")"),"客製化")</f>
        <v>客製化</v>
      </c>
      <c r="AB67" s="4" t="str">
        <f>IFERROR(__xludf.DUMMYFUNCTION("GOOGLETRANSLATE(B67,""en"",""ja"")"),"カスタマイズ")</f>
        <v>カスタマイズ</v>
      </c>
      <c r="AC67" s="4" t="str">
        <f>IFERROR(__xludf.DUMMYFUNCTION("GOOGLETRANSLATE(B67,""en"",""bg"")"),"Персонализиране")</f>
        <v>Персонализиране</v>
      </c>
      <c r="AD67" s="4" t="str">
        <f>IFERROR(__xludf.DUMMYFUNCTION("GOOGLETRANSLATE(B67,""en"",""cs"")"),"Přizpůsobit")</f>
        <v>Přizpůsobit</v>
      </c>
      <c r="AE67" s="4" t="str">
        <f>IFERROR(__xludf.DUMMYFUNCTION("GOOGLETRANSLATE(B67,""en"",""da"")"),"Tilpas")</f>
        <v>Tilpas</v>
      </c>
      <c r="AF67" s="4" t="str">
        <f>IFERROR(__xludf.DUMMYFUNCTION("GOOGLETRANSLATE(B67,""en"",""el"")"),"Προσαρμογή")</f>
        <v>Προσαρμογή</v>
      </c>
      <c r="AG67" s="4" t="str">
        <f>IFERROR(__xludf.DUMMYFUNCTION("GOOGLETRANSLATE(B67,""en"",""et"")"),"Kohanda")</f>
        <v>Kohanda</v>
      </c>
      <c r="AH67" s="4" t="str">
        <f>IFERROR(__xludf.DUMMYFUNCTION("GOOGLETRANSLATE(B67,""en"",""fi"")"),"Mukauta")</f>
        <v>Mukauta</v>
      </c>
      <c r="AI67" s="4" t="str">
        <f>IFERROR(__xludf.DUMMYFUNCTION("GOOGLETRANSLATE(B67,""en"",""hr"")"),"Prilagodite")</f>
        <v>Prilagodite</v>
      </c>
      <c r="AJ67" s="4" t="str">
        <f>IFERROR(__xludf.DUMMYFUNCTION("GOOGLETRANSLATE(B67,""en"",""hu"")"),"Testreszabás")</f>
        <v>Testreszabás</v>
      </c>
      <c r="AK67" s="4" t="str">
        <f>IFERROR(__xludf.DUMMYFUNCTION("GOOGLETRANSLATE(B67,""en"",""hy"")"),"Անհատականացնել")</f>
        <v>Անհատականացնել</v>
      </c>
      <c r="AL67" s="4" t="str">
        <f>IFERROR(__xludf.DUMMYFUNCTION("GOOGLETRANSLATE(B67,""en"",""ca"")"),"Personalitza")</f>
        <v>Personalitza</v>
      </c>
      <c r="AM67" s="4" t="str">
        <f>IFERROR(__xludf.DUMMYFUNCTION("GOOGLETRANSLATE(B67,""en"",""nl"")"),"Aanpassen")</f>
        <v>Aanpassen</v>
      </c>
      <c r="AN67" s="4" t="str">
        <f>IFERROR(__xludf.DUMMYFUNCTION("GOOGLETRANSLATE(B67,""en"",""he"")"),"התאמה אישית")</f>
        <v>התאמה אישית</v>
      </c>
      <c r="AO67" s="4" t="str">
        <f>IFERROR(__xludf.DUMMYFUNCTION("GOOGLETRANSLATE(B67,""en"",""is"")"),"Sérsníða")</f>
        <v>Sérsníða</v>
      </c>
      <c r="AP67" s="4" t="str">
        <f>IFERROR(__xludf.DUMMYFUNCTION("GOOGLETRANSLATE(B67,""en"",""no"")"),"Tilpass")</f>
        <v>Tilpass</v>
      </c>
      <c r="AQ67" s="4" t="str">
        <f>IFERROR(__xludf.DUMMYFUNCTION("GOOGLETRANSLATE(B67,""en"",""fa"")"),"سفارشی کنید")</f>
        <v>سفارشی کنید</v>
      </c>
      <c r="AR67" s="4" t="str">
        <f>IFERROR(__xludf.DUMMYFUNCTION("GOOGLETRANSLATE(B67,""en"",""pl"")"),"Dostosuj")</f>
        <v>Dostosuj</v>
      </c>
      <c r="AS67" s="4" t="str">
        <f>IFERROR(__xludf.DUMMYFUNCTION("GOOGLETRANSLATE(B67,""en"",""sv"")"),"Anpassa")</f>
        <v>Anpassa</v>
      </c>
      <c r="AT67" s="4" t="str">
        <f>IFERROR(__xludf.DUMMYFUNCTION("GOOGLETRANSLATE(B67,""en"",""uk"")"),"Налаштувати")</f>
        <v>Налаштувати</v>
      </c>
      <c r="AU67" s="4" t="str">
        <f>IFERROR(__xludf.DUMMYFUNCTION("GOOGLETRANSLATE(B67,""en"",""zu"")"),"Enza ngendlela oyifisayo")</f>
        <v>Enza ngendlela oyifisayo</v>
      </c>
      <c r="AV67" s="4" t="str">
        <f>IFERROR(__xludf.DUMMYFUNCTION("GOOGLETRANSLATE(B67,""en"",""sr"")"),"Прилагодите")</f>
        <v>Прилагодите</v>
      </c>
    </row>
    <row r="68">
      <c r="A68" s="3" t="s">
        <v>177</v>
      </c>
      <c r="B68" s="3" t="s">
        <v>178</v>
      </c>
      <c r="C68" s="4" t="str">
        <f>IFERROR(__xludf.DUMMYFUNCTION("GOOGLETRANSLATE(B68,""en"",""ta"")"),"முன்னோட்டம்")</f>
        <v>முன்னோட்டம்</v>
      </c>
      <c r="D68" s="4" t="str">
        <f>IFERROR(__xludf.DUMMYFUNCTION("GOOGLETRANSLATE(B68,""en"",""hi"")"),"पूर्व दर्शन")</f>
        <v>पूर्व दर्शन</v>
      </c>
      <c r="E68" s="4" t="str">
        <f>IFERROR(__xludf.DUMMYFUNCTION("GOOGLETRANSLATE(B68,""en"",""id"")"),"Pratinjau")</f>
        <v>Pratinjau</v>
      </c>
      <c r="F68" s="4" t="str">
        <f>IFERROR(__xludf.DUMMYFUNCTION("GOOGLETRANSLATE(B68,""en"",""ms"")"),"Pratonton")</f>
        <v>Pratonton</v>
      </c>
      <c r="G68" s="4" t="str">
        <f>IFERROR(__xludf.DUMMYFUNCTION("GOOGLETRANSLATE(B68,""en"",""de"")"),"Vorschau")</f>
        <v>Vorschau</v>
      </c>
      <c r="H68" s="4" t="str">
        <f>IFERROR(__xludf.DUMMYFUNCTION("GOOGLETRANSLATE(B68,""en"",""es"")"),"Avance")</f>
        <v>Avance</v>
      </c>
      <c r="I68" s="4" t="str">
        <f>IFERROR(__xludf.DUMMYFUNCTION("GOOGLETRANSLATE(B68,""en"",""fr"")"),"Aperçu")</f>
        <v>Aperçu</v>
      </c>
      <c r="J68" s="4" t="str">
        <f>IFERROR(__xludf.DUMMYFUNCTION("GOOGLETRANSLATE(B68,""en"",""it"")"),"Anteprima")</f>
        <v>Anteprima</v>
      </c>
      <c r="K68" s="4" t="str">
        <f>IFERROR(__xludf.DUMMYFUNCTION("GOOGLETRANSLATE(B68,""en"",""pt"")"),"Visualização")</f>
        <v>Visualização</v>
      </c>
      <c r="L68" s="4" t="str">
        <f>IFERROR(__xludf.DUMMYFUNCTION("GOOGLETRANSLATE(B68,""en"",""ro"")"),"Previzualizare")</f>
        <v>Previzualizare</v>
      </c>
      <c r="M68" s="4" t="str">
        <f>IFERROR(__xludf.DUMMYFUNCTION("GOOGLETRANSLATE(B68,""en"",""vi"")"),"Xem trước")</f>
        <v>Xem trước</v>
      </c>
      <c r="N68" s="4" t="str">
        <f>IFERROR(__xludf.DUMMYFUNCTION("GOOGLETRANSLATE(B68,""en"",""ru"")"),"Предварительный просмотр")</f>
        <v>Предварительный просмотр</v>
      </c>
      <c r="O68" s="4" t="str">
        <f>IFERROR(__xludf.DUMMYFUNCTION("GOOGLETRANSLATE(B68,""en"",""tr"")"),"Önizleme")</f>
        <v>Önizleme</v>
      </c>
      <c r="P68" s="4" t="str">
        <f>IFERROR(__xludf.DUMMYFUNCTION("GOOGLETRANSLATE(B68,""en"",""ar"")"),"معاينة")</f>
        <v>معاينة</v>
      </c>
      <c r="Q68" s="4" t="str">
        <f>IFERROR(__xludf.DUMMYFUNCTION("GOOGLETRANSLATE(B68,""en"",""mr"")"),"पूर्वावलोकन")</f>
        <v>पूर्वावलोकन</v>
      </c>
      <c r="R68" s="4" t="str">
        <f>IFERROR(__xludf.DUMMYFUNCTION("GOOGLETRANSLATE(B68,""en"",""gu"")"),"પૂર્વાવલોકન")</f>
        <v>પૂર્વાવલોકન</v>
      </c>
      <c r="S68" s="4" t="str">
        <f>IFERROR(__xludf.DUMMYFUNCTION("GOOGLETRANSLATE(B68,""en"",""bn"")"),"পূর্বরূপ")</f>
        <v>পূর্বরূপ</v>
      </c>
      <c r="T68" s="4" t="str">
        <f>IFERROR(__xludf.DUMMYFUNCTION("GOOGLETRANSLATE(B68,""en"",""pa"")"),"ਝਲਕ")</f>
        <v>ਝਲਕ</v>
      </c>
      <c r="U68" s="4" t="str">
        <f>IFERROR(__xludf.DUMMYFUNCTION("GOOGLETRANSLATE(B68,""en"",""te"")"),"ప్రివ్యూ")</f>
        <v>ప్రివ్యూ</v>
      </c>
      <c r="V68" s="4" t="str">
        <f>IFERROR(__xludf.DUMMYFUNCTION("GOOGLETRANSLATE(B68,""en"",""kn"")"),"ಪೂರ್ವವೀಕ್ಷಣೆ")</f>
        <v>ಪೂರ್ವವೀಕ್ಷಣೆ</v>
      </c>
      <c r="W68" s="4" t="str">
        <f>IFERROR(__xludf.DUMMYFUNCTION("GOOGLETRANSLATE(B68,""en"",""ml"")"),"പ്രിവ്യൂ")</f>
        <v>പ്രിവ്യൂ</v>
      </c>
      <c r="X68" s="4" t="str">
        <f>IFERROR(__xludf.DUMMYFUNCTION("GOOGLETRANSLATE(B68,""en"",""th"")"),"ตัวอย่าง")</f>
        <v>ตัวอย่าง</v>
      </c>
      <c r="Y68" s="4" t="str">
        <f>IFERROR(__xludf.DUMMYFUNCTION("GOOGLETRANSLATE(B68,""en"",""ko"")"),"시사")</f>
        <v>시사</v>
      </c>
      <c r="Z68" s="4" t="str">
        <f>IFERROR(__xludf.DUMMYFUNCTION("GOOGLETRANSLATE(B68,""en"",""zh"")"),"预览")</f>
        <v>预览</v>
      </c>
      <c r="AA68" s="4" t="str">
        <f>IFERROR(__xludf.DUMMYFUNCTION("GOOGLETRANSLATE(B68,""en"",""zh-TW"")"),"預覽")</f>
        <v>預覽</v>
      </c>
      <c r="AB68" s="4" t="str">
        <f>IFERROR(__xludf.DUMMYFUNCTION("GOOGLETRANSLATE(B68,""en"",""ja"")"),"プレビュー")</f>
        <v>プレビュー</v>
      </c>
      <c r="AC68" s="4" t="str">
        <f>IFERROR(__xludf.DUMMYFUNCTION("GOOGLETRANSLATE(B68,""en"",""bg"")"),"Преглед")</f>
        <v>Преглед</v>
      </c>
      <c r="AD68" s="4" t="str">
        <f>IFERROR(__xludf.DUMMYFUNCTION("GOOGLETRANSLATE(B68,""en"",""cs"")"),"Náhled")</f>
        <v>Náhled</v>
      </c>
      <c r="AE68" s="4" t="str">
        <f>IFERROR(__xludf.DUMMYFUNCTION("GOOGLETRANSLATE(B68,""en"",""da"")"),"Forhåndsvisning")</f>
        <v>Forhåndsvisning</v>
      </c>
      <c r="AF68" s="4" t="str">
        <f>IFERROR(__xludf.DUMMYFUNCTION("GOOGLETRANSLATE(B68,""en"",""el"")"),"Πρεμιέρα")</f>
        <v>Πρεμιέρα</v>
      </c>
      <c r="AG68" s="4" t="str">
        <f>IFERROR(__xludf.DUMMYFUNCTION("GOOGLETRANSLATE(B68,""en"",""et"")"),"Eelvaade")</f>
        <v>Eelvaade</v>
      </c>
      <c r="AH68" s="4" t="str">
        <f>IFERROR(__xludf.DUMMYFUNCTION("GOOGLETRANSLATE(B68,""en"",""fi"")"),"Esikatselu")</f>
        <v>Esikatselu</v>
      </c>
      <c r="AI68" s="4" t="str">
        <f>IFERROR(__xludf.DUMMYFUNCTION("GOOGLETRANSLATE(B68,""en"",""hr"")"),"Pregled")</f>
        <v>Pregled</v>
      </c>
      <c r="AJ68" s="4" t="str">
        <f>IFERROR(__xludf.DUMMYFUNCTION("GOOGLETRANSLATE(B68,""en"",""hu"")"),"Előnézet")</f>
        <v>Előnézet</v>
      </c>
      <c r="AK68" s="4" t="str">
        <f>IFERROR(__xludf.DUMMYFUNCTION("GOOGLETRANSLATE(B68,""en"",""hy"")"),"Նախադիտում")</f>
        <v>Նախադիտում</v>
      </c>
      <c r="AL68" s="4" t="str">
        <f>IFERROR(__xludf.DUMMYFUNCTION("GOOGLETRANSLATE(B68,""en"",""ca"")"),"Vista prèvia")</f>
        <v>Vista prèvia</v>
      </c>
      <c r="AM68" s="4" t="str">
        <f>IFERROR(__xludf.DUMMYFUNCTION("GOOGLETRANSLATE(B68,""en"",""nl"")"),"Voorvertoning")</f>
        <v>Voorvertoning</v>
      </c>
      <c r="AN68" s="4" t="str">
        <f>IFERROR(__xludf.DUMMYFUNCTION("GOOGLETRANSLATE(B68,""en"",""he"")"),"תצוגה מקדימה")</f>
        <v>תצוגה מקדימה</v>
      </c>
      <c r="AO68" s="4" t="str">
        <f>IFERROR(__xludf.DUMMYFUNCTION("GOOGLETRANSLATE(B68,""en"",""is"")"),"Forskoðun")</f>
        <v>Forskoðun</v>
      </c>
      <c r="AP68" s="4" t="str">
        <f>IFERROR(__xludf.DUMMYFUNCTION("GOOGLETRANSLATE(B68,""en"",""no"")"),"Forhåndsvisning")</f>
        <v>Forhåndsvisning</v>
      </c>
      <c r="AQ68" s="4" t="str">
        <f>IFERROR(__xludf.DUMMYFUNCTION("GOOGLETRANSLATE(B68,""en"",""fa"")"),"پیش نمایش")</f>
        <v>پیش نمایش</v>
      </c>
      <c r="AR68" s="4" t="str">
        <f>IFERROR(__xludf.DUMMYFUNCTION("GOOGLETRANSLATE(B68,""en"",""pl"")"),"Zapowiedź")</f>
        <v>Zapowiedź</v>
      </c>
      <c r="AS68" s="4" t="str">
        <f>IFERROR(__xludf.DUMMYFUNCTION("GOOGLETRANSLATE(B68,""en"",""sv"")"),"Förhandsvisning")</f>
        <v>Förhandsvisning</v>
      </c>
      <c r="AT68" s="4" t="str">
        <f>IFERROR(__xludf.DUMMYFUNCTION("GOOGLETRANSLATE(B68,""en"",""uk"")"),"Попередній перегляд")</f>
        <v>Попередній перегляд</v>
      </c>
      <c r="AU68" s="4" t="str">
        <f>IFERROR(__xludf.DUMMYFUNCTION("GOOGLETRANSLATE(B68,""en"",""zu"")"),"Buka kuqala")</f>
        <v>Buka kuqala</v>
      </c>
      <c r="AV68" s="4" t="str">
        <f>IFERROR(__xludf.DUMMYFUNCTION("GOOGLETRANSLATE(B68,""en"",""sr"")"),"Преглед")</f>
        <v>Преглед</v>
      </c>
    </row>
    <row r="69">
      <c r="A69" s="3" t="s">
        <v>179</v>
      </c>
      <c r="B69" s="3" t="s">
        <v>180</v>
      </c>
      <c r="C69" s="4" t="str">
        <f>IFERROR(__xludf.DUMMYFUNCTION("GOOGLETRANSLATE(B69,""en"",""ta"")"),"பொது அமைப்புகள்")</f>
        <v>பொது அமைப்புகள்</v>
      </c>
      <c r="D69" s="4" t="str">
        <f>IFERROR(__xludf.DUMMYFUNCTION("GOOGLETRANSLATE(B69,""en"",""hi"")"),"सामान्य सेटिंग्स")</f>
        <v>सामान्य सेटिंग्स</v>
      </c>
      <c r="E69" s="4" t="str">
        <f>IFERROR(__xludf.DUMMYFUNCTION("GOOGLETRANSLATE(B69,""en"",""id"")"),"Pengaturan Umum")</f>
        <v>Pengaturan Umum</v>
      </c>
      <c r="F69" s="4" t="str">
        <f>IFERROR(__xludf.DUMMYFUNCTION("GOOGLETRANSLATE(B69,""en"",""ms"")"),"Tetapan Umum")</f>
        <v>Tetapan Umum</v>
      </c>
      <c r="G69" s="4" t="str">
        <f>IFERROR(__xludf.DUMMYFUNCTION("GOOGLETRANSLATE(B69,""en"",""de"")"),"Allgemeine Einstellungen")</f>
        <v>Allgemeine Einstellungen</v>
      </c>
      <c r="H69" s="4" t="str">
        <f>IFERROR(__xludf.DUMMYFUNCTION("GOOGLETRANSLATE(B69,""en"",""es"")"),"Configuración general")</f>
        <v>Configuración general</v>
      </c>
      <c r="I69" s="4" t="str">
        <f>IFERROR(__xludf.DUMMYFUNCTION("GOOGLETRANSLATE(B69,""en"",""fr"")"),"Paramètres généraux")</f>
        <v>Paramètres généraux</v>
      </c>
      <c r="J69" s="4" t="str">
        <f>IFERROR(__xludf.DUMMYFUNCTION("GOOGLETRANSLATE(B69,""en"",""it"")"),"Impostazioni generali")</f>
        <v>Impostazioni generali</v>
      </c>
      <c r="K69" s="4" t="str">
        <f>IFERROR(__xludf.DUMMYFUNCTION("GOOGLETRANSLATE(B69,""en"",""pt"")"),"Configurações gerais")</f>
        <v>Configurações gerais</v>
      </c>
      <c r="L69" s="4" t="str">
        <f>IFERROR(__xludf.DUMMYFUNCTION("GOOGLETRANSLATE(B69,""en"",""ro"")"),"Setări generale")</f>
        <v>Setări generale</v>
      </c>
      <c r="M69" s="4" t="str">
        <f>IFERROR(__xludf.DUMMYFUNCTION("GOOGLETRANSLATE(B69,""en"",""vi"")"),"Cài đặt chung")</f>
        <v>Cài đặt chung</v>
      </c>
      <c r="N69" s="4" t="str">
        <f>IFERROR(__xludf.DUMMYFUNCTION("GOOGLETRANSLATE(B69,""en"",""ru"")"),"Общие настройки")</f>
        <v>Общие настройки</v>
      </c>
      <c r="O69" s="4" t="str">
        <f>IFERROR(__xludf.DUMMYFUNCTION("GOOGLETRANSLATE(B69,""en"",""tr"")"),"Genel Ayarlar")</f>
        <v>Genel Ayarlar</v>
      </c>
      <c r="P69" s="4" t="str">
        <f>IFERROR(__xludf.DUMMYFUNCTION("GOOGLETRANSLATE(B69,""en"",""ar"")"),"الإعدادات العامة")</f>
        <v>الإعدادات العامة</v>
      </c>
      <c r="Q69" s="4" t="str">
        <f>IFERROR(__xludf.DUMMYFUNCTION("GOOGLETRANSLATE(B69,""en"",""mr"")"),"सामान्य सेटिंग्ज")</f>
        <v>सामान्य सेटिंग्ज</v>
      </c>
      <c r="R69" s="4" t="str">
        <f>IFERROR(__xludf.DUMMYFUNCTION("GOOGLETRANSLATE(B69,""en"",""gu"")"),"સામાન્ય સેટિંગ્સ")</f>
        <v>સામાન્ય સેટિંગ્સ</v>
      </c>
      <c r="S69" s="4" t="str">
        <f>IFERROR(__xludf.DUMMYFUNCTION("GOOGLETRANSLATE(B69,""en"",""bn"")"),"সাধারণ সেটিংস")</f>
        <v>সাধারণ সেটিংস</v>
      </c>
      <c r="T69" s="4" t="str">
        <f>IFERROR(__xludf.DUMMYFUNCTION("GOOGLETRANSLATE(B69,""en"",""pa"")"),"ਆਮ ਸੈਟਿੰਗਾਂ")</f>
        <v>ਆਮ ਸੈਟਿੰਗਾਂ</v>
      </c>
      <c r="U69" s="4" t="str">
        <f>IFERROR(__xludf.DUMMYFUNCTION("GOOGLETRANSLATE(B69,""en"",""te"")"),"సాధారణ సెట్టింగులు")</f>
        <v>సాధారణ సెట్టింగులు</v>
      </c>
      <c r="V69" s="4" t="str">
        <f>IFERROR(__xludf.DUMMYFUNCTION("GOOGLETRANSLATE(B69,""en"",""kn"")"),"ಸಾಮಾನ್ಯ ಸೆಟ್ಟಿಂಗ್ಗಳು")</f>
        <v>ಸಾಮಾನ್ಯ ಸೆಟ್ಟಿಂಗ್ಗಳು</v>
      </c>
      <c r="W69" s="4" t="str">
        <f>IFERROR(__xludf.DUMMYFUNCTION("GOOGLETRANSLATE(B69,""en"",""ml"")"),"പൊതുവായ ക്രമീകരണങ്ങൾ")</f>
        <v>പൊതുവായ ക്രമീകരണങ്ങൾ</v>
      </c>
      <c r="X69" s="4" t="str">
        <f>IFERROR(__xludf.DUMMYFUNCTION("GOOGLETRANSLATE(B69,""en"",""th"")"),"การตั้งค่าทั่วไป")</f>
        <v>การตั้งค่าทั่วไป</v>
      </c>
      <c r="Y69" s="4" t="str">
        <f>IFERROR(__xludf.DUMMYFUNCTION("GOOGLETRANSLATE(B69,""en"",""ko"")"),"일반 설정")</f>
        <v>일반 설정</v>
      </c>
      <c r="Z69" s="4" t="str">
        <f>IFERROR(__xludf.DUMMYFUNCTION("GOOGLETRANSLATE(B69,""en"",""zh"")"),"常规设置")</f>
        <v>常规设置</v>
      </c>
      <c r="AA69" s="4" t="str">
        <f>IFERROR(__xludf.DUMMYFUNCTION("GOOGLETRANSLATE(B69,""en"",""zh-TW"")"),"常規設定")</f>
        <v>常規設定</v>
      </c>
      <c r="AB69" s="4" t="str">
        <f>IFERROR(__xludf.DUMMYFUNCTION("GOOGLETRANSLATE(B69,""en"",""ja"")"),"一般設定")</f>
        <v>一般設定</v>
      </c>
      <c r="AC69" s="4" t="str">
        <f>IFERROR(__xludf.DUMMYFUNCTION("GOOGLETRANSLATE(B69,""en"",""bg"")"),"Общи настройки")</f>
        <v>Общи настройки</v>
      </c>
      <c r="AD69" s="4" t="str">
        <f>IFERROR(__xludf.DUMMYFUNCTION("GOOGLETRANSLATE(B69,""en"",""cs"")"),"Obecná nastavení")</f>
        <v>Obecná nastavení</v>
      </c>
      <c r="AE69" s="4" t="str">
        <f>IFERROR(__xludf.DUMMYFUNCTION("GOOGLETRANSLATE(B69,""en"",""da"")"),"Generelle indstillinger")</f>
        <v>Generelle indstillinger</v>
      </c>
      <c r="AF69" s="4" t="str">
        <f>IFERROR(__xludf.DUMMYFUNCTION("GOOGLETRANSLATE(B69,""en"",""el"")"),"Γενικές ρυθμίσεις")</f>
        <v>Γενικές ρυθμίσεις</v>
      </c>
      <c r="AG69" s="4" t="str">
        <f>IFERROR(__xludf.DUMMYFUNCTION("GOOGLETRANSLATE(B69,""en"",""et"")"),"Üldsätted")</f>
        <v>Üldsätted</v>
      </c>
      <c r="AH69" s="4" t="str">
        <f>IFERROR(__xludf.DUMMYFUNCTION("GOOGLETRANSLATE(B69,""en"",""fi"")"),"Yleiset asetukset")</f>
        <v>Yleiset asetukset</v>
      </c>
      <c r="AI69" s="4" t="str">
        <f>IFERROR(__xludf.DUMMYFUNCTION("GOOGLETRANSLATE(B69,""en"",""hr"")"),"Opće postavke")</f>
        <v>Opće postavke</v>
      </c>
      <c r="AJ69" s="4" t="str">
        <f>IFERROR(__xludf.DUMMYFUNCTION("GOOGLETRANSLATE(B69,""en"",""hu"")"),"Általános beállítások")</f>
        <v>Általános beállítások</v>
      </c>
      <c r="AK69" s="4" t="str">
        <f>IFERROR(__xludf.DUMMYFUNCTION("GOOGLETRANSLATE(B69,""en"",""hy"")"),"Ընդհանուր կարգավորումներ")</f>
        <v>Ընդհանուր կարգավորումներ</v>
      </c>
      <c r="AL69" s="4" t="str">
        <f>IFERROR(__xludf.DUMMYFUNCTION("GOOGLETRANSLATE(B69,""en"",""ca"")"),"Configuració general")</f>
        <v>Configuració general</v>
      </c>
      <c r="AM69" s="4" t="str">
        <f>IFERROR(__xludf.DUMMYFUNCTION("GOOGLETRANSLATE(B69,""en"",""nl"")"),"Algemene instellingen")</f>
        <v>Algemene instellingen</v>
      </c>
      <c r="AN69" s="4" t="str">
        <f>IFERROR(__xludf.DUMMYFUNCTION("GOOGLETRANSLATE(B69,""en"",""he"")"),"הגדרות כלליות")</f>
        <v>הגדרות כלליות</v>
      </c>
      <c r="AO69" s="4" t="str">
        <f>IFERROR(__xludf.DUMMYFUNCTION("GOOGLETRANSLATE(B69,""en"",""is"")"),"Almennar stillingar")</f>
        <v>Almennar stillingar</v>
      </c>
      <c r="AP69" s="4" t="str">
        <f>IFERROR(__xludf.DUMMYFUNCTION("GOOGLETRANSLATE(B69,""en"",""no"")"),"Generelle innstillinger")</f>
        <v>Generelle innstillinger</v>
      </c>
      <c r="AQ69" s="4" t="str">
        <f>IFERROR(__xludf.DUMMYFUNCTION("GOOGLETRANSLATE(B69,""en"",""fa"")"),"تنظیمات عمومی")</f>
        <v>تنظیمات عمومی</v>
      </c>
      <c r="AR69" s="4" t="str">
        <f>IFERROR(__xludf.DUMMYFUNCTION("GOOGLETRANSLATE(B69,""en"",""pl"")"),"Ustawienia ogólne")</f>
        <v>Ustawienia ogólne</v>
      </c>
      <c r="AS69" s="4" t="str">
        <f>IFERROR(__xludf.DUMMYFUNCTION("GOOGLETRANSLATE(B69,""en"",""sv"")"),"Allmänna inställningar")</f>
        <v>Allmänna inställningar</v>
      </c>
      <c r="AT69" s="4" t="str">
        <f>IFERROR(__xludf.DUMMYFUNCTION("GOOGLETRANSLATE(B69,""en"",""uk"")"),"Загальні налаштування")</f>
        <v>Загальні налаштування</v>
      </c>
      <c r="AU69" s="4" t="str">
        <f>IFERROR(__xludf.DUMMYFUNCTION("GOOGLETRANSLATE(B69,""en"",""zu"")"),"Izilungiselelo Ezijwayelekile")</f>
        <v>Izilungiselelo Ezijwayelekile</v>
      </c>
      <c r="AV69" s="4" t="str">
        <f>IFERROR(__xludf.DUMMYFUNCTION("GOOGLETRANSLATE(B69,""en"",""sr"")"),"Општа подешавања")</f>
        <v>Општа подешавања</v>
      </c>
    </row>
    <row r="70">
      <c r="A70" s="3" t="s">
        <v>181</v>
      </c>
      <c r="B70" s="3" t="s">
        <v>182</v>
      </c>
      <c r="C70" s="4" t="str">
        <f>IFERROR(__xludf.DUMMYFUNCTION("GOOGLETRANSLATE(B70,""en"",""ta"")"),"விளம்பர சலுகைகளைக் காட்டு")</f>
        <v>விளம்பர சலுகைகளைக் காட்டு</v>
      </c>
      <c r="D70" s="4" t="str">
        <f>IFERROR(__xludf.DUMMYFUNCTION("GOOGLETRANSLATE(B70,""en"",""hi"")"),"प्रमोशन ऑफर दिखाएं")</f>
        <v>प्रमोशन ऑफर दिखाएं</v>
      </c>
      <c r="E70" s="4" t="str">
        <f>IFERROR(__xludf.DUMMYFUNCTION("GOOGLETRANSLATE(B70,""en"",""id"")"),"Tampilkan penawaran promosi")</f>
        <v>Tampilkan penawaran promosi</v>
      </c>
      <c r="F70" s="4" t="str">
        <f>IFERROR(__xludf.DUMMYFUNCTION("GOOGLETRANSLATE(B70,""en"",""ms"")"),"Tunjukkan tawaran promosi")</f>
        <v>Tunjukkan tawaran promosi</v>
      </c>
      <c r="G70" s="4" t="str">
        <f>IFERROR(__xludf.DUMMYFUNCTION("GOOGLETRANSLATE(B70,""en"",""de"")"),"Aktionsangebote anzeigen")</f>
        <v>Aktionsangebote anzeigen</v>
      </c>
      <c r="H70" s="4" t="str">
        <f>IFERROR(__xludf.DUMMYFUNCTION("GOOGLETRANSLATE(B70,""en"",""es"")"),"Mostrar ofertas de promoción")</f>
        <v>Mostrar ofertas de promoción</v>
      </c>
      <c r="I70" s="4" t="str">
        <f>IFERROR(__xludf.DUMMYFUNCTION("GOOGLETRANSLATE(B70,""en"",""fr"")"),"Afficher les offres promotionnelles")</f>
        <v>Afficher les offres promotionnelles</v>
      </c>
      <c r="J70" s="4" t="str">
        <f>IFERROR(__xludf.DUMMYFUNCTION("GOOGLETRANSLATE(B70,""en"",""it"")"),"Mostra offerte promozionali")</f>
        <v>Mostra offerte promozionali</v>
      </c>
      <c r="K70" s="4" t="str">
        <f>IFERROR(__xludf.DUMMYFUNCTION("GOOGLETRANSLATE(B70,""en"",""pt"")"),"Mostrar ofertas promocionais")</f>
        <v>Mostrar ofertas promocionais</v>
      </c>
      <c r="L70" s="4" t="str">
        <f>IFERROR(__xludf.DUMMYFUNCTION("GOOGLETRANSLATE(B70,""en"",""ro"")"),"Afișează ofertele promoționale")</f>
        <v>Afișează ofertele promoționale</v>
      </c>
      <c r="M70" s="4" t="str">
        <f>IFERROR(__xludf.DUMMYFUNCTION("GOOGLETRANSLATE(B70,""en"",""vi"")"),"Hiển thị các ưu đãi khuyến mại")</f>
        <v>Hiển thị các ưu đãi khuyến mại</v>
      </c>
      <c r="N70" s="4" t="str">
        <f>IFERROR(__xludf.DUMMYFUNCTION("GOOGLETRANSLATE(B70,""en"",""ru"")"),"Показать рекламные предложения")</f>
        <v>Показать рекламные предложения</v>
      </c>
      <c r="O70" s="4" t="str">
        <f>IFERROR(__xludf.DUMMYFUNCTION("GOOGLETRANSLATE(B70,""en"",""tr"")"),"Promosyon tekliflerini göster")</f>
        <v>Promosyon tekliflerini göster</v>
      </c>
      <c r="P70" s="4" t="str">
        <f>IFERROR(__xludf.DUMMYFUNCTION("GOOGLETRANSLATE(B70,""en"",""ar"")"),"عرض العروض الترويجية")</f>
        <v>عرض العروض الترويجية</v>
      </c>
      <c r="Q70" s="4" t="str">
        <f>IFERROR(__xludf.DUMMYFUNCTION("GOOGLETRANSLATE(B70,""en"",""mr"")"),"जाहिरात ऑफर दर्शवा")</f>
        <v>जाहिरात ऑफर दर्शवा</v>
      </c>
      <c r="R70" s="4" t="str">
        <f>IFERROR(__xludf.DUMMYFUNCTION("GOOGLETRANSLATE(B70,""en"",""gu"")"),"પ્રમોશન ઑફર્સ બતાવો")</f>
        <v>પ્રમોશન ઑફર્સ બતાવો</v>
      </c>
      <c r="S70" s="4" t="str">
        <f>IFERROR(__xludf.DUMMYFUNCTION("GOOGLETRANSLATE(B70,""en"",""bn"")"),"প্রচার অফার দেখান")</f>
        <v>প্রচার অফার দেখান</v>
      </c>
      <c r="T70" s="4" t="str">
        <f>IFERROR(__xludf.DUMMYFUNCTION("GOOGLETRANSLATE(B70,""en"",""pa"")"),"ਪ੍ਰਚਾਰ ਪੇਸ਼ਕਸ਼ਾਂ ਦਿਖਾਓ")</f>
        <v>ਪ੍ਰਚਾਰ ਪੇਸ਼ਕਸ਼ਾਂ ਦਿਖਾਓ</v>
      </c>
      <c r="U70" s="4" t="str">
        <f>IFERROR(__xludf.DUMMYFUNCTION("GOOGLETRANSLATE(B70,""en"",""te"")"),"ప్రమోషన్ ఆఫర్‌లను చూపండి")</f>
        <v>ప్రమోషన్ ఆఫర్‌లను చూపండి</v>
      </c>
      <c r="V70" s="4" t="str">
        <f>IFERROR(__xludf.DUMMYFUNCTION("GOOGLETRANSLATE(B70,""en"",""kn"")"),"ಪ್ರಚಾರದ ಕೊಡುಗೆಗಳನ್ನು ತೋರಿಸಿ")</f>
        <v>ಪ್ರಚಾರದ ಕೊಡುಗೆಗಳನ್ನು ತೋರಿಸಿ</v>
      </c>
      <c r="W70" s="4" t="str">
        <f>IFERROR(__xludf.DUMMYFUNCTION("GOOGLETRANSLATE(B70,""en"",""ml"")"),"പ്രമോഷൻ ഓഫറുകൾ കാണിക്കുക")</f>
        <v>പ്രമോഷൻ ഓഫറുകൾ കാണിക്കുക</v>
      </c>
      <c r="X70" s="4" t="str">
        <f>IFERROR(__xludf.DUMMYFUNCTION("GOOGLETRANSLATE(B70,""en"",""th"")"),"แสดงข้อเสนอโปรโมชั่น")</f>
        <v>แสดงข้อเสนอโปรโมชั่น</v>
      </c>
      <c r="Y70" s="4" t="str">
        <f>IFERROR(__xludf.DUMMYFUNCTION("GOOGLETRANSLATE(B70,""en"",""ko"")"),"프로모션 혜택 보기")</f>
        <v>프로모션 혜택 보기</v>
      </c>
      <c r="Z70" s="4" t="str">
        <f>IFERROR(__xludf.DUMMYFUNCTION("GOOGLETRANSLATE(B70,""en"",""zh"")"),"显示促销优惠")</f>
        <v>显示促销优惠</v>
      </c>
      <c r="AA70" s="4" t="str">
        <f>IFERROR(__xludf.DUMMYFUNCTION("GOOGLETRANSLATE(B70,""en"",""zh-TW"")"),"顯示促銷優惠")</f>
        <v>顯示促銷優惠</v>
      </c>
      <c r="AB70" s="4" t="str">
        <f>IFERROR(__xludf.DUMMYFUNCTION("GOOGLETRANSLATE(B70,""en"",""ja"")"),"プロモーションオファーを表示")</f>
        <v>プロモーションオファーを表示</v>
      </c>
      <c r="AC70" s="4" t="str">
        <f>IFERROR(__xludf.DUMMYFUNCTION("GOOGLETRANSLATE(B70,""en"",""bg"")"),"Показване на промоционални оферти")</f>
        <v>Показване на промоционални оферти</v>
      </c>
      <c r="AD70" s="4" t="str">
        <f>IFERROR(__xludf.DUMMYFUNCTION("GOOGLETRANSLATE(B70,""en"",""cs"")"),"Zobrazit propagační nabídky")</f>
        <v>Zobrazit propagační nabídky</v>
      </c>
      <c r="AE70" s="4" t="str">
        <f>IFERROR(__xludf.DUMMYFUNCTION("GOOGLETRANSLATE(B70,""en"",""da"")"),"Vis kampagnetilbud")</f>
        <v>Vis kampagnetilbud</v>
      </c>
      <c r="AF70" s="4" t="str">
        <f>IFERROR(__xludf.DUMMYFUNCTION("GOOGLETRANSLATE(B70,""en"",""el"")"),"Εμφάνιση προσφορών προώθησης")</f>
        <v>Εμφάνιση προσφορών προώθησης</v>
      </c>
      <c r="AG70" s="4" t="str">
        <f>IFERROR(__xludf.DUMMYFUNCTION("GOOGLETRANSLATE(B70,""en"",""et"")"),"Näita sooduspakkumisi")</f>
        <v>Näita sooduspakkumisi</v>
      </c>
      <c r="AH70" s="4" t="str">
        <f>IFERROR(__xludf.DUMMYFUNCTION("GOOGLETRANSLATE(B70,""en"",""fi"")"),"Näytä kampanjatarjoukset")</f>
        <v>Näytä kampanjatarjoukset</v>
      </c>
      <c r="AI70" s="4" t="str">
        <f>IFERROR(__xludf.DUMMYFUNCTION("GOOGLETRANSLATE(B70,""en"",""hr"")"),"Prikaži promotivne ponude")</f>
        <v>Prikaži promotivne ponude</v>
      </c>
      <c r="AJ70" s="4" t="str">
        <f>IFERROR(__xludf.DUMMYFUNCTION("GOOGLETRANSLATE(B70,""en"",""hu"")"),"Promóciós ajánlatok megjelenítése")</f>
        <v>Promóciós ajánlatok megjelenítése</v>
      </c>
      <c r="AK70" s="4" t="str">
        <f>IFERROR(__xludf.DUMMYFUNCTION("GOOGLETRANSLATE(B70,""en"",""hy"")"),"Ցույց տալ խթանման առաջարկները")</f>
        <v>Ցույց տալ խթանման առաջարկները</v>
      </c>
      <c r="AL70" s="4" t="str">
        <f>IFERROR(__xludf.DUMMYFUNCTION("GOOGLETRANSLATE(B70,""en"",""ca"")"),"Mostra ofertes de promoció")</f>
        <v>Mostra ofertes de promoció</v>
      </c>
      <c r="AM70" s="4" t="str">
        <f>IFERROR(__xludf.DUMMYFUNCTION("GOOGLETRANSLATE(B70,""en"",""nl"")"),"Promotie-aanbiedingen weergeven")</f>
        <v>Promotie-aanbiedingen weergeven</v>
      </c>
      <c r="AN70" s="4" t="str">
        <f>IFERROR(__xludf.DUMMYFUNCTION("GOOGLETRANSLATE(B70,""en"",""he"")"),"הצג הצעות קידום")</f>
        <v>הצג הצעות קידום</v>
      </c>
      <c r="AO70" s="4" t="str">
        <f>IFERROR(__xludf.DUMMYFUNCTION("GOOGLETRANSLATE(B70,""en"",""is"")"),"Sýna kynningartilboð")</f>
        <v>Sýna kynningartilboð</v>
      </c>
      <c r="AP70" s="4" t="str">
        <f>IFERROR(__xludf.DUMMYFUNCTION("GOOGLETRANSLATE(B70,""en"",""no"")"),"Vis kampanjetilbud")</f>
        <v>Vis kampanjetilbud</v>
      </c>
      <c r="AQ70" s="4" t="str">
        <f>IFERROR(__xludf.DUMMYFUNCTION("GOOGLETRANSLATE(B70,""en"",""fa"")"),"نمایش پیشنهادات تبلیغاتی")</f>
        <v>نمایش پیشنهادات تبلیغاتی</v>
      </c>
      <c r="AR70" s="4" t="str">
        <f>IFERROR(__xludf.DUMMYFUNCTION("GOOGLETRANSLATE(B70,""en"",""pl"")"),"Pokaż oferty promocyjne")</f>
        <v>Pokaż oferty promocyjne</v>
      </c>
      <c r="AS70" s="4" t="str">
        <f>IFERROR(__xludf.DUMMYFUNCTION("GOOGLETRANSLATE(B70,""en"",""sv"")"),"Visa kampanjerbjudanden")</f>
        <v>Visa kampanjerbjudanden</v>
      </c>
      <c r="AT70" s="4" t="str">
        <f>IFERROR(__xludf.DUMMYFUNCTION("GOOGLETRANSLATE(B70,""en"",""uk"")"),"Показати рекламні пропозиції")</f>
        <v>Показати рекламні пропозиції</v>
      </c>
      <c r="AU70" s="4" t="str">
        <f>IFERROR(__xludf.DUMMYFUNCTION("GOOGLETRANSLATE(B70,""en"",""zu"")"),"Bonisa okunikezwayo kokuphromotha")</f>
        <v>Bonisa okunikezwayo kokuphromotha</v>
      </c>
      <c r="AV70" s="4" t="str">
        <f>IFERROR(__xludf.DUMMYFUNCTION("GOOGLETRANSLATE(B70,""en"",""sr"")"),"Прикажите промотивне понуде")</f>
        <v>Прикажите промотивне понуде</v>
      </c>
    </row>
    <row r="71">
      <c r="A71" s="3" t="s">
        <v>183</v>
      </c>
      <c r="B71" s="3" t="s">
        <v>184</v>
      </c>
      <c r="C71" s="4" t="str">
        <f>IFERROR(__xludf.DUMMYFUNCTION("GOOGLETRANSLATE(B71,""en"",""ta"")"),"பயன்பாட்டு ஈடுபாட்டிற்கான அறிவிப்புகளைக் காட்டு")</f>
        <v>பயன்பாட்டு ஈடுபாட்டிற்கான அறிவிப்புகளைக் காட்டு</v>
      </c>
      <c r="D71" s="4" t="str">
        <f>IFERROR(__xludf.DUMMYFUNCTION("GOOGLETRANSLATE(B71,""en"",""hi"")"),"ऐप सहभागिता सूचनाएं दिखाएं")</f>
        <v>ऐप सहभागिता सूचनाएं दिखाएं</v>
      </c>
      <c r="E71" s="4" t="str">
        <f>IFERROR(__xludf.DUMMYFUNCTION("GOOGLETRANSLATE(B71,""en"",""id"")"),"Tampilkan pemberitahuan keterlibatan aplikasi")</f>
        <v>Tampilkan pemberitahuan keterlibatan aplikasi</v>
      </c>
      <c r="F71" s="4" t="str">
        <f>IFERROR(__xludf.DUMMYFUNCTION("GOOGLETRANSLATE(B71,""en"",""ms"")"),"Tunjukkan pemberitahuan interaksi apl")</f>
        <v>Tunjukkan pemberitahuan interaksi apl</v>
      </c>
      <c r="G71" s="4" t="str">
        <f>IFERROR(__xludf.DUMMYFUNCTION("GOOGLETRANSLATE(B71,""en"",""de"")"),"Benachrichtigungen zur App-Interaktion anzeigen")</f>
        <v>Benachrichtigungen zur App-Interaktion anzeigen</v>
      </c>
      <c r="H71" s="4" t="str">
        <f>IFERROR(__xludf.DUMMYFUNCTION("GOOGLETRANSLATE(B71,""en"",""es"")"),"Mostrar notificaciones de interacción con la aplicación")</f>
        <v>Mostrar notificaciones de interacción con la aplicación</v>
      </c>
      <c r="I71" s="4" t="str">
        <f>IFERROR(__xludf.DUMMYFUNCTION("GOOGLETRANSLATE(B71,""en"",""fr"")"),"Afficher les notifications d'engagement de l'application")</f>
        <v>Afficher les notifications d'engagement de l'application</v>
      </c>
      <c r="J71" s="4" t="str">
        <f>IFERROR(__xludf.DUMMYFUNCTION("GOOGLETRANSLATE(B71,""en"",""it"")"),"Mostra notifiche di coinvolgimento dell'app")</f>
        <v>Mostra notifiche di coinvolgimento dell'app</v>
      </c>
      <c r="K71" s="4" t="str">
        <f>IFERROR(__xludf.DUMMYFUNCTION("GOOGLETRANSLATE(B71,""en"",""pt"")"),"Mostrar notificações de engajamento do aplicativo")</f>
        <v>Mostrar notificações de engajamento do aplicativo</v>
      </c>
      <c r="L71" s="4" t="str">
        <f>IFERROR(__xludf.DUMMYFUNCTION("GOOGLETRANSLATE(B71,""en"",""ro"")"),"Afișează notificări de implicare în aplicație")</f>
        <v>Afișează notificări de implicare în aplicație</v>
      </c>
      <c r="M71" s="4" t="str">
        <f>IFERROR(__xludf.DUMMYFUNCTION("GOOGLETRANSLATE(B71,""en"",""vi"")"),"Hiển thị thông báo tương tác ứng dụng")</f>
        <v>Hiển thị thông báo tương tác ứng dụng</v>
      </c>
      <c r="N71" s="4" t="str">
        <f>IFERROR(__xludf.DUMMYFUNCTION("GOOGLETRANSLATE(B71,""en"",""ru"")"),"Показывать уведомления о взаимодействии с приложением")</f>
        <v>Показывать уведомления о взаимодействии с приложением</v>
      </c>
      <c r="O71" s="4" t="str">
        <f>IFERROR(__xludf.DUMMYFUNCTION("GOOGLETRANSLATE(B71,""en"",""tr"")"),"Uygulama etkileşim bildirimlerini göster")</f>
        <v>Uygulama etkileşim bildirimlerini göster</v>
      </c>
      <c r="P71" s="4" t="str">
        <f>IFERROR(__xludf.DUMMYFUNCTION("GOOGLETRANSLATE(B71,""en"",""ar"")"),"إظهار إشعارات مشاركة التطبيق")</f>
        <v>إظهار إشعارات مشاركة التطبيق</v>
      </c>
      <c r="Q71" s="4" t="str">
        <f>IFERROR(__xludf.DUMMYFUNCTION("GOOGLETRANSLATE(B71,""en"",""mr"")"),"ॲप प्रतिबद्धता सूचना दर्शवा")</f>
        <v>ॲप प्रतिबद्धता सूचना दर्शवा</v>
      </c>
      <c r="R71" s="4" t="str">
        <f>IFERROR(__xludf.DUMMYFUNCTION("GOOGLETRANSLATE(B71,""en"",""gu"")"),"એપ્લિકેશન જોડાણ સૂચનાઓ બતાવો")</f>
        <v>એપ્લિકેશન જોડાણ સૂચનાઓ બતાવો</v>
      </c>
      <c r="S71" s="4" t="str">
        <f>IFERROR(__xludf.DUMMYFUNCTION("GOOGLETRANSLATE(B71,""en"",""bn"")"),"অ্যাপ এনগেজমেন্ট বিজ্ঞপ্তি দেখান")</f>
        <v>অ্যাপ এনগেজমেন্ট বিজ্ঞপ্তি দেখান</v>
      </c>
      <c r="T71" s="4" t="str">
        <f>IFERROR(__xludf.DUMMYFUNCTION("GOOGLETRANSLATE(B71,""en"",""pa"")"),"ਐਪ ਸ਼ਮੂਲੀਅਤ ਸੂਚਨਾਵਾਂ ਦਿਖਾਓ")</f>
        <v>ਐਪ ਸ਼ਮੂਲੀਅਤ ਸੂਚਨਾਵਾਂ ਦਿਖਾਓ</v>
      </c>
      <c r="U71" s="4" t="str">
        <f>IFERROR(__xludf.DUMMYFUNCTION("GOOGLETRANSLATE(B71,""en"",""te"")"),"యాప్ ఎంగేజ్‌మెంట్ నోటిఫికేషన్‌లను చూపండి")</f>
        <v>యాప్ ఎంగేజ్‌మెంట్ నోటిఫికేషన్‌లను చూపండి</v>
      </c>
      <c r="V71" s="4" t="str">
        <f>IFERROR(__xludf.DUMMYFUNCTION("GOOGLETRANSLATE(B71,""en"",""kn"")"),"ಅಪ್ಲಿಕೇಶನ್ ನಿಶ್ಚಿತಾರ್ಥದ ಅಧಿಸೂಚನೆಗಳನ್ನು ತೋರಿಸಿ")</f>
        <v>ಅಪ್ಲಿಕೇಶನ್ ನಿಶ್ಚಿತಾರ್ಥದ ಅಧಿಸೂಚನೆಗಳನ್ನು ತೋರಿಸಿ</v>
      </c>
      <c r="W71" s="4" t="str">
        <f>IFERROR(__xludf.DUMMYFUNCTION("GOOGLETRANSLATE(B71,""en"",""ml"")"),"ആപ്പ് ഇടപഴകൽ അറിയിപ്പുകൾ കാണിക്കുക")</f>
        <v>ആപ്പ് ഇടപഴകൽ അറിയിപ്പുകൾ കാണിക്കുക</v>
      </c>
      <c r="X71" s="4" t="str">
        <f>IFERROR(__xludf.DUMMYFUNCTION("GOOGLETRANSLATE(B71,""en"",""th"")"),"แสดงการแจ้งเตือนการมีส่วนร่วมของแอป")</f>
        <v>แสดงการแจ้งเตือนการมีส่วนร่วมของแอป</v>
      </c>
      <c r="Y71" s="4" t="str">
        <f>IFERROR(__xludf.DUMMYFUNCTION("GOOGLETRANSLATE(B71,""en"",""ko"")"),"앱 참여 알림 표시")</f>
        <v>앱 참여 알림 표시</v>
      </c>
      <c r="Z71" s="4" t="str">
        <f>IFERROR(__xludf.DUMMYFUNCTION("GOOGLETRANSLATE(B71,""en"",""zh"")"),"显示应用参与通知")</f>
        <v>显示应用参与通知</v>
      </c>
      <c r="AA71" s="4" t="str">
        <f>IFERROR(__xludf.DUMMYFUNCTION("GOOGLETRANSLATE(B71,""en"",""zh-TW"")"),"顯示應用程式參與通知")</f>
        <v>顯示應用程式參與通知</v>
      </c>
      <c r="AB71" s="4" t="str">
        <f>IFERROR(__xludf.DUMMYFUNCTION("GOOGLETRANSLATE(B71,""en"",""ja"")"),"アプリのエンゲージメント通知を表示する")</f>
        <v>アプリのエンゲージメント通知を表示する</v>
      </c>
      <c r="AC71" s="4" t="str">
        <f>IFERROR(__xludf.DUMMYFUNCTION("GOOGLETRANSLATE(B71,""en"",""bg"")"),"Показване на известия за ангажираност с приложението")</f>
        <v>Показване на известия за ангажираност с приложението</v>
      </c>
      <c r="AD71" s="4" t="str">
        <f>IFERROR(__xludf.DUMMYFUNCTION("GOOGLETRANSLATE(B71,""en"",""cs"")"),"Zobrazovat oznámení o interakci s aplikací")</f>
        <v>Zobrazovat oznámení o interakci s aplikací</v>
      </c>
      <c r="AE71" s="4" t="str">
        <f>IFERROR(__xludf.DUMMYFUNCTION("GOOGLETRANSLATE(B71,""en"",""da"")"),"Vis notifikationer om appengagement")</f>
        <v>Vis notifikationer om appengagement</v>
      </c>
      <c r="AF71" s="4" t="str">
        <f>IFERROR(__xludf.DUMMYFUNCTION("GOOGLETRANSLATE(B71,""en"",""el"")"),"Εμφάνιση ειδοποιήσεων αφοσίωσης σε εφαρμογές")</f>
        <v>Εμφάνιση ειδοποιήσεων αφοσίωσης σε εφαρμογές</v>
      </c>
      <c r="AG71" s="4" t="str">
        <f>IFERROR(__xludf.DUMMYFUNCTION("GOOGLETRANSLATE(B71,""en"",""et"")"),"Kuva rakenduse kaasamise märguanded")</f>
        <v>Kuva rakenduse kaasamise märguanded</v>
      </c>
      <c r="AH71" s="4" t="str">
        <f>IFERROR(__xludf.DUMMYFUNCTION("GOOGLETRANSLATE(B71,""en"",""fi"")"),"Näytä sovelluksen sitouttamisilmoitukset")</f>
        <v>Näytä sovelluksen sitouttamisilmoitukset</v>
      </c>
      <c r="AI71" s="4" t="str">
        <f>IFERROR(__xludf.DUMMYFUNCTION("GOOGLETRANSLATE(B71,""en"",""hr"")"),"Prikaži obavijesti o angažmanu u aplikaciji")</f>
        <v>Prikaži obavijesti o angažmanu u aplikaciji</v>
      </c>
      <c r="AJ71" s="4" t="str">
        <f>IFERROR(__xludf.DUMMYFUNCTION("GOOGLETRANSLATE(B71,""en"",""hu"")"),"Alkalmazástevékenységről szóló értesítések megjelenítése")</f>
        <v>Alkalmazástevékenységről szóló értesítések megjelenítése</v>
      </c>
      <c r="AK71" s="4" t="str">
        <f>IFERROR(__xludf.DUMMYFUNCTION("GOOGLETRANSLATE(B71,""en"",""hy"")"),"Ցույց տալ հավելվածների ներգրավվածության ծանուցումները")</f>
        <v>Ցույց տալ հավելվածների ներգրավվածության ծանուցումները</v>
      </c>
      <c r="AL71" s="4" t="str">
        <f>IFERROR(__xludf.DUMMYFUNCTION("GOOGLETRANSLATE(B71,""en"",""ca"")"),"Mostra les notificacions d'interacció amb l'aplicació")</f>
        <v>Mostra les notificacions d'interacció amb l'aplicació</v>
      </c>
      <c r="AM71" s="4" t="str">
        <f>IFERROR(__xludf.DUMMYFUNCTION("GOOGLETRANSLATE(B71,""en"",""nl"")"),"Meldingen over app-betrokkenheid weergeven")</f>
        <v>Meldingen over app-betrokkenheid weergeven</v>
      </c>
      <c r="AN71" s="4" t="str">
        <f>IFERROR(__xludf.DUMMYFUNCTION("GOOGLETRANSLATE(B71,""en"",""he"")"),"הצג הודעות מעורבות באפליקציה")</f>
        <v>הצג הודעות מעורבות באפליקציה</v>
      </c>
      <c r="AO71" s="4" t="str">
        <f>IFERROR(__xludf.DUMMYFUNCTION("GOOGLETRANSLATE(B71,""en"",""is"")"),"Sýna tilkynningar um þátttöku í forritum")</f>
        <v>Sýna tilkynningar um þátttöku í forritum</v>
      </c>
      <c r="AP71" s="4" t="str">
        <f>IFERROR(__xludf.DUMMYFUNCTION("GOOGLETRANSLATE(B71,""en"",""no"")"),"Vis varsler om appengasjement")</f>
        <v>Vis varsler om appengasjement</v>
      </c>
      <c r="AQ71" s="4" t="str">
        <f>IFERROR(__xludf.DUMMYFUNCTION("GOOGLETRANSLATE(B71,""en"",""fa"")"),"نمایش اعلان‌های تعامل برنامه")</f>
        <v>نمایش اعلان‌های تعامل برنامه</v>
      </c>
      <c r="AR71" s="4" t="str">
        <f>IFERROR(__xludf.DUMMYFUNCTION("GOOGLETRANSLATE(B71,""en"",""pl"")"),"Pokaż powiadomienia o zaangażowaniu w aplikację")</f>
        <v>Pokaż powiadomienia o zaangażowaniu w aplikację</v>
      </c>
      <c r="AS71" s="4" t="str">
        <f>IFERROR(__xludf.DUMMYFUNCTION("GOOGLETRANSLATE(B71,""en"",""sv"")"),"Visa aviseringar om appengagemang")</f>
        <v>Visa aviseringar om appengagemang</v>
      </c>
      <c r="AT71" s="4" t="str">
        <f>IFERROR(__xludf.DUMMYFUNCTION("GOOGLETRANSLATE(B71,""en"",""uk"")"),"Показувати сповіщення про взаємодію з програмою")</f>
        <v>Показувати сповіщення про взаємодію з програмою</v>
      </c>
      <c r="AU71" s="4" t="str">
        <f>IFERROR(__xludf.DUMMYFUNCTION("GOOGLETRANSLATE(B71,""en"",""zu"")"),"Bonisa izaziso zokubandakanyeka kohlelo lokusebenza")</f>
        <v>Bonisa izaziso zokubandakanyeka kohlelo lokusebenza</v>
      </c>
      <c r="AV71" s="4" t="str">
        <f>IFERROR(__xludf.DUMMYFUNCTION("GOOGLETRANSLATE(B71,""en"",""sr"")"),"Прикажи обавештења о ангажовању апликације")</f>
        <v>Прикажи обавештења о ангажовању апликације</v>
      </c>
    </row>
    <row r="72">
      <c r="A72" s="3" t="s">
        <v>185</v>
      </c>
      <c r="B72" s="3" t="s">
        <v>186</v>
      </c>
      <c r="C72" s="4" t="str">
        <f>IFERROR(__xludf.DUMMYFUNCTION("GOOGLETRANSLATE(B72,""en"",""ta"")"),"கேஸ் நிச்சயதார்த்த அறிவிப்புகளைப் பயன்படுத்தும் கருவிகளைக் காட்டு")</f>
        <v>கேஸ் நிச்சயதார்த்த அறிவிப்புகளைப் பயன்படுத்தும் கருவிகளைக் காட்டு</v>
      </c>
      <c r="D72" s="4" t="str">
        <f>IFERROR(__xludf.DUMMYFUNCTION("GOOGLETRANSLATE(B72,""en"",""hi"")"),"टूल उपयोग केस सहभागिता सूचनाएं दिखाएं")</f>
        <v>टूल उपयोग केस सहभागिता सूचनाएं दिखाएं</v>
      </c>
      <c r="E72" s="4" t="str">
        <f>IFERROR(__xludf.DUMMYFUNCTION("GOOGLETRANSLATE(B72,""en"",""id"")"),"Tampilkan alat penggunaan kasus keterlibatan pemberitahuan")</f>
        <v>Tampilkan alat penggunaan kasus keterlibatan pemberitahuan</v>
      </c>
      <c r="F72" s="4" t="str">
        <f>IFERROR(__xludf.DUMMYFUNCTION("GOOGLETRANSLATE(B72,""en"",""ms"")"),"Tunjukkan pemberitahuan penglibatan kes penggunaan alatan")</f>
        <v>Tunjukkan pemberitahuan penglibatan kes penggunaan alatan</v>
      </c>
      <c r="G72" s="4" t="str">
        <f>IFERROR(__xludf.DUMMYFUNCTION("GOOGLETRANSLATE(B72,""en"",""de"")"),"Benachrichtigungen zum Einsatz von Tools für Anwendungsfälle anzeigen")</f>
        <v>Benachrichtigungen zum Einsatz von Tools für Anwendungsfälle anzeigen</v>
      </c>
      <c r="H72" s="4" t="str">
        <f>IFERROR(__xludf.DUMMYFUNCTION("GOOGLETRANSLATE(B72,""en"",""es"")"),"Mostrar notificaciones de participación en casos de uso de herramientas")</f>
        <v>Mostrar notificaciones de participación en casos de uso de herramientas</v>
      </c>
      <c r="I72" s="4" t="str">
        <f>IFERROR(__xludf.DUMMYFUNCTION("GOOGLETRANSLATE(B72,""en"",""fr"")"),"Afficher les notifications d'engagement des cas d'utilisation des outils")</f>
        <v>Afficher les notifications d'engagement des cas d'utilisation des outils</v>
      </c>
      <c r="J72" s="4" t="str">
        <f>IFERROR(__xludf.DUMMYFUNCTION("GOOGLETRANSLATE(B72,""en"",""it"")"),"Mostra strumenti usa notifiche di coinvolgimento dei casi")</f>
        <v>Mostra strumenti usa notifiche di coinvolgimento dei casi</v>
      </c>
      <c r="K72" s="4" t="str">
        <f>IFERROR(__xludf.DUMMYFUNCTION("GOOGLETRANSLATE(B72,""en"",""pt"")"),"Mostrar ferramentas de uso de notificações de engajamento de casos")</f>
        <v>Mostrar ferramentas de uso de notificações de engajamento de casos</v>
      </c>
      <c r="L72" s="4" t="str">
        <f>IFERROR(__xludf.DUMMYFUNCTION("GOOGLETRANSLATE(B72,""en"",""ro"")"),"Afișați notificările de implicare a cazurilor de utilizare a instrumentelor")</f>
        <v>Afișați notificările de implicare a cazurilor de utilizare a instrumentelor</v>
      </c>
      <c r="M72" s="4" t="str">
        <f>IFERROR(__xludf.DUMMYFUNCTION("GOOGLETRANSLATE(B72,""en"",""vi"")"),"Hiển thị thông báo tương tác trường hợp sử dụng công cụ")</f>
        <v>Hiển thị thông báo tương tác trường hợp sử dụng công cụ</v>
      </c>
      <c r="N72" s="4" t="str">
        <f>IFERROR(__xludf.DUMMYFUNCTION("GOOGLETRANSLATE(B72,""en"",""ru"")"),"Показать уведомления о применении инструментов")</f>
        <v>Показать уведомления о применении инструментов</v>
      </c>
      <c r="O72" s="4" t="str">
        <f>IFERROR(__xludf.DUMMYFUNCTION("GOOGLETRANSLATE(B72,""en"",""tr"")"),"Araçların kullanım durumu katılım bildirimlerini göster")</f>
        <v>Araçların kullanım durumu katılım bildirimlerini göster</v>
      </c>
      <c r="P72" s="4" t="str">
        <f>IFERROR(__xludf.DUMMYFUNCTION("GOOGLETRANSLATE(B72,""en"",""ar"")"),"إظهار إشعارات مشاركة حالات استخدام الأدوات")</f>
        <v>إظهار إشعارات مشاركة حالات استخدام الأدوات</v>
      </c>
      <c r="Q72" s="4" t="str">
        <f>IFERROR(__xludf.DUMMYFUNCTION("GOOGLETRANSLATE(B72,""en"",""mr"")"),"शो टूल्स केस प्रतिबद्धता सूचना वापरतात")</f>
        <v>शो टूल्स केस प्रतिबद्धता सूचना वापरतात</v>
      </c>
      <c r="R72" s="4" t="str">
        <f>IFERROR(__xludf.DUMMYFUNCTION("GOOGLETRANSLATE(B72,""en"",""gu"")"),"શો ટૂલ્સ કેસ સગાઈ સૂચનાઓનો ઉપયોગ કરે છે")</f>
        <v>શો ટૂલ્સ કેસ સગાઈ સૂચનાઓનો ઉપયોગ કરે છે</v>
      </c>
      <c r="S72" s="4" t="str">
        <f>IFERROR(__xludf.DUMMYFUNCTION("GOOGLETRANSLATE(B72,""en"",""bn"")"),"শো টুল কেস এনগেজমেন্ট বিজ্ঞপ্তি ব্যবহার করে")</f>
        <v>শো টুল কেস এনগেজমেন্ট বিজ্ঞপ্তি ব্যবহার করে</v>
      </c>
      <c r="T72" s="4" t="str">
        <f>IFERROR(__xludf.DUMMYFUNCTION("GOOGLETRANSLATE(B72,""en"",""pa"")"),"ਸ਼ੋਅ ਟੂਲ ਕੇਸ ਸ਼ਮੂਲੀਅਤ ਸੂਚਨਾਵਾਂ ਦੀ ਵਰਤੋਂ ਕਰਦੇ ਹਨ")</f>
        <v>ਸ਼ੋਅ ਟੂਲ ਕੇਸ ਸ਼ਮੂਲੀਅਤ ਸੂਚਨਾਵਾਂ ਦੀ ਵਰਤੋਂ ਕਰਦੇ ਹਨ</v>
      </c>
      <c r="U72" s="4" t="str">
        <f>IFERROR(__xludf.DUMMYFUNCTION("GOOGLETRANSLATE(B72,""en"",""te"")"),"కేస్ ఎంగేజ్‌మెంట్ నోటిఫికేషన్‌లను ఉపయోగించే సాధనాలను చూపండి")</f>
        <v>కేస్ ఎంగేజ్‌మెంట్ నోటిఫికేషన్‌లను ఉపయోగించే సాధనాలను చూపండి</v>
      </c>
      <c r="V72" s="4" t="str">
        <f>IFERROR(__xludf.DUMMYFUNCTION("GOOGLETRANSLATE(B72,""en"",""kn"")"),"ಕೇಸ್ ಎಂಗೇಜ್‌ಮೆಂಟ್ ಅಧಿಸೂಚನೆಗಳನ್ನು ಬಳಸುವ ಪರಿಕರಗಳನ್ನು ತೋರಿಸಿ")</f>
        <v>ಕೇಸ್ ಎಂಗೇಜ್‌ಮೆಂಟ್ ಅಧಿಸೂಚನೆಗಳನ್ನು ಬಳಸುವ ಪರಿಕರಗಳನ್ನು ತೋರಿಸಿ</v>
      </c>
      <c r="W72" s="4" t="str">
        <f>IFERROR(__xludf.DUMMYFUNCTION("GOOGLETRANSLATE(B72,""en"",""ml"")"),"കേസ് എൻഗേജ്‌മെൻ്റ് അറിയിപ്പുകൾ ഉപയോഗിക്കുന്ന ടൂളുകൾ കാണിക്കുക")</f>
        <v>കേസ് എൻഗേജ്‌മെൻ്റ് അറിയിപ്പുകൾ ഉപയോഗിക്കുന്ന ടൂളുകൾ കാണിക്കുക</v>
      </c>
      <c r="X72" s="4" t="str">
        <f>IFERROR(__xludf.DUMMYFUNCTION("GOOGLETRANSLATE(B72,""en"",""th"")"),"แสดงเครื่องมือการใช้งานการแจ้งเตือนการมีส่วนร่วม")</f>
        <v>แสดงเครื่องมือการใช้งานการแจ้งเตือนการมีส่วนร่วม</v>
      </c>
      <c r="Y72" s="4" t="str">
        <f>IFERROR(__xludf.DUMMYFUNCTION("GOOGLETRANSLATE(B72,""en"",""ko"")"),"도구 사용 사례 참여 알림 표시")</f>
        <v>도구 사용 사례 참여 알림 표시</v>
      </c>
      <c r="Z72" s="4" t="str">
        <f>IFERROR(__xludf.DUMMYFUNCTION("GOOGLETRANSLATE(B72,""en"",""zh"")"),"显示工具用例参与通知")</f>
        <v>显示工具用例参与通知</v>
      </c>
      <c r="AA72" s="4" t="str">
        <f>IFERROR(__xludf.DUMMYFUNCTION("GOOGLETRANSLATE(B72,""en"",""zh-TW"")"),"顯示工具用例參與通知")</f>
        <v>顯示工具用例參與通知</v>
      </c>
      <c r="AB72" s="4" t="str">
        <f>IFERROR(__xludf.DUMMYFUNCTION("GOOGLETRANSLATE(B72,""en"",""ja"")"),"ツールの使用事例のエンゲージメント通知を表示")</f>
        <v>ツールの使用事例のエンゲージメント通知を表示</v>
      </c>
      <c r="AC72" s="4" t="str">
        <f>IFERROR(__xludf.DUMMYFUNCTION("GOOGLETRANSLATE(B72,""en"",""bg"")"),"Показване на известия за ангажираност с използване на инструменти")</f>
        <v>Показване на известия за ангажираност с използване на инструменти</v>
      </c>
      <c r="AD72" s="4" t="str">
        <f>IFERROR(__xludf.DUMMYFUNCTION("GOOGLETRANSLATE(B72,""en"",""cs"")"),"Zobrazovat oznámení o případu použití nástrojů")</f>
        <v>Zobrazovat oznámení o případu použití nástrojů</v>
      </c>
      <c r="AE72" s="4" t="str">
        <f>IFERROR(__xludf.DUMMYFUNCTION("GOOGLETRANSLATE(B72,""en"",""da"")"),"Vis værktøjer, brug underretninger om engagement")</f>
        <v>Vis værktøjer, brug underretninger om engagement</v>
      </c>
      <c r="AF72" s="4" t="str">
        <f>IFERROR(__xludf.DUMMYFUNCTION("GOOGLETRANSLATE(B72,""en"",""el"")"),"Εμφάνιση ειδοποιήσεων αφοσίωσης υπόθεσης χρήσης εργαλείων")</f>
        <v>Εμφάνιση ειδοποιήσεων αφοσίωσης υπόθεσης χρήσης εργαλείων</v>
      </c>
      <c r="AG72" s="4" t="str">
        <f>IFERROR(__xludf.DUMMYFUNCTION("GOOGLETRANSLATE(B72,""en"",""et"")"),"Näita tööriistade kasutamise juhtumite kaasamise märguandeid")</f>
        <v>Näita tööriistade kasutamise juhtumite kaasamise märguandeid</v>
      </c>
      <c r="AH72" s="4" t="str">
        <f>IFERROR(__xludf.DUMMYFUNCTION("GOOGLETRANSLATE(B72,""en"",""fi"")"),"Näytä työkalut käyttötapausten sitouttamisilmoitukset")</f>
        <v>Näytä työkalut käyttötapausten sitouttamisilmoitukset</v>
      </c>
      <c r="AI72" s="4" t="str">
        <f>IFERROR(__xludf.DUMMYFUNCTION("GOOGLETRANSLATE(B72,""en"",""hr"")"),"Prikaži obavijesti o angažmanu upotrebe alata")</f>
        <v>Prikaži obavijesti o angažmanu upotrebe alata</v>
      </c>
      <c r="AJ72" s="4" t="str">
        <f>IFERROR(__xludf.DUMMYFUNCTION("GOOGLETRANSLATE(B72,""en"",""hu"")"),"Eszközök használata esetén az elköteleződésről szóló értesítések megjelenítése")</f>
        <v>Eszközök használata esetén az elköteleződésről szóló értesítések megjelenítése</v>
      </c>
      <c r="AK72" s="4" t="str">
        <f>IFERROR(__xludf.DUMMYFUNCTION("GOOGLETRANSLATE(B72,""en"",""hy"")"),"Գործիքների օգտագործման մասին ծանուցումների ցուցադրում")</f>
        <v>Գործիքների օգտագործման մասին ծանուցումների ցուցադրում</v>
      </c>
      <c r="AL72" s="4" t="str">
        <f>IFERROR(__xludf.DUMMYFUNCTION("GOOGLETRANSLATE(B72,""en"",""ca"")"),"Mostra les notificacions de participació de casos d'ús d'eines")</f>
        <v>Mostra les notificacions de participació de casos d'ús d'eines</v>
      </c>
      <c r="AM72" s="4" t="str">
        <f>IFERROR(__xludf.DUMMYFUNCTION("GOOGLETRANSLATE(B72,""en"",""nl"")"),"Toon tools, gebruik case engagement-meldingen")</f>
        <v>Toon tools, gebruik case engagement-meldingen</v>
      </c>
      <c r="AN72" s="4" t="str">
        <f>IFERROR(__xludf.DUMMYFUNCTION("GOOGLETRANSLATE(B72,""en"",""he"")"),"הצג כלים שימוש בהודעות מעורבות במקרה")</f>
        <v>הצג כלים שימוש בהודעות מעורבות במקרה</v>
      </c>
      <c r="AO72" s="4" t="str">
        <f>IFERROR(__xludf.DUMMYFUNCTION("GOOGLETRANSLATE(B72,""en"",""is"")"),"Sýna verkfæri nota tilkynningar um þátttökutilvik")</f>
        <v>Sýna verkfæri nota tilkynningar um þátttökutilvik</v>
      </c>
      <c r="AP72" s="4" t="str">
        <f>IFERROR(__xludf.DUMMYFUNCTION("GOOGLETRANSLATE(B72,""en"",""no"")"),"Vis verktøy bruk varsler om engasjement")</f>
        <v>Vis verktøy bruk varsler om engasjement</v>
      </c>
      <c r="AQ72" s="4" t="str">
        <f>IFERROR(__xludf.DUMMYFUNCTION("GOOGLETRANSLATE(B72,""en"",""fa"")"),"نمایش ابزارهای استفاده از اعلان‌های تعامل موردی")</f>
        <v>نمایش ابزارهای استفاده از اعلان‌های تعامل موردی</v>
      </c>
      <c r="AR72" s="4" t="str">
        <f>IFERROR(__xludf.DUMMYFUNCTION("GOOGLETRANSLATE(B72,""en"",""pl"")"),"Pokaż narzędzia, użyj powiadomień o zaangażowaniu")</f>
        <v>Pokaż narzędzia, użyj powiadomień o zaangażowaniu</v>
      </c>
      <c r="AS72" s="4" t="str">
        <f>IFERROR(__xludf.DUMMYFUNCTION("GOOGLETRANSLATE(B72,""en"",""sv"")"),"Visa aviseringar om engagemang för verktyg för användning av fall")</f>
        <v>Visa aviseringar om engagemang för verktyg för användning av fall</v>
      </c>
      <c r="AT72" s="4" t="str">
        <f>IFERROR(__xludf.DUMMYFUNCTION("GOOGLETRANSLATE(B72,""en"",""uk"")"),"Показувати сповіщення про взаємодію з використанням інструментів")</f>
        <v>Показувати сповіщення про взаємодію з використанням інструментів</v>
      </c>
      <c r="AU72" s="4" t="str">
        <f>IFERROR(__xludf.DUMMYFUNCTION("GOOGLETRANSLATE(B72,""en"",""zu"")"),"Bonisa amathuluzi sebenzisa izaziso zokuzibandakanya")</f>
        <v>Bonisa amathuluzi sebenzisa izaziso zokuzibandakanya</v>
      </c>
      <c r="AV72" s="4" t="str">
        <f>IFERROR(__xludf.DUMMYFUNCTION("GOOGLETRANSLATE(B72,""en"",""sr"")"),"Прикажите обавештења о ангажовању у случају употребе алата")</f>
        <v>Прикажите обавештења о ангажовању у случају употребе алата</v>
      </c>
    </row>
    <row r="73">
      <c r="A73" s="3" t="s">
        <v>187</v>
      </c>
      <c r="B73" s="3" t="s">
        <v>176</v>
      </c>
      <c r="C73" s="4" t="str">
        <f>IFERROR(__xludf.DUMMYFUNCTION("GOOGLETRANSLATE(B73,""en"",""ta"")"),"தனிப்பயனாக்கு")</f>
        <v>தனிப்பயனாக்கு</v>
      </c>
      <c r="D73" s="4" t="str">
        <f>IFERROR(__xludf.DUMMYFUNCTION("GOOGLETRANSLATE(B73,""en"",""hi"")"),"अनुकूलित करें")</f>
        <v>अनुकूलित करें</v>
      </c>
      <c r="E73" s="4" t="str">
        <f>IFERROR(__xludf.DUMMYFUNCTION("GOOGLETRANSLATE(B73,""en"",""id"")"),"Sesuaikan")</f>
        <v>Sesuaikan</v>
      </c>
      <c r="F73" s="4" t="str">
        <f>IFERROR(__xludf.DUMMYFUNCTION("GOOGLETRANSLATE(B73,""en"",""ms"")"),"Sesuaikan")</f>
        <v>Sesuaikan</v>
      </c>
      <c r="G73" s="4" t="str">
        <f>IFERROR(__xludf.DUMMYFUNCTION("GOOGLETRANSLATE(B73,""en"",""de"")"),"Anpassen")</f>
        <v>Anpassen</v>
      </c>
      <c r="H73" s="4" t="str">
        <f>IFERROR(__xludf.DUMMYFUNCTION("GOOGLETRANSLATE(B73,""en"",""es"")"),"Personalizar")</f>
        <v>Personalizar</v>
      </c>
      <c r="I73" s="4" t="str">
        <f>IFERROR(__xludf.DUMMYFUNCTION("GOOGLETRANSLATE(B73,""en"",""fr"")"),"Personnaliser")</f>
        <v>Personnaliser</v>
      </c>
      <c r="J73" s="4" t="str">
        <f>IFERROR(__xludf.DUMMYFUNCTION("GOOGLETRANSLATE(B73,""en"",""it"")"),"Personalizzare")</f>
        <v>Personalizzare</v>
      </c>
      <c r="K73" s="4" t="str">
        <f>IFERROR(__xludf.DUMMYFUNCTION("GOOGLETRANSLATE(B73,""en"",""pt"")"),"Personalizar")</f>
        <v>Personalizar</v>
      </c>
      <c r="L73" s="4" t="str">
        <f>IFERROR(__xludf.DUMMYFUNCTION("GOOGLETRANSLATE(B73,""en"",""ro"")"),"Personalizați")</f>
        <v>Personalizați</v>
      </c>
      <c r="M73" s="4" t="str">
        <f>IFERROR(__xludf.DUMMYFUNCTION("GOOGLETRANSLATE(B73,""en"",""vi"")"),"Tùy chỉnh")</f>
        <v>Tùy chỉnh</v>
      </c>
      <c r="N73" s="4" t="str">
        <f>IFERROR(__xludf.DUMMYFUNCTION("GOOGLETRANSLATE(B73,""en"",""ru"")"),"Настроить")</f>
        <v>Настроить</v>
      </c>
      <c r="O73" s="4" t="str">
        <f>IFERROR(__xludf.DUMMYFUNCTION("GOOGLETRANSLATE(B73,""en"",""tr"")"),"Özelleştirmek")</f>
        <v>Özelleştirmek</v>
      </c>
      <c r="P73" s="4" t="str">
        <f>IFERROR(__xludf.DUMMYFUNCTION("GOOGLETRANSLATE(B73,""en"",""ar"")"),"تخصيص")</f>
        <v>تخصيص</v>
      </c>
      <c r="Q73" s="4" t="str">
        <f>IFERROR(__xludf.DUMMYFUNCTION("GOOGLETRANSLATE(B73,""en"",""mr"")"),"सानुकूल करा")</f>
        <v>सानुकूल करा</v>
      </c>
      <c r="R73" s="4" t="str">
        <f>IFERROR(__xludf.DUMMYFUNCTION("GOOGLETRANSLATE(B73,""en"",""gu"")"),"કસ્ટમાઇઝ કરો")</f>
        <v>કસ્ટમાઇઝ કરો</v>
      </c>
      <c r="S73" s="4" t="str">
        <f>IFERROR(__xludf.DUMMYFUNCTION("GOOGLETRANSLATE(B73,""en"",""bn"")"),"কাস্টমাইজ করুন")</f>
        <v>কাস্টমাইজ করুন</v>
      </c>
      <c r="T73" s="4" t="str">
        <f>IFERROR(__xludf.DUMMYFUNCTION("GOOGLETRANSLATE(B73,""en"",""pa"")"),"ਅਨੁਕੂਲਿਤ ਕਰੋ")</f>
        <v>ਅਨੁਕੂਲਿਤ ਕਰੋ</v>
      </c>
      <c r="U73" s="4" t="str">
        <f>IFERROR(__xludf.DUMMYFUNCTION("GOOGLETRANSLATE(B73,""en"",""te"")"),"అనుకూలీకరించండి")</f>
        <v>అనుకూలీకరించండి</v>
      </c>
      <c r="V73" s="4" t="str">
        <f>IFERROR(__xludf.DUMMYFUNCTION("GOOGLETRANSLATE(B73,""en"",""kn"")"),"ಕಸ್ಟಮೈಸ್ ಮಾಡಿ")</f>
        <v>ಕಸ್ಟಮೈಸ್ ಮಾಡಿ</v>
      </c>
      <c r="W73" s="4" t="str">
        <f>IFERROR(__xludf.DUMMYFUNCTION("GOOGLETRANSLATE(B73,""en"",""ml"")"),"ഇഷ്ടാനുസൃതമാക്കുക")</f>
        <v>ഇഷ്ടാനുസൃതമാക്കുക</v>
      </c>
      <c r="X73" s="4" t="str">
        <f>IFERROR(__xludf.DUMMYFUNCTION("GOOGLETRANSLATE(B73,""en"",""th"")"),"ปรับแต่ง")</f>
        <v>ปรับแต่ง</v>
      </c>
      <c r="Y73" s="4" t="str">
        <f>IFERROR(__xludf.DUMMYFUNCTION("GOOGLETRANSLATE(B73,""en"",""ko"")"),"사용자 정의")</f>
        <v>사용자 정의</v>
      </c>
      <c r="Z73" s="4" t="str">
        <f>IFERROR(__xludf.DUMMYFUNCTION("GOOGLETRANSLATE(B73,""en"",""zh"")"),"定制")</f>
        <v>定制</v>
      </c>
      <c r="AA73" s="4" t="str">
        <f>IFERROR(__xludf.DUMMYFUNCTION("GOOGLETRANSLATE(B73,""en"",""zh-TW"")"),"客製化")</f>
        <v>客製化</v>
      </c>
      <c r="AB73" s="4" t="str">
        <f>IFERROR(__xludf.DUMMYFUNCTION("GOOGLETRANSLATE(B73,""en"",""ja"")"),"カスタマイズ")</f>
        <v>カスタマイズ</v>
      </c>
      <c r="AC73" s="4" t="str">
        <f>IFERROR(__xludf.DUMMYFUNCTION("GOOGLETRANSLATE(B73,""en"",""bg"")"),"Персонализиране")</f>
        <v>Персонализиране</v>
      </c>
      <c r="AD73" s="4" t="str">
        <f>IFERROR(__xludf.DUMMYFUNCTION("GOOGLETRANSLATE(B73,""en"",""cs"")"),"Přizpůsobit")</f>
        <v>Přizpůsobit</v>
      </c>
      <c r="AE73" s="4" t="str">
        <f>IFERROR(__xludf.DUMMYFUNCTION("GOOGLETRANSLATE(B73,""en"",""da"")"),"Tilpas")</f>
        <v>Tilpas</v>
      </c>
      <c r="AF73" s="4" t="str">
        <f>IFERROR(__xludf.DUMMYFUNCTION("GOOGLETRANSLATE(B73,""en"",""el"")"),"Προσαρμογή")</f>
        <v>Προσαρμογή</v>
      </c>
      <c r="AG73" s="4" t="str">
        <f>IFERROR(__xludf.DUMMYFUNCTION("GOOGLETRANSLATE(B73,""en"",""et"")"),"Kohanda")</f>
        <v>Kohanda</v>
      </c>
      <c r="AH73" s="4" t="str">
        <f>IFERROR(__xludf.DUMMYFUNCTION("GOOGLETRANSLATE(B73,""en"",""fi"")"),"Mukauta")</f>
        <v>Mukauta</v>
      </c>
      <c r="AI73" s="4" t="str">
        <f>IFERROR(__xludf.DUMMYFUNCTION("GOOGLETRANSLATE(B73,""en"",""hr"")"),"Prilagodite")</f>
        <v>Prilagodite</v>
      </c>
      <c r="AJ73" s="4" t="str">
        <f>IFERROR(__xludf.DUMMYFUNCTION("GOOGLETRANSLATE(B73,""en"",""hu"")"),"Testreszabás")</f>
        <v>Testreszabás</v>
      </c>
      <c r="AK73" s="4" t="str">
        <f>IFERROR(__xludf.DUMMYFUNCTION("GOOGLETRANSLATE(B73,""en"",""hy"")"),"Անհատականացնել")</f>
        <v>Անհատականացնել</v>
      </c>
      <c r="AL73" s="4" t="str">
        <f>IFERROR(__xludf.DUMMYFUNCTION("GOOGLETRANSLATE(B73,""en"",""ca"")"),"Personalitza")</f>
        <v>Personalitza</v>
      </c>
      <c r="AM73" s="4" t="str">
        <f>IFERROR(__xludf.DUMMYFUNCTION("GOOGLETRANSLATE(B73,""en"",""nl"")"),"Aanpassen")</f>
        <v>Aanpassen</v>
      </c>
      <c r="AN73" s="4" t="str">
        <f>IFERROR(__xludf.DUMMYFUNCTION("GOOGLETRANSLATE(B73,""en"",""he"")"),"התאמה אישית")</f>
        <v>התאמה אישית</v>
      </c>
      <c r="AO73" s="4" t="str">
        <f>IFERROR(__xludf.DUMMYFUNCTION("GOOGLETRANSLATE(B73,""en"",""is"")"),"Sérsníða")</f>
        <v>Sérsníða</v>
      </c>
      <c r="AP73" s="4" t="str">
        <f>IFERROR(__xludf.DUMMYFUNCTION("GOOGLETRANSLATE(B73,""en"",""no"")"),"Tilpass")</f>
        <v>Tilpass</v>
      </c>
      <c r="AQ73" s="4" t="str">
        <f>IFERROR(__xludf.DUMMYFUNCTION("GOOGLETRANSLATE(B73,""en"",""fa"")"),"سفارشی کنید")</f>
        <v>سفارشی کنید</v>
      </c>
      <c r="AR73" s="4" t="str">
        <f>IFERROR(__xludf.DUMMYFUNCTION("GOOGLETRANSLATE(B73,""en"",""pl"")"),"Dostosuj")</f>
        <v>Dostosuj</v>
      </c>
      <c r="AS73" s="4" t="str">
        <f>IFERROR(__xludf.DUMMYFUNCTION("GOOGLETRANSLATE(B73,""en"",""sv"")"),"Anpassa")</f>
        <v>Anpassa</v>
      </c>
      <c r="AT73" s="4" t="str">
        <f>IFERROR(__xludf.DUMMYFUNCTION("GOOGLETRANSLATE(B73,""en"",""uk"")"),"Налаштувати")</f>
        <v>Налаштувати</v>
      </c>
      <c r="AU73" s="4" t="str">
        <f>IFERROR(__xludf.DUMMYFUNCTION("GOOGLETRANSLATE(B73,""en"",""zu"")"),"Enza ngendlela oyifisayo")</f>
        <v>Enza ngendlela oyifisayo</v>
      </c>
      <c r="AV73" s="4" t="str">
        <f>IFERROR(__xludf.DUMMYFUNCTION("GOOGLETRANSLATE(B73,""en"",""sr"")"),"Прилагодите")</f>
        <v>Прилагодите</v>
      </c>
    </row>
    <row r="74">
      <c r="A74" s="3" t="s">
        <v>188</v>
      </c>
      <c r="B74" s="3" t="s">
        <v>189</v>
      </c>
      <c r="C74" s="4" t="str">
        <f>IFERROR(__xludf.DUMMYFUNCTION("GOOGLETRANSLATE(B74,""en"",""ta"")"),"தோற்ற அமைப்புகள்")</f>
        <v>தோற்ற அமைப்புகள்</v>
      </c>
      <c r="D74" s="4" t="str">
        <f>IFERROR(__xludf.DUMMYFUNCTION("GOOGLETRANSLATE(B74,""en"",""hi"")"),"अपियरेंस सेटिंग्स")</f>
        <v>अपियरेंस सेटिंग्स</v>
      </c>
      <c r="E74" s="4" t="str">
        <f>IFERROR(__xludf.DUMMYFUNCTION("GOOGLETRANSLATE(B74,""en"",""id"")"),"Pengaturan Tampilan")</f>
        <v>Pengaturan Tampilan</v>
      </c>
      <c r="F74" s="4" t="str">
        <f>IFERROR(__xludf.DUMMYFUNCTION("GOOGLETRANSLATE(B74,""en"",""ms"")"),"Tetapan Penampilan")</f>
        <v>Tetapan Penampilan</v>
      </c>
      <c r="G74" s="4" t="str">
        <f>IFERROR(__xludf.DUMMYFUNCTION("GOOGLETRANSLATE(B74,""en"",""de"")"),"Darstellungseinstellungen")</f>
        <v>Darstellungseinstellungen</v>
      </c>
      <c r="H74" s="4" t="str">
        <f>IFERROR(__xludf.DUMMYFUNCTION("GOOGLETRANSLATE(B74,""en"",""es"")"),"Configuración de apariencia")</f>
        <v>Configuración de apariencia</v>
      </c>
      <c r="I74" s="4" t="str">
        <f>IFERROR(__xludf.DUMMYFUNCTION("GOOGLETRANSLATE(B74,""en"",""fr"")"),"Paramètres d'apparence")</f>
        <v>Paramètres d'apparence</v>
      </c>
      <c r="J74" s="4" t="str">
        <f>IFERROR(__xludf.DUMMYFUNCTION("GOOGLETRANSLATE(B74,""en"",""it"")"),"Impostazioni aspetto")</f>
        <v>Impostazioni aspetto</v>
      </c>
      <c r="K74" s="4" t="str">
        <f>IFERROR(__xludf.DUMMYFUNCTION("GOOGLETRANSLATE(B74,""en"",""pt"")"),"Configurações de aparência")</f>
        <v>Configurações de aparência</v>
      </c>
      <c r="L74" s="4" t="str">
        <f>IFERROR(__xludf.DUMMYFUNCTION("GOOGLETRANSLATE(B74,""en"",""ro"")"),"Setări de aspect")</f>
        <v>Setări de aspect</v>
      </c>
      <c r="M74" s="4" t="str">
        <f>IFERROR(__xludf.DUMMYFUNCTION("GOOGLETRANSLATE(B74,""en"",""vi"")"),"Cài đặt giao diện")</f>
        <v>Cài đặt giao diện</v>
      </c>
      <c r="N74" s="4" t="str">
        <f>IFERROR(__xludf.DUMMYFUNCTION("GOOGLETRANSLATE(B74,""en"",""ru"")"),"Настройки внешнего вида")</f>
        <v>Настройки внешнего вида</v>
      </c>
      <c r="O74" s="4" t="str">
        <f>IFERROR(__xludf.DUMMYFUNCTION("GOOGLETRANSLATE(B74,""en"",""tr"")"),"Görünüm Ayarları")</f>
        <v>Görünüm Ayarları</v>
      </c>
      <c r="P74" s="4" t="str">
        <f>IFERROR(__xludf.DUMMYFUNCTION("GOOGLETRANSLATE(B74,""en"",""ar"")"),"إعدادات المظهر")</f>
        <v>إعدادات المظهر</v>
      </c>
      <c r="Q74" s="4" t="str">
        <f>IFERROR(__xludf.DUMMYFUNCTION("GOOGLETRANSLATE(B74,""en"",""mr"")"),"स्वरूप सेटिंग्ज")</f>
        <v>स्वरूप सेटिंग्ज</v>
      </c>
      <c r="R74" s="4" t="str">
        <f>IFERROR(__xludf.DUMMYFUNCTION("GOOGLETRANSLATE(B74,""en"",""gu"")"),"દેખાવ સેટિંગ્સ")</f>
        <v>દેખાવ સેટિંગ્સ</v>
      </c>
      <c r="S74" s="4" t="str">
        <f>IFERROR(__xludf.DUMMYFUNCTION("GOOGLETRANSLATE(B74,""en"",""bn"")"),"চেহারা সেটিংস")</f>
        <v>চেহারা সেটিংস</v>
      </c>
      <c r="T74" s="4" t="str">
        <f>IFERROR(__xludf.DUMMYFUNCTION("GOOGLETRANSLATE(B74,""en"",""pa"")"),"ਦਿੱਖ ਸੈਟਿੰਗਾਂ")</f>
        <v>ਦਿੱਖ ਸੈਟਿੰਗਾਂ</v>
      </c>
      <c r="U74" s="4" t="str">
        <f>IFERROR(__xludf.DUMMYFUNCTION("GOOGLETRANSLATE(B74,""en"",""te"")"),"ప్రదర్శన సెట్టింగ్‌లు")</f>
        <v>ప్రదర్శన సెట్టింగ్‌లు</v>
      </c>
      <c r="V74" s="4" t="str">
        <f>IFERROR(__xludf.DUMMYFUNCTION("GOOGLETRANSLATE(B74,""en"",""kn"")"),"ಗೋಚರತೆ ಸೆಟ್ಟಿಂಗ್‌ಗಳು")</f>
        <v>ಗೋಚರತೆ ಸೆಟ್ಟಿಂಗ್‌ಗಳು</v>
      </c>
      <c r="W74" s="4" t="str">
        <f>IFERROR(__xludf.DUMMYFUNCTION("GOOGLETRANSLATE(B74,""en"",""ml"")"),"രൂപഭാവ ക്രമീകരണങ്ങൾ")</f>
        <v>രൂപഭാവ ക്രമീകരണങ്ങൾ</v>
      </c>
      <c r="X74" s="4" t="str">
        <f>IFERROR(__xludf.DUMMYFUNCTION("GOOGLETRANSLATE(B74,""en"",""th"")"),"การตั้งค่าลักษณะที่ปรากฏ")</f>
        <v>การตั้งค่าลักษณะที่ปรากฏ</v>
      </c>
      <c r="Y74" s="4" t="str">
        <f>IFERROR(__xludf.DUMMYFUNCTION("GOOGLETRANSLATE(B74,""en"",""ko"")"),"모양 설정")</f>
        <v>모양 설정</v>
      </c>
      <c r="Z74" s="4" t="str">
        <f>IFERROR(__xludf.DUMMYFUNCTION("GOOGLETRANSLATE(B74,""en"",""zh"")"),"外观设置")</f>
        <v>外观设置</v>
      </c>
      <c r="AA74" s="4" t="str">
        <f>IFERROR(__xludf.DUMMYFUNCTION("GOOGLETRANSLATE(B74,""en"",""zh-TW"")"),"外觀設定")</f>
        <v>外觀設定</v>
      </c>
      <c r="AB74" s="4" t="str">
        <f>IFERROR(__xludf.DUMMYFUNCTION("GOOGLETRANSLATE(B74,""en"",""ja"")"),"外観設定")</f>
        <v>外観設定</v>
      </c>
      <c r="AC74" s="4" t="str">
        <f>IFERROR(__xludf.DUMMYFUNCTION("GOOGLETRANSLATE(B74,""en"",""bg"")"),"Настройки на външния вид")</f>
        <v>Настройки на външния вид</v>
      </c>
      <c r="AD74" s="4" t="str">
        <f>IFERROR(__xludf.DUMMYFUNCTION("GOOGLETRANSLATE(B74,""en"",""cs"")"),"Nastavení vzhledu")</f>
        <v>Nastavení vzhledu</v>
      </c>
      <c r="AE74" s="4" t="str">
        <f>IFERROR(__xludf.DUMMYFUNCTION("GOOGLETRANSLATE(B74,""en"",""da"")"),"Indstillinger for udseende")</f>
        <v>Indstillinger for udseende</v>
      </c>
      <c r="AF74" s="4" t="str">
        <f>IFERROR(__xludf.DUMMYFUNCTION("GOOGLETRANSLATE(B74,""en"",""el"")"),"Ρυθμίσεις εμφάνισης")</f>
        <v>Ρυθμίσεις εμφάνισης</v>
      </c>
      <c r="AG74" s="4" t="str">
        <f>IFERROR(__xludf.DUMMYFUNCTION("GOOGLETRANSLATE(B74,""en"",""et"")"),"Välimuse sätted")</f>
        <v>Välimuse sätted</v>
      </c>
      <c r="AH74" s="4" t="str">
        <f>IFERROR(__xludf.DUMMYFUNCTION("GOOGLETRANSLATE(B74,""en"",""fi"")"),"Ulkoasuasetukset")</f>
        <v>Ulkoasuasetukset</v>
      </c>
      <c r="AI74" s="4" t="str">
        <f>IFERROR(__xludf.DUMMYFUNCTION("GOOGLETRANSLATE(B74,""en"",""hr"")"),"Postavke izgleda")</f>
        <v>Postavke izgleda</v>
      </c>
      <c r="AJ74" s="4" t="str">
        <f>IFERROR(__xludf.DUMMYFUNCTION("GOOGLETRANSLATE(B74,""en"",""hu"")"),"Megjelenés beállításai")</f>
        <v>Megjelenés beállításai</v>
      </c>
      <c r="AK74" s="4" t="str">
        <f>IFERROR(__xludf.DUMMYFUNCTION("GOOGLETRANSLATE(B74,""en"",""hy"")"),"Արտաքին տեսքի կարգավորումներ")</f>
        <v>Արտաքին տեսքի կարգավորումներ</v>
      </c>
      <c r="AL74" s="4" t="str">
        <f>IFERROR(__xludf.DUMMYFUNCTION("GOOGLETRANSLATE(B74,""en"",""ca"")"),"Configuració d'aparença")</f>
        <v>Configuració d'aparença</v>
      </c>
      <c r="AM74" s="4" t="str">
        <f>IFERROR(__xludf.DUMMYFUNCTION("GOOGLETRANSLATE(B74,""en"",""nl"")"),"Weergave-instellingen")</f>
        <v>Weergave-instellingen</v>
      </c>
      <c r="AN74" s="4" t="str">
        <f>IFERROR(__xludf.DUMMYFUNCTION("GOOGLETRANSLATE(B74,""en"",""he"")"),"הגדרות מראה")</f>
        <v>הגדרות מראה</v>
      </c>
      <c r="AO74" s="4" t="str">
        <f>IFERROR(__xludf.DUMMYFUNCTION("GOOGLETRANSLATE(B74,""en"",""is"")"),"Útlitsstillingar")</f>
        <v>Útlitsstillingar</v>
      </c>
      <c r="AP74" s="4" t="str">
        <f>IFERROR(__xludf.DUMMYFUNCTION("GOOGLETRANSLATE(B74,""en"",""no"")"),"Utseendeinnstillinger")</f>
        <v>Utseendeinnstillinger</v>
      </c>
      <c r="AQ74" s="4" t="str">
        <f>IFERROR(__xludf.DUMMYFUNCTION("GOOGLETRANSLATE(B74,""en"",""fa"")"),"تنظیمات ظاهری")</f>
        <v>تنظیمات ظاهری</v>
      </c>
      <c r="AR74" s="4" t="str">
        <f>IFERROR(__xludf.DUMMYFUNCTION("GOOGLETRANSLATE(B74,""en"",""pl"")"),"Ustawienia wyglądu")</f>
        <v>Ustawienia wyglądu</v>
      </c>
      <c r="AS74" s="4" t="str">
        <f>IFERROR(__xludf.DUMMYFUNCTION("GOOGLETRANSLATE(B74,""en"",""sv"")"),"Utseendeinställningar")</f>
        <v>Utseendeinställningar</v>
      </c>
      <c r="AT74" s="4" t="str">
        <f>IFERROR(__xludf.DUMMYFUNCTION("GOOGLETRANSLATE(B74,""en"",""uk"")"),"Налаштування зовнішнього вигляду")</f>
        <v>Налаштування зовнішнього вигляду</v>
      </c>
      <c r="AU74" s="4" t="str">
        <f>IFERROR(__xludf.DUMMYFUNCTION("GOOGLETRANSLATE(B74,""en"",""zu"")"),"Izilungiselelo zokubukeka")</f>
        <v>Izilungiselelo zokubukeka</v>
      </c>
      <c r="AV74" s="4" t="str">
        <f>IFERROR(__xludf.DUMMYFUNCTION("GOOGLETRANSLATE(B74,""en"",""sr"")"),"Подешавања изгледа")</f>
        <v>Подешавања изгледа</v>
      </c>
    </row>
    <row r="75">
      <c r="A75" s="3" t="s">
        <v>190</v>
      </c>
      <c r="B75" s="3" t="s">
        <v>191</v>
      </c>
      <c r="C75" s="4" t="str">
        <f>IFERROR(__xludf.DUMMYFUNCTION("GOOGLETRANSLATE(B75,""en"",""ta"")"),"வானிலை")</f>
        <v>வானிலை</v>
      </c>
      <c r="D75" s="4" t="str">
        <f>IFERROR(__xludf.DUMMYFUNCTION("GOOGLETRANSLATE(B75,""en"",""hi"")"),"मौसम")</f>
        <v>मौसम</v>
      </c>
      <c r="E75" s="4" t="str">
        <f>IFERROR(__xludf.DUMMYFUNCTION("GOOGLETRANSLATE(B75,""en"",""id"")"),"Cuaca")</f>
        <v>Cuaca</v>
      </c>
      <c r="F75" s="4" t="str">
        <f>IFERROR(__xludf.DUMMYFUNCTION("GOOGLETRANSLATE(B75,""en"",""ms"")"),"Cuaca")</f>
        <v>Cuaca</v>
      </c>
      <c r="G75" s="4" t="str">
        <f>IFERROR(__xludf.DUMMYFUNCTION("GOOGLETRANSLATE(B75,""en"",""de"")"),"Wetter")</f>
        <v>Wetter</v>
      </c>
      <c r="H75" s="4" t="str">
        <f>IFERROR(__xludf.DUMMYFUNCTION("GOOGLETRANSLATE(B75,""en"",""es"")"),"Clima")</f>
        <v>Clima</v>
      </c>
      <c r="I75" s="4" t="str">
        <f>IFERROR(__xludf.DUMMYFUNCTION("GOOGLETRANSLATE(B75,""en"",""fr"")"),"Météo")</f>
        <v>Météo</v>
      </c>
      <c r="J75" s="4" t="str">
        <f>IFERROR(__xludf.DUMMYFUNCTION("GOOGLETRANSLATE(B75,""en"",""it"")"),"Tempo atmosferico")</f>
        <v>Tempo atmosferico</v>
      </c>
      <c r="K75" s="4" t="str">
        <f>IFERROR(__xludf.DUMMYFUNCTION("GOOGLETRANSLATE(B75,""en"",""pt"")"),"Clima")</f>
        <v>Clima</v>
      </c>
      <c r="L75" s="4" t="str">
        <f>IFERROR(__xludf.DUMMYFUNCTION("GOOGLETRANSLATE(B75,""en"",""ro"")"),"Vreme")</f>
        <v>Vreme</v>
      </c>
      <c r="M75" s="4" t="str">
        <f>IFERROR(__xludf.DUMMYFUNCTION("GOOGLETRANSLATE(B75,""en"",""vi"")"),"Thời tiết")</f>
        <v>Thời tiết</v>
      </c>
      <c r="N75" s="4" t="str">
        <f>IFERROR(__xludf.DUMMYFUNCTION("GOOGLETRANSLATE(B75,""en"",""ru"")"),"Погода")</f>
        <v>Погода</v>
      </c>
      <c r="O75" s="4" t="str">
        <f>IFERROR(__xludf.DUMMYFUNCTION("GOOGLETRANSLATE(B75,""en"",""tr"")"),"Hava durumu")</f>
        <v>Hava durumu</v>
      </c>
      <c r="P75" s="4" t="str">
        <f>IFERROR(__xludf.DUMMYFUNCTION("GOOGLETRANSLATE(B75,""en"",""ar"")"),"طقس")</f>
        <v>طقس</v>
      </c>
      <c r="Q75" s="4" t="str">
        <f>IFERROR(__xludf.DUMMYFUNCTION("GOOGLETRANSLATE(B75,""en"",""mr"")"),"हवामान")</f>
        <v>हवामान</v>
      </c>
      <c r="R75" s="4" t="str">
        <f>IFERROR(__xludf.DUMMYFUNCTION("GOOGLETRANSLATE(B75,""en"",""gu"")"),"હવામાન")</f>
        <v>હવામાન</v>
      </c>
      <c r="S75" s="4" t="str">
        <f>IFERROR(__xludf.DUMMYFUNCTION("GOOGLETRANSLATE(B75,""en"",""bn"")"),"আবহাওয়া")</f>
        <v>আবহাওয়া</v>
      </c>
      <c r="T75" s="4" t="str">
        <f>IFERROR(__xludf.DUMMYFUNCTION("GOOGLETRANSLATE(B75,""en"",""pa"")"),"ਮੌਸਮ")</f>
        <v>ਮੌਸਮ</v>
      </c>
      <c r="U75" s="4" t="str">
        <f>IFERROR(__xludf.DUMMYFUNCTION("GOOGLETRANSLATE(B75,""en"",""te"")"),"వాతావరణం")</f>
        <v>వాతావరణం</v>
      </c>
      <c r="V75" s="4" t="str">
        <f>IFERROR(__xludf.DUMMYFUNCTION("GOOGLETRANSLATE(B75,""en"",""kn"")"),"ಹವಾಮಾನ")</f>
        <v>ಹವಾಮಾನ</v>
      </c>
      <c r="W75" s="4" t="str">
        <f>IFERROR(__xludf.DUMMYFUNCTION("GOOGLETRANSLATE(B75,""en"",""ml"")"),"കാലാവസ്ഥ")</f>
        <v>കാലാവസ്ഥ</v>
      </c>
      <c r="X75" s="4" t="str">
        <f>IFERROR(__xludf.DUMMYFUNCTION("GOOGLETRANSLATE(B75,""en"",""th"")"),"สภาพอากาศ")</f>
        <v>สภาพอากาศ</v>
      </c>
      <c r="Y75" s="4" t="str">
        <f>IFERROR(__xludf.DUMMYFUNCTION("GOOGLETRANSLATE(B75,""en"",""ko"")"),"날씨")</f>
        <v>날씨</v>
      </c>
      <c r="Z75" s="4" t="str">
        <f>IFERROR(__xludf.DUMMYFUNCTION("GOOGLETRANSLATE(B75,""en"",""zh"")"),"天气")</f>
        <v>天气</v>
      </c>
      <c r="AA75" s="4" t="str">
        <f>IFERROR(__xludf.DUMMYFUNCTION("GOOGLETRANSLATE(B75,""en"",""zh-TW"")"),"天氣")</f>
        <v>天氣</v>
      </c>
      <c r="AB75" s="4" t="str">
        <f>IFERROR(__xludf.DUMMYFUNCTION("GOOGLETRANSLATE(B75,""en"",""ja"")"),"天気")</f>
        <v>天気</v>
      </c>
      <c r="AC75" s="4" t="str">
        <f>IFERROR(__xludf.DUMMYFUNCTION("GOOGLETRANSLATE(B75,""en"",""bg"")"),"Времето")</f>
        <v>Времето</v>
      </c>
      <c r="AD75" s="4" t="str">
        <f>IFERROR(__xludf.DUMMYFUNCTION("GOOGLETRANSLATE(B75,""en"",""cs"")"),"Počasí")</f>
        <v>Počasí</v>
      </c>
      <c r="AE75" s="4" t="str">
        <f>IFERROR(__xludf.DUMMYFUNCTION("GOOGLETRANSLATE(B75,""en"",""da"")"),"Vejr")</f>
        <v>Vejr</v>
      </c>
      <c r="AF75" s="4" t="str">
        <f>IFERROR(__xludf.DUMMYFUNCTION("GOOGLETRANSLATE(B75,""en"",""el"")"),"Καιρός")</f>
        <v>Καιρός</v>
      </c>
      <c r="AG75" s="4" t="str">
        <f>IFERROR(__xludf.DUMMYFUNCTION("GOOGLETRANSLATE(B75,""en"",""et"")"),"Ilm")</f>
        <v>Ilm</v>
      </c>
      <c r="AH75" s="4" t="str">
        <f>IFERROR(__xludf.DUMMYFUNCTION("GOOGLETRANSLATE(B75,""en"",""fi"")"),"Sää")</f>
        <v>Sää</v>
      </c>
      <c r="AI75" s="4" t="str">
        <f>IFERROR(__xludf.DUMMYFUNCTION("GOOGLETRANSLATE(B75,""en"",""hr"")"),"Vrijeme")</f>
        <v>Vrijeme</v>
      </c>
      <c r="AJ75" s="4" t="str">
        <f>IFERROR(__xludf.DUMMYFUNCTION("GOOGLETRANSLATE(B75,""en"",""hu"")"),"Időjárás")</f>
        <v>Időjárás</v>
      </c>
      <c r="AK75" s="4" t="str">
        <f>IFERROR(__xludf.DUMMYFUNCTION("GOOGLETRANSLATE(B75,""en"",""hy"")"),"Եղանակ")</f>
        <v>Եղանակ</v>
      </c>
      <c r="AL75" s="4" t="str">
        <f>IFERROR(__xludf.DUMMYFUNCTION("GOOGLETRANSLATE(B75,""en"",""ca"")"),"El temps")</f>
        <v>El temps</v>
      </c>
      <c r="AM75" s="4" t="str">
        <f>IFERROR(__xludf.DUMMYFUNCTION("GOOGLETRANSLATE(B75,""en"",""nl"")"),"Weer")</f>
        <v>Weer</v>
      </c>
      <c r="AN75" s="4" t="str">
        <f>IFERROR(__xludf.DUMMYFUNCTION("GOOGLETRANSLATE(B75,""en"",""he"")"),"מֶזֶג אֲוִיר")</f>
        <v>מֶזֶג אֲוִיר</v>
      </c>
      <c r="AO75" s="4" t="str">
        <f>IFERROR(__xludf.DUMMYFUNCTION("GOOGLETRANSLATE(B75,""en"",""is"")"),"Veður")</f>
        <v>Veður</v>
      </c>
      <c r="AP75" s="4" t="str">
        <f>IFERROR(__xludf.DUMMYFUNCTION("GOOGLETRANSLATE(B75,""en"",""no"")"),"Vær")</f>
        <v>Vær</v>
      </c>
      <c r="AQ75" s="4" t="str">
        <f>IFERROR(__xludf.DUMMYFUNCTION("GOOGLETRANSLATE(B75,""en"",""fa"")"),"آب و هوا")</f>
        <v>آب و هوا</v>
      </c>
      <c r="AR75" s="4" t="str">
        <f>IFERROR(__xludf.DUMMYFUNCTION("GOOGLETRANSLATE(B75,""en"",""pl"")"),"Pogoda")</f>
        <v>Pogoda</v>
      </c>
      <c r="AS75" s="4" t="str">
        <f>IFERROR(__xludf.DUMMYFUNCTION("GOOGLETRANSLATE(B75,""en"",""sv"")"),"Väder")</f>
        <v>Väder</v>
      </c>
      <c r="AT75" s="4" t="str">
        <f>IFERROR(__xludf.DUMMYFUNCTION("GOOGLETRANSLATE(B75,""en"",""uk"")"),"Погода")</f>
        <v>Погода</v>
      </c>
      <c r="AU75" s="4" t="str">
        <f>IFERROR(__xludf.DUMMYFUNCTION("GOOGLETRANSLATE(B75,""en"",""zu"")"),"Isimo sezulu")</f>
        <v>Isimo sezulu</v>
      </c>
      <c r="AV75" s="4" t="str">
        <f>IFERROR(__xludf.DUMMYFUNCTION("GOOGLETRANSLATE(B75,""en"",""sr"")"),"Време")</f>
        <v>Време</v>
      </c>
    </row>
    <row r="76">
      <c r="A76" s="3" t="s">
        <v>192</v>
      </c>
      <c r="B76" s="3" t="s">
        <v>193</v>
      </c>
      <c r="C76" s="4" t="str">
        <f>IFERROR(__xludf.DUMMYFUNCTION("GOOGLETRANSLATE(B76,""en"",""ta"")"),"வானிலை எச்சரிக்கைகள்")</f>
        <v>வானிலை எச்சரிக்கைகள்</v>
      </c>
      <c r="D76" s="4" t="str">
        <f>IFERROR(__xludf.DUMMYFUNCTION("GOOGLETRANSLATE(B76,""en"",""hi"")"),"मौसम अलर्ट")</f>
        <v>मौसम अलर्ट</v>
      </c>
      <c r="E76" s="4" t="str">
        <f>IFERROR(__xludf.DUMMYFUNCTION("GOOGLETRANSLATE(B76,""en"",""id"")"),"Peringatan Cuaca")</f>
        <v>Peringatan Cuaca</v>
      </c>
      <c r="F76" s="4" t="str">
        <f>IFERROR(__xludf.DUMMYFUNCTION("GOOGLETRANSLATE(B76,""en"",""ms"")"),"Makluman Cuaca")</f>
        <v>Makluman Cuaca</v>
      </c>
      <c r="G76" s="4" t="str">
        <f>IFERROR(__xludf.DUMMYFUNCTION("GOOGLETRANSLATE(B76,""en"",""de"")"),"Wetterwarnungen")</f>
        <v>Wetterwarnungen</v>
      </c>
      <c r="H76" s="4" t="str">
        <f>IFERROR(__xludf.DUMMYFUNCTION("GOOGLETRANSLATE(B76,""en"",""es"")"),"Alertas meteorológicas")</f>
        <v>Alertas meteorológicas</v>
      </c>
      <c r="I76" s="4" t="str">
        <f>IFERROR(__xludf.DUMMYFUNCTION("GOOGLETRANSLATE(B76,""en"",""fr"")"),"Alertes météo")</f>
        <v>Alertes météo</v>
      </c>
      <c r="J76" s="4" t="str">
        <f>IFERROR(__xludf.DUMMYFUNCTION("GOOGLETRANSLATE(B76,""en"",""it"")"),"Avvisi meteo")</f>
        <v>Avvisi meteo</v>
      </c>
      <c r="K76" s="4" t="str">
        <f>IFERROR(__xludf.DUMMYFUNCTION("GOOGLETRANSLATE(B76,""en"",""pt"")"),"Alertas meteorológicos")</f>
        <v>Alertas meteorológicos</v>
      </c>
      <c r="L76" s="4" t="str">
        <f>IFERROR(__xludf.DUMMYFUNCTION("GOOGLETRANSLATE(B76,""en"",""ro"")"),"Alerte meteo")</f>
        <v>Alerte meteo</v>
      </c>
      <c r="M76" s="4" t="str">
        <f>IFERROR(__xludf.DUMMYFUNCTION("GOOGLETRANSLATE(B76,""en"",""vi"")"),"Cảnh báo thời tiết")</f>
        <v>Cảnh báo thời tiết</v>
      </c>
      <c r="N76" s="4" t="str">
        <f>IFERROR(__xludf.DUMMYFUNCTION("GOOGLETRANSLATE(B76,""en"",""ru"")"),"Погодные оповещения")</f>
        <v>Погодные оповещения</v>
      </c>
      <c r="O76" s="4" t="str">
        <f>IFERROR(__xludf.DUMMYFUNCTION("GOOGLETRANSLATE(B76,""en"",""tr"")"),"Hava Durumu Uyarıları")</f>
        <v>Hava Durumu Uyarıları</v>
      </c>
      <c r="P76" s="4" t="str">
        <f>IFERROR(__xludf.DUMMYFUNCTION("GOOGLETRANSLATE(B76,""en"",""ar"")"),"تنبيهات الطقس")</f>
        <v>تنبيهات الطقس</v>
      </c>
      <c r="Q76" s="4" t="str">
        <f>IFERROR(__xludf.DUMMYFUNCTION("GOOGLETRANSLATE(B76,""en"",""mr"")"),"हवामान सूचना")</f>
        <v>हवामान सूचना</v>
      </c>
      <c r="R76" s="4" t="str">
        <f>IFERROR(__xludf.DUMMYFUNCTION("GOOGLETRANSLATE(B76,""en"",""gu"")"),"હવામાન ચેતવણીઓ")</f>
        <v>હવામાન ચેતવણીઓ</v>
      </c>
      <c r="S76" s="4" t="str">
        <f>IFERROR(__xludf.DUMMYFUNCTION("GOOGLETRANSLATE(B76,""en"",""bn"")"),"আবহাওয়ার সতর্কতা")</f>
        <v>আবহাওয়ার সতর্কতা</v>
      </c>
      <c r="T76" s="4" t="str">
        <f>IFERROR(__xludf.DUMMYFUNCTION("GOOGLETRANSLATE(B76,""en"",""pa"")"),"ਮੌਸਮ ਚੇਤਾਵਨੀਆਂ")</f>
        <v>ਮੌਸਮ ਚੇਤਾਵਨੀਆਂ</v>
      </c>
      <c r="U76" s="4" t="str">
        <f>IFERROR(__xludf.DUMMYFUNCTION("GOOGLETRANSLATE(B76,""en"",""te"")"),"వాతావరణ హెచ్చరికలు")</f>
        <v>వాతావరణ హెచ్చరికలు</v>
      </c>
      <c r="V76" s="4" t="str">
        <f>IFERROR(__xludf.DUMMYFUNCTION("GOOGLETRANSLATE(B76,""en"",""kn"")"),"ಹವಾಮಾನ ಎಚ್ಚರಿಕೆಗಳು")</f>
        <v>ಹವಾಮಾನ ಎಚ್ಚರಿಕೆಗಳು</v>
      </c>
      <c r="W76" s="4" t="str">
        <f>IFERROR(__xludf.DUMMYFUNCTION("GOOGLETRANSLATE(B76,""en"",""ml"")"),"കാലാവസ്ഥാ മുന്നറിയിപ്പുകൾ")</f>
        <v>കാലാവസ്ഥാ മുന്നറിയിപ്പുകൾ</v>
      </c>
      <c r="X76" s="4" t="str">
        <f>IFERROR(__xludf.DUMMYFUNCTION("GOOGLETRANSLATE(B76,""en"",""th"")"),"การแจ้งเตือนสภาพอากาศ")</f>
        <v>การแจ้งเตือนสภาพอากาศ</v>
      </c>
      <c r="Y76" s="4" t="str">
        <f>IFERROR(__xludf.DUMMYFUNCTION("GOOGLETRANSLATE(B76,""en"",""ko"")"),"날씨 경보")</f>
        <v>날씨 경보</v>
      </c>
      <c r="Z76" s="4" t="str">
        <f>IFERROR(__xludf.DUMMYFUNCTION("GOOGLETRANSLATE(B76,""en"",""zh"")"),"天气警报")</f>
        <v>天气警报</v>
      </c>
      <c r="AA76" s="4" t="str">
        <f>IFERROR(__xludf.DUMMYFUNCTION("GOOGLETRANSLATE(B76,""en"",""zh-TW"")"),"天氣警報")</f>
        <v>天氣警報</v>
      </c>
      <c r="AB76" s="4" t="str">
        <f>IFERROR(__xludf.DUMMYFUNCTION("GOOGLETRANSLATE(B76,""en"",""ja"")"),"天気警報")</f>
        <v>天気警報</v>
      </c>
      <c r="AC76" s="4" t="str">
        <f>IFERROR(__xludf.DUMMYFUNCTION("GOOGLETRANSLATE(B76,""en"",""bg"")"),"Сигнали за времето")</f>
        <v>Сигнали за времето</v>
      </c>
      <c r="AD76" s="4" t="str">
        <f>IFERROR(__xludf.DUMMYFUNCTION("GOOGLETRANSLATE(B76,""en"",""cs"")"),"Upozornění na počasí")</f>
        <v>Upozornění na počasí</v>
      </c>
      <c r="AE76" s="4" t="str">
        <f>IFERROR(__xludf.DUMMYFUNCTION("GOOGLETRANSLATE(B76,""en"",""da"")"),"Vejrvarsler")</f>
        <v>Vejrvarsler</v>
      </c>
      <c r="AF76" s="4" t="str">
        <f>IFERROR(__xludf.DUMMYFUNCTION("GOOGLETRANSLATE(B76,""en"",""el"")"),"Ειδοποιήσεις καιρού")</f>
        <v>Ειδοποιήσεις καιρού</v>
      </c>
      <c r="AG76" s="4" t="str">
        <f>IFERROR(__xludf.DUMMYFUNCTION("GOOGLETRANSLATE(B76,""en"",""et"")"),"Ilmateated")</f>
        <v>Ilmateated</v>
      </c>
      <c r="AH76" s="4" t="str">
        <f>IFERROR(__xludf.DUMMYFUNCTION("GOOGLETRANSLATE(B76,""en"",""fi"")"),"Säähälytykset")</f>
        <v>Säähälytykset</v>
      </c>
      <c r="AI76" s="4" t="str">
        <f>IFERROR(__xludf.DUMMYFUNCTION("GOOGLETRANSLATE(B76,""en"",""hr"")"),"Upozorenja o vremenu")</f>
        <v>Upozorenja o vremenu</v>
      </c>
      <c r="AJ76" s="4" t="str">
        <f>IFERROR(__xludf.DUMMYFUNCTION("GOOGLETRANSLATE(B76,""en"",""hu"")"),"Időjárási riasztások")</f>
        <v>Időjárási riasztások</v>
      </c>
      <c r="AK76" s="4" t="str">
        <f>IFERROR(__xludf.DUMMYFUNCTION("GOOGLETRANSLATE(B76,""en"",""hy"")"),"Եղանակի ծանուցումներ")</f>
        <v>Եղանակի ծանուցումներ</v>
      </c>
      <c r="AL76" s="4" t="str">
        <f>IFERROR(__xludf.DUMMYFUNCTION("GOOGLETRANSLATE(B76,""en"",""ca"")"),"Alertes meteorològiques")</f>
        <v>Alertes meteorològiques</v>
      </c>
      <c r="AM76" s="4" t="str">
        <f>IFERROR(__xludf.DUMMYFUNCTION("GOOGLETRANSLATE(B76,""en"",""nl"")"),"Weeralarmen")</f>
        <v>Weeralarmen</v>
      </c>
      <c r="AN76" s="4" t="str">
        <f>IFERROR(__xludf.DUMMYFUNCTION("GOOGLETRANSLATE(B76,""en"",""he"")"),"התראות מזג אוויר")</f>
        <v>התראות מזג אוויר</v>
      </c>
      <c r="AO76" s="4" t="str">
        <f>IFERROR(__xludf.DUMMYFUNCTION("GOOGLETRANSLATE(B76,""en"",""is"")"),"Veðurviðvaranir")</f>
        <v>Veðurviðvaranir</v>
      </c>
      <c r="AP76" s="4" t="str">
        <f>IFERROR(__xludf.DUMMYFUNCTION("GOOGLETRANSLATE(B76,""en"",""no"")"),"Værvarsler")</f>
        <v>Værvarsler</v>
      </c>
      <c r="AQ76" s="4" t="str">
        <f>IFERROR(__xludf.DUMMYFUNCTION("GOOGLETRANSLATE(B76,""en"",""fa"")"),"هشدارهای آب و هوا")</f>
        <v>هشدارهای آب و هوا</v>
      </c>
      <c r="AR76" s="4" t="str">
        <f>IFERROR(__xludf.DUMMYFUNCTION("GOOGLETRANSLATE(B76,""en"",""pl"")"),"Alerty pogodowe")</f>
        <v>Alerty pogodowe</v>
      </c>
      <c r="AS76" s="4" t="str">
        <f>IFERROR(__xludf.DUMMYFUNCTION("GOOGLETRANSLATE(B76,""en"",""sv"")"),"Vädervarningar")</f>
        <v>Vädervarningar</v>
      </c>
      <c r="AT76" s="4" t="str">
        <f>IFERROR(__xludf.DUMMYFUNCTION("GOOGLETRANSLATE(B76,""en"",""uk"")"),"Сповіщення про погоду")</f>
        <v>Сповіщення про погоду</v>
      </c>
      <c r="AU76" s="4" t="str">
        <f>IFERROR(__xludf.DUMMYFUNCTION("GOOGLETRANSLATE(B76,""en"",""zu"")"),"Izaziso Zesimo Sezulu")</f>
        <v>Izaziso Zesimo Sezulu</v>
      </c>
      <c r="AV76" s="4" t="str">
        <f>IFERROR(__xludf.DUMMYFUNCTION("GOOGLETRANSLATE(B76,""en"",""sr"")"),"Временска упозорења")</f>
        <v>Временска упозорења</v>
      </c>
    </row>
    <row r="77">
      <c r="A77" s="3" t="s">
        <v>194</v>
      </c>
      <c r="B77" s="3" t="s">
        <v>195</v>
      </c>
      <c r="C77" s="4" t="str">
        <f>IFERROR(__xludf.DUMMYFUNCTION("GOOGLETRANSLATE(B77,""en"",""ta"")"),"வானிலை நிலை")</f>
        <v>வானிலை நிலை</v>
      </c>
      <c r="D77" s="4" t="str">
        <f>IFERROR(__xludf.DUMMYFUNCTION("GOOGLETRANSLATE(B77,""en"",""hi"")"),"मौसम की स्थिति")</f>
        <v>मौसम की स्थिति</v>
      </c>
      <c r="E77" s="4" t="str">
        <f>IFERROR(__xludf.DUMMYFUNCTION("GOOGLETRANSLATE(B77,""en"",""id"")"),"Status Cuaca")</f>
        <v>Status Cuaca</v>
      </c>
      <c r="F77" s="4" t="str">
        <f>IFERROR(__xludf.DUMMYFUNCTION("GOOGLETRANSLATE(B77,""en"",""ms"")"),"Status Cuaca")</f>
        <v>Status Cuaca</v>
      </c>
      <c r="G77" s="4" t="str">
        <f>IFERROR(__xludf.DUMMYFUNCTION("GOOGLETRANSLATE(B77,""en"",""de"")"),"Wetterstatus")</f>
        <v>Wetterstatus</v>
      </c>
      <c r="H77" s="4" t="str">
        <f>IFERROR(__xludf.DUMMYFUNCTION("GOOGLETRANSLATE(B77,""en"",""es"")"),"Estado del tiempo")</f>
        <v>Estado del tiempo</v>
      </c>
      <c r="I77" s="4" t="str">
        <f>IFERROR(__xludf.DUMMYFUNCTION("GOOGLETRANSLATE(B77,""en"",""fr"")"),"État météorologique")</f>
        <v>État météorologique</v>
      </c>
      <c r="J77" s="4" t="str">
        <f>IFERROR(__xludf.DUMMYFUNCTION("GOOGLETRANSLATE(B77,""en"",""it"")"),"Stato meteorologico")</f>
        <v>Stato meteorologico</v>
      </c>
      <c r="K77" s="4" t="str">
        <f>IFERROR(__xludf.DUMMYFUNCTION("GOOGLETRANSLATE(B77,""en"",""pt"")"),"Status do tempo")</f>
        <v>Status do tempo</v>
      </c>
      <c r="L77" s="4" t="str">
        <f>IFERROR(__xludf.DUMMYFUNCTION("GOOGLETRANSLATE(B77,""en"",""ro"")"),"Starea vremii")</f>
        <v>Starea vremii</v>
      </c>
      <c r="M77" s="4" t="str">
        <f>IFERROR(__xludf.DUMMYFUNCTION("GOOGLETRANSLATE(B77,""en"",""vi"")"),"Tình trạng thời tiết")</f>
        <v>Tình trạng thời tiết</v>
      </c>
      <c r="N77" s="4" t="str">
        <f>IFERROR(__xludf.DUMMYFUNCTION("GOOGLETRANSLATE(B77,""en"",""ru"")"),"Состояние погоды")</f>
        <v>Состояние погоды</v>
      </c>
      <c r="O77" s="4" t="str">
        <f>IFERROR(__xludf.DUMMYFUNCTION("GOOGLETRANSLATE(B77,""en"",""tr"")"),"Hava Durumu Durumu")</f>
        <v>Hava Durumu Durumu</v>
      </c>
      <c r="P77" s="4" t="str">
        <f>IFERROR(__xludf.DUMMYFUNCTION("GOOGLETRANSLATE(B77,""en"",""ar"")"),"حالة الطقس")</f>
        <v>حالة الطقس</v>
      </c>
      <c r="Q77" s="4" t="str">
        <f>IFERROR(__xludf.DUMMYFUNCTION("GOOGLETRANSLATE(B77,""en"",""mr"")"),"हवामान स्थिती")</f>
        <v>हवामान स्थिती</v>
      </c>
      <c r="R77" s="4" t="str">
        <f>IFERROR(__xludf.DUMMYFUNCTION("GOOGLETRANSLATE(B77,""en"",""gu"")"),"હવામાન સ્થિતિ")</f>
        <v>હવામાન સ્થિતિ</v>
      </c>
      <c r="S77" s="4" t="str">
        <f>IFERROR(__xludf.DUMMYFUNCTION("GOOGLETRANSLATE(B77,""en"",""bn"")"),"আবহাওয়ার অবস্থা")</f>
        <v>আবহাওয়ার অবস্থা</v>
      </c>
      <c r="T77" s="4" t="str">
        <f>IFERROR(__xludf.DUMMYFUNCTION("GOOGLETRANSLATE(B77,""en"",""pa"")"),"ਮੌਸਮ ਦੀ ਸਥਿਤੀ")</f>
        <v>ਮੌਸਮ ਦੀ ਸਥਿਤੀ</v>
      </c>
      <c r="U77" s="4" t="str">
        <f>IFERROR(__xludf.DUMMYFUNCTION("GOOGLETRANSLATE(B77,""en"",""te"")"),"వాతావరణ స్థితి")</f>
        <v>వాతావరణ స్థితి</v>
      </c>
      <c r="V77" s="4" t="str">
        <f>IFERROR(__xludf.DUMMYFUNCTION("GOOGLETRANSLATE(B77,""en"",""kn"")"),"ಹವಾಮಾನ ಸ್ಥಿತಿ")</f>
        <v>ಹವಾಮಾನ ಸ್ಥಿತಿ</v>
      </c>
      <c r="W77" s="4" t="str">
        <f>IFERROR(__xludf.DUMMYFUNCTION("GOOGLETRANSLATE(B77,""en"",""ml"")"),"കാലാവസ്ഥാ നില")</f>
        <v>കാലാവസ്ഥാ നില</v>
      </c>
      <c r="X77" s="4" t="str">
        <f>IFERROR(__xludf.DUMMYFUNCTION("GOOGLETRANSLATE(B77,""en"",""th"")"),"สถานะสภาพอากาศ")</f>
        <v>สถานะสภาพอากาศ</v>
      </c>
      <c r="Y77" s="4" t="str">
        <f>IFERROR(__xludf.DUMMYFUNCTION("GOOGLETRANSLATE(B77,""en"",""ko"")"),"날씨 상태")</f>
        <v>날씨 상태</v>
      </c>
      <c r="Z77" s="4" t="str">
        <f>IFERROR(__xludf.DUMMYFUNCTION("GOOGLETRANSLATE(B77,""en"",""zh"")"),"天气状况")</f>
        <v>天气状况</v>
      </c>
      <c r="AA77" s="4" t="str">
        <f>IFERROR(__xludf.DUMMYFUNCTION("GOOGLETRANSLATE(B77,""en"",""zh-TW"")"),"天氣狀況")</f>
        <v>天氣狀況</v>
      </c>
      <c r="AB77" s="4" t="str">
        <f>IFERROR(__xludf.DUMMYFUNCTION("GOOGLETRANSLATE(B77,""en"",""ja"")"),"天気状況")</f>
        <v>天気状況</v>
      </c>
      <c r="AC77" s="4" t="str">
        <f>IFERROR(__xludf.DUMMYFUNCTION("GOOGLETRANSLATE(B77,""en"",""bg"")"),"Състояние на времето")</f>
        <v>Състояние на времето</v>
      </c>
      <c r="AD77" s="4" t="str">
        <f>IFERROR(__xludf.DUMMYFUNCTION("GOOGLETRANSLATE(B77,""en"",""cs"")"),"Stav počasí")</f>
        <v>Stav počasí</v>
      </c>
      <c r="AE77" s="4" t="str">
        <f>IFERROR(__xludf.DUMMYFUNCTION("GOOGLETRANSLATE(B77,""en"",""da"")"),"Vejrstatus")</f>
        <v>Vejrstatus</v>
      </c>
      <c r="AF77" s="4" t="str">
        <f>IFERROR(__xludf.DUMMYFUNCTION("GOOGLETRANSLATE(B77,""en"",""el"")"),"Κατάσταση καιρού")</f>
        <v>Κατάσταση καιρού</v>
      </c>
      <c r="AG77" s="4" t="str">
        <f>IFERROR(__xludf.DUMMYFUNCTION("GOOGLETRANSLATE(B77,""en"",""et"")"),"Ilmaolukord")</f>
        <v>Ilmaolukord</v>
      </c>
      <c r="AH77" s="4" t="str">
        <f>IFERROR(__xludf.DUMMYFUNCTION("GOOGLETRANSLATE(B77,""en"",""fi"")"),"Säätila")</f>
        <v>Säätila</v>
      </c>
      <c r="AI77" s="4" t="str">
        <f>IFERROR(__xludf.DUMMYFUNCTION("GOOGLETRANSLATE(B77,""en"",""hr"")"),"Vremenski status")</f>
        <v>Vremenski status</v>
      </c>
      <c r="AJ77" s="4" t="str">
        <f>IFERROR(__xludf.DUMMYFUNCTION("GOOGLETRANSLATE(B77,""en"",""hu"")"),"Időjárás állapota")</f>
        <v>Időjárás állapota</v>
      </c>
      <c r="AK77" s="4" t="str">
        <f>IFERROR(__xludf.DUMMYFUNCTION("GOOGLETRANSLATE(B77,""en"",""hy"")"),"Եղանակի կարգավիճակը")</f>
        <v>Եղանակի կարգավիճակը</v>
      </c>
      <c r="AL77" s="4" t="str">
        <f>IFERROR(__xludf.DUMMYFUNCTION("GOOGLETRANSLATE(B77,""en"",""ca"")"),"Estat meteorològic")</f>
        <v>Estat meteorològic</v>
      </c>
      <c r="AM77" s="4" t="str">
        <f>IFERROR(__xludf.DUMMYFUNCTION("GOOGLETRANSLATE(B77,""en"",""nl"")"),"Weerstatus")</f>
        <v>Weerstatus</v>
      </c>
      <c r="AN77" s="4" t="str">
        <f>IFERROR(__xludf.DUMMYFUNCTION("GOOGLETRANSLATE(B77,""en"",""he"")"),"מצב מזג האוויר")</f>
        <v>מצב מזג האוויר</v>
      </c>
      <c r="AO77" s="4" t="str">
        <f>IFERROR(__xludf.DUMMYFUNCTION("GOOGLETRANSLATE(B77,""en"",""is"")"),"Veðurstaða")</f>
        <v>Veðurstaða</v>
      </c>
      <c r="AP77" s="4" t="str">
        <f>IFERROR(__xludf.DUMMYFUNCTION("GOOGLETRANSLATE(B77,""en"",""no"")"),"Værstatus")</f>
        <v>Værstatus</v>
      </c>
      <c r="AQ77" s="4" t="str">
        <f>IFERROR(__xludf.DUMMYFUNCTION("GOOGLETRANSLATE(B77,""en"",""fa"")"),"وضعیت آب و هوا")</f>
        <v>وضعیت آب و هوا</v>
      </c>
      <c r="AR77" s="4" t="str">
        <f>IFERROR(__xludf.DUMMYFUNCTION("GOOGLETRANSLATE(B77,""en"",""pl"")"),"Stan pogody")</f>
        <v>Stan pogody</v>
      </c>
      <c r="AS77" s="4" t="str">
        <f>IFERROR(__xludf.DUMMYFUNCTION("GOOGLETRANSLATE(B77,""en"",""sv"")"),"Väderstatus")</f>
        <v>Väderstatus</v>
      </c>
      <c r="AT77" s="4" t="str">
        <f>IFERROR(__xludf.DUMMYFUNCTION("GOOGLETRANSLATE(B77,""en"",""uk"")"),"Статус погоди")</f>
        <v>Статус погоди</v>
      </c>
      <c r="AU77" s="4" t="str">
        <f>IFERROR(__xludf.DUMMYFUNCTION("GOOGLETRANSLATE(B77,""en"",""zu"")"),"Isimo Sezulu")</f>
        <v>Isimo Sezulu</v>
      </c>
      <c r="AV77" s="4" t="str">
        <f>IFERROR(__xludf.DUMMYFUNCTION("GOOGLETRANSLATE(B77,""en"",""sr"")"),"Временски статус")</f>
        <v>Временски статус</v>
      </c>
    </row>
    <row r="78">
      <c r="A78" s="3" t="s">
        <v>196</v>
      </c>
      <c r="B78" s="3" t="s">
        <v>174</v>
      </c>
      <c r="C78" s="4" t="str">
        <f>IFERROR(__xludf.DUMMYFUNCTION("GOOGLETRANSLATE(B78,""en"",""ta"")"),"அலகு விருப்பத்தேர்வுகள்")</f>
        <v>அலகு விருப்பத்தேர்வுகள்</v>
      </c>
      <c r="D78" s="4" t="str">
        <f>IFERROR(__xludf.DUMMYFUNCTION("GOOGLETRANSLATE(B78,""en"",""hi"")"),"इकाई प्राथमिकताएं")</f>
        <v>इकाई प्राथमिकताएं</v>
      </c>
      <c r="E78" s="4" t="str">
        <f>IFERROR(__xludf.DUMMYFUNCTION("GOOGLETRANSLATE(B78,""en"",""id"")"),"Preferensi Unit")</f>
        <v>Preferensi Unit</v>
      </c>
      <c r="F78" s="4" t="str">
        <f>IFERROR(__xludf.DUMMYFUNCTION("GOOGLETRANSLATE(B78,""en"",""ms"")"),"Keutamaan Unit")</f>
        <v>Keutamaan Unit</v>
      </c>
      <c r="G78" s="4" t="str">
        <f>IFERROR(__xludf.DUMMYFUNCTION("GOOGLETRANSLATE(B78,""en"",""de"")"),"Einheiteneinstellungen")</f>
        <v>Einheiteneinstellungen</v>
      </c>
      <c r="H78" s="4" t="str">
        <f>IFERROR(__xludf.DUMMYFUNCTION("GOOGLETRANSLATE(B78,""en"",""es"")"),"Preferencias de unidad")</f>
        <v>Preferencias de unidad</v>
      </c>
      <c r="I78" s="4" t="str">
        <f>IFERROR(__xludf.DUMMYFUNCTION("GOOGLETRANSLATE(B78,""en"",""fr"")"),"Préférences de l'unité")</f>
        <v>Préférences de l'unité</v>
      </c>
      <c r="J78" s="4" t="str">
        <f>IFERROR(__xludf.DUMMYFUNCTION("GOOGLETRANSLATE(B78,""en"",""it"")"),"Preferenze unità")</f>
        <v>Preferenze unità</v>
      </c>
      <c r="K78" s="4" t="str">
        <f>IFERROR(__xludf.DUMMYFUNCTION("GOOGLETRANSLATE(B78,""en"",""pt"")"),"Preferências da unidade")</f>
        <v>Preferências da unidade</v>
      </c>
      <c r="L78" s="4" t="str">
        <f>IFERROR(__xludf.DUMMYFUNCTION("GOOGLETRANSLATE(B78,""en"",""ro"")"),"Preferințe de unitate")</f>
        <v>Preferințe de unitate</v>
      </c>
      <c r="M78" s="4" t="str">
        <f>IFERROR(__xludf.DUMMYFUNCTION("GOOGLETRANSLATE(B78,""en"",""vi"")"),"Sở thích đơn vị")</f>
        <v>Sở thích đơn vị</v>
      </c>
      <c r="N78" s="4" t="str">
        <f>IFERROR(__xludf.DUMMYFUNCTION("GOOGLETRANSLATE(B78,""en"",""ru"")"),"Настройки единиц измерения")</f>
        <v>Настройки единиц измерения</v>
      </c>
      <c r="O78" s="4" t="str">
        <f>IFERROR(__xludf.DUMMYFUNCTION("GOOGLETRANSLATE(B78,""en"",""tr"")"),"Birim Tercihleri")</f>
        <v>Birim Tercihleri</v>
      </c>
      <c r="P78" s="4" t="str">
        <f>IFERROR(__xludf.DUMMYFUNCTION("GOOGLETRANSLATE(B78,""en"",""ar"")"),"تفضيلات الوحدة")</f>
        <v>تفضيلات الوحدة</v>
      </c>
      <c r="Q78" s="4" t="str">
        <f>IFERROR(__xludf.DUMMYFUNCTION("GOOGLETRANSLATE(B78,""en"",""mr"")"),"युनिट प्राधान्ये")</f>
        <v>युनिट प्राधान्ये</v>
      </c>
      <c r="R78" s="4" t="str">
        <f>IFERROR(__xludf.DUMMYFUNCTION("GOOGLETRANSLATE(B78,""en"",""gu"")"),"એકમ પસંદગીઓ")</f>
        <v>એકમ પસંદગીઓ</v>
      </c>
      <c r="S78" s="4" t="str">
        <f>IFERROR(__xludf.DUMMYFUNCTION("GOOGLETRANSLATE(B78,""en"",""bn"")"),"ইউনিট পছন্দসমূহ")</f>
        <v>ইউনিট পছন্দসমূহ</v>
      </c>
      <c r="T78" s="4" t="str">
        <f>IFERROR(__xludf.DUMMYFUNCTION("GOOGLETRANSLATE(B78,""en"",""pa"")"),"ਯੂਨਿਟ ਤਰਜੀਹਾਂ")</f>
        <v>ਯੂਨਿਟ ਤਰਜੀਹਾਂ</v>
      </c>
      <c r="U78" s="4" t="str">
        <f>IFERROR(__xludf.DUMMYFUNCTION("GOOGLETRANSLATE(B78,""en"",""te"")"),"యూనిట్ ప్రాధాన్యతలు")</f>
        <v>యూనిట్ ప్రాధాన్యతలు</v>
      </c>
      <c r="V78" s="4" t="str">
        <f>IFERROR(__xludf.DUMMYFUNCTION("GOOGLETRANSLATE(B78,""en"",""kn"")"),"ಘಟಕದ ಆದ್ಯತೆಗಳು")</f>
        <v>ಘಟಕದ ಆದ್ಯತೆಗಳು</v>
      </c>
      <c r="W78" s="4" t="str">
        <f>IFERROR(__xludf.DUMMYFUNCTION("GOOGLETRANSLATE(B78,""en"",""ml"")"),"യൂണിറ്റ് മുൻഗണനകൾ")</f>
        <v>യൂണിറ്റ് മുൻഗണനകൾ</v>
      </c>
      <c r="X78" s="4" t="str">
        <f>IFERROR(__xludf.DUMMYFUNCTION("GOOGLETRANSLATE(B78,""en"",""th"")"),"การตั้งค่าหน่วย")</f>
        <v>การตั้งค่าหน่วย</v>
      </c>
      <c r="Y78" s="4" t="str">
        <f>IFERROR(__xludf.DUMMYFUNCTION("GOOGLETRANSLATE(B78,""en"",""ko"")"),"단위 선호도")</f>
        <v>단위 선호도</v>
      </c>
      <c r="Z78" s="4" t="str">
        <f>IFERROR(__xludf.DUMMYFUNCTION("GOOGLETRANSLATE(B78,""en"",""zh"")"),"单位偏好")</f>
        <v>单位偏好</v>
      </c>
      <c r="AA78" s="4" t="str">
        <f>IFERROR(__xludf.DUMMYFUNCTION("GOOGLETRANSLATE(B78,""en"",""zh-TW"")"),"單位偏好")</f>
        <v>單位偏好</v>
      </c>
      <c r="AB78" s="4" t="str">
        <f>IFERROR(__xludf.DUMMYFUNCTION("GOOGLETRANSLATE(B78,""en"",""ja"")"),"ユニットの設定")</f>
        <v>ユニットの設定</v>
      </c>
      <c r="AC78" s="4" t="str">
        <f>IFERROR(__xludf.DUMMYFUNCTION("GOOGLETRANSLATE(B78,""en"",""bg"")"),"Предпочитания за единица")</f>
        <v>Предпочитания за единица</v>
      </c>
      <c r="AD78" s="4" t="str">
        <f>IFERROR(__xludf.DUMMYFUNCTION("GOOGLETRANSLATE(B78,""en"",""cs"")"),"Předvolby jednotky")</f>
        <v>Předvolby jednotky</v>
      </c>
      <c r="AE78" s="4" t="str">
        <f>IFERROR(__xludf.DUMMYFUNCTION("GOOGLETRANSLATE(B78,""en"",""da"")"),"Enhedspræferencer")</f>
        <v>Enhedspræferencer</v>
      </c>
      <c r="AF78" s="4" t="str">
        <f>IFERROR(__xludf.DUMMYFUNCTION("GOOGLETRANSLATE(B78,""en"",""el"")"),"Προτιμήσεις μονάδας")</f>
        <v>Προτιμήσεις μονάδας</v>
      </c>
      <c r="AG78" s="4" t="str">
        <f>IFERROR(__xludf.DUMMYFUNCTION("GOOGLETRANSLATE(B78,""en"",""et"")"),"Ühiku eelistused")</f>
        <v>Ühiku eelistused</v>
      </c>
      <c r="AH78" s="4" t="str">
        <f>IFERROR(__xludf.DUMMYFUNCTION("GOOGLETRANSLATE(B78,""en"",""fi"")"),"Yksikköasetukset")</f>
        <v>Yksikköasetukset</v>
      </c>
      <c r="AI78" s="4" t="str">
        <f>IFERROR(__xludf.DUMMYFUNCTION("GOOGLETRANSLATE(B78,""en"",""hr"")"),"Postavke jedinice")</f>
        <v>Postavke jedinice</v>
      </c>
      <c r="AJ78" s="4" t="str">
        <f>IFERROR(__xludf.DUMMYFUNCTION("GOOGLETRANSLATE(B78,""en"",""hu"")"),"Egységbeállítások")</f>
        <v>Egységbeállítások</v>
      </c>
      <c r="AK78" s="4" t="str">
        <f>IFERROR(__xludf.DUMMYFUNCTION("GOOGLETRANSLATE(B78,""en"",""hy"")"),"Միավորի նախապատվություններ")</f>
        <v>Միավորի նախապատվություններ</v>
      </c>
      <c r="AL78" s="4" t="str">
        <f>IFERROR(__xludf.DUMMYFUNCTION("GOOGLETRANSLATE(B78,""en"",""ca"")"),"Preferències de la unitat")</f>
        <v>Preferències de la unitat</v>
      </c>
      <c r="AM78" s="4" t="str">
        <f>IFERROR(__xludf.DUMMYFUNCTION("GOOGLETRANSLATE(B78,""en"",""nl"")"),"Eenheidvoorkeuren")</f>
        <v>Eenheidvoorkeuren</v>
      </c>
      <c r="AN78" s="4" t="str">
        <f>IFERROR(__xludf.DUMMYFUNCTION("GOOGLETRANSLATE(B78,""en"",""he"")"),"העדפות יחידה")</f>
        <v>העדפות יחידה</v>
      </c>
      <c r="AO78" s="4" t="str">
        <f>IFERROR(__xludf.DUMMYFUNCTION("GOOGLETRANSLATE(B78,""en"",""is"")"),"Einingastillingar")</f>
        <v>Einingastillingar</v>
      </c>
      <c r="AP78" s="4" t="str">
        <f>IFERROR(__xludf.DUMMYFUNCTION("GOOGLETRANSLATE(B78,""en"",""no"")"),"Enhetsinnstillinger")</f>
        <v>Enhetsinnstillinger</v>
      </c>
      <c r="AQ78" s="4" t="str">
        <f>IFERROR(__xludf.DUMMYFUNCTION("GOOGLETRANSLATE(B78,""en"",""fa"")"),"تنظیمات واحد")</f>
        <v>تنظیمات واحد</v>
      </c>
      <c r="AR78" s="4" t="str">
        <f>IFERROR(__xludf.DUMMYFUNCTION("GOOGLETRANSLATE(B78,""en"",""pl"")"),"Preferencje jednostki")</f>
        <v>Preferencje jednostki</v>
      </c>
      <c r="AS78" s="4" t="str">
        <f>IFERROR(__xludf.DUMMYFUNCTION("GOOGLETRANSLATE(B78,""en"",""sv"")"),"Enhetsinställningar")</f>
        <v>Enhetsinställningar</v>
      </c>
      <c r="AT78" s="4" t="str">
        <f>IFERROR(__xludf.DUMMYFUNCTION("GOOGLETRANSLATE(B78,""en"",""uk"")"),"Параметри одиниць")</f>
        <v>Параметри одиниць</v>
      </c>
      <c r="AU78" s="4" t="str">
        <f>IFERROR(__xludf.DUMMYFUNCTION("GOOGLETRANSLATE(B78,""en"",""zu"")"),"Izinketho zeyunithi")</f>
        <v>Izinketho zeyunithi</v>
      </c>
      <c r="AV78" s="4" t="str">
        <f>IFERROR(__xludf.DUMMYFUNCTION("GOOGLETRANSLATE(B78,""en"",""sr"")"),"Подешавања јединица")</f>
        <v>Подешавања јединица</v>
      </c>
    </row>
    <row r="79">
      <c r="A79" s="3" t="s">
        <v>197</v>
      </c>
      <c r="B79" s="3" t="s">
        <v>198</v>
      </c>
      <c r="C79" s="4" t="str">
        <f>IFERROR(__xludf.DUMMYFUNCTION("GOOGLETRANSLATE(B79,""en"",""ta"")"),"கருவிகளை நிர்வகிக்கவும்")</f>
        <v>கருவிகளை நிர்வகிக்கவும்</v>
      </c>
      <c r="D79" s="4" t="str">
        <f>IFERROR(__xludf.DUMMYFUNCTION("GOOGLETRANSLATE(B79,""en"",""hi"")"),"उपकरण प्रबंधित करें")</f>
        <v>उपकरण प्रबंधित करें</v>
      </c>
      <c r="E79" s="4" t="str">
        <f>IFERROR(__xludf.DUMMYFUNCTION("GOOGLETRANSLATE(B79,""en"",""id"")"),"Kelola Alat")</f>
        <v>Kelola Alat</v>
      </c>
      <c r="F79" s="4" t="str">
        <f>IFERROR(__xludf.DUMMYFUNCTION("GOOGLETRANSLATE(B79,""en"",""ms"")"),"Urus Alat")</f>
        <v>Urus Alat</v>
      </c>
      <c r="G79" s="4" t="str">
        <f>IFERROR(__xludf.DUMMYFUNCTION("GOOGLETRANSLATE(B79,""en"",""de"")"),"Tools verwalten")</f>
        <v>Tools verwalten</v>
      </c>
      <c r="H79" s="4" t="str">
        <f>IFERROR(__xludf.DUMMYFUNCTION("GOOGLETRANSLATE(B79,""en"",""es"")"),"Administrar herramientas")</f>
        <v>Administrar herramientas</v>
      </c>
      <c r="I79" s="4" t="str">
        <f>IFERROR(__xludf.DUMMYFUNCTION("GOOGLETRANSLATE(B79,""en"",""fr"")"),"Gérer les outils")</f>
        <v>Gérer les outils</v>
      </c>
      <c r="J79" s="4" t="str">
        <f>IFERROR(__xludf.DUMMYFUNCTION("GOOGLETRANSLATE(B79,""en"",""it"")"),"Gestisci strumenti")</f>
        <v>Gestisci strumenti</v>
      </c>
      <c r="K79" s="4" t="str">
        <f>IFERROR(__xludf.DUMMYFUNCTION("GOOGLETRANSLATE(B79,""en"",""pt"")"),"Gerenciar ferramentas")</f>
        <v>Gerenciar ferramentas</v>
      </c>
      <c r="L79" s="4" t="str">
        <f>IFERROR(__xludf.DUMMYFUNCTION("GOOGLETRANSLATE(B79,""en"",""ro"")"),"Gestionați instrumentele")</f>
        <v>Gestionați instrumentele</v>
      </c>
      <c r="M79" s="4" t="str">
        <f>IFERROR(__xludf.DUMMYFUNCTION("GOOGLETRANSLATE(B79,""en"",""vi"")"),"Quản lý công cụ")</f>
        <v>Quản lý công cụ</v>
      </c>
      <c r="N79" s="4" t="str">
        <f>IFERROR(__xludf.DUMMYFUNCTION("GOOGLETRANSLATE(B79,""en"",""ru"")"),"Управление инструментами")</f>
        <v>Управление инструментами</v>
      </c>
      <c r="O79" s="4" t="str">
        <f>IFERROR(__xludf.DUMMYFUNCTION("GOOGLETRANSLATE(B79,""en"",""tr"")"),"Araçları Yönet")</f>
        <v>Araçları Yönet</v>
      </c>
      <c r="P79" s="4" t="str">
        <f>IFERROR(__xludf.DUMMYFUNCTION("GOOGLETRANSLATE(B79,""en"",""ar"")"),"إدارة الأدوات")</f>
        <v>إدارة الأدوات</v>
      </c>
      <c r="Q79" s="4" t="str">
        <f>IFERROR(__xludf.DUMMYFUNCTION("GOOGLETRANSLATE(B79,""en"",""mr"")"),"साधने व्यवस्थापित करा")</f>
        <v>साधने व्यवस्थापित करा</v>
      </c>
      <c r="R79" s="4" t="str">
        <f>IFERROR(__xludf.DUMMYFUNCTION("GOOGLETRANSLATE(B79,""en"",""gu"")"),"ટૂલ્સ મેનેજ કરો")</f>
        <v>ટૂલ્સ મેનેજ કરો</v>
      </c>
      <c r="S79" s="4" t="str">
        <f>IFERROR(__xludf.DUMMYFUNCTION("GOOGLETRANSLATE(B79,""en"",""bn"")"),"সরঞ্জাম পরিচালনা করুন")</f>
        <v>সরঞ্জাম পরিচালনা করুন</v>
      </c>
      <c r="T79" s="4" t="str">
        <f>IFERROR(__xludf.DUMMYFUNCTION("GOOGLETRANSLATE(B79,""en"",""pa"")"),"ਟੂਲਸ ਦਾ ਪ੍ਰਬੰਧਨ ਕਰੋ")</f>
        <v>ਟੂਲਸ ਦਾ ਪ੍ਰਬੰਧਨ ਕਰੋ</v>
      </c>
      <c r="U79" s="4" t="str">
        <f>IFERROR(__xludf.DUMMYFUNCTION("GOOGLETRANSLATE(B79,""en"",""te"")"),"సాధనాలను నిర్వహించండి")</f>
        <v>సాధనాలను నిర్వహించండి</v>
      </c>
      <c r="V79" s="4" t="str">
        <f>IFERROR(__xludf.DUMMYFUNCTION("GOOGLETRANSLATE(B79,""en"",""kn"")"),"ಪರಿಕರಗಳನ್ನು ನಿರ್ವಹಿಸಿ")</f>
        <v>ಪರಿಕರಗಳನ್ನು ನಿರ್ವಹಿಸಿ</v>
      </c>
      <c r="W79" s="4" t="str">
        <f>IFERROR(__xludf.DUMMYFUNCTION("GOOGLETRANSLATE(B79,""en"",""ml"")"),"ഉപകരണങ്ങൾ കൈകാര്യം ചെയ്യുക")</f>
        <v>ഉപകരണങ്ങൾ കൈകാര്യം ചെയ്യുക</v>
      </c>
      <c r="X79" s="4" t="str">
        <f>IFERROR(__xludf.DUMMYFUNCTION("GOOGLETRANSLATE(B79,""en"",""th"")"),"การจัดการเครื่องมือ")</f>
        <v>การจัดการเครื่องมือ</v>
      </c>
      <c r="Y79" s="4" t="str">
        <f>IFERROR(__xludf.DUMMYFUNCTION("GOOGLETRANSLATE(B79,""en"",""ko"")"),"도구 관리")</f>
        <v>도구 관리</v>
      </c>
      <c r="Z79" s="4" t="str">
        <f>IFERROR(__xludf.DUMMYFUNCTION("GOOGLETRANSLATE(B79,""en"",""zh"")"),"管理工具")</f>
        <v>管理工具</v>
      </c>
      <c r="AA79" s="4" t="str">
        <f>IFERROR(__xludf.DUMMYFUNCTION("GOOGLETRANSLATE(B79,""en"",""zh-TW"")"),"管理工具")</f>
        <v>管理工具</v>
      </c>
      <c r="AB79" s="4" t="str">
        <f>IFERROR(__xludf.DUMMYFUNCTION("GOOGLETRANSLATE(B79,""en"",""ja"")"),"ツールの管理")</f>
        <v>ツールの管理</v>
      </c>
      <c r="AC79" s="4" t="str">
        <f>IFERROR(__xludf.DUMMYFUNCTION("GOOGLETRANSLATE(B79,""en"",""bg"")"),"Управление на инструменти")</f>
        <v>Управление на инструменти</v>
      </c>
      <c r="AD79" s="4" t="str">
        <f>IFERROR(__xludf.DUMMYFUNCTION("GOOGLETRANSLATE(B79,""en"",""cs"")"),"Správa nástrojů")</f>
        <v>Správa nástrojů</v>
      </c>
      <c r="AE79" s="4" t="str">
        <f>IFERROR(__xludf.DUMMYFUNCTION("GOOGLETRANSLATE(B79,""en"",""da"")"),"Administrer værktøjer")</f>
        <v>Administrer værktøjer</v>
      </c>
      <c r="AF79" s="4" t="str">
        <f>IFERROR(__xludf.DUMMYFUNCTION("GOOGLETRANSLATE(B79,""en"",""el"")"),"Διαχείριση εργαλείων")</f>
        <v>Διαχείριση εργαλείων</v>
      </c>
      <c r="AG79" s="4" t="str">
        <f>IFERROR(__xludf.DUMMYFUNCTION("GOOGLETRANSLATE(B79,""en"",""et"")"),"Tööriistade haldamine")</f>
        <v>Tööriistade haldamine</v>
      </c>
      <c r="AH79" s="4" t="str">
        <f>IFERROR(__xludf.DUMMYFUNCTION("GOOGLETRANSLATE(B79,""en"",""fi"")"),"Hallinnoi työkaluja")</f>
        <v>Hallinnoi työkaluja</v>
      </c>
      <c r="AI79" s="4" t="str">
        <f>IFERROR(__xludf.DUMMYFUNCTION("GOOGLETRANSLATE(B79,""en"",""hr"")"),"Upravljanje alatima")</f>
        <v>Upravljanje alatima</v>
      </c>
      <c r="AJ79" s="4" t="str">
        <f>IFERROR(__xludf.DUMMYFUNCTION("GOOGLETRANSLATE(B79,""en"",""hu"")"),"Eszközök kezelése")</f>
        <v>Eszközök kezelése</v>
      </c>
      <c r="AK79" s="4" t="str">
        <f>IFERROR(__xludf.DUMMYFUNCTION("GOOGLETRANSLATE(B79,""en"",""hy"")"),"Գործիքների կառավարում")</f>
        <v>Գործիքների կառավարում</v>
      </c>
      <c r="AL79" s="4" t="str">
        <f>IFERROR(__xludf.DUMMYFUNCTION("GOOGLETRANSLATE(B79,""en"",""ca"")"),"Gestionar eines")</f>
        <v>Gestionar eines</v>
      </c>
      <c r="AM79" s="4" t="str">
        <f>IFERROR(__xludf.DUMMYFUNCTION("GOOGLETRANSLATE(B79,""en"",""nl"")"),"Hulpmiddelen beheren")</f>
        <v>Hulpmiddelen beheren</v>
      </c>
      <c r="AN79" s="4" t="str">
        <f>IFERROR(__xludf.DUMMYFUNCTION("GOOGLETRANSLATE(B79,""en"",""he"")"),"נהל כלים")</f>
        <v>נהל כלים</v>
      </c>
      <c r="AO79" s="4" t="str">
        <f>IFERROR(__xludf.DUMMYFUNCTION("GOOGLETRANSLATE(B79,""en"",""is"")"),"Stjórna verkfærum")</f>
        <v>Stjórna verkfærum</v>
      </c>
      <c r="AP79" s="4" t="str">
        <f>IFERROR(__xludf.DUMMYFUNCTION("GOOGLETRANSLATE(B79,""en"",""no"")"),"Administrer verktøy")</f>
        <v>Administrer verktøy</v>
      </c>
      <c r="AQ79" s="4" t="str">
        <f>IFERROR(__xludf.DUMMYFUNCTION("GOOGLETRANSLATE(B79,""en"",""fa"")"),"مدیریت ابزارها")</f>
        <v>مدیریت ابزارها</v>
      </c>
      <c r="AR79" s="4" t="str">
        <f>IFERROR(__xludf.DUMMYFUNCTION("GOOGLETRANSLATE(B79,""en"",""pl"")"),"Zarządzaj narzędziami")</f>
        <v>Zarządzaj narzędziami</v>
      </c>
      <c r="AS79" s="4" t="str">
        <f>IFERROR(__xludf.DUMMYFUNCTION("GOOGLETRANSLATE(B79,""en"",""sv"")"),"Hantera verktyg")</f>
        <v>Hantera verktyg</v>
      </c>
      <c r="AT79" s="4" t="str">
        <f>IFERROR(__xludf.DUMMYFUNCTION("GOOGLETRANSLATE(B79,""en"",""uk"")"),"Керувати інструментами")</f>
        <v>Керувати інструментами</v>
      </c>
      <c r="AU79" s="4" t="str">
        <f>IFERROR(__xludf.DUMMYFUNCTION("GOOGLETRANSLATE(B79,""en"",""zu"")"),"Phatha Amathuluzi")</f>
        <v>Phatha Amathuluzi</v>
      </c>
      <c r="AV79" s="4" t="str">
        <f>IFERROR(__xludf.DUMMYFUNCTION("GOOGLETRANSLATE(B79,""en"",""sr"")"),"Управљање алатима")</f>
        <v>Управљање алатима</v>
      </c>
    </row>
    <row r="80">
      <c r="A80" s="3" t="s">
        <v>199</v>
      </c>
      <c r="B80" s="3" t="s">
        <v>200</v>
      </c>
      <c r="C80" s="4" t="str">
        <f>IFERROR(__xludf.DUMMYFUNCTION("GOOGLETRANSLATE(B80,""en"",""ta"")"),"கருவி மேலாண்மைக்கு வரவேற்கிறோம்!")</f>
        <v>கருவி மேலாண்மைக்கு வரவேற்கிறோம்!</v>
      </c>
      <c r="D80" s="4" t="str">
        <f>IFERROR(__xludf.DUMMYFUNCTION("GOOGLETRANSLATE(B80,""en"",""hi"")"),"टूल प्रबंधन में आपका स्वागत है!")</f>
        <v>टूल प्रबंधन में आपका स्वागत है!</v>
      </c>
      <c r="E80" s="4" t="str">
        <f>IFERROR(__xludf.DUMMYFUNCTION("GOOGLETRANSLATE(B80,""en"",""id"")"),"Selamat datang di Manajemen Alat!")</f>
        <v>Selamat datang di Manajemen Alat!</v>
      </c>
      <c r="F80" s="4" t="str">
        <f>IFERROR(__xludf.DUMMYFUNCTION("GOOGLETRANSLATE(B80,""en"",""ms"")"),"Selamat datang ke Pengurusan Alat!")</f>
        <v>Selamat datang ke Pengurusan Alat!</v>
      </c>
      <c r="G80" s="4" t="str">
        <f>IFERROR(__xludf.DUMMYFUNCTION("GOOGLETRANSLATE(B80,""en"",""de"")"),"Willkommen im Tool Management!")</f>
        <v>Willkommen im Tool Management!</v>
      </c>
      <c r="H80" s="4" t="str">
        <f>IFERROR(__xludf.DUMMYFUNCTION("GOOGLETRANSLATE(B80,""en"",""es"")"),"¡Bienvenido a Tool Management!")</f>
        <v>¡Bienvenido a Tool Management!</v>
      </c>
      <c r="I80" s="4" t="str">
        <f>IFERROR(__xludf.DUMMYFUNCTION("GOOGLETRANSLATE(B80,""en"",""fr"")"),"Bienvenue dans la gestion des outils !")</f>
        <v>Bienvenue dans la gestion des outils !</v>
      </c>
      <c r="J80" s="4" t="str">
        <f>IFERROR(__xludf.DUMMYFUNCTION("GOOGLETRANSLATE(B80,""en"",""it"")"),"Benvenuti a Tool Management!")</f>
        <v>Benvenuti a Tool Management!</v>
      </c>
      <c r="K80" s="4" t="str">
        <f>IFERROR(__xludf.DUMMYFUNCTION("GOOGLETRANSLATE(B80,""en"",""pt"")"),"Bem-vindo ao Gerenciamento de Ferramentas!")</f>
        <v>Bem-vindo ao Gerenciamento de Ferramentas!</v>
      </c>
      <c r="L80" s="4" t="str">
        <f>IFERROR(__xludf.DUMMYFUNCTION("GOOGLETRANSLATE(B80,""en"",""ro"")"),"Bun venit la Managementul instrumentelor!")</f>
        <v>Bun venit la Managementul instrumentelor!</v>
      </c>
      <c r="M80" s="4" t="str">
        <f>IFERROR(__xludf.DUMMYFUNCTION("GOOGLETRANSLATE(B80,""en"",""vi"")"),"Chào mừng đến với Quản lý công cụ!")</f>
        <v>Chào mừng đến với Quản lý công cụ!</v>
      </c>
      <c r="N80" s="4" t="str">
        <f>IFERROR(__xludf.DUMMYFUNCTION("GOOGLETRANSLATE(B80,""en"",""ru"")"),"Добро пожаловать в раздел «Управление инструментами»!")</f>
        <v>Добро пожаловать в раздел «Управление инструментами»!</v>
      </c>
      <c r="O80" s="4" t="str">
        <f>IFERROR(__xludf.DUMMYFUNCTION("GOOGLETRANSLATE(B80,""en"",""tr"")"),"Araç Yönetimine Hoş Geldiniz!")</f>
        <v>Araç Yönetimine Hoş Geldiniz!</v>
      </c>
      <c r="P80" s="4" t="str">
        <f>IFERROR(__xludf.DUMMYFUNCTION("GOOGLETRANSLATE(B80,""en"",""ar"")"),"مرحباً بكم في إدارة الأدوات!")</f>
        <v>مرحباً بكم في إدارة الأدوات!</v>
      </c>
      <c r="Q80" s="4" t="str">
        <f>IFERROR(__xludf.DUMMYFUNCTION("GOOGLETRANSLATE(B80,""en"",""mr"")"),"टूल मॅनेजमेंटमध्ये आपले स्वागत आहे!")</f>
        <v>टूल मॅनेजमेंटमध्ये आपले स्वागत आहे!</v>
      </c>
      <c r="R80" s="4" t="str">
        <f>IFERROR(__xludf.DUMMYFUNCTION("GOOGLETRANSLATE(B80,""en"",""gu"")"),"ટૂલ મેનેજમેન્ટમાં આપનું સ્વાગત છે!")</f>
        <v>ટૂલ મેનેજમેન્ટમાં આપનું સ્વાગત છે!</v>
      </c>
      <c r="S80" s="4" t="str">
        <f>IFERROR(__xludf.DUMMYFUNCTION("GOOGLETRANSLATE(B80,""en"",""bn"")"),"টুল ম্যানেজমেন্টে স্বাগতম!")</f>
        <v>টুল ম্যানেজমেন্টে স্বাগতম!</v>
      </c>
      <c r="T80" s="4" t="str">
        <f>IFERROR(__xludf.DUMMYFUNCTION("GOOGLETRANSLATE(B80,""en"",""pa"")"),"ਟੂਲ ਮੈਨੇਜਮੈਂਟ ਵਿੱਚ ਤੁਹਾਡਾ ਸੁਆਗਤ ਹੈ!")</f>
        <v>ਟੂਲ ਮੈਨੇਜਮੈਂਟ ਵਿੱਚ ਤੁਹਾਡਾ ਸੁਆਗਤ ਹੈ!</v>
      </c>
      <c r="U80" s="4" t="str">
        <f>IFERROR(__xludf.DUMMYFUNCTION("GOOGLETRANSLATE(B80,""en"",""te"")"),"సాధన నిర్వహణకు స్వాగతం!")</f>
        <v>సాధన నిర్వహణకు స్వాగతం!</v>
      </c>
      <c r="V80" s="4" t="str">
        <f>IFERROR(__xludf.DUMMYFUNCTION("GOOGLETRANSLATE(B80,""en"",""kn"")"),"ಪರಿಕರ ನಿರ್ವಹಣೆಗೆ ಸುಸ್ವಾಗತ!")</f>
        <v>ಪರಿಕರ ನಿರ್ವಹಣೆಗೆ ಸುಸ್ವಾಗತ!</v>
      </c>
      <c r="W80" s="4" t="str">
        <f>IFERROR(__xludf.DUMMYFUNCTION("GOOGLETRANSLATE(B80,""en"",""ml"")"),"ടൂൾ മാനേജ്മെൻ്റിലേക്ക് സ്വാഗതം!")</f>
        <v>ടൂൾ മാനേജ്മെൻ്റിലേക്ക് സ്വാഗതം!</v>
      </c>
      <c r="X80" s="4" t="str">
        <f>IFERROR(__xludf.DUMMYFUNCTION("GOOGLETRANSLATE(B80,""en"",""th"")"),"ยินดีต้อนรับสู่การจัดการเครื่องมือ!")</f>
        <v>ยินดีต้อนรับสู่การจัดการเครื่องมือ!</v>
      </c>
      <c r="Y80" s="4" t="str">
        <f>IFERROR(__xludf.DUMMYFUNCTION("GOOGLETRANSLATE(B80,""en"",""ko"")"),"툴 관리에 오신 것을 환영합니다!")</f>
        <v>툴 관리에 오신 것을 환영합니다!</v>
      </c>
      <c r="Z80" s="4" t="str">
        <f>IFERROR(__xludf.DUMMYFUNCTION("GOOGLETRANSLATE(B80,""en"",""zh"")"),"欢迎来到工具管理！")</f>
        <v>欢迎来到工具管理！</v>
      </c>
      <c r="AA80" s="4" t="str">
        <f>IFERROR(__xludf.DUMMYFUNCTION("GOOGLETRANSLATE(B80,""en"",""zh-TW"")"),"歡迎來到工具管理！")</f>
        <v>歡迎來到工具管理！</v>
      </c>
      <c r="AB80" s="4" t="str">
        <f>IFERROR(__xludf.DUMMYFUNCTION("GOOGLETRANSLATE(B80,""en"",""ja"")"),"ツール管理へようこそ!")</f>
        <v>ツール管理へようこそ!</v>
      </c>
      <c r="AC80" s="4" t="str">
        <f>IFERROR(__xludf.DUMMYFUNCTION("GOOGLETRANSLATE(B80,""en"",""bg"")"),"Добре дошли в Управление на инструменти!")</f>
        <v>Добре дошли в Управление на инструменти!</v>
      </c>
      <c r="AD80" s="4" t="str">
        <f>IFERROR(__xludf.DUMMYFUNCTION("GOOGLETRANSLATE(B80,""en"",""cs"")"),"Vítejte ve správě nástrojů!")</f>
        <v>Vítejte ve správě nástrojů!</v>
      </c>
      <c r="AE80" s="4" t="str">
        <f>IFERROR(__xludf.DUMMYFUNCTION("GOOGLETRANSLATE(B80,""en"",""da"")"),"Velkommen til Tool Management!")</f>
        <v>Velkommen til Tool Management!</v>
      </c>
      <c r="AF80" s="4" t="str">
        <f>IFERROR(__xludf.DUMMYFUNCTION("GOOGLETRANSLATE(B80,""en"",""el"")"),"Καλώς ήρθατε στη Διαχείριση Εργαλείων!")</f>
        <v>Καλώς ήρθατε στη Διαχείριση Εργαλείων!</v>
      </c>
      <c r="AG80" s="4" t="str">
        <f>IFERROR(__xludf.DUMMYFUNCTION("GOOGLETRANSLATE(B80,""en"",""et"")"),"Tere tulemast tööriistahaldusse!")</f>
        <v>Tere tulemast tööriistahaldusse!</v>
      </c>
      <c r="AH80" s="4" t="str">
        <f>IFERROR(__xludf.DUMMYFUNCTION("GOOGLETRANSLATE(B80,""en"",""fi"")"),"Tervetuloa työkaluhallintaan!")</f>
        <v>Tervetuloa työkaluhallintaan!</v>
      </c>
      <c r="AI80" s="4" t="str">
        <f>IFERROR(__xludf.DUMMYFUNCTION("GOOGLETRANSLATE(B80,""en"",""hr"")"),"Dobro došli u upravljanje alatima!")</f>
        <v>Dobro došli u upravljanje alatima!</v>
      </c>
      <c r="AJ80" s="4" t="str">
        <f>IFERROR(__xludf.DUMMYFUNCTION("GOOGLETRANSLATE(B80,""en"",""hu"")"),"Üdvözöljük a Szerszámkezelésben!")</f>
        <v>Üdvözöljük a Szerszámkezelésben!</v>
      </c>
      <c r="AK80" s="4" t="str">
        <f>IFERROR(__xludf.DUMMYFUNCTION("GOOGLETRANSLATE(B80,""en"",""hy"")"),"Բարի գալուստ Գործիքների կառավարում:")</f>
        <v>Բարի գալուստ Գործիքների կառավարում:</v>
      </c>
      <c r="AL80" s="4" t="str">
        <f>IFERROR(__xludf.DUMMYFUNCTION("GOOGLETRANSLATE(B80,""en"",""ca"")"),"Benvingut a Gestió d'eines!")</f>
        <v>Benvingut a Gestió d'eines!</v>
      </c>
      <c r="AM80" s="4" t="str">
        <f>IFERROR(__xludf.DUMMYFUNCTION("GOOGLETRANSLATE(B80,""en"",""nl"")"),"Welkom bij Tool Management!")</f>
        <v>Welkom bij Tool Management!</v>
      </c>
      <c r="AN80" s="4" t="str">
        <f>IFERROR(__xludf.DUMMYFUNCTION("GOOGLETRANSLATE(B80,""en"",""he"")"),"ברוכים הבאים לניהול כלים!")</f>
        <v>ברוכים הבאים לניהול כלים!</v>
      </c>
      <c r="AO80" s="4" t="str">
        <f>IFERROR(__xludf.DUMMYFUNCTION("GOOGLETRANSLATE(B80,""en"",""is"")"),"Velkomin í Verkfærastjórnun!")</f>
        <v>Velkomin í Verkfærastjórnun!</v>
      </c>
      <c r="AP80" s="4" t="str">
        <f>IFERROR(__xludf.DUMMYFUNCTION("GOOGLETRANSLATE(B80,""en"",""no"")"),"Velkommen til Tool Management!")</f>
        <v>Velkommen til Tool Management!</v>
      </c>
      <c r="AQ80" s="4" t="str">
        <f>IFERROR(__xludf.DUMMYFUNCTION("GOOGLETRANSLATE(B80,""en"",""fa"")"),"به مدیریت ابزار خوش آمدید!")</f>
        <v>به مدیریت ابزار خوش آمدید!</v>
      </c>
      <c r="AR80" s="4" t="str">
        <f>IFERROR(__xludf.DUMMYFUNCTION("GOOGLETRANSLATE(B80,""en"",""pl"")"),"Witamy w Tool Management!")</f>
        <v>Witamy w Tool Management!</v>
      </c>
      <c r="AS80" s="4" t="str">
        <f>IFERROR(__xludf.DUMMYFUNCTION("GOOGLETRANSLATE(B80,""en"",""sv"")"),"Välkommen till Verktygshantering!")</f>
        <v>Välkommen till Verktygshantering!</v>
      </c>
      <c r="AT80" s="4" t="str">
        <f>IFERROR(__xludf.DUMMYFUNCTION("GOOGLETRANSLATE(B80,""en"",""uk"")"),"Ласкаво просимо до керування інструментами!")</f>
        <v>Ласкаво просимо до керування інструментами!</v>
      </c>
      <c r="AU80" s="4" t="str">
        <f>IFERROR(__xludf.DUMMYFUNCTION("GOOGLETRANSLATE(B80,""en"",""zu"")"),"Siyakwamukela Ekuphathweni Kwamathuluzi!")</f>
        <v>Siyakwamukela Ekuphathweni Kwamathuluzi!</v>
      </c>
      <c r="AV80" s="4" t="str">
        <f>IFERROR(__xludf.DUMMYFUNCTION("GOOGLETRANSLATE(B80,""en"",""sr"")"),"Добродошли у Управљање алатима!")</f>
        <v>Добродошли у Управљање алатима!</v>
      </c>
    </row>
    <row r="81">
      <c r="A81" s="3" t="s">
        <v>201</v>
      </c>
      <c r="B81" s="3" t="s">
        <v>202</v>
      </c>
      <c r="C81" s="4" t="str">
        <f>IFERROR(__xludf.DUMMYFUNCTION("GOOGLETRANSLATE(B81,""en"",""ta"")"),"கருவிகளை மறுவரிசைப்படுத்த கைப்பிடியை பிடித்து இழுக்கவும்")</f>
        <v>கருவிகளை மறுவரிசைப்படுத்த கைப்பிடியை பிடித்து இழுக்கவும்</v>
      </c>
      <c r="D81" s="4" t="str">
        <f>IFERROR(__xludf.DUMMYFUNCTION("GOOGLETRANSLATE(B81,""en"",""hi"")"),"उपकरणों को पुनः क्रमित करने के लिए हैंडल को पकड़ें और खींचें")</f>
        <v>उपकरणों को पुनः क्रमित करने के लिए हैंडल को पकड़ें और खींचें</v>
      </c>
      <c r="E81" s="4" t="str">
        <f>IFERROR(__xludf.DUMMYFUNCTION("GOOGLETRANSLATE(B81,""en"",""id"")"),"Tahan dan seret gagang untuk menyusun ulang alat")</f>
        <v>Tahan dan seret gagang untuk menyusun ulang alat</v>
      </c>
      <c r="F81" s="4" t="str">
        <f>IFERROR(__xludf.DUMMYFUNCTION("GOOGLETRANSLATE(B81,""en"",""ms"")"),"Pegang dan seret pemegang untuk menyusun semula alatan")</f>
        <v>Pegang dan seret pemegang untuk menyusun semula alatan</v>
      </c>
      <c r="G81" s="4" t="str">
        <f>IFERROR(__xludf.DUMMYFUNCTION("GOOGLETRANSLATE(B81,""en"",""de"")"),"Halten und ziehen Sie den Griff, um die Werkzeuge neu anzuordnen")</f>
        <v>Halten und ziehen Sie den Griff, um die Werkzeuge neu anzuordnen</v>
      </c>
      <c r="H81" s="4" t="str">
        <f>IFERROR(__xludf.DUMMYFUNCTION("GOOGLETRANSLATE(B81,""en"",""es"")"),"Mantenga presionado y arrastre el controlador para reordenar las herramientas")</f>
        <v>Mantenga presionado y arrastre el controlador para reordenar las herramientas</v>
      </c>
      <c r="I81" s="4" t="str">
        <f>IFERROR(__xludf.DUMMYFUNCTION("GOOGLETRANSLATE(B81,""en"",""fr"")"),"Maintenez et faites glisser la poignée pour réorganiser les outils")</f>
        <v>Maintenez et faites glisser la poignée pour réorganiser les outils</v>
      </c>
      <c r="J81" s="4" t="str">
        <f>IFERROR(__xludf.DUMMYFUNCTION("GOOGLETRANSLATE(B81,""en"",""it"")"),"Tieni premuto e trascina la maniglia per riordinare gli strumenti")</f>
        <v>Tieni premuto e trascina la maniglia per riordinare gli strumenti</v>
      </c>
      <c r="K81" s="4" t="str">
        <f>IFERROR(__xludf.DUMMYFUNCTION("GOOGLETRANSLATE(B81,""en"",""pt"")"),"Segure e arraste a alça para reordenar as ferramentas")</f>
        <v>Segure e arraste a alça para reordenar as ferramentas</v>
      </c>
      <c r="L81" s="4" t="str">
        <f>IFERROR(__xludf.DUMMYFUNCTION("GOOGLETRANSLATE(B81,""en"",""ro"")"),"Țineți apăsat și trageți mânerul pentru a reordona instrumentele")</f>
        <v>Țineți apăsat și trageți mânerul pentru a reordona instrumentele</v>
      </c>
      <c r="M81" s="4" t="str">
        <f>IFERROR(__xludf.DUMMYFUNCTION("GOOGLETRANSLATE(B81,""en"",""vi"")"),"Giữ và kéo tay cầm để sắp xếp lại các công cụ")</f>
        <v>Giữ và kéo tay cầm để sắp xếp lại các công cụ</v>
      </c>
      <c r="N81" s="4" t="str">
        <f>IFERROR(__xludf.DUMMYFUNCTION("GOOGLETRANSLATE(B81,""en"",""ru"")"),"Удерживайте и перетащите ручку, чтобы изменить порядок инструментов.")</f>
        <v>Удерживайте и перетащите ручку, чтобы изменить порядок инструментов.</v>
      </c>
      <c r="O81" s="4" t="str">
        <f>IFERROR(__xludf.DUMMYFUNCTION("GOOGLETRANSLATE(B81,""en"",""tr"")"),"Araçları yeniden sıralamak için tutamağı tutun ve sürükleyin")</f>
        <v>Araçları yeniden sıralamak için tutamağı tutun ve sürükleyin</v>
      </c>
      <c r="P81" s="4" t="str">
        <f>IFERROR(__xludf.DUMMYFUNCTION("GOOGLETRANSLATE(B81,""en"",""ar"")"),"استمر في الضغط على المقبض واسحبه لإعادة ترتيب الأدوات")</f>
        <v>استمر في الضغط على المقبض واسحبه لإعادة ترتيب الأدوات</v>
      </c>
      <c r="Q81" s="4" t="str">
        <f>IFERROR(__xludf.DUMMYFUNCTION("GOOGLETRANSLATE(B81,""en"",""mr"")"),"टूल्सची पुनर्क्रमण करण्यासाठी हँडल धरा आणि ड्रॅग करा")</f>
        <v>टूल्सची पुनर्क्रमण करण्यासाठी हँडल धरा आणि ड्रॅग करा</v>
      </c>
      <c r="R81" s="4" t="str">
        <f>IFERROR(__xludf.DUMMYFUNCTION("GOOGLETRANSLATE(B81,""en"",""gu"")"),"ટૂલ્સને ફરીથી ગોઠવવા માટે હેન્ડલને પકડી રાખો અને ખેંચો")</f>
        <v>ટૂલ્સને ફરીથી ગોઠવવા માટે હેન્ડલને પકડી રાખો અને ખેંચો</v>
      </c>
      <c r="S81" s="4" t="str">
        <f>IFERROR(__xludf.DUMMYFUNCTION("GOOGLETRANSLATE(B81,""en"",""bn"")"),"সরঞ্জামগুলিকে পুনরায় সাজাতে হ্যান্ডেলটি ধরে রাখুন এবং টেনে আনুন৷")</f>
        <v>সরঞ্জামগুলিকে পুনরায় সাজাতে হ্যান্ডেলটি ধরে রাখুন এবং টেনে আনুন৷</v>
      </c>
      <c r="T81" s="4" t="str">
        <f>IFERROR(__xludf.DUMMYFUNCTION("GOOGLETRANSLATE(B81,""en"",""pa"")"),"ਟੂਲਸ ਨੂੰ ਮੁੜ ਕ੍ਰਮਬੱਧ ਕਰਨ ਲਈ ਹੈਂਡਲ ਨੂੰ ਫੜੋ ਅਤੇ ਘਸੀਟੋ")</f>
        <v>ਟੂਲਸ ਨੂੰ ਮੁੜ ਕ੍ਰਮਬੱਧ ਕਰਨ ਲਈ ਹੈਂਡਲ ਨੂੰ ਫੜੋ ਅਤੇ ਘਸੀਟੋ</v>
      </c>
      <c r="U81" s="4" t="str">
        <f>IFERROR(__xludf.DUMMYFUNCTION("GOOGLETRANSLATE(B81,""en"",""te"")"),"సాధనాలను క్రమాన్ని మార్చడానికి హ్యాండిల్‌ను పట్టుకుని లాగండి")</f>
        <v>సాధనాలను క్రమాన్ని మార్చడానికి హ్యాండిల్‌ను పట్టుకుని లాగండి</v>
      </c>
      <c r="V81" s="4" t="str">
        <f>IFERROR(__xludf.DUMMYFUNCTION("GOOGLETRANSLATE(B81,""en"",""kn"")"),"ಪರಿಕರಗಳನ್ನು ಮರುಕ್ರಮಗೊಳಿಸಲು ಹ್ಯಾಂಡಲ್ ಅನ್ನು ಹಿಡಿದುಕೊಳ್ಳಿ ಮತ್ತು ಎಳೆಯಿರಿ")</f>
        <v>ಪರಿಕರಗಳನ್ನು ಮರುಕ್ರಮಗೊಳಿಸಲು ಹ್ಯಾಂಡಲ್ ಅನ್ನು ಹಿಡಿದುಕೊಳ್ಳಿ ಮತ್ತು ಎಳೆಯಿರಿ</v>
      </c>
      <c r="W81" s="4" t="str">
        <f>IFERROR(__xludf.DUMMYFUNCTION("GOOGLETRANSLATE(B81,""en"",""ml"")"),"ടൂളുകൾ പുനഃക്രമീകരിക്കാൻ ഹാൻഡിൽ പിടിച്ച് വലിച്ചിടുക")</f>
        <v>ടൂളുകൾ പുനഃക്രമീകരിക്കാൻ ഹാൻഡിൽ പിടിച്ച് വലിച്ചിടുക</v>
      </c>
      <c r="X81" s="4" t="str">
        <f>IFERROR(__xludf.DUMMYFUNCTION("GOOGLETRANSLATE(B81,""en"",""th"")"),"กดและลากที่จับเพื่อเรียงลำดับเครื่องมือใหม่")</f>
        <v>กดและลากที่จับเพื่อเรียงลำดับเครื่องมือใหม่</v>
      </c>
      <c r="Y81" s="4" t="str">
        <f>IFERROR(__xludf.DUMMYFUNCTION("GOOGLETRANSLATE(B81,""en"",""ko"")"),"핸들을 잡고 끌어서 도구 순서를 변경하세요.")</f>
        <v>핸들을 잡고 끌어서 도구 순서를 변경하세요.</v>
      </c>
      <c r="Z81" s="4" t="str">
        <f>IFERROR(__xludf.DUMMYFUNCTION("GOOGLETRANSLATE(B81,""en"",""zh"")"),"按住并拖动手柄来重新排序工具")</f>
        <v>按住并拖动手柄来重新排序工具</v>
      </c>
      <c r="AA81" s="4" t="str">
        <f>IFERROR(__xludf.DUMMYFUNCTION("GOOGLETRANSLATE(B81,""en"",""zh-TW"")"),"按住並拖曳手柄來重新排序工具")</f>
        <v>按住並拖曳手柄來重新排序工具</v>
      </c>
      <c r="AB81" s="4" t="str">
        <f>IFERROR(__xludf.DUMMYFUNCTION("GOOGLETRANSLATE(B81,""en"",""ja"")"),"ハンドルを押したままドラッグしてツールを並べ替えます")</f>
        <v>ハンドルを押したままドラッグしてツールを並べ替えます</v>
      </c>
      <c r="AC81" s="4" t="str">
        <f>IFERROR(__xludf.DUMMYFUNCTION("GOOGLETRANSLATE(B81,""en"",""bg"")"),"Задръжте и плъзнете манипулатора, за да пренаредите инструментите")</f>
        <v>Задръжте и плъзнете манипулатора, за да пренаредите инструментите</v>
      </c>
      <c r="AD81" s="4" t="str">
        <f>IFERROR(__xludf.DUMMYFUNCTION("GOOGLETRANSLATE(B81,""en"",""cs"")"),"Chcete-li změnit pořadí nástrojů, podržte a přetáhněte rukojeť")</f>
        <v>Chcete-li změnit pořadí nástrojů, podržte a přetáhněte rukojeť</v>
      </c>
      <c r="AE81" s="4" t="str">
        <f>IFERROR(__xludf.DUMMYFUNCTION("GOOGLETRANSLATE(B81,""en"",""da"")"),"Hold og træk i håndtaget for at omarrangere værktøjer")</f>
        <v>Hold og træk i håndtaget for at omarrangere værktøjer</v>
      </c>
      <c r="AF81" s="4" t="str">
        <f>IFERROR(__xludf.DUMMYFUNCTION("GOOGLETRANSLATE(B81,""en"",""el"")"),"Κρατήστε και σύρετε τη λαβή για αναδιάταξη εργαλείων")</f>
        <v>Κρατήστε και σύρετε τη λαβή για αναδιάταξη εργαλείων</v>
      </c>
      <c r="AG81" s="4" t="str">
        <f>IFERROR(__xludf.DUMMYFUNCTION("GOOGLETRANSLATE(B81,""en"",""et"")"),"Tööriistade ümberjärjestamiseks hoidke käepidet ja lohistage seda")</f>
        <v>Tööriistade ümberjärjestamiseks hoidke käepidet ja lohistage seda</v>
      </c>
      <c r="AH81" s="4" t="str">
        <f>IFERROR(__xludf.DUMMYFUNCTION("GOOGLETRANSLATE(B81,""en"",""fi"")"),"Järjestä työkalut uudelleen pitämällä ja vetämällä kahvaa")</f>
        <v>Järjestä työkalut uudelleen pitämällä ja vetämällä kahvaa</v>
      </c>
      <c r="AI81" s="4" t="str">
        <f>IFERROR(__xludf.DUMMYFUNCTION("GOOGLETRANSLATE(B81,""en"",""hr"")"),"Držite i povucite ručicu za promjenu redoslijeda alata")</f>
        <v>Držite i povucite ručicu za promjenu redoslijeda alata</v>
      </c>
      <c r="AJ81" s="4" t="str">
        <f>IFERROR(__xludf.DUMMYFUNCTION("GOOGLETRANSLATE(B81,""en"",""hu"")"),"Tartsa lenyomva és húzza a fogantyút az eszközök átrendezéséhez")</f>
        <v>Tartsa lenyomva és húzza a fogantyút az eszközök átrendezéséhez</v>
      </c>
      <c r="AK81" s="4" t="str">
        <f>IFERROR(__xludf.DUMMYFUNCTION("GOOGLETRANSLATE(B81,""en"",""hy"")"),"Պահեք և քաշեք բռնակը գործիքները վերադասավորելու համար")</f>
        <v>Պահեք և քաշեք բռնակը գործիքները վերադասավորելու համար</v>
      </c>
      <c r="AL81" s="4" t="str">
        <f>IFERROR(__xludf.DUMMYFUNCTION("GOOGLETRANSLATE(B81,""en"",""ca"")"),"Mantingueu premut i arrossegueu el mànec per reordenar les eines")</f>
        <v>Mantingueu premut i arrossegueu el mànec per reordenar les eines</v>
      </c>
      <c r="AM81" s="4" t="str">
        <f>IFERROR(__xludf.DUMMYFUNCTION("GOOGLETRANSLATE(B81,""en"",""nl"")"),"Houd de hendel vast en sleep deze om de gereedschappen opnieuw te ordenen")</f>
        <v>Houd de hendel vast en sleep deze om de gereedschappen opnieuw te ordenen</v>
      </c>
      <c r="AN81" s="4" t="str">
        <f>IFERROR(__xludf.DUMMYFUNCTION("GOOGLETRANSLATE(B81,""en"",""he"")"),"החזק וגרור את הידית כדי לסדר מחדש את הכלים")</f>
        <v>החזק וגרור את הידית כדי לסדר מחדש את הכלים</v>
      </c>
      <c r="AO81" s="4" t="str">
        <f>IFERROR(__xludf.DUMMYFUNCTION("GOOGLETRANSLATE(B81,""en"",""is"")"),"Haltu og dragðu handfangið til að endurraða verkfærum")</f>
        <v>Haltu og dragðu handfangið til að endurraða verkfærum</v>
      </c>
      <c r="AP81" s="4" t="str">
        <f>IFERROR(__xludf.DUMMYFUNCTION("GOOGLETRANSLATE(B81,""en"",""no"")"),"Hold og dra håndtaket for å omorganisere verktøy")</f>
        <v>Hold og dra håndtaket for å omorganisere verktøy</v>
      </c>
      <c r="AQ81" s="4" t="str">
        <f>IFERROR(__xludf.DUMMYFUNCTION("GOOGLETRANSLATE(B81,""en"",""fa"")"),"برای مرتب کردن مجدد ابزارها، دستگیره را نگه دارید و بکشید")</f>
        <v>برای مرتب کردن مجدد ابزارها، دستگیره را نگه دارید و بکشید</v>
      </c>
      <c r="AR81" s="4" t="str">
        <f>IFERROR(__xludf.DUMMYFUNCTION("GOOGLETRANSLATE(B81,""en"",""pl"")"),"Przytrzymaj i przeciągnij uchwyt, aby zmienić kolejność narzędzi")</f>
        <v>Przytrzymaj i przeciągnij uchwyt, aby zmienić kolejność narzędzi</v>
      </c>
      <c r="AS81" s="4" t="str">
        <f>IFERROR(__xludf.DUMMYFUNCTION("GOOGLETRANSLATE(B81,""en"",""sv"")"),"Håll och dra i handtaget för att ändra ordning på verktyg")</f>
        <v>Håll och dra i handtaget för att ändra ordning på verktyg</v>
      </c>
      <c r="AT81" s="4" t="str">
        <f>IFERROR(__xludf.DUMMYFUNCTION("GOOGLETRANSLATE(B81,""en"",""uk"")"),"Утримуйте та перетягуйте маркер, щоб змінити порядок інструментів")</f>
        <v>Утримуйте та перетягуйте маркер, щоб змінити порядок інструментів</v>
      </c>
      <c r="AU81" s="4" t="str">
        <f>IFERROR(__xludf.DUMMYFUNCTION("GOOGLETRANSLATE(B81,""en"",""zu"")"),"Bamba futhi uhudule isibambo ukuze uhlele kabusha amathuluzi")</f>
        <v>Bamba futhi uhudule isibambo ukuze uhlele kabusha amathuluzi</v>
      </c>
      <c r="AV81" s="4" t="str">
        <f>IFERROR(__xludf.DUMMYFUNCTION("GOOGLETRANSLATE(B81,""en"",""sr"")"),"Држите и превуците ручицу да бисте променили редослед алата")</f>
        <v>Држите и превуците ручицу да бисте променили редослед алата</v>
      </c>
    </row>
    <row r="82">
      <c r="A82" s="3" t="s">
        <v>203</v>
      </c>
      <c r="B82" s="3" t="s">
        <v>204</v>
      </c>
      <c r="C82" s="4" t="str">
        <f>IFERROR(__xludf.DUMMYFUNCTION("GOOGLETRANSLATE(B82,""en"",""ta"")"),"கருவிகளை இயக்க/முடக்க சுவிட்சைப் பயன்படுத்தவும்")</f>
        <v>கருவிகளை இயக்க/முடக்க சுவிட்சைப் பயன்படுத்தவும்</v>
      </c>
      <c r="D82" s="4" t="str">
        <f>IFERROR(__xludf.DUMMYFUNCTION("GOOGLETRANSLATE(B82,""en"",""hi"")"),"उपकरणों को सक्षम/अक्षम करने के लिए स्विच का उपयोग करें")</f>
        <v>उपकरणों को सक्षम/अक्षम करने के लिए स्विच का उपयोग करें</v>
      </c>
      <c r="E82" s="4" t="str">
        <f>IFERROR(__xludf.DUMMYFUNCTION("GOOGLETRANSLATE(B82,""en"",""id"")"),"Gunakan sakelar untuk mengaktifkan/menonaktifkan alat")</f>
        <v>Gunakan sakelar untuk mengaktifkan/menonaktifkan alat</v>
      </c>
      <c r="F82" s="4" t="str">
        <f>IFERROR(__xludf.DUMMYFUNCTION("GOOGLETRANSLATE(B82,""en"",""ms"")"),"Gunakan suis untuk mendayakan/melumpuhkan alatan")</f>
        <v>Gunakan suis untuk mendayakan/melumpuhkan alatan</v>
      </c>
      <c r="G82" s="4" t="str">
        <f>IFERROR(__xludf.DUMMYFUNCTION("GOOGLETRANSLATE(B82,""en"",""de"")"),"Verwenden Sie den Schalter, um Tools zu aktivieren/deaktivieren")</f>
        <v>Verwenden Sie den Schalter, um Tools zu aktivieren/deaktivieren</v>
      </c>
      <c r="H82" s="4" t="str">
        <f>IFERROR(__xludf.DUMMYFUNCTION("GOOGLETRANSLATE(B82,""en"",""es"")"),"Utilice el interruptor para habilitar o deshabilitar herramientas")</f>
        <v>Utilice el interruptor para habilitar o deshabilitar herramientas</v>
      </c>
      <c r="I82" s="4" t="str">
        <f>IFERROR(__xludf.DUMMYFUNCTION("GOOGLETRANSLATE(B82,""en"",""fr"")"),"Utilisez le commutateur pour activer/désactiver les outils")</f>
        <v>Utilisez le commutateur pour activer/désactiver les outils</v>
      </c>
      <c r="J82" s="4" t="str">
        <f>IFERROR(__xludf.DUMMYFUNCTION("GOOGLETRANSLATE(B82,""en"",""it"")"),"Utilizzare l'interruttore per abilitare/disabilitare gli strumenti")</f>
        <v>Utilizzare l'interruttore per abilitare/disabilitare gli strumenti</v>
      </c>
      <c r="K82" s="4" t="str">
        <f>IFERROR(__xludf.DUMMYFUNCTION("GOOGLETRANSLATE(B82,""en"",""pt"")"),"Use o interruptor para habilitar/desabilitar ferramentas")</f>
        <v>Use o interruptor para habilitar/desabilitar ferramentas</v>
      </c>
      <c r="L82" s="4" t="str">
        <f>IFERROR(__xludf.DUMMYFUNCTION("GOOGLETRANSLATE(B82,""en"",""ro"")"),"Utilizați comutatorul pentru a activa/dezactiva instrumentele")</f>
        <v>Utilizați comutatorul pentru a activa/dezactiva instrumentele</v>
      </c>
      <c r="M82" s="4" t="str">
        <f>IFERROR(__xludf.DUMMYFUNCTION("GOOGLETRANSLATE(B82,""en"",""vi"")"),"Sử dụng công tắc để bật/tắt các công cụ")</f>
        <v>Sử dụng công tắc để bật/tắt các công cụ</v>
      </c>
      <c r="N82" s="4" t="str">
        <f>IFERROR(__xludf.DUMMYFUNCTION("GOOGLETRANSLATE(B82,""en"",""ru"")"),"Используйте переключатель для включения/отключения инструментов.")</f>
        <v>Используйте переключатель для включения/отключения инструментов.</v>
      </c>
      <c r="O82" s="4" t="str">
        <f>IFERROR(__xludf.DUMMYFUNCTION("GOOGLETRANSLATE(B82,""en"",""tr"")"),"Araçları etkinleştirmek/devre dışı bırakmak için anahtarı kullanın")</f>
        <v>Araçları etkinleştirmek/devre dışı bırakmak için anahtarı kullanın</v>
      </c>
      <c r="P82" s="4" t="str">
        <f>IFERROR(__xludf.DUMMYFUNCTION("GOOGLETRANSLATE(B82,""en"",""ar"")"),"استخدم المفتاح لتمكين/تعطيل الأدوات")</f>
        <v>استخدم المفتاح لتمكين/تعطيل الأدوات</v>
      </c>
      <c r="Q82" s="4" t="str">
        <f>IFERROR(__xludf.DUMMYFUNCTION("GOOGLETRANSLATE(B82,""en"",""mr"")"),"टूल्स सक्षम/अक्षम करण्यासाठी स्विच वापरा")</f>
        <v>टूल्स सक्षम/अक्षम करण्यासाठी स्विच वापरा</v>
      </c>
      <c r="R82" s="4" t="str">
        <f>IFERROR(__xludf.DUMMYFUNCTION("GOOGLETRANSLATE(B82,""en"",""gu"")"),"ટૂલ્સને સક્ષમ/અક્ષમ કરવા માટે સ્વિચનો ઉપયોગ કરો")</f>
        <v>ટૂલ્સને સક્ષમ/અક્ષમ કરવા માટે સ્વિચનો ઉપયોગ કરો</v>
      </c>
      <c r="S82" s="4" t="str">
        <f>IFERROR(__xludf.DUMMYFUNCTION("GOOGLETRANSLATE(B82,""en"",""bn"")"),"টুল সক্রিয়/অক্ষম করতে সুইচ ব্যবহার করুন")</f>
        <v>টুল সক্রিয়/অক্ষম করতে সুইচ ব্যবহার করুন</v>
      </c>
      <c r="T82" s="4" t="str">
        <f>IFERROR(__xludf.DUMMYFUNCTION("GOOGLETRANSLATE(B82,""en"",""pa"")"),"ਟੂਲਸ ਨੂੰ ਸਮਰੱਥ/ਅਯੋਗ ਕਰਨ ਲਈ ਸਵਿੱਚ ਦੀ ਵਰਤੋਂ ਕਰੋ")</f>
        <v>ਟੂਲਸ ਨੂੰ ਸਮਰੱਥ/ਅਯੋਗ ਕਰਨ ਲਈ ਸਵਿੱਚ ਦੀ ਵਰਤੋਂ ਕਰੋ</v>
      </c>
      <c r="U82" s="4" t="str">
        <f>IFERROR(__xludf.DUMMYFUNCTION("GOOGLETRANSLATE(B82,""en"",""te"")"),"సాధనాలను ఎనేబుల్/డిసేబుల్ చేయడానికి స్విచ్‌ని ఉపయోగించండి")</f>
        <v>సాధనాలను ఎనేబుల్/డిసేబుల్ చేయడానికి స్విచ్‌ని ఉపయోగించండి</v>
      </c>
      <c r="V82" s="4" t="str">
        <f>IFERROR(__xludf.DUMMYFUNCTION("GOOGLETRANSLATE(B82,""en"",""kn"")"),"ಪರಿಕರಗಳನ್ನು ಸಕ್ರಿಯಗೊಳಿಸಲು/ನಿಷ್ಕ್ರಿಯಗೊಳಿಸಲು ಸ್ವಿಚ್ ಬಳಸಿ")</f>
        <v>ಪರಿಕರಗಳನ್ನು ಸಕ್ರಿಯಗೊಳಿಸಲು/ನಿಷ್ಕ್ರಿಯಗೊಳಿಸಲು ಸ್ವಿಚ್ ಬಳಸಿ</v>
      </c>
      <c r="W82" s="4" t="str">
        <f>IFERROR(__xludf.DUMMYFUNCTION("GOOGLETRANSLATE(B82,""en"",""ml"")"),"ടൂളുകൾ പ്രവർത്തനക്ഷമമാക്കാനോ പ്രവർത്തനരഹിതമാക്കാനോ സ്വിച്ച് ഉപയോഗിക്കുക")</f>
        <v>ടൂളുകൾ പ്രവർത്തനക്ഷമമാക്കാനോ പ്രവർത്തനരഹിതമാക്കാനോ സ്വിച്ച് ഉപയോഗിക്കുക</v>
      </c>
      <c r="X82" s="4" t="str">
        <f>IFERROR(__xludf.DUMMYFUNCTION("GOOGLETRANSLATE(B82,""en"",""th"")"),"ใช้สวิตช์เพื่อเปิด/ปิดเครื่องมือ")</f>
        <v>ใช้สวิตช์เพื่อเปิด/ปิดเครื่องมือ</v>
      </c>
      <c r="Y82" s="4" t="str">
        <f>IFERROR(__xludf.DUMMYFUNCTION("GOOGLETRANSLATE(B82,""en"",""ko"")"),"스위치를 사용하여 도구를 활성화/비활성화합니다.")</f>
        <v>스위치를 사용하여 도구를 활성화/비활성화합니다.</v>
      </c>
      <c r="Z82" s="4" t="str">
        <f>IFERROR(__xludf.DUMMYFUNCTION("GOOGLETRANSLATE(B82,""en"",""zh"")"),"使用开关启用/禁用工具")</f>
        <v>使用开关启用/禁用工具</v>
      </c>
      <c r="AA82" s="4" t="str">
        <f>IFERROR(__xludf.DUMMYFUNCTION("GOOGLETRANSLATE(B82,""en"",""zh-TW"")"),"使用開關啟用/停用工具")</f>
        <v>使用開關啟用/停用工具</v>
      </c>
      <c r="AB82" s="4" t="str">
        <f>IFERROR(__xludf.DUMMYFUNCTION("GOOGLETRANSLATE(B82,""en"",""ja"")"),"スイッチを使用してツールを有効/無効にします")</f>
        <v>スイッチを使用してツールを有効/無効にします</v>
      </c>
      <c r="AC82" s="4" t="str">
        <f>IFERROR(__xludf.DUMMYFUNCTION("GOOGLETRANSLATE(B82,""en"",""bg"")"),"Използвайте превключвателя, за да активирате/деактивирате инструментите")</f>
        <v>Използвайте превключвателя, за да активирате/деактивирате инструментите</v>
      </c>
      <c r="AD82" s="4" t="str">
        <f>IFERROR(__xludf.DUMMYFUNCTION("GOOGLETRANSLATE(B82,""en"",""cs"")"),"Pomocí přepínače aktivujte/deaktivujte nástroje")</f>
        <v>Pomocí přepínače aktivujte/deaktivujte nástroje</v>
      </c>
      <c r="AE82" s="4" t="str">
        <f>IFERROR(__xludf.DUMMYFUNCTION("GOOGLETRANSLATE(B82,""en"",""da"")"),"Brug kontakten til at aktivere/deaktivere værktøjer")</f>
        <v>Brug kontakten til at aktivere/deaktivere værktøjer</v>
      </c>
      <c r="AF82" s="4" t="str">
        <f>IFERROR(__xludf.DUMMYFUNCTION("GOOGLETRANSLATE(B82,""en"",""el"")"),"Χρησιμοποιήστε το διακόπτη για να ενεργοποιήσετε/απενεργοποιήσετε τα εργαλεία")</f>
        <v>Χρησιμοποιήστε το διακόπτη για να ενεργοποιήσετε/απενεργοποιήσετε τα εργαλεία</v>
      </c>
      <c r="AG82" s="4" t="str">
        <f>IFERROR(__xludf.DUMMYFUNCTION("GOOGLETRANSLATE(B82,""en"",""et"")"),"Kasutage lülitit tööriistade lubamiseks/keelamiseks")</f>
        <v>Kasutage lülitit tööriistade lubamiseks/keelamiseks</v>
      </c>
      <c r="AH82" s="4" t="str">
        <f>IFERROR(__xludf.DUMMYFUNCTION("GOOGLETRANSLATE(B82,""en"",""fi"")"),"Käytä kytkintä työkalujen käyttöönottoon/poistamiseen")</f>
        <v>Käytä kytkintä työkalujen käyttöönottoon/poistamiseen</v>
      </c>
      <c r="AI82" s="4" t="str">
        <f>IFERROR(__xludf.DUMMYFUNCTION("GOOGLETRANSLATE(B82,""en"",""hr"")"),"Pomoću prekidača omogućite/onemogućite alate")</f>
        <v>Pomoću prekidača omogućite/onemogućite alate</v>
      </c>
      <c r="AJ82" s="4" t="str">
        <f>IFERROR(__xludf.DUMMYFUNCTION("GOOGLETRANSLATE(B82,""en"",""hu"")"),"A kapcsolóval engedélyezheti/letilthatja az eszközöket")</f>
        <v>A kapcsolóval engedélyezheti/letilthatja az eszközöket</v>
      </c>
      <c r="AK82" s="4" t="str">
        <f>IFERROR(__xludf.DUMMYFUNCTION("GOOGLETRANSLATE(B82,""en"",""hy"")"),"Գործիքները միացնելու/անջատելու համար օգտագործեք անջատիչը")</f>
        <v>Գործիքները միացնելու/անջատելու համար օգտագործեք անջատիչը</v>
      </c>
      <c r="AL82" s="4" t="str">
        <f>IFERROR(__xludf.DUMMYFUNCTION("GOOGLETRANSLATE(B82,""en"",""ca"")"),"Utilitzeu l'interruptor per activar/desactivar les eines")</f>
        <v>Utilitzeu l'interruptor per activar/desactivar les eines</v>
      </c>
      <c r="AM82" s="4" t="str">
        <f>IFERROR(__xludf.DUMMYFUNCTION("GOOGLETRANSLATE(B82,""en"",""nl"")"),"Gebruik de schakelaar om hulpmiddelen in of uit te schakelen")</f>
        <v>Gebruik de schakelaar om hulpmiddelen in of uit te schakelen</v>
      </c>
      <c r="AN82" s="4" t="str">
        <f>IFERROR(__xludf.DUMMYFUNCTION("GOOGLETRANSLATE(B82,""en"",""he"")"),"השתמש במתג כדי להפעיל/לבטל כלים")</f>
        <v>השתמש במתג כדי להפעיל/לבטל כלים</v>
      </c>
      <c r="AO82" s="4" t="str">
        <f>IFERROR(__xludf.DUMMYFUNCTION("GOOGLETRANSLATE(B82,""en"",""is"")"),"Notaðu rofann til að virkja/slökkva á verkfærum")</f>
        <v>Notaðu rofann til að virkja/slökkva á verkfærum</v>
      </c>
      <c r="AP82" s="4" t="str">
        <f>IFERROR(__xludf.DUMMYFUNCTION("GOOGLETRANSLATE(B82,""en"",""no"")"),"Bruk bryteren for å aktivere/deaktivere verktøy")</f>
        <v>Bruk bryteren for å aktivere/deaktivere verktøy</v>
      </c>
      <c r="AQ82" s="4" t="str">
        <f>IFERROR(__xludf.DUMMYFUNCTION("GOOGLETRANSLATE(B82,""en"",""fa"")"),"از سوئیچ برای فعال/غیرفعال کردن ابزارها استفاده کنید")</f>
        <v>از سوئیچ برای فعال/غیرفعال کردن ابزارها استفاده کنید</v>
      </c>
      <c r="AR82" s="4" t="str">
        <f>IFERROR(__xludf.DUMMYFUNCTION("GOOGLETRANSLATE(B82,""en"",""pl"")"),"Użyj przełącznika, aby włączyć/wyłączyć narzędzia")</f>
        <v>Użyj przełącznika, aby włączyć/wyłączyć narzędzia</v>
      </c>
      <c r="AS82" s="4" t="str">
        <f>IFERROR(__xludf.DUMMYFUNCTION("GOOGLETRANSLATE(B82,""en"",""sv"")"),"Använd omkopplaren för att aktivera/inaktivera verktyg")</f>
        <v>Använd omkopplaren för att aktivera/inaktivera verktyg</v>
      </c>
      <c r="AT82" s="4" t="str">
        <f>IFERROR(__xludf.DUMMYFUNCTION("GOOGLETRANSLATE(B82,""en"",""uk"")"),"Використовуйте перемикач, щоб увімкнути/вимкнути інструменти")</f>
        <v>Використовуйте перемикач, щоб увімкнути/вимкнути інструменти</v>
      </c>
      <c r="AU82" s="4" t="str">
        <f>IFERROR(__xludf.DUMMYFUNCTION("GOOGLETRANSLATE(B82,""en"",""zu"")"),"Sebenzisa iswishi ukuze uvule/ukhubaze amathuluzi")</f>
        <v>Sebenzisa iswishi ukuze uvule/ukhubaze amathuluzi</v>
      </c>
      <c r="AV82" s="4" t="str">
        <f>IFERROR(__xludf.DUMMYFUNCTION("GOOGLETRANSLATE(B82,""en"",""sr"")"),"Користите прекидач да омогућите/онемогућите алате")</f>
        <v>Користите прекидач да омогућите/онемогућите алате</v>
      </c>
    </row>
    <row r="83">
      <c r="A83" s="3" t="s">
        <v>205</v>
      </c>
      <c r="B83" s="3" t="s">
        <v>206</v>
      </c>
      <c r="C83" s="4" t="str">
        <f>IFERROR(__xludf.DUMMYFUNCTION("GOOGLETRANSLATE(B83,""en"",""ta"")"),"பிரீமியம் அம்சங்கள் கிரீடத்துடன் குறிக்கப்பட்டுள்ளன")</f>
        <v>பிரீமியம் அம்சங்கள் கிரீடத்துடன் குறிக்கப்பட்டுள்ளன</v>
      </c>
      <c r="D83" s="4" t="str">
        <f>IFERROR(__xludf.DUMMYFUNCTION("GOOGLETRANSLATE(B83,""en"",""hi"")"),"प्रीमियम सुविधाओं को एक मुकुट से चिह्नित किया जाता है")</f>
        <v>प्रीमियम सुविधाओं को एक मुकुट से चिह्नित किया जाता है</v>
      </c>
      <c r="E83" s="4" t="str">
        <f>IFERROR(__xludf.DUMMYFUNCTION("GOOGLETRANSLATE(B83,""en"",""id"")"),"Fitur premium ditandai dengan mahkota")</f>
        <v>Fitur premium ditandai dengan mahkota</v>
      </c>
      <c r="F83" s="4" t="str">
        <f>IFERROR(__xludf.DUMMYFUNCTION("GOOGLETRANSLATE(B83,""en"",""ms"")"),"Ciri premium ditandakan dengan mahkota")</f>
        <v>Ciri premium ditandakan dengan mahkota</v>
      </c>
      <c r="G83" s="4" t="str">
        <f>IFERROR(__xludf.DUMMYFUNCTION("GOOGLETRANSLATE(B83,""en"",""de"")"),"Premium-Funktionen sind mit einer Krone gekennzeichnet")</f>
        <v>Premium-Funktionen sind mit einer Krone gekennzeichnet</v>
      </c>
      <c r="H83" s="4" t="str">
        <f>IFERROR(__xludf.DUMMYFUNCTION("GOOGLETRANSLATE(B83,""en"",""es"")"),"Las características premium están marcadas con una corona")</f>
        <v>Las características premium están marcadas con una corona</v>
      </c>
      <c r="I83" s="4" t="str">
        <f>IFERROR(__xludf.DUMMYFUNCTION("GOOGLETRANSLATE(B83,""en"",""fr"")"),"Les fonctionnalités premium sont signalées par une couronne")</f>
        <v>Les fonctionnalités premium sont signalées par une couronne</v>
      </c>
      <c r="J83" s="4" t="str">
        <f>IFERROR(__xludf.DUMMYFUNCTION("GOOGLETRANSLATE(B83,""en"",""it"")"),"Le funzionalità premium sono contrassegnate da una corona")</f>
        <v>Le funzionalità premium sono contrassegnate da una corona</v>
      </c>
      <c r="K83" s="4" t="str">
        <f>IFERROR(__xludf.DUMMYFUNCTION("GOOGLETRANSLATE(B83,""en"",""pt"")"),"Os recursos premium são marcados com uma coroa")</f>
        <v>Os recursos premium são marcados com uma coroa</v>
      </c>
      <c r="L83" s="4" t="str">
        <f>IFERROR(__xludf.DUMMYFUNCTION("GOOGLETRANSLATE(B83,""en"",""ro"")"),"Caracteristicile premium sunt marcate cu o coroană")</f>
        <v>Caracteristicile premium sunt marcate cu o coroană</v>
      </c>
      <c r="M83" s="4" t="str">
        <f>IFERROR(__xludf.DUMMYFUNCTION("GOOGLETRANSLATE(B83,""en"",""vi"")"),"Các tính năng cao cấp được đánh dấu bằng một vương miện")</f>
        <v>Các tính năng cao cấp được đánh dấu bằng một vương miện</v>
      </c>
      <c r="N83" s="4" t="str">
        <f>IFERROR(__xludf.DUMMYFUNCTION("GOOGLETRANSLATE(B83,""en"",""ru"")"),"Премиум-функции отмечены короной.")</f>
        <v>Премиум-функции отмечены короной.</v>
      </c>
      <c r="O83" s="4" t="str">
        <f>IFERROR(__xludf.DUMMYFUNCTION("GOOGLETRANSLATE(B83,""en"",""tr"")"),"Premium özellikler bir taç ile işaretlenmiştir")</f>
        <v>Premium özellikler bir taç ile işaretlenmiştir</v>
      </c>
      <c r="P83" s="4" t="str">
        <f>IFERROR(__xludf.DUMMYFUNCTION("GOOGLETRANSLATE(B83,""en"",""ar"")"),"يتم تمييز الميزات المتميزة بالتاج")</f>
        <v>يتم تمييز الميزات المتميزة بالتاج</v>
      </c>
      <c r="Q83" s="4" t="str">
        <f>IFERROR(__xludf.DUMMYFUNCTION("GOOGLETRANSLATE(B83,""en"",""mr"")"),"प्रीमियम वैशिष्ट्ये एक मुकुट सह चिन्हांकित आहेत")</f>
        <v>प्रीमियम वैशिष्ट्ये एक मुकुट सह चिन्हांकित आहेत</v>
      </c>
      <c r="R83" s="4" t="str">
        <f>IFERROR(__xludf.DUMMYFUNCTION("GOOGLETRANSLATE(B83,""en"",""gu"")"),"પ્રીમિયમ સુવિધાઓ તાજ સાથે ચિહ્નિત થયેલ છે")</f>
        <v>પ્રીમિયમ સુવિધાઓ તાજ સાથે ચિહ્નિત થયેલ છે</v>
      </c>
      <c r="S83" s="4" t="str">
        <f>IFERROR(__xludf.DUMMYFUNCTION("GOOGLETRANSLATE(B83,""en"",""bn"")"),"প্রিমিয়াম বৈশিষ্ট্য একটি মুকুট দ্বারা চিহ্নিত করা হয়")</f>
        <v>প্রিমিয়াম বৈশিষ্ট্য একটি মুকুট দ্বারা চিহ্নিত করা হয়</v>
      </c>
      <c r="T83" s="4" t="str">
        <f>IFERROR(__xludf.DUMMYFUNCTION("GOOGLETRANSLATE(B83,""en"",""pa"")"),"ਪ੍ਰੀਮੀਅਮ ਵਿਸ਼ੇਸ਼ਤਾਵਾਂ ਨੂੰ ਤਾਜ ਨਾਲ ਚਿੰਨ੍ਹਿਤ ਕੀਤਾ ਗਿਆ ਹੈ")</f>
        <v>ਪ੍ਰੀਮੀਅਮ ਵਿਸ਼ੇਸ਼ਤਾਵਾਂ ਨੂੰ ਤਾਜ ਨਾਲ ਚਿੰਨ੍ਹਿਤ ਕੀਤਾ ਗਿਆ ਹੈ</v>
      </c>
      <c r="U83" s="4" t="str">
        <f>IFERROR(__xludf.DUMMYFUNCTION("GOOGLETRANSLATE(B83,""en"",""te"")"),"ప్రీమియం ఫీచర్లు కిరీటంతో గుర్తు పెట్టబడ్డాయి")</f>
        <v>ప్రీమియం ఫీచర్లు కిరీటంతో గుర్తు పెట్టబడ్డాయి</v>
      </c>
      <c r="V83" s="4" t="str">
        <f>IFERROR(__xludf.DUMMYFUNCTION("GOOGLETRANSLATE(B83,""en"",""kn"")"),"ಪ್ರೀಮಿಯಂ ವೈಶಿಷ್ಟ್ಯಗಳನ್ನು ಕಿರೀಟದಿಂದ ಗುರುತಿಸಲಾಗಿದೆ")</f>
        <v>ಪ್ರೀಮಿಯಂ ವೈಶಿಷ್ಟ್ಯಗಳನ್ನು ಕಿರೀಟದಿಂದ ಗುರುತಿಸಲಾಗಿದೆ</v>
      </c>
      <c r="W83" s="4" t="str">
        <f>IFERROR(__xludf.DUMMYFUNCTION("GOOGLETRANSLATE(B83,""en"",""ml"")"),"പ്രീമിയം സവിശേഷതകൾ ഒരു കിരീടം കൊണ്ട് അടയാളപ്പെടുത്തിയിരിക്കുന്നു")</f>
        <v>പ്രീമിയം സവിശേഷതകൾ ഒരു കിരീടം കൊണ്ട് അടയാളപ്പെടുത്തിയിരിക്കുന്നു</v>
      </c>
      <c r="X83" s="4" t="str">
        <f>IFERROR(__xludf.DUMMYFUNCTION("GOOGLETRANSLATE(B83,""en"",""th"")"),"คุณสมบัติพรีเมียมได้รับการทำเครื่องหมายด้วยมงกุฎ")</f>
        <v>คุณสมบัติพรีเมียมได้รับการทำเครื่องหมายด้วยมงกุฎ</v>
      </c>
      <c r="Y83" s="4" t="str">
        <f>IFERROR(__xludf.DUMMYFUNCTION("GOOGLETRANSLATE(B83,""en"",""ko"")"),"프리미엄 기능은 크라운으로 표시됩니다.")</f>
        <v>프리미엄 기능은 크라운으로 표시됩니다.</v>
      </c>
      <c r="Z83" s="4" t="str">
        <f>IFERROR(__xludf.DUMMYFUNCTION("GOOGLETRANSLATE(B83,""en"",""zh"")"),"高级功能带有皇冠标志")</f>
        <v>高级功能带有皇冠标志</v>
      </c>
      <c r="AA83" s="4" t="str">
        <f>IFERROR(__xludf.DUMMYFUNCTION("GOOGLETRANSLATE(B83,""en"",""zh-TW"")"),"進階功能附有皇冠標誌")</f>
        <v>進階功能附有皇冠標誌</v>
      </c>
      <c r="AB83" s="4" t="str">
        <f>IFERROR(__xludf.DUMMYFUNCTION("GOOGLETRANSLATE(B83,""en"",""ja"")"),"プレミアム機能には王冠マークが付いています")</f>
        <v>プレミアム機能には王冠マークが付いています</v>
      </c>
      <c r="AC83" s="4" t="str">
        <f>IFERROR(__xludf.DUMMYFUNCTION("GOOGLETRANSLATE(B83,""en"",""bg"")"),"Премиум характеристиките са маркирани с корона")</f>
        <v>Премиум характеристиките са маркирани с корона</v>
      </c>
      <c r="AD83" s="4" t="str">
        <f>IFERROR(__xludf.DUMMYFUNCTION("GOOGLETRANSLATE(B83,""en"",""cs"")"),"Prémiové funkce jsou označeny korunkou")</f>
        <v>Prémiové funkce jsou označeny korunkou</v>
      </c>
      <c r="AE83" s="4" t="str">
        <f>IFERROR(__xludf.DUMMYFUNCTION("GOOGLETRANSLATE(B83,""en"",""da"")"),"Premium funktioner er markeret med en krone")</f>
        <v>Premium funktioner er markeret med en krone</v>
      </c>
      <c r="AF83" s="4" t="str">
        <f>IFERROR(__xludf.DUMMYFUNCTION("GOOGLETRANSLATE(B83,""en"",""el"")"),"Τα premium χαρακτηριστικά επισημαίνονται με κορώνα")</f>
        <v>Τα premium χαρακτηριστικά επισημαίνονται με κορώνα</v>
      </c>
      <c r="AG83" s="4" t="str">
        <f>IFERROR(__xludf.DUMMYFUNCTION("GOOGLETRANSLATE(B83,""en"",""et"")"),"Premium funktsioonid on tähistatud krooniga")</f>
        <v>Premium funktsioonid on tähistatud krooniga</v>
      </c>
      <c r="AH83" s="4" t="str">
        <f>IFERROR(__xludf.DUMMYFUNCTION("GOOGLETRANSLATE(B83,""en"",""fi"")"),"Premium-ominaisuudet on merkitty kruunulla")</f>
        <v>Premium-ominaisuudet on merkitty kruunulla</v>
      </c>
      <c r="AI83" s="4" t="str">
        <f>IFERROR(__xludf.DUMMYFUNCTION("GOOGLETRANSLATE(B83,""en"",""hr"")"),"Premium značajke označene su krunom")</f>
        <v>Premium značajke označene su krunom</v>
      </c>
      <c r="AJ83" s="4" t="str">
        <f>IFERROR(__xludf.DUMMYFUNCTION("GOOGLETRANSLATE(B83,""en"",""hu"")"),"A prémium funkciókat koronával jelöljük")</f>
        <v>A prémium funkciókat koronával jelöljük</v>
      </c>
      <c r="AK83" s="4" t="str">
        <f>IFERROR(__xludf.DUMMYFUNCTION("GOOGLETRANSLATE(B83,""en"",""hy"")"),"Պրեմիում հատկանիշները նշվում են թագով")</f>
        <v>Պրեմիում հատկանիշները նշվում են թագով</v>
      </c>
      <c r="AL83" s="4" t="str">
        <f>IFERROR(__xludf.DUMMYFUNCTION("GOOGLETRANSLATE(B83,""en"",""ca"")"),"Les funcions premium estan marcades amb una corona")</f>
        <v>Les funcions premium estan marcades amb una corona</v>
      </c>
      <c r="AM83" s="4" t="str">
        <f>IFERROR(__xludf.DUMMYFUNCTION("GOOGLETRANSLATE(B83,""en"",""nl"")"),"Premiumfuncties worden gemarkeerd met een kroon")</f>
        <v>Premiumfuncties worden gemarkeerd met een kroon</v>
      </c>
      <c r="AN83" s="4" t="str">
        <f>IFERROR(__xludf.DUMMYFUNCTION("GOOGLETRANSLATE(B83,""en"",""he"")"),"תכונות פרימיום מסומנות בכתר")</f>
        <v>תכונות פרימיום מסומנות בכתר</v>
      </c>
      <c r="AO83" s="4" t="str">
        <f>IFERROR(__xludf.DUMMYFUNCTION("GOOGLETRANSLATE(B83,""en"",""is"")"),"Premium eiginleikar eru merktir með kórónu")</f>
        <v>Premium eiginleikar eru merktir með kórónu</v>
      </c>
      <c r="AP83" s="4" t="str">
        <f>IFERROR(__xludf.DUMMYFUNCTION("GOOGLETRANSLATE(B83,""en"",""no"")"),"Premium-funksjoner er merket med en krone")</f>
        <v>Premium-funksjoner er merket med en krone</v>
      </c>
      <c r="AQ83" s="4" t="str">
        <f>IFERROR(__xludf.DUMMYFUNCTION("GOOGLETRANSLATE(B83,""en"",""fa"")"),"ویژگی های ممتاز با یک تاج مشخص شده اند")</f>
        <v>ویژگی های ممتاز با یک تاج مشخص شده اند</v>
      </c>
      <c r="AR83" s="4" t="str">
        <f>IFERROR(__xludf.DUMMYFUNCTION("GOOGLETRANSLATE(B83,""en"",""pl"")"),"Funkcje premium oznaczone są koroną")</f>
        <v>Funkcje premium oznaczone są koroną</v>
      </c>
      <c r="AS83" s="4" t="str">
        <f>IFERROR(__xludf.DUMMYFUNCTION("GOOGLETRANSLATE(B83,""en"",""sv"")"),"Premiumfunktioner är markerade med en krona")</f>
        <v>Premiumfunktioner är markerade med en krona</v>
      </c>
      <c r="AT83" s="4" t="str">
        <f>IFERROR(__xludf.DUMMYFUNCTION("GOOGLETRANSLATE(B83,""en"",""uk"")"),"Функції преміум-класу позначені короною")</f>
        <v>Функції преміум-класу позначені короною</v>
      </c>
      <c r="AU83" s="4" t="str">
        <f>IFERROR(__xludf.DUMMYFUNCTION("GOOGLETRANSLATE(B83,""en"",""zu"")"),"Izici ze-Premium zimakwe ngomqhele")</f>
        <v>Izici ze-Premium zimakwe ngomqhele</v>
      </c>
      <c r="AV83" s="4" t="str">
        <f>IFERROR(__xludf.DUMMYFUNCTION("GOOGLETRANSLATE(B83,""en"",""sr"")"),"Премиум карактеристике су означене круном")</f>
        <v>Премиум карактеристике су означене круном</v>
      </c>
    </row>
    <row r="84">
      <c r="A84" s="3" t="s">
        <v>207</v>
      </c>
      <c r="B84" s="3" t="s">
        <v>208</v>
      </c>
      <c r="C84" s="4" t="str">
        <f>IFERROR(__xludf.DUMMYFUNCTION("GOOGLETRANSLATE(B84,""en"",""ta"")"),"புரிந்தது!")</f>
        <v>புரிந்தது!</v>
      </c>
      <c r="D84" s="4" t="str">
        <f>IFERROR(__xludf.DUMMYFUNCTION("GOOGLETRANSLATE(B84,""en"",""hi"")"),"समझ गया!")</f>
        <v>समझ गया!</v>
      </c>
      <c r="E84" s="4" t="str">
        <f>IFERROR(__xludf.DUMMYFUNCTION("GOOGLETRANSLATE(B84,""en"",""id"")"),"Mengerti!")</f>
        <v>Mengerti!</v>
      </c>
      <c r="F84" s="4" t="str">
        <f>IFERROR(__xludf.DUMMYFUNCTION("GOOGLETRANSLATE(B84,""en"",""ms"")"),"faham!")</f>
        <v>faham!</v>
      </c>
      <c r="G84" s="4" t="str">
        <f>IFERROR(__xludf.DUMMYFUNCTION("GOOGLETRANSLATE(B84,""en"",""de"")"),"Habe es!")</f>
        <v>Habe es!</v>
      </c>
      <c r="H84" s="4" t="str">
        <f>IFERROR(__xludf.DUMMYFUNCTION("GOOGLETRANSLATE(B84,""en"",""es"")"),"¡Entiendo!")</f>
        <v>¡Entiendo!</v>
      </c>
      <c r="I84" s="4" t="str">
        <f>IFERROR(__xludf.DUMMYFUNCTION("GOOGLETRANSLATE(B84,""en"",""fr"")"),"J'ai compris!")</f>
        <v>J'ai compris!</v>
      </c>
      <c r="J84" s="4" t="str">
        <f>IFERROR(__xludf.DUMMYFUNCTION("GOOGLETRANSLATE(B84,""en"",""it"")"),"Fatto!")</f>
        <v>Fatto!</v>
      </c>
      <c r="K84" s="4" t="str">
        <f>IFERROR(__xludf.DUMMYFUNCTION("GOOGLETRANSLATE(B84,""en"",""pt"")"),"Entendi!")</f>
        <v>Entendi!</v>
      </c>
      <c r="L84" s="4" t="str">
        <f>IFERROR(__xludf.DUMMYFUNCTION("GOOGLETRANSLATE(B84,""en"",""ro"")"),"Am înţeles!")</f>
        <v>Am înţeles!</v>
      </c>
      <c r="M84" s="4" t="str">
        <f>IFERROR(__xludf.DUMMYFUNCTION("GOOGLETRANSLATE(B84,""en"",""vi"")"),"Hiểu rồi!")</f>
        <v>Hiểu rồi!</v>
      </c>
      <c r="N84" s="4" t="str">
        <f>IFERROR(__xludf.DUMMYFUNCTION("GOOGLETRANSLATE(B84,""en"",""ru"")"),"Понятно!")</f>
        <v>Понятно!</v>
      </c>
      <c r="O84" s="4" t="str">
        <f>IFERROR(__xludf.DUMMYFUNCTION("GOOGLETRANSLATE(B84,""en"",""tr"")"),"Anladım!")</f>
        <v>Anladım!</v>
      </c>
      <c r="P84" s="4" t="str">
        <f>IFERROR(__xludf.DUMMYFUNCTION("GOOGLETRANSLATE(B84,""en"",""ar"")"),"فهمتها!")</f>
        <v>فهمتها!</v>
      </c>
      <c r="Q84" s="4" t="str">
        <f>IFERROR(__xludf.DUMMYFUNCTION("GOOGLETRANSLATE(B84,""en"",""mr"")"),"समजले!")</f>
        <v>समजले!</v>
      </c>
      <c r="R84" s="4" t="str">
        <f>IFERROR(__xludf.DUMMYFUNCTION("GOOGLETRANSLATE(B84,""en"",""gu"")"),"સમજાયું!")</f>
        <v>સમજાયું!</v>
      </c>
      <c r="S84" s="4" t="str">
        <f>IFERROR(__xludf.DUMMYFUNCTION("GOOGLETRANSLATE(B84,""en"",""bn"")"),"বুঝেছি!")</f>
        <v>বুঝেছি!</v>
      </c>
      <c r="T84" s="4" t="str">
        <f>IFERROR(__xludf.DUMMYFUNCTION("GOOGLETRANSLATE(B84,""en"",""pa"")"),"ਮਿਲ ਗਿਆ!")</f>
        <v>ਮਿਲ ਗਿਆ!</v>
      </c>
      <c r="U84" s="4" t="str">
        <f>IFERROR(__xludf.DUMMYFUNCTION("GOOGLETRANSLATE(B84,""en"",""te"")"),"అర్థమైంది!")</f>
        <v>అర్థమైంది!</v>
      </c>
      <c r="V84" s="4" t="str">
        <f>IFERROR(__xludf.DUMMYFUNCTION("GOOGLETRANSLATE(B84,""en"",""kn"")"),"ಅರ್ಥವಾಯಿತು!")</f>
        <v>ಅರ್ಥವಾಯಿತು!</v>
      </c>
      <c r="W84" s="4" t="str">
        <f>IFERROR(__xludf.DUMMYFUNCTION("GOOGLETRANSLATE(B84,""en"",""ml"")"),"മനസ്സിലായി!")</f>
        <v>മനസ്സിലായി!</v>
      </c>
      <c r="X84" s="4" t="str">
        <f>IFERROR(__xludf.DUMMYFUNCTION("GOOGLETRANSLATE(B84,""en"",""th"")"),"เข้าใจแล้ว!")</f>
        <v>เข้าใจแล้ว!</v>
      </c>
      <c r="Y84" s="4" t="str">
        <f>IFERROR(__xludf.DUMMYFUNCTION("GOOGLETRANSLATE(B84,""en"",""ko"")"),"알았어요!")</f>
        <v>알았어요!</v>
      </c>
      <c r="Z84" s="4" t="str">
        <f>IFERROR(__xludf.DUMMYFUNCTION("GOOGLETRANSLATE(B84,""en"",""zh"")"),"知道了！")</f>
        <v>知道了！</v>
      </c>
      <c r="AA84" s="4" t="str">
        <f>IFERROR(__xludf.DUMMYFUNCTION("GOOGLETRANSLATE(B84,""en"",""zh-TW"")"),"知道了！")</f>
        <v>知道了！</v>
      </c>
      <c r="AB84" s="4" t="str">
        <f>IFERROR(__xludf.DUMMYFUNCTION("GOOGLETRANSLATE(B84,""en"",""ja"")"),"わかった！")</f>
        <v>わかった！</v>
      </c>
      <c r="AC84" s="4" t="str">
        <f>IFERROR(__xludf.DUMMYFUNCTION("GOOGLETRANSLATE(B84,""en"",""bg"")"),"Разбрах!")</f>
        <v>Разбрах!</v>
      </c>
      <c r="AD84" s="4" t="str">
        <f>IFERROR(__xludf.DUMMYFUNCTION("GOOGLETRANSLATE(B84,""en"",""cs"")"),"Rozumím!")</f>
        <v>Rozumím!</v>
      </c>
      <c r="AE84" s="4" t="str">
        <f>IFERROR(__xludf.DUMMYFUNCTION("GOOGLETRANSLATE(B84,""en"",""da"")"),"Forstår det!")</f>
        <v>Forstår det!</v>
      </c>
      <c r="AF84" s="4" t="str">
        <f>IFERROR(__xludf.DUMMYFUNCTION("GOOGLETRANSLATE(B84,""en"",""el"")"),"Κατάλαβα!")</f>
        <v>Κατάλαβα!</v>
      </c>
      <c r="AG84" s="4" t="str">
        <f>IFERROR(__xludf.DUMMYFUNCTION("GOOGLETRANSLATE(B84,""en"",""et"")"),"Sain aru!")</f>
        <v>Sain aru!</v>
      </c>
      <c r="AH84" s="4" t="str">
        <f>IFERROR(__xludf.DUMMYFUNCTION("GOOGLETRANSLATE(B84,""en"",""fi"")"),"Selvä!")</f>
        <v>Selvä!</v>
      </c>
      <c r="AI84" s="4" t="str">
        <f>IFERROR(__xludf.DUMMYFUNCTION("GOOGLETRANSLATE(B84,""en"",""hr"")"),"Kužim!")</f>
        <v>Kužim!</v>
      </c>
      <c r="AJ84" s="4" t="str">
        <f>IFERROR(__xludf.DUMMYFUNCTION("GOOGLETRANSLATE(B84,""en"",""hu"")"),"Megvan!")</f>
        <v>Megvan!</v>
      </c>
      <c r="AK84" s="4" t="str">
        <f>IFERROR(__xludf.DUMMYFUNCTION("GOOGLETRANSLATE(B84,""en"",""hy"")"),"Հասկացա:")</f>
        <v>Հասկացա:</v>
      </c>
      <c r="AL84" s="4" t="str">
        <f>IFERROR(__xludf.DUMMYFUNCTION("GOOGLETRANSLATE(B84,""en"",""ca"")"),"Ho entenc!")</f>
        <v>Ho entenc!</v>
      </c>
      <c r="AM84" s="4" t="str">
        <f>IFERROR(__xludf.DUMMYFUNCTION("GOOGLETRANSLATE(B84,""en"",""nl"")"),"Ik snap het!")</f>
        <v>Ik snap het!</v>
      </c>
      <c r="AN84" s="4" t="str">
        <f>IFERROR(__xludf.DUMMYFUNCTION("GOOGLETRANSLATE(B84,""en"",""he"")"),"הבנתי!")</f>
        <v>הבנתי!</v>
      </c>
      <c r="AO84" s="4" t="str">
        <f>IFERROR(__xludf.DUMMYFUNCTION("GOOGLETRANSLATE(B84,""en"",""is"")"),"Skil!")</f>
        <v>Skil!</v>
      </c>
      <c r="AP84" s="4" t="str">
        <f>IFERROR(__xludf.DUMMYFUNCTION("GOOGLETRANSLATE(B84,""en"",""no"")"),"Skjønner det!")</f>
        <v>Skjønner det!</v>
      </c>
      <c r="AQ84" s="4" t="str">
        <f>IFERROR(__xludf.DUMMYFUNCTION("GOOGLETRANSLATE(B84,""en"",""fa"")"),"متوجه شدم!")</f>
        <v>متوجه شدم!</v>
      </c>
      <c r="AR84" s="4" t="str">
        <f>IFERROR(__xludf.DUMMYFUNCTION("GOOGLETRANSLATE(B84,""en"",""pl"")"),"Rozumiem!")</f>
        <v>Rozumiem!</v>
      </c>
      <c r="AS84" s="4" t="str">
        <f>IFERROR(__xludf.DUMMYFUNCTION("GOOGLETRANSLATE(B84,""en"",""sv"")"),"Jag förstår!")</f>
        <v>Jag förstår!</v>
      </c>
      <c r="AT84" s="4" t="str">
        <f>IFERROR(__xludf.DUMMYFUNCTION("GOOGLETRANSLATE(B84,""en"",""uk"")"),"зрозумів")</f>
        <v>зрозумів</v>
      </c>
      <c r="AU84" s="4" t="str">
        <f>IFERROR(__xludf.DUMMYFUNCTION("GOOGLETRANSLATE(B84,""en"",""zu"")"),"Ngiyitholile!")</f>
        <v>Ngiyitholile!</v>
      </c>
      <c r="AV84" s="4" t="str">
        <f>IFERROR(__xludf.DUMMYFUNCTION("GOOGLETRANSLATE(B84,""en"",""sr"")"),"Схватио сам!")</f>
        <v>Схватио сам!</v>
      </c>
    </row>
    <row r="85">
      <c r="A85" s="3" t="s">
        <v>209</v>
      </c>
      <c r="B85" s="3" t="s">
        <v>210</v>
      </c>
      <c r="C85" s="4" t="str">
        <f>IFERROR(__xludf.DUMMYFUNCTION("GOOGLETRANSLATE(B85,""en"",""ta"")"),"பயன்பாட்டு வழக்குகளை ஏற்றுகிறது...")</f>
        <v>பயன்பாட்டு வழக்குகளை ஏற்றுகிறது...</v>
      </c>
      <c r="D85" s="4" t="str">
        <f>IFERROR(__xludf.DUMMYFUNCTION("GOOGLETRANSLATE(B85,""en"",""hi"")"),"उपयोग के मामले लोड हो रहे हैं...")</f>
        <v>उपयोग के मामले लोड हो रहे हैं...</v>
      </c>
      <c r="E85" s="4" t="str">
        <f>IFERROR(__xludf.DUMMYFUNCTION("GOOGLETRANSLATE(B85,""en"",""id"")"),"Memuat kasus penggunaan...")</f>
        <v>Memuat kasus penggunaan...</v>
      </c>
      <c r="F85" s="4" t="str">
        <f>IFERROR(__xludf.DUMMYFUNCTION("GOOGLETRANSLATE(B85,""en"",""ms"")"),"Memuatkan kes penggunaan...")</f>
        <v>Memuatkan kes penggunaan...</v>
      </c>
      <c r="G85" s="4" t="str">
        <f>IFERROR(__xludf.DUMMYFUNCTION("GOOGLETRANSLATE(B85,""en"",""de"")"),"Anwendungsfälle werden geladen …")</f>
        <v>Anwendungsfälle werden geladen …</v>
      </c>
      <c r="H85" s="4" t="str">
        <f>IFERROR(__xludf.DUMMYFUNCTION("GOOGLETRANSLATE(B85,""en"",""es"")"),"Cargando casos de uso...")</f>
        <v>Cargando casos de uso...</v>
      </c>
      <c r="I85" s="4" t="str">
        <f>IFERROR(__xludf.DUMMYFUNCTION("GOOGLETRANSLATE(B85,""en"",""fr"")"),"Chargement des cas d'utilisation...")</f>
        <v>Chargement des cas d'utilisation...</v>
      </c>
      <c r="J85" s="4" t="str">
        <f>IFERROR(__xludf.DUMMYFUNCTION("GOOGLETRANSLATE(B85,""en"",""it"")"),"Caricamento dei casi d'uso in corso...")</f>
        <v>Caricamento dei casi d'uso in corso...</v>
      </c>
      <c r="K85" s="4" t="str">
        <f>IFERROR(__xludf.DUMMYFUNCTION("GOOGLETRANSLATE(B85,""en"",""pt"")"),"Carregando casos de uso...")</f>
        <v>Carregando casos de uso...</v>
      </c>
      <c r="L85" s="4" t="str">
        <f>IFERROR(__xludf.DUMMYFUNCTION("GOOGLETRANSLATE(B85,""en"",""ro"")"),"Se încarcă cazuri de utilizare...")</f>
        <v>Se încarcă cazuri de utilizare...</v>
      </c>
      <c r="M85" s="4" t="str">
        <f>IFERROR(__xludf.DUMMYFUNCTION("GOOGLETRANSLATE(B85,""en"",""vi"")"),"Đang tải các trường hợp sử dụng...")</f>
        <v>Đang tải các trường hợp sử dụng...</v>
      </c>
      <c r="N85" s="4" t="str">
        <f>IFERROR(__xludf.DUMMYFUNCTION("GOOGLETRANSLATE(B85,""en"",""ru"")"),"Загрузка вариантов использования...")</f>
        <v>Загрузка вариантов использования...</v>
      </c>
      <c r="O85" s="4" t="str">
        <f>IFERROR(__xludf.DUMMYFUNCTION("GOOGLETRANSLATE(B85,""en"",""tr"")"),"Kullanım örnekleri yükleniyor...")</f>
        <v>Kullanım örnekleri yükleniyor...</v>
      </c>
      <c r="P85" s="4" t="str">
        <f>IFERROR(__xludf.DUMMYFUNCTION("GOOGLETRANSLATE(B85,""en"",""ar"")"),"جاري تحميل حالات الاستخدام...")</f>
        <v>جاري تحميل حالات الاستخدام...</v>
      </c>
      <c r="Q85" s="4" t="str">
        <f>IFERROR(__xludf.DUMMYFUNCTION("GOOGLETRANSLATE(B85,""en"",""mr"")"),"वापर प्रकरणे लोड करत आहे...")</f>
        <v>वापर प्रकरणे लोड करत आहे...</v>
      </c>
      <c r="R85" s="4" t="str">
        <f>IFERROR(__xludf.DUMMYFUNCTION("GOOGLETRANSLATE(B85,""en"",""gu"")"),"ઉપયોગના કેસ લોડ કરી રહ્યાં છે...")</f>
        <v>ઉપયોગના કેસ લોડ કરી રહ્યાં છે...</v>
      </c>
      <c r="S85" s="4" t="str">
        <f>IFERROR(__xludf.DUMMYFUNCTION("GOOGLETRANSLATE(B85,""en"",""bn"")"),"ব্যবহারের ক্ষেত্রে লোড হচ্ছে...")</f>
        <v>ব্যবহারের ক্ষেত্রে লোড হচ্ছে...</v>
      </c>
      <c r="T85" s="4" t="str">
        <f>IFERROR(__xludf.DUMMYFUNCTION("GOOGLETRANSLATE(B85,""en"",""pa"")"),"ਵਰਤੋਂ ਦੇ ਕੇਸ ਲੋਡ ਕੀਤੇ ਜਾ ਰਹੇ ਹਨ...")</f>
        <v>ਵਰਤੋਂ ਦੇ ਕੇਸ ਲੋਡ ਕੀਤੇ ਜਾ ਰਹੇ ਹਨ...</v>
      </c>
      <c r="U85" s="4" t="str">
        <f>IFERROR(__xludf.DUMMYFUNCTION("GOOGLETRANSLATE(B85,""en"",""te"")"),"వినియోగ కేసులను లోడ్ చేస్తోంది...")</f>
        <v>వినియోగ కేసులను లోడ్ చేస్తోంది...</v>
      </c>
      <c r="V85" s="4" t="str">
        <f>IFERROR(__xludf.DUMMYFUNCTION("GOOGLETRANSLATE(B85,""en"",""kn"")"),"ಬಳಕೆಯ ಪ್ರಕರಣಗಳನ್ನು ಲೋಡ್ ಮಾಡಲಾಗುತ್ತಿದೆ...")</f>
        <v>ಬಳಕೆಯ ಪ್ರಕರಣಗಳನ್ನು ಲೋಡ್ ಮಾಡಲಾಗುತ್ತಿದೆ...</v>
      </c>
      <c r="W85" s="4" t="str">
        <f>IFERROR(__xludf.DUMMYFUNCTION("GOOGLETRANSLATE(B85,""en"",""ml"")"),"ഉപയോഗ കേസുകൾ ലോഡ് ചെയ്യുന്നു...")</f>
        <v>ഉപയോഗ കേസുകൾ ലോഡ് ചെയ്യുന്നു...</v>
      </c>
      <c r="X85" s="4" t="str">
        <f>IFERROR(__xludf.DUMMYFUNCTION("GOOGLETRANSLATE(B85,""en"",""th"")"),"กำลังโหลดกรณีการใช้งาน...")</f>
        <v>กำลังโหลดกรณีการใช้งาน...</v>
      </c>
      <c r="Y85" s="4" t="str">
        <f>IFERROR(__xludf.DUMMYFUNCTION("GOOGLETRANSLATE(B85,""en"",""ko"")"),"사용 사례를 로드하는 중...")</f>
        <v>사용 사례를 로드하는 중...</v>
      </c>
      <c r="Z85" s="4" t="str">
        <f>IFERROR(__xludf.DUMMYFUNCTION("GOOGLETRANSLATE(B85,""en"",""zh"")"),"正在加载用例...")</f>
        <v>正在加载用例...</v>
      </c>
      <c r="AA85" s="4" t="str">
        <f>IFERROR(__xludf.DUMMYFUNCTION("GOOGLETRANSLATE(B85,""en"",""zh-TW"")"),"正在載入用例...")</f>
        <v>正在載入用例...</v>
      </c>
      <c r="AB85" s="4" t="str">
        <f>IFERROR(__xludf.DUMMYFUNCTION("GOOGLETRANSLATE(B85,""en"",""ja"")"),"ユースケースを読み込んでいます...")</f>
        <v>ユースケースを読み込んでいます...</v>
      </c>
      <c r="AC85" s="4" t="str">
        <f>IFERROR(__xludf.DUMMYFUNCTION("GOOGLETRANSLATE(B85,""en"",""bg"")"),"Случаите на употреба се зареждат...")</f>
        <v>Случаите на употреба се зареждат...</v>
      </c>
      <c r="AD85" s="4" t="str">
        <f>IFERROR(__xludf.DUMMYFUNCTION("GOOGLETRANSLATE(B85,""en"",""cs"")"),"Načítání případů použití...")</f>
        <v>Načítání případů použití...</v>
      </c>
      <c r="AE85" s="4" t="str">
        <f>IFERROR(__xludf.DUMMYFUNCTION("GOOGLETRANSLATE(B85,""en"",""da"")"),"Indlæser use cases...")</f>
        <v>Indlæser use cases...</v>
      </c>
      <c r="AF85" s="4" t="str">
        <f>IFERROR(__xludf.DUMMYFUNCTION("GOOGLETRANSLATE(B85,""en"",""el"")"),"Φόρτωση περιπτώσεων χρήσης...")</f>
        <v>Φόρτωση περιπτώσεων χρήσης...</v>
      </c>
      <c r="AG85" s="4" t="str">
        <f>IFERROR(__xludf.DUMMYFUNCTION("GOOGLETRANSLATE(B85,""en"",""et"")"),"Kasutusjuhtumite laadimine...")</f>
        <v>Kasutusjuhtumite laadimine...</v>
      </c>
      <c r="AH85" s="4" t="str">
        <f>IFERROR(__xludf.DUMMYFUNCTION("GOOGLETRANSLATE(B85,""en"",""fi"")"),"Ladataan käyttötapauksia...")</f>
        <v>Ladataan käyttötapauksia...</v>
      </c>
      <c r="AI85" s="4" t="str">
        <f>IFERROR(__xludf.DUMMYFUNCTION("GOOGLETRANSLATE(B85,""en"",""hr"")"),"Učitavanje slučajeva upotrebe...")</f>
        <v>Učitavanje slučajeva upotrebe...</v>
      </c>
      <c r="AJ85" s="4" t="str">
        <f>IFERROR(__xludf.DUMMYFUNCTION("GOOGLETRANSLATE(B85,""en"",""hu"")"),"Használati esetek betöltése...")</f>
        <v>Használati esetek betöltése...</v>
      </c>
      <c r="AK85" s="4" t="str">
        <f>IFERROR(__xludf.DUMMYFUNCTION("GOOGLETRANSLATE(B85,""en"",""hy"")"),"Օգտագործման դեպքերի բեռնում...")</f>
        <v>Օգտագործման դեպքերի բեռնում...</v>
      </c>
      <c r="AL85" s="4" t="str">
        <f>IFERROR(__xludf.DUMMYFUNCTION("GOOGLETRANSLATE(B85,""en"",""ca"")"),"S'estan carregant casos d'ús...")</f>
        <v>S'estan carregant casos d'ús...</v>
      </c>
      <c r="AM85" s="4" t="str">
        <f>IFERROR(__xludf.DUMMYFUNCTION("GOOGLETRANSLATE(B85,""en"",""nl"")"),"Use cases laden...")</f>
        <v>Use cases laden...</v>
      </c>
      <c r="AN85" s="4" t="str">
        <f>IFERROR(__xludf.DUMMYFUNCTION("GOOGLETRANSLATE(B85,""en"",""he"")"),"טוען מקרי שימוש...")</f>
        <v>טוען מקרי שימוש...</v>
      </c>
      <c r="AO85" s="4" t="str">
        <f>IFERROR(__xludf.DUMMYFUNCTION("GOOGLETRANSLATE(B85,""en"",""is"")"),"Hleður notkunartilfellum...")</f>
        <v>Hleður notkunartilfellum...</v>
      </c>
      <c r="AP85" s="4" t="str">
        <f>IFERROR(__xludf.DUMMYFUNCTION("GOOGLETRANSLATE(B85,""en"",""no"")"),"Laster brukstilfeller ...")</f>
        <v>Laster brukstilfeller ...</v>
      </c>
      <c r="AQ85" s="4" t="str">
        <f>IFERROR(__xludf.DUMMYFUNCTION("GOOGLETRANSLATE(B85,""en"",""fa"")"),"در حال بارگیری موارد استفاده...")</f>
        <v>در حال بارگیری موارد استفاده...</v>
      </c>
      <c r="AR85" s="4" t="str">
        <f>IFERROR(__xludf.DUMMYFUNCTION("GOOGLETRANSLATE(B85,""en"",""pl"")"),"Ładowanie przypadków użycia...")</f>
        <v>Ładowanie przypadków użycia...</v>
      </c>
      <c r="AS85" s="4" t="str">
        <f>IFERROR(__xludf.DUMMYFUNCTION("GOOGLETRANSLATE(B85,""en"",""sv"")"),"Laddar användningsfall...")</f>
        <v>Laddar användningsfall...</v>
      </c>
      <c r="AT85" s="4" t="str">
        <f>IFERROR(__xludf.DUMMYFUNCTION("GOOGLETRANSLATE(B85,""en"",""uk"")"),"Завантаження випадків використання...")</f>
        <v>Завантаження випадків використання...</v>
      </c>
      <c r="AU85" s="4" t="str">
        <f>IFERROR(__xludf.DUMMYFUNCTION("GOOGLETRANSLATE(B85,""en"",""zu"")"),"Ilayisha izimo zokusetshenziswa...")</f>
        <v>Ilayisha izimo zokusetshenziswa...</v>
      </c>
      <c r="AV85" s="4" t="str">
        <f>IFERROR(__xludf.DUMMYFUNCTION("GOOGLETRANSLATE(B85,""en"",""sr"")"),"Учитавање случајева коришћења...")</f>
        <v>Учитавање случајева коришћења...</v>
      </c>
    </row>
    <row r="86">
      <c r="A86" s="3" t="s">
        <v>211</v>
      </c>
      <c r="B86" s="3" t="s">
        <v>212</v>
      </c>
      <c r="C86" s="4" t="str">
        <f>IFERROR(__xludf.DUMMYFUNCTION("GOOGLETRANSLATE(B86,""en"",""ta"")"),"மேலும் ஏற்றுகிறது...")</f>
        <v>மேலும் ஏற்றுகிறது...</v>
      </c>
      <c r="D86" s="4" t="str">
        <f>IFERROR(__xludf.DUMMYFUNCTION("GOOGLETRANSLATE(B86,""en"",""hi"")"),"अधिक लोड हो रहा है...")</f>
        <v>अधिक लोड हो रहा है...</v>
      </c>
      <c r="E86" s="4" t="str">
        <f>IFERROR(__xludf.DUMMYFUNCTION("GOOGLETRANSLATE(B86,""en"",""id"")"),"Memuat lebih banyak...")</f>
        <v>Memuat lebih banyak...</v>
      </c>
      <c r="F86" s="4" t="str">
        <f>IFERROR(__xludf.DUMMYFUNCTION("GOOGLETRANSLATE(B86,""en"",""ms"")"),"Memuatkan lagi...")</f>
        <v>Memuatkan lagi...</v>
      </c>
      <c r="G86" s="4" t="str">
        <f>IFERROR(__xludf.DUMMYFUNCTION("GOOGLETRANSLATE(B86,""en"",""de"")"),"Mehr laden...")</f>
        <v>Mehr laden...</v>
      </c>
      <c r="H86" s="4" t="str">
        <f>IFERROR(__xludf.DUMMYFUNCTION("GOOGLETRANSLATE(B86,""en"",""es"")"),"Cargando más...")</f>
        <v>Cargando más...</v>
      </c>
      <c r="I86" s="4" t="str">
        <f>IFERROR(__xludf.DUMMYFUNCTION("GOOGLETRANSLATE(B86,""en"",""fr"")"),"Chargement en cours...")</f>
        <v>Chargement en cours...</v>
      </c>
      <c r="J86" s="4" t="str">
        <f>IFERROR(__xludf.DUMMYFUNCTION("GOOGLETRANSLATE(B86,""en"",""it"")"),"Caricamento in corso...")</f>
        <v>Caricamento in corso...</v>
      </c>
      <c r="K86" s="4" t="str">
        <f>IFERROR(__xludf.DUMMYFUNCTION("GOOGLETRANSLATE(B86,""en"",""pt"")"),"Carregando mais...")</f>
        <v>Carregando mais...</v>
      </c>
      <c r="L86" s="4" t="str">
        <f>IFERROR(__xludf.DUMMYFUNCTION("GOOGLETRANSLATE(B86,""en"",""ro"")"),"Se încarcă mai multe...")</f>
        <v>Se încarcă mai multe...</v>
      </c>
      <c r="M86" s="4" t="str">
        <f>IFERROR(__xludf.DUMMYFUNCTION("GOOGLETRANSLATE(B86,""en"",""vi"")"),"Đang tải thêm...")</f>
        <v>Đang tải thêm...</v>
      </c>
      <c r="N86" s="4" t="str">
        <f>IFERROR(__xludf.DUMMYFUNCTION("GOOGLETRANSLATE(B86,""en"",""ru"")"),"Загрузка еще...")</f>
        <v>Загрузка еще...</v>
      </c>
      <c r="O86" s="4" t="str">
        <f>IFERROR(__xludf.DUMMYFUNCTION("GOOGLETRANSLATE(B86,""en"",""tr"")"),"Daha fazlası yükleniyor...")</f>
        <v>Daha fazlası yükleniyor...</v>
      </c>
      <c r="P86" s="4" t="str">
        <f>IFERROR(__xludf.DUMMYFUNCTION("GOOGLETRANSLATE(B86,""en"",""ar"")"),"جاري تحميل المزيد...")</f>
        <v>جاري تحميل المزيد...</v>
      </c>
      <c r="Q86" s="4" t="str">
        <f>IFERROR(__xludf.DUMMYFUNCTION("GOOGLETRANSLATE(B86,""en"",""mr"")"),"अधिक लोड करत आहे...")</f>
        <v>अधिक लोड करत आहे...</v>
      </c>
      <c r="R86" s="4" t="str">
        <f>IFERROR(__xludf.DUMMYFUNCTION("GOOGLETRANSLATE(B86,""en"",""gu"")"),"વધુ લોડ કરી રહ્યું છે...")</f>
        <v>વધુ લોડ કરી રહ્યું છે...</v>
      </c>
      <c r="S86" s="4" t="str">
        <f>IFERROR(__xludf.DUMMYFUNCTION("GOOGLETRANSLATE(B86,""en"",""bn"")"),"আরো লোড হচ্ছে...")</f>
        <v>আরো লোড হচ্ছে...</v>
      </c>
      <c r="T86" s="4" t="str">
        <f>IFERROR(__xludf.DUMMYFUNCTION("GOOGLETRANSLATE(B86,""en"",""pa"")"),"ਹੋਰ ਲੋਡ ਕੀਤਾ ਜਾ ਰਿਹਾ ਹੈ...")</f>
        <v>ਹੋਰ ਲੋਡ ਕੀਤਾ ਜਾ ਰਿਹਾ ਹੈ...</v>
      </c>
      <c r="U86" s="4" t="str">
        <f>IFERROR(__xludf.DUMMYFUNCTION("GOOGLETRANSLATE(B86,""en"",""te"")"),"మరింత లోడ్ అవుతోంది...")</f>
        <v>మరింత లోడ్ అవుతోంది...</v>
      </c>
      <c r="V86" s="4" t="str">
        <f>IFERROR(__xludf.DUMMYFUNCTION("GOOGLETRANSLATE(B86,""en"",""kn"")"),"ಇನ್ನಷ್ಟು ಲೋಡ್ ಆಗುತ್ತಿದೆ...")</f>
        <v>ಇನ್ನಷ್ಟು ಲೋಡ್ ಆಗುತ್ತಿದೆ...</v>
      </c>
      <c r="W86" s="4" t="str">
        <f>IFERROR(__xludf.DUMMYFUNCTION("GOOGLETRANSLATE(B86,""en"",""ml"")"),"കൂടുതൽ ലോഡുചെയ്യുന്നു...")</f>
        <v>കൂടുതൽ ലോഡുചെയ്യുന്നു...</v>
      </c>
      <c r="X86" s="4" t="str">
        <f>IFERROR(__xludf.DUMMYFUNCTION("GOOGLETRANSLATE(B86,""en"",""th"")"),"กำลังโหลดเพิ่มเติม...")</f>
        <v>กำลังโหลดเพิ่มเติม...</v>
      </c>
      <c r="Y86" s="4" t="str">
        <f>IFERROR(__xludf.DUMMYFUNCTION("GOOGLETRANSLATE(B86,""en"",""ko"")"),"더 많은 내용을 로딩 중입니다...")</f>
        <v>더 많은 내용을 로딩 중입니다...</v>
      </c>
      <c r="Z86" s="4" t="str">
        <f>IFERROR(__xludf.DUMMYFUNCTION("GOOGLETRANSLATE(B86,""en"",""zh"")"),"正在加载更多...")</f>
        <v>正在加载更多...</v>
      </c>
      <c r="AA86" s="4" t="str">
        <f>IFERROR(__xludf.DUMMYFUNCTION("GOOGLETRANSLATE(B86,""en"",""zh-TW"")"),"正在加載更多...")</f>
        <v>正在加載更多...</v>
      </c>
      <c r="AB86" s="4" t="str">
        <f>IFERROR(__xludf.DUMMYFUNCTION("GOOGLETRANSLATE(B86,""en"",""ja"")"),"さらに読み込み中...")</f>
        <v>さらに読み込み中...</v>
      </c>
      <c r="AC86" s="4" t="str">
        <f>IFERROR(__xludf.DUMMYFUNCTION("GOOGLETRANSLATE(B86,""en"",""bg"")"),"Зареждат се още...")</f>
        <v>Зареждат се още...</v>
      </c>
      <c r="AD86" s="4" t="str">
        <f>IFERROR(__xludf.DUMMYFUNCTION("GOOGLETRANSLATE(B86,""en"",""cs"")"),"Načítání dalších...")</f>
        <v>Načítání dalších...</v>
      </c>
      <c r="AE86" s="4" t="str">
        <f>IFERROR(__xludf.DUMMYFUNCTION("GOOGLETRANSLATE(B86,""en"",""da"")"),"Indlæser mere...")</f>
        <v>Indlæser mere...</v>
      </c>
      <c r="AF86" s="4" t="str">
        <f>IFERROR(__xludf.DUMMYFUNCTION("GOOGLETRANSLATE(B86,""en"",""el"")"),"Φόρτωση περισσότερων...")</f>
        <v>Φόρτωση περισσότερων...</v>
      </c>
      <c r="AG86" s="4" t="str">
        <f>IFERROR(__xludf.DUMMYFUNCTION("GOOGLETRANSLATE(B86,""en"",""et"")"),"Rohkemate laadimine...")</f>
        <v>Rohkemate laadimine...</v>
      </c>
      <c r="AH86" s="4" t="str">
        <f>IFERROR(__xludf.DUMMYFUNCTION("GOOGLETRANSLATE(B86,""en"",""fi"")"),"Ladataan lisää...")</f>
        <v>Ladataan lisää...</v>
      </c>
      <c r="AI86" s="4" t="str">
        <f>IFERROR(__xludf.DUMMYFUNCTION("GOOGLETRANSLATE(B86,""en"",""hr"")"),"Učitavanje više...")</f>
        <v>Učitavanje više...</v>
      </c>
      <c r="AJ86" s="4" t="str">
        <f>IFERROR(__xludf.DUMMYFUNCTION("GOOGLETRANSLATE(B86,""en"",""hu"")"),"Továbbiak betöltése...")</f>
        <v>Továbbiak betöltése...</v>
      </c>
      <c r="AK86" s="4" t="str">
        <f>IFERROR(__xludf.DUMMYFUNCTION("GOOGLETRANSLATE(B86,""en"",""hy"")"),"Բեռնվում է ավելին...")</f>
        <v>Բեռնվում է ավելին...</v>
      </c>
      <c r="AL86" s="4" t="str">
        <f>IFERROR(__xludf.DUMMYFUNCTION("GOOGLETRANSLATE(B86,""en"",""ca"")"),"Carregant més...")</f>
        <v>Carregant més...</v>
      </c>
      <c r="AM86" s="4" t="str">
        <f>IFERROR(__xludf.DUMMYFUNCTION("GOOGLETRANSLATE(B86,""en"",""nl"")"),"Meer laden...")</f>
        <v>Meer laden...</v>
      </c>
      <c r="AN86" s="4" t="str">
        <f>IFERROR(__xludf.DUMMYFUNCTION("GOOGLETRANSLATE(B86,""en"",""he"")"),"טוען עוד...")</f>
        <v>טוען עוד...</v>
      </c>
      <c r="AO86" s="4" t="str">
        <f>IFERROR(__xludf.DUMMYFUNCTION("GOOGLETRANSLATE(B86,""en"",""is"")"),"Hleður meira...")</f>
        <v>Hleður meira...</v>
      </c>
      <c r="AP86" s="4" t="str">
        <f>IFERROR(__xludf.DUMMYFUNCTION("GOOGLETRANSLATE(B86,""en"",""no"")"),"Laster inn mer...")</f>
        <v>Laster inn mer...</v>
      </c>
      <c r="AQ86" s="4" t="str">
        <f>IFERROR(__xludf.DUMMYFUNCTION("GOOGLETRANSLATE(B86,""en"",""fa"")"),"در حال بارگیری بیشتر...")</f>
        <v>در حال بارگیری بیشتر...</v>
      </c>
      <c r="AR86" s="4" t="str">
        <f>IFERROR(__xludf.DUMMYFUNCTION("GOOGLETRANSLATE(B86,""en"",""pl"")"),"Ładowanie więcej...")</f>
        <v>Ładowanie więcej...</v>
      </c>
      <c r="AS86" s="4" t="str">
        <f>IFERROR(__xludf.DUMMYFUNCTION("GOOGLETRANSLATE(B86,""en"",""sv"")"),"Läser in mer...")</f>
        <v>Läser in mer...</v>
      </c>
      <c r="AT86" s="4" t="str">
        <f>IFERROR(__xludf.DUMMYFUNCTION("GOOGLETRANSLATE(B86,""en"",""uk"")"),"Завантаження більше...")</f>
        <v>Завантаження більше...</v>
      </c>
      <c r="AU86" s="4" t="str">
        <f>IFERROR(__xludf.DUMMYFUNCTION("GOOGLETRANSLATE(B86,""en"",""zu"")"),"Ilayisha okwengeziwe...")</f>
        <v>Ilayisha okwengeziwe...</v>
      </c>
      <c r="AV86" s="4" t="str">
        <f>IFERROR(__xludf.DUMMYFUNCTION("GOOGLETRANSLATE(B86,""en"",""sr"")"),"Учитавање више...")</f>
        <v>Учитавање више...</v>
      </c>
    </row>
    <row r="87">
      <c r="A87" s="3" t="s">
        <v>213</v>
      </c>
      <c r="B87" s="3" t="s">
        <v>214</v>
      </c>
      <c r="C87" s="4" t="str">
        <f>IFERROR(__xludf.DUMMYFUNCTION("GOOGLETRANSLATE(B87,""en"",""ta"")"),"ஏற்றுவதற்கு இனி பயன்பாட்டு வழக்குகள் இல்லை")</f>
        <v>ஏற்றுவதற்கு இனி பயன்பாட்டு வழக்குகள் இல்லை</v>
      </c>
      <c r="D87" s="4" t="str">
        <f>IFERROR(__xludf.DUMMYFUNCTION("GOOGLETRANSLATE(B87,""en"",""hi"")"),"अब लोड करने के लिए कोई उपयोग मामले नहीं")</f>
        <v>अब लोड करने के लिए कोई उपयोग मामले नहीं</v>
      </c>
      <c r="E87" s="4" t="str">
        <f>IFERROR(__xludf.DUMMYFUNCTION("GOOGLETRANSLATE(B87,""en"",""id"")"),"Tidak ada lagi kasus penggunaan yang harus dimuat")</f>
        <v>Tidak ada lagi kasus penggunaan yang harus dimuat</v>
      </c>
      <c r="F87" s="4" t="str">
        <f>IFERROR(__xludf.DUMMYFUNCTION("GOOGLETRANSLATE(B87,""en"",""ms"")"),"Tiada lagi kes penggunaan untuk dimuatkan")</f>
        <v>Tiada lagi kes penggunaan untuk dimuatkan</v>
      </c>
      <c r="G87" s="4" t="str">
        <f>IFERROR(__xludf.DUMMYFUNCTION("GOOGLETRANSLATE(B87,""en"",""de"")"),"Keine weiteren Anwendungsfälle zum Laden")</f>
        <v>Keine weiteren Anwendungsfälle zum Laden</v>
      </c>
      <c r="H87" s="4" t="str">
        <f>IFERROR(__xludf.DUMMYFUNCTION("GOOGLETRANSLATE(B87,""en"",""es"")"),"No hay más casos de uso para cargar")</f>
        <v>No hay más casos de uso para cargar</v>
      </c>
      <c r="I87" s="4" t="str">
        <f>IFERROR(__xludf.DUMMYFUNCTION("GOOGLETRANSLATE(B87,""en"",""fr"")"),"Plus de cas d'utilisation à charger")</f>
        <v>Plus de cas d'utilisation à charger</v>
      </c>
      <c r="J87" s="4" t="str">
        <f>IFERROR(__xludf.DUMMYFUNCTION("GOOGLETRANSLATE(B87,""en"",""it"")"),"Non ci sono più casi d'uso da caricare")</f>
        <v>Non ci sono più casi d'uso da caricare</v>
      </c>
      <c r="K87" s="4" t="str">
        <f>IFERROR(__xludf.DUMMYFUNCTION("GOOGLETRANSLATE(B87,""en"",""pt"")"),"Não há mais casos de uso para carregar")</f>
        <v>Não há mais casos de uso para carregar</v>
      </c>
      <c r="L87" s="4" t="str">
        <f>IFERROR(__xludf.DUMMYFUNCTION("GOOGLETRANSLATE(B87,""en"",""ro"")"),"Nu mai există cazuri de utilizare pentru încărcare")</f>
        <v>Nu mai există cazuri de utilizare pentru încărcare</v>
      </c>
      <c r="M87" s="4" t="str">
        <f>IFERROR(__xludf.DUMMYFUNCTION("GOOGLETRANSLATE(B87,""en"",""vi"")"),"Không còn trường hợp sử dụng nào để tải nữa")</f>
        <v>Không còn trường hợp sử dụng nào để tải nữa</v>
      </c>
      <c r="N87" s="4" t="str">
        <f>IFERROR(__xludf.DUMMYFUNCTION("GOOGLETRANSLATE(B87,""en"",""ru"")"),"Больше нет вариантов использования для загрузки")</f>
        <v>Больше нет вариантов использования для загрузки</v>
      </c>
      <c r="O87" s="4" t="str">
        <f>IFERROR(__xludf.DUMMYFUNCTION("GOOGLETRANSLATE(B87,""en"",""tr"")"),"Yüklenecek başka kullanım durumu yok")</f>
        <v>Yüklenecek başka kullanım durumu yok</v>
      </c>
      <c r="P87" s="4" t="str">
        <f>IFERROR(__xludf.DUMMYFUNCTION("GOOGLETRANSLATE(B87,""en"",""ar"")"),"لا مزيد من حالات الاستخدام للتحميل")</f>
        <v>لا مزيد من حالات الاستخدام للتحميل</v>
      </c>
      <c r="Q87" s="4" t="str">
        <f>IFERROR(__xludf.DUMMYFUNCTION("GOOGLETRANSLATE(B87,""en"",""mr"")"),"लोड करण्यासाठी आणखी केसेस वापरण्याची गरज नाही")</f>
        <v>लोड करण्यासाठी आणखी केसेस वापरण्याची गरज नाही</v>
      </c>
      <c r="R87" s="4" t="str">
        <f>IFERROR(__xludf.DUMMYFUNCTION("GOOGLETRANSLATE(B87,""en"",""gu"")"),"લોડ કરવા માટે વધુ ઉપયોગ કેસ નથી")</f>
        <v>લોડ કરવા માટે વધુ ઉપયોગ કેસ નથી</v>
      </c>
      <c r="S87" s="4" t="str">
        <f>IFERROR(__xludf.DUMMYFUNCTION("GOOGLETRANSLATE(B87,""en"",""bn"")"),"লোড করার জন্য আর কোন ক্ষেত্রে ব্যবহার করা যাবে না")</f>
        <v>লোড করার জন্য আর কোন ক্ষেত্রে ব্যবহার করা যাবে না</v>
      </c>
      <c r="T87" s="4" t="str">
        <f>IFERROR(__xludf.DUMMYFUNCTION("GOOGLETRANSLATE(B87,""en"",""pa"")"),"ਲੋਡ ਕਰਨ ਲਈ ਕੋਈ ਹੋਰ ਵਰਤੋਂ ਦੇ ਕੇਸ ਨਹੀਂ ਹਨ")</f>
        <v>ਲੋਡ ਕਰਨ ਲਈ ਕੋਈ ਹੋਰ ਵਰਤੋਂ ਦੇ ਕੇਸ ਨਹੀਂ ਹਨ</v>
      </c>
      <c r="U87" s="4" t="str">
        <f>IFERROR(__xludf.DUMMYFUNCTION("GOOGLETRANSLATE(B87,""en"",""te"")"),"లోడ్ చేయడానికి మరిన్ని వినియోగ సందర్భాలు లేవు")</f>
        <v>లోడ్ చేయడానికి మరిన్ని వినియోగ సందర్భాలు లేవు</v>
      </c>
      <c r="V87" s="4" t="str">
        <f>IFERROR(__xludf.DUMMYFUNCTION("GOOGLETRANSLATE(B87,""en"",""kn"")"),"ಲೋಡ್ ಮಾಡಲು ಹೆಚ್ಚಿನ ಬಳಕೆಯ ಪ್ರಕರಣಗಳಿಲ್ಲ")</f>
        <v>ಲೋಡ್ ಮಾಡಲು ಹೆಚ್ಚಿನ ಬಳಕೆಯ ಪ್ರಕರಣಗಳಿಲ್ಲ</v>
      </c>
      <c r="W87" s="4" t="str">
        <f>IFERROR(__xludf.DUMMYFUNCTION("GOOGLETRANSLATE(B87,""en"",""ml"")"),"ലോഡുചെയ്യാൻ കൂടുതൽ ഉപയോഗ കേസുകളൊന്നുമില്ല")</f>
        <v>ലോഡുചെയ്യാൻ കൂടുതൽ ഉപയോഗ കേസുകളൊന്നുമില്ല</v>
      </c>
      <c r="X87" s="4" t="str">
        <f>IFERROR(__xludf.DUMMYFUNCTION("GOOGLETRANSLATE(B87,""en"",""th"")"),"ไม่มีกรณีใช้งานอีกต่อไปที่จะโหลด")</f>
        <v>ไม่มีกรณีใช้งานอีกต่อไปที่จะโหลด</v>
      </c>
      <c r="Y87" s="4" t="str">
        <f>IFERROR(__xludf.DUMMYFUNCTION("GOOGLETRANSLATE(B87,""en"",""ko"")"),"더 이상 로드할 사용 사례가 없습니다.")</f>
        <v>더 이상 로드할 사용 사례가 없습니다.</v>
      </c>
      <c r="Z87" s="4" t="str">
        <f>IFERROR(__xludf.DUMMYFUNCTION("GOOGLETRANSLATE(B87,""en"",""zh"")"),"不再需要加载用例")</f>
        <v>不再需要加载用例</v>
      </c>
      <c r="AA87" s="4" t="str">
        <f>IFERROR(__xludf.DUMMYFUNCTION("GOOGLETRANSLATE(B87,""en"",""zh-TW"")"),"不再需要載入用例")</f>
        <v>不再需要載入用例</v>
      </c>
      <c r="AB87" s="4" t="str">
        <f>IFERROR(__xludf.DUMMYFUNCTION("GOOGLETRANSLATE(B87,""en"",""ja"")"),"ロードするユースケースがなくなりました")</f>
        <v>ロードするユースケースがなくなりました</v>
      </c>
      <c r="AC87" s="4" t="str">
        <f>IFERROR(__xludf.DUMMYFUNCTION("GOOGLETRANSLATE(B87,""en"",""bg"")"),"Няма повече случаи на употреба за зареждане")</f>
        <v>Няма повече случаи на употреба за зареждане</v>
      </c>
      <c r="AD87" s="4" t="str">
        <f>IFERROR(__xludf.DUMMYFUNCTION("GOOGLETRANSLATE(B87,""en"",""cs"")"),"Žádné další případy použití k načítání")</f>
        <v>Žádné další případy použití k načítání</v>
      </c>
      <c r="AE87" s="4" t="str">
        <f>IFERROR(__xludf.DUMMYFUNCTION("GOOGLETRANSLATE(B87,""en"",""da"")"),"Ikke flere use cases at indlæse")</f>
        <v>Ikke flere use cases at indlæse</v>
      </c>
      <c r="AF87" s="4" t="str">
        <f>IFERROR(__xludf.DUMMYFUNCTION("GOOGLETRANSLATE(B87,""en"",""el"")"),"Δεν υπάρχουν άλλες θήκες για φόρτωση")</f>
        <v>Δεν υπάρχουν άλλες θήκες για φόρτωση</v>
      </c>
      <c r="AG87" s="4" t="str">
        <f>IFERROR(__xludf.DUMMYFUNCTION("GOOGLETRANSLATE(B87,""en"",""et"")"),"Laadimiseks pole enam kasutusjuhtumeid")</f>
        <v>Laadimiseks pole enam kasutusjuhtumeid</v>
      </c>
      <c r="AH87" s="4" t="str">
        <f>IFERROR(__xludf.DUMMYFUNCTION("GOOGLETRANSLATE(B87,""en"",""fi"")"),"Ei enää lataustapoja")</f>
        <v>Ei enää lataustapoja</v>
      </c>
      <c r="AI87" s="4" t="str">
        <f>IFERROR(__xludf.DUMMYFUNCTION("GOOGLETRANSLATE(B87,""en"",""hr"")"),"Nema više slučajeva upotrebe za učitavanje")</f>
        <v>Nema više slučajeva upotrebe za učitavanje</v>
      </c>
      <c r="AJ87" s="4" t="str">
        <f>IFERROR(__xludf.DUMMYFUNCTION("GOOGLETRANSLATE(B87,""en"",""hu"")"),"Nincs több használati eset a betöltésre")</f>
        <v>Nincs több használati eset a betöltésre</v>
      </c>
      <c r="AK87" s="4" t="str">
        <f>IFERROR(__xludf.DUMMYFUNCTION("GOOGLETRANSLATE(B87,""en"",""hy"")"),"Բեռնելու համար այլևս օգտագործեք դեպքեր")</f>
        <v>Բեռնելու համար այլևս օգտագործեք դեպքեր</v>
      </c>
      <c r="AL87" s="4" t="str">
        <f>IFERROR(__xludf.DUMMYFUNCTION("GOOGLETRANSLATE(B87,""en"",""ca"")"),"No hi ha més casos d'ús per carregar")</f>
        <v>No hi ha més casos d'ús per carregar</v>
      </c>
      <c r="AM87" s="4" t="str">
        <f>IFERROR(__xludf.DUMMYFUNCTION("GOOGLETRANSLATE(B87,""en"",""nl"")"),"Geen use cases meer om te laden")</f>
        <v>Geen use cases meer om te laden</v>
      </c>
      <c r="AN87" s="4" t="str">
        <f>IFERROR(__xludf.DUMMYFUNCTION("GOOGLETRANSLATE(B87,""en"",""he"")"),"אין יותר מקרי שימוש לטעינה")</f>
        <v>אין יותר מקרי שימוש לטעינה</v>
      </c>
      <c r="AO87" s="4" t="str">
        <f>IFERROR(__xludf.DUMMYFUNCTION("GOOGLETRANSLATE(B87,""en"",""is"")"),"Ekki lengur nota tilvik til að hlaða")</f>
        <v>Ekki lengur nota tilvik til að hlaða</v>
      </c>
      <c r="AP87" s="4" t="str">
        <f>IFERROR(__xludf.DUMMYFUNCTION("GOOGLETRANSLATE(B87,""en"",""no"")"),"Ingen flere brukstilfeller å laste")</f>
        <v>Ingen flere brukstilfeller å laste</v>
      </c>
      <c r="AQ87" s="4" t="str">
        <f>IFERROR(__xludf.DUMMYFUNCTION("GOOGLETRANSLATE(B87,""en"",""fa"")"),"دیگر از موارد استفاده برای بارگذاری استفاده نمی شود")</f>
        <v>دیگر از موارد استفاده برای بارگذاری استفاده نمی شود</v>
      </c>
      <c r="AR87" s="4" t="str">
        <f>IFERROR(__xludf.DUMMYFUNCTION("GOOGLETRANSLATE(B87,""en"",""pl"")"),"Nie ma już przypadków użycia do załadowania")</f>
        <v>Nie ma już przypadków użycia do załadowania</v>
      </c>
      <c r="AS87" s="4" t="str">
        <f>IFERROR(__xludf.DUMMYFUNCTION("GOOGLETRANSLATE(B87,""en"",""sv"")"),"Inga fler användningsfall att ladda")</f>
        <v>Inga fler användningsfall att ladda</v>
      </c>
      <c r="AT87" s="4" t="str">
        <f>IFERROR(__xludf.DUMMYFUNCTION("GOOGLETRANSLATE(B87,""en"",""uk"")"),"Більше не потрібно завантажувати випадки використання")</f>
        <v>Більше не потрібно завантажувати випадки використання</v>
      </c>
      <c r="AU87" s="4" t="str">
        <f>IFERROR(__xludf.DUMMYFUNCTION("GOOGLETRANSLATE(B87,""en"",""zu"")"),"Azisekho izimo zokusebenzisa ukulayisha")</f>
        <v>Azisekho izimo zokusebenzisa ukulayisha</v>
      </c>
      <c r="AV87" s="4" t="str">
        <f>IFERROR(__xludf.DUMMYFUNCTION("GOOGLETRANSLATE(B87,""en"",""sr"")"),"Нема више случајева употребе за учитавање")</f>
        <v>Нема више случајева употребе за учитавање</v>
      </c>
    </row>
    <row r="88">
      <c r="A88" s="3" t="s">
        <v>215</v>
      </c>
      <c r="B88" s="3" t="s">
        <v>216</v>
      </c>
      <c r="C88" s="4" t="str">
        <f>IFERROR(__xludf.DUMMYFUNCTION("GOOGLETRANSLATE(B88,""en"",""ta"")"),"பிழை: {{error}}")</f>
        <v>பிழை: {{error}}</v>
      </c>
      <c r="D88" s="4" t="str">
        <f>IFERROR(__xludf.DUMMYFUNCTION("GOOGLETRANSLATE(B88,""en"",""hi"")"),"त्रुटि: {{त्रुटि}}")</f>
        <v>त्रुटि: {{त्रुटि}}</v>
      </c>
      <c r="E88" s="4" t="str">
        <f>IFERROR(__xludf.DUMMYFUNCTION("GOOGLETRANSLATE(B88,""en"",""id"")"),"Kesalahan: {{error}}")</f>
        <v>Kesalahan: {{error}}</v>
      </c>
      <c r="F88" s="4" t="str">
        <f>IFERROR(__xludf.DUMMYFUNCTION("GOOGLETRANSLATE(B88,""en"",""ms"")"),"Ralat: {{error}}")</f>
        <v>Ralat: {{error}}</v>
      </c>
      <c r="G88" s="4" t="str">
        <f>IFERROR(__xludf.DUMMYFUNCTION("GOOGLETRANSLATE(B88,""en"",""de"")"),"Fehler: {{error}}")</f>
        <v>Fehler: {{error}}</v>
      </c>
      <c r="H88" s="4" t="str">
        <f>IFERROR(__xludf.DUMMYFUNCTION("GOOGLETRANSLATE(B88,""en"",""es"")"),"Error: {{error}}")</f>
        <v>Error: {{error}}</v>
      </c>
      <c r="I88" s="4" t="str">
        <f>IFERROR(__xludf.DUMMYFUNCTION("GOOGLETRANSLATE(B88,""en"",""fr"")"),"Erreur : {{error}}")</f>
        <v>Erreur : {{error}}</v>
      </c>
      <c r="J88" s="4" t="str">
        <f>IFERROR(__xludf.DUMMYFUNCTION("GOOGLETRANSLATE(B88,""en"",""it"")"),"Errore: {{errore}}")</f>
        <v>Errore: {{errore}}</v>
      </c>
      <c r="K88" s="4" t="str">
        <f>IFERROR(__xludf.DUMMYFUNCTION("GOOGLETRANSLATE(B88,""en"",""pt"")"),"Erro: {{error}}")</f>
        <v>Erro: {{error}}</v>
      </c>
      <c r="L88" s="4" t="str">
        <f>IFERROR(__xludf.DUMMYFUNCTION("GOOGLETRANSLATE(B88,""en"",""ro"")"),"Eroare: {{eroare}}")</f>
        <v>Eroare: {{eroare}}</v>
      </c>
      <c r="M88" s="4" t="str">
        <f>IFERROR(__xludf.DUMMYFUNCTION("GOOGLETRANSLATE(B88,""en"",""vi"")"),"Lỗi: {{error}}")</f>
        <v>Lỗi: {{error}}</v>
      </c>
      <c r="N88" s="4" t="str">
        <f>IFERROR(__xludf.DUMMYFUNCTION("GOOGLETRANSLATE(B88,""en"",""ru"")"),"Ошибка: {{error}}")</f>
        <v>Ошибка: {{error}}</v>
      </c>
      <c r="O88" s="4" t="str">
        <f>IFERROR(__xludf.DUMMYFUNCTION("GOOGLETRANSLATE(B88,""en"",""tr"")"),"Hata: {{hata}}")</f>
        <v>Hata: {{hata}}</v>
      </c>
      <c r="P88" s="4" t="str">
        <f>IFERROR(__xludf.DUMMYFUNCTION("GOOGLETRANSLATE(B88,""en"",""ar"")"),"خطأ: {{error}}")</f>
        <v>خطأ: {{error}}</v>
      </c>
      <c r="Q88" s="4" t="str">
        <f>IFERROR(__xludf.DUMMYFUNCTION("GOOGLETRANSLATE(B88,""en"",""mr"")"),"त्रुटी: {{error}}")</f>
        <v>त्रुटी: {{error}}</v>
      </c>
      <c r="R88" s="4" t="str">
        <f>IFERROR(__xludf.DUMMYFUNCTION("GOOGLETRANSLATE(B88,""en"",""gu"")"),"ભૂલ: {{error}}")</f>
        <v>ભૂલ: {{error}}</v>
      </c>
      <c r="S88" s="4" t="str">
        <f>IFERROR(__xludf.DUMMYFUNCTION("GOOGLETRANSLATE(B88,""en"",""bn"")"),"ত্রুটি: {{error}}")</f>
        <v>ত্রুটি: {{error}}</v>
      </c>
      <c r="T88" s="4" t="str">
        <f>IFERROR(__xludf.DUMMYFUNCTION("GOOGLETRANSLATE(B88,""en"",""pa"")"),"ਗਲਤੀ: {{error}}")</f>
        <v>ਗਲਤੀ: {{error}}</v>
      </c>
      <c r="U88" s="4" t="str">
        <f>IFERROR(__xludf.DUMMYFUNCTION("GOOGLETRANSLATE(B88,""en"",""te"")"),"లోపం: {{error}}")</f>
        <v>లోపం: {{error}}</v>
      </c>
      <c r="V88" s="4" t="str">
        <f>IFERROR(__xludf.DUMMYFUNCTION("GOOGLETRANSLATE(B88,""en"",""kn"")"),"ದೋಷ: {{error}}")</f>
        <v>ದೋಷ: {{error}}</v>
      </c>
      <c r="W88" s="4" t="str">
        <f>IFERROR(__xludf.DUMMYFUNCTION("GOOGLETRANSLATE(B88,""en"",""ml"")"),"പിശക്: {{error}}")</f>
        <v>പിശക്: {{error}}</v>
      </c>
      <c r="X88" s="4" t="str">
        <f>IFERROR(__xludf.DUMMYFUNCTION("GOOGLETRANSLATE(B88,""en"",""th"")"),"ข้อผิดพลาด: {{ข้อผิดพลาด}}")</f>
        <v>ข้อผิดพลาด: {{ข้อผิดพลาด}}</v>
      </c>
      <c r="Y88" s="4" t="str">
        <f>IFERROR(__xludf.DUMMYFUNCTION("GOOGLETRANSLATE(B88,""en"",""ko"")"),"오류: {{error}}")</f>
        <v>오류: {{error}}</v>
      </c>
      <c r="Z88" s="4" t="str">
        <f>IFERROR(__xludf.DUMMYFUNCTION("GOOGLETRANSLATE(B88,""en"",""zh"")"),"错误：{{error}}")</f>
        <v>错误：{{error}}</v>
      </c>
      <c r="AA88" s="4" t="str">
        <f>IFERROR(__xludf.DUMMYFUNCTION("GOOGLETRANSLATE(B88,""en"",""zh-TW"")"),"錯誤：{{error}}")</f>
        <v>錯誤：{{error}}</v>
      </c>
      <c r="AB88" s="4" t="str">
        <f>IFERROR(__xludf.DUMMYFUNCTION("GOOGLETRANSLATE(B88,""en"",""ja"")"),"エラー: {{error}}")</f>
        <v>エラー: {{error}}</v>
      </c>
      <c r="AC88" s="4" t="str">
        <f>IFERROR(__xludf.DUMMYFUNCTION("GOOGLETRANSLATE(B88,""en"",""bg"")"),"Грешка: {{error}}")</f>
        <v>Грешка: {{error}}</v>
      </c>
      <c r="AD88" s="4" t="str">
        <f>IFERROR(__xludf.DUMMYFUNCTION("GOOGLETRANSLATE(B88,""en"",""cs"")"),"Chyba: {{error}}")</f>
        <v>Chyba: {{error}}</v>
      </c>
      <c r="AE88" s="4" t="str">
        <f>IFERROR(__xludf.DUMMYFUNCTION("GOOGLETRANSLATE(B88,""en"",""da"")"),"Fejl: {{fejl}}")</f>
        <v>Fejl: {{fejl}}</v>
      </c>
      <c r="AF88" s="4" t="str">
        <f>IFERROR(__xludf.DUMMYFUNCTION("GOOGLETRANSLATE(B88,""en"",""el"")"),"Σφάλμα: {{σφάλμα}}")</f>
        <v>Σφάλμα: {{σφάλμα}}</v>
      </c>
      <c r="AG88" s="4" t="str">
        <f>IFERROR(__xludf.DUMMYFUNCTION("GOOGLETRANSLATE(B88,""en"",""et"")"),"Viga: {{error}}")</f>
        <v>Viga: {{error}}</v>
      </c>
      <c r="AH88" s="4" t="str">
        <f>IFERROR(__xludf.DUMMYFUNCTION("GOOGLETRANSLATE(B88,""en"",""fi"")"),"Virhe: {{error}}")</f>
        <v>Virhe: {{error}}</v>
      </c>
      <c r="AI88" s="4" t="str">
        <f>IFERROR(__xludf.DUMMYFUNCTION("GOOGLETRANSLATE(B88,""en"",""hr"")"),"Greška: {{greška}}")</f>
        <v>Greška: {{greška}}</v>
      </c>
      <c r="AJ88" s="4" t="str">
        <f>IFERROR(__xludf.DUMMYFUNCTION("GOOGLETRANSLATE(B88,""en"",""hu"")"),"Hiba: {{error}}")</f>
        <v>Hiba: {{error}}</v>
      </c>
      <c r="AK88" s="4" t="str">
        <f>IFERROR(__xludf.DUMMYFUNCTION("GOOGLETRANSLATE(B88,""en"",""hy"")"),"Սխալ՝ {{սխալ}}")</f>
        <v>Սխալ՝ {{սխալ}}</v>
      </c>
      <c r="AL88" s="4" t="str">
        <f>IFERROR(__xludf.DUMMYFUNCTION("GOOGLETRANSLATE(B88,""en"",""ca"")"),"Error: {{error}}")</f>
        <v>Error: {{error}}</v>
      </c>
      <c r="AM88" s="4" t="str">
        <f>IFERROR(__xludf.DUMMYFUNCTION("GOOGLETRANSLATE(B88,""en"",""nl"")"),"Fout: {{error}}")</f>
        <v>Fout: {{error}}</v>
      </c>
      <c r="AN88" s="4" t="str">
        <f>IFERROR(__xludf.DUMMYFUNCTION("GOOGLETRANSLATE(B88,""en"",""he"")"),"שגיאה: {{שגיאה}}")</f>
        <v>שגיאה: {{שגיאה}}</v>
      </c>
      <c r="AO88" s="4" t="str">
        <f>IFERROR(__xludf.DUMMYFUNCTION("GOOGLETRANSLATE(B88,""en"",""is"")"),"Villa: {{villa}}")</f>
        <v>Villa: {{villa}}</v>
      </c>
      <c r="AP88" s="4" t="str">
        <f>IFERROR(__xludf.DUMMYFUNCTION("GOOGLETRANSLATE(B88,""en"",""no"")"),"Feil: {{error}}")</f>
        <v>Feil: {{error}}</v>
      </c>
      <c r="AQ88" s="4" t="str">
        <f>IFERROR(__xludf.DUMMYFUNCTION("GOOGLETRANSLATE(B88,""en"",""fa"")"),"خطا: {{خطا}}")</f>
        <v>خطا: {{خطا}}</v>
      </c>
      <c r="AR88" s="4" t="str">
        <f>IFERROR(__xludf.DUMMYFUNCTION("GOOGLETRANSLATE(B88,""en"",""pl"")"),"Błąd: {{error}}")</f>
        <v>Błąd: {{error}}</v>
      </c>
      <c r="AS88" s="4" t="str">
        <f>IFERROR(__xludf.DUMMYFUNCTION("GOOGLETRANSLATE(B88,""en"",""sv"")"),"Fel: {{error}}")</f>
        <v>Fel: {{error}}</v>
      </c>
      <c r="AT88" s="4" t="str">
        <f>IFERROR(__xludf.DUMMYFUNCTION("GOOGLETRANSLATE(B88,""en"",""uk"")"),"Помилка: {{error}}")</f>
        <v>Помилка: {{error}}</v>
      </c>
      <c r="AU88" s="4" t="str">
        <f>IFERROR(__xludf.DUMMYFUNCTION("GOOGLETRANSLATE(B88,""en"",""zu"")"),"Iphutha: {{iphutha}}")</f>
        <v>Iphutha: {{iphutha}}</v>
      </c>
      <c r="AV88" s="4" t="str">
        <f>IFERROR(__xludf.DUMMYFUNCTION("GOOGLETRANSLATE(B88,""en"",""sr"")"),"Грешка: {{еррор}}")</f>
        <v>Грешка: {{еррор}}</v>
      </c>
    </row>
    <row r="89">
      <c r="A89" s="3" t="s">
        <v>217</v>
      </c>
      <c r="B89" s="3" t="s">
        <v>218</v>
      </c>
      <c r="C89" s="4" t="str">
        <f>IFERROR(__xludf.DUMMYFUNCTION("GOOGLETRANSLATE(B89,""en"",""ta"")"),"மீண்டும் முயற்சிக்கவும்")</f>
        <v>மீண்டும் முயற்சிக்கவும்</v>
      </c>
      <c r="D89" s="4" t="str">
        <f>IFERROR(__xludf.DUMMYFUNCTION("GOOGLETRANSLATE(B89,""en"",""hi"")"),"पुन: प्रयास करें")</f>
        <v>पुन: प्रयास करें</v>
      </c>
      <c r="E89" s="4" t="str">
        <f>IFERROR(__xludf.DUMMYFUNCTION("GOOGLETRANSLATE(B89,""en"",""id"")"),"Mencoba kembali")</f>
        <v>Mencoba kembali</v>
      </c>
      <c r="F89" s="4" t="str">
        <f>IFERROR(__xludf.DUMMYFUNCTION("GOOGLETRANSLATE(B89,""en"",""ms"")"),"Cuba semula")</f>
        <v>Cuba semula</v>
      </c>
      <c r="G89" s="4" t="str">
        <f>IFERROR(__xludf.DUMMYFUNCTION("GOOGLETRANSLATE(B89,""en"",""de"")"),"Wiederholen")</f>
        <v>Wiederholen</v>
      </c>
      <c r="H89" s="4" t="str">
        <f>IFERROR(__xludf.DUMMYFUNCTION("GOOGLETRANSLATE(B89,""en"",""es"")"),"Rever")</f>
        <v>Rever</v>
      </c>
      <c r="I89" s="4" t="str">
        <f>IFERROR(__xludf.DUMMYFUNCTION("GOOGLETRANSLATE(B89,""en"",""fr"")"),"Réessayer")</f>
        <v>Réessayer</v>
      </c>
      <c r="J89" s="4" t="str">
        <f>IFERROR(__xludf.DUMMYFUNCTION("GOOGLETRANSLATE(B89,""en"",""it"")"),"Riprova")</f>
        <v>Riprova</v>
      </c>
      <c r="K89" s="4" t="str">
        <f>IFERROR(__xludf.DUMMYFUNCTION("GOOGLETRANSLATE(B89,""en"",""pt"")"),"Tentar novamente")</f>
        <v>Tentar novamente</v>
      </c>
      <c r="L89" s="4" t="str">
        <f>IFERROR(__xludf.DUMMYFUNCTION("GOOGLETRANSLATE(B89,""en"",""ro"")"),"Reîncercați")</f>
        <v>Reîncercați</v>
      </c>
      <c r="M89" s="4" t="str">
        <f>IFERROR(__xludf.DUMMYFUNCTION("GOOGLETRANSLATE(B89,""en"",""vi"")"),"Thử lại")</f>
        <v>Thử lại</v>
      </c>
      <c r="N89" s="4" t="str">
        <f>IFERROR(__xludf.DUMMYFUNCTION("GOOGLETRANSLATE(B89,""en"",""ru"")"),"Повторить попытку")</f>
        <v>Повторить попытку</v>
      </c>
      <c r="O89" s="4" t="str">
        <f>IFERROR(__xludf.DUMMYFUNCTION("GOOGLETRANSLATE(B89,""en"",""tr"")"),"Tekrar dene")</f>
        <v>Tekrar dene</v>
      </c>
      <c r="P89" s="4" t="str">
        <f>IFERROR(__xludf.DUMMYFUNCTION("GOOGLETRANSLATE(B89,""en"",""ar"")"),"إعادة المحاولة")</f>
        <v>إعادة المحاولة</v>
      </c>
      <c r="Q89" s="4" t="str">
        <f>IFERROR(__xludf.DUMMYFUNCTION("GOOGLETRANSLATE(B89,""en"",""mr"")"),"पुन्हा प्रयत्न करा")</f>
        <v>पुन्हा प्रयत्न करा</v>
      </c>
      <c r="R89" s="4" t="str">
        <f>IFERROR(__xludf.DUMMYFUNCTION("GOOGLETRANSLATE(B89,""en"",""gu"")"),"ફરી પ્રયાસ કરો")</f>
        <v>ફરી પ્રયાસ કરો</v>
      </c>
      <c r="S89" s="4" t="str">
        <f>IFERROR(__xludf.DUMMYFUNCTION("GOOGLETRANSLATE(B89,""en"",""bn"")"),"আবার চেষ্টা করুন")</f>
        <v>আবার চেষ্টা করুন</v>
      </c>
      <c r="T89" s="4" t="str">
        <f>IFERROR(__xludf.DUMMYFUNCTION("GOOGLETRANSLATE(B89,""en"",""pa"")"),"ਦੁਬਾਰਾ ਕੋਸ਼ਿਸ਼ ਕਰੋ")</f>
        <v>ਦੁਬਾਰਾ ਕੋਸ਼ਿਸ਼ ਕਰੋ</v>
      </c>
      <c r="U89" s="4" t="str">
        <f>IFERROR(__xludf.DUMMYFUNCTION("GOOGLETRANSLATE(B89,""en"",""te"")"),"మళ్లీ ప్రయత్నించండి")</f>
        <v>మళ్లీ ప్రయత్నించండి</v>
      </c>
      <c r="V89" s="4" t="str">
        <f>IFERROR(__xludf.DUMMYFUNCTION("GOOGLETRANSLATE(B89,""en"",""kn"")"),"ಮರುಪ್ರಯತ್ನಿಸಿ")</f>
        <v>ಮರುಪ್ರಯತ್ನಿಸಿ</v>
      </c>
      <c r="W89" s="4" t="str">
        <f>IFERROR(__xludf.DUMMYFUNCTION("GOOGLETRANSLATE(B89,""en"",""ml"")"),"വീണ്ടും ശ്രമിക്കുക")</f>
        <v>വീണ്ടും ശ്രമിക്കുക</v>
      </c>
      <c r="X89" s="4" t="str">
        <f>IFERROR(__xludf.DUMMYFUNCTION("GOOGLETRANSLATE(B89,""en"",""th"")"),"ลองใหม่อีกครั้ง")</f>
        <v>ลองใหม่อีกครั้ง</v>
      </c>
      <c r="Y89" s="4" t="str">
        <f>IFERROR(__xludf.DUMMYFUNCTION("GOOGLETRANSLATE(B89,""en"",""ko"")"),"다시 해 보다")</f>
        <v>다시 해 보다</v>
      </c>
      <c r="Z89" s="4" t="str">
        <f>IFERROR(__xludf.DUMMYFUNCTION("GOOGLETRANSLATE(B89,""en"",""zh"")"),"重试")</f>
        <v>重试</v>
      </c>
      <c r="AA89" s="4" t="str">
        <f>IFERROR(__xludf.DUMMYFUNCTION("GOOGLETRANSLATE(B89,""en"",""zh-TW"")"),"重試")</f>
        <v>重試</v>
      </c>
      <c r="AB89" s="4" t="str">
        <f>IFERROR(__xludf.DUMMYFUNCTION("GOOGLETRANSLATE(B89,""en"",""ja"")"),"リトライ")</f>
        <v>リトライ</v>
      </c>
      <c r="AC89" s="4" t="str">
        <f>IFERROR(__xludf.DUMMYFUNCTION("GOOGLETRANSLATE(B89,""en"",""bg"")"),"Опитайте отново")</f>
        <v>Опитайте отново</v>
      </c>
      <c r="AD89" s="4" t="str">
        <f>IFERROR(__xludf.DUMMYFUNCTION("GOOGLETRANSLATE(B89,""en"",""cs"")"),"Zkuste to znovu")</f>
        <v>Zkuste to znovu</v>
      </c>
      <c r="AE89" s="4" t="str">
        <f>IFERROR(__xludf.DUMMYFUNCTION("GOOGLETRANSLATE(B89,""en"",""da"")"),"Prøv igen")</f>
        <v>Prøv igen</v>
      </c>
      <c r="AF89" s="4" t="str">
        <f>IFERROR(__xludf.DUMMYFUNCTION("GOOGLETRANSLATE(B89,""en"",""el"")"),"Δοκιμάζω πάλι")</f>
        <v>Δοκιμάζω πάλι</v>
      </c>
      <c r="AG89" s="4" t="str">
        <f>IFERROR(__xludf.DUMMYFUNCTION("GOOGLETRANSLATE(B89,""en"",""et"")"),"Proovi uuesti")</f>
        <v>Proovi uuesti</v>
      </c>
      <c r="AH89" s="4" t="str">
        <f>IFERROR(__xludf.DUMMYFUNCTION("GOOGLETRANSLATE(B89,""en"",""fi"")"),"Yritä uudelleen")</f>
        <v>Yritä uudelleen</v>
      </c>
      <c r="AI89" s="4" t="str">
        <f>IFERROR(__xludf.DUMMYFUNCTION("GOOGLETRANSLATE(B89,""en"",""hr"")"),"Pokušaj ponovo")</f>
        <v>Pokušaj ponovo</v>
      </c>
      <c r="AJ89" s="4" t="str">
        <f>IFERROR(__xludf.DUMMYFUNCTION("GOOGLETRANSLATE(B89,""en"",""hu"")"),"Próbálja újra")</f>
        <v>Próbálja újra</v>
      </c>
      <c r="AK89" s="4" t="str">
        <f>IFERROR(__xludf.DUMMYFUNCTION("GOOGLETRANSLATE(B89,""en"",""hy"")"),"Կրկին փորձեք")</f>
        <v>Կրկին փորձեք</v>
      </c>
      <c r="AL89" s="4" t="str">
        <f>IFERROR(__xludf.DUMMYFUNCTION("GOOGLETRANSLATE(B89,""en"",""ca"")"),"Torna-ho a provar")</f>
        <v>Torna-ho a provar</v>
      </c>
      <c r="AM89" s="4" t="str">
        <f>IFERROR(__xludf.DUMMYFUNCTION("GOOGLETRANSLATE(B89,""en"",""nl"")"),"Opnieuw proberen")</f>
        <v>Opnieuw proberen</v>
      </c>
      <c r="AN89" s="4" t="str">
        <f>IFERROR(__xludf.DUMMYFUNCTION("GOOGLETRANSLATE(B89,""en"",""he"")"),"נסה שוב")</f>
        <v>נסה שוב</v>
      </c>
      <c r="AO89" s="4" t="str">
        <f>IFERROR(__xludf.DUMMYFUNCTION("GOOGLETRANSLATE(B89,""en"",""is"")"),"Reyndu aftur")</f>
        <v>Reyndu aftur</v>
      </c>
      <c r="AP89" s="4" t="str">
        <f>IFERROR(__xludf.DUMMYFUNCTION("GOOGLETRANSLATE(B89,""en"",""no"")"),"Prøv på nytt")</f>
        <v>Prøv på nytt</v>
      </c>
      <c r="AQ89" s="4" t="str">
        <f>IFERROR(__xludf.DUMMYFUNCTION("GOOGLETRANSLATE(B89,""en"",""fa"")"),"دوباره امتحان کنید")</f>
        <v>دوباره امتحان کنید</v>
      </c>
      <c r="AR89" s="4" t="str">
        <f>IFERROR(__xludf.DUMMYFUNCTION("GOOGLETRANSLATE(B89,""en"",""pl"")"),"Spróbować ponownie")</f>
        <v>Spróbować ponownie</v>
      </c>
      <c r="AS89" s="4" t="str">
        <f>IFERROR(__xludf.DUMMYFUNCTION("GOOGLETRANSLATE(B89,""en"",""sv"")"),"Försöka igen")</f>
        <v>Försöka igen</v>
      </c>
      <c r="AT89" s="4" t="str">
        <f>IFERROR(__xludf.DUMMYFUNCTION("GOOGLETRANSLATE(B89,""en"",""uk"")"),"Повторіть спробу")</f>
        <v>Повторіть спробу</v>
      </c>
      <c r="AU89" s="4" t="str">
        <f>IFERROR(__xludf.DUMMYFUNCTION("GOOGLETRANSLATE(B89,""en"",""zu"")"),"Zama futhi")</f>
        <v>Zama futhi</v>
      </c>
      <c r="AV89" s="4" t="str">
        <f>IFERROR(__xludf.DUMMYFUNCTION("GOOGLETRANSLATE(B89,""en"",""sr"")"),"Покушајте поново")</f>
        <v>Покушајте поново</v>
      </c>
    </row>
    <row r="90">
      <c r="A90" s="3" t="s">
        <v>219</v>
      </c>
      <c r="B90" s="3" t="s">
        <v>220</v>
      </c>
      <c r="C90" s="4" t="str">
        <f>IFERROR(__xludf.DUMMYFUNCTION("GOOGLETRANSLATE(B90,""en"",""ta"")"),"எங்கள் பயன்பாட்டைப் பற்றி சில நல்ல விஷயங்களைச் சொல்லுங்கள்*")</f>
        <v>எங்கள் பயன்பாட்டைப் பற்றி சில நல்ல விஷயங்களைச் சொல்லுங்கள்*</v>
      </c>
      <c r="D90" s="4" t="str">
        <f>IFERROR(__xludf.DUMMYFUNCTION("GOOGLETRANSLATE(B90,""en"",""hi"")"),"हमारे ऐप के बारे में कुछ अच्छी बातें बताएं*")</f>
        <v>हमारे ऐप के बारे में कुछ अच्छी बातें बताएं*</v>
      </c>
      <c r="E90" s="4" t="str">
        <f>IFERROR(__xludf.DUMMYFUNCTION("GOOGLETRANSLATE(B90,""en"",""id"")"),"Ucapkan beberapa hal baik tentang aplikasi kami*")</f>
        <v>Ucapkan beberapa hal baik tentang aplikasi kami*</v>
      </c>
      <c r="F90" s="4" t="str">
        <f>IFERROR(__xludf.DUMMYFUNCTION("GOOGLETRANSLATE(B90,""en"",""ms"")"),"Katakan beberapa perkara yang baik tentang apl kami*")</f>
        <v>Katakan beberapa perkara yang baik tentang apl kami*</v>
      </c>
      <c r="G90" s="4" t="str">
        <f>IFERROR(__xludf.DUMMYFUNCTION("GOOGLETRANSLATE(B90,""en"",""de"")"),"Sagen Sie etwas Gutes über unsere App*")</f>
        <v>Sagen Sie etwas Gutes über unsere App*</v>
      </c>
      <c r="H90" s="4" t="str">
        <f>IFERROR(__xludf.DUMMYFUNCTION("GOOGLETRANSLATE(B90,""en"",""es"")"),"Di algunas cosas buenas sobre nuestra aplicación*")</f>
        <v>Di algunas cosas buenas sobre nuestra aplicación*</v>
      </c>
      <c r="I90" s="4" t="str">
        <f>IFERROR(__xludf.DUMMYFUNCTION("GOOGLETRANSLATE(B90,""en"",""fr"")"),"Dites quelques bonnes choses sur notre application*")</f>
        <v>Dites quelques bonnes choses sur notre application*</v>
      </c>
      <c r="J90" s="4" t="str">
        <f>IFERROR(__xludf.DUMMYFUNCTION("GOOGLETRANSLATE(B90,""en"",""it"")"),"Raccontaci qualcosa di positivo sulla nostra app*")</f>
        <v>Raccontaci qualcosa di positivo sulla nostra app*</v>
      </c>
      <c r="K90" s="4" t="str">
        <f>IFERROR(__xludf.DUMMYFUNCTION("GOOGLETRANSLATE(B90,""en"",""pt"")"),"Diga algumas coisas boas sobre nosso aplicativo*")</f>
        <v>Diga algumas coisas boas sobre nosso aplicativo*</v>
      </c>
      <c r="L90" s="4" t="str">
        <f>IFERROR(__xludf.DUMMYFUNCTION("GOOGLETRANSLATE(B90,""en"",""ro"")"),"Spuneți câteva lucruri bune despre aplicația noastră*")</f>
        <v>Spuneți câteva lucruri bune despre aplicația noastră*</v>
      </c>
      <c r="M90" s="4" t="str">
        <f>IFERROR(__xludf.DUMMYFUNCTION("GOOGLETRANSLATE(B90,""en"",""vi"")"),"Hãy nói một số điều tốt đẹp về ứng dụng của chúng tôi*")</f>
        <v>Hãy nói một số điều tốt đẹp về ứng dụng của chúng tôi*</v>
      </c>
      <c r="N90" s="4" t="str">
        <f>IFERROR(__xludf.DUMMYFUNCTION("GOOGLETRANSLATE(B90,""en"",""ru"")"),"Скажите что-нибудь хорошее о нашем приложении*")</f>
        <v>Скажите что-нибудь хорошее о нашем приложении*</v>
      </c>
      <c r="O90" s="4" t="str">
        <f>IFERROR(__xludf.DUMMYFUNCTION("GOOGLETRANSLATE(B90,""en"",""tr"")"),"Uygulamamız hakkında birkaç güzel şey söyleyin*")</f>
        <v>Uygulamamız hakkında birkaç güzel şey söyleyin*</v>
      </c>
      <c r="P90" s="4" t="str">
        <f>IFERROR(__xludf.DUMMYFUNCTION("GOOGLETRANSLATE(B90,""en"",""ar"")"),"قل بعض الأشياء الجيدة عن تطبيقنا*")</f>
        <v>قل بعض الأشياء الجيدة عن تطبيقنا*</v>
      </c>
      <c r="Q90" s="4" t="str">
        <f>IFERROR(__xludf.DUMMYFUNCTION("GOOGLETRANSLATE(B90,""en"",""mr"")"),"आमच्या ॲपबद्दल काही चांगल्या गोष्टी सांगा*")</f>
        <v>आमच्या ॲपबद्दल काही चांगल्या गोष्टी सांगा*</v>
      </c>
      <c r="R90" s="4" t="str">
        <f>IFERROR(__xludf.DUMMYFUNCTION("GOOGLETRANSLATE(B90,""en"",""gu"")"),"અમારી એપ્લિકેશન વિશે કેટલીક સારી બાબતો કહો*")</f>
        <v>અમારી એપ્લિકેશન વિશે કેટલીક સારી બાબતો કહો*</v>
      </c>
      <c r="S90" s="4" t="str">
        <f>IFERROR(__xludf.DUMMYFUNCTION("GOOGLETRANSLATE(B90,""en"",""bn"")"),"আমাদের অ্যাপ সম্পর্কে কিছু ভালো কথা বলুন*")</f>
        <v>আমাদের অ্যাপ সম্পর্কে কিছু ভালো কথা বলুন*</v>
      </c>
      <c r="T90" s="4" t="str">
        <f>IFERROR(__xludf.DUMMYFUNCTION("GOOGLETRANSLATE(B90,""en"",""pa"")"),"ਸਾਡੀ ਐਪ ਬਾਰੇ ਕੁਝ ਚੰਗੀਆਂ ਗੱਲਾਂ ਕਹੋ*")</f>
        <v>ਸਾਡੀ ਐਪ ਬਾਰੇ ਕੁਝ ਚੰਗੀਆਂ ਗੱਲਾਂ ਕਹੋ*</v>
      </c>
      <c r="U90" s="4" t="str">
        <f>IFERROR(__xludf.DUMMYFUNCTION("GOOGLETRANSLATE(B90,""en"",""te"")"),"మా యాప్ గురించి కొన్ని మంచి విషయాలు చెప్పండి*")</f>
        <v>మా యాప్ గురించి కొన్ని మంచి విషయాలు చెప్పండి*</v>
      </c>
      <c r="V90" s="4" t="str">
        <f>IFERROR(__xludf.DUMMYFUNCTION("GOOGLETRANSLATE(B90,""en"",""kn"")"),"ನಮ್ಮ ಅಪ್ಲಿಕೇಶನ್ ಬಗ್ಗೆ ಕೆಲವು ಒಳ್ಳೆಯ ವಿಷಯಗಳನ್ನು ಹೇಳಿ*")</f>
        <v>ನಮ್ಮ ಅಪ್ಲಿಕೇಶನ್ ಬಗ್ಗೆ ಕೆಲವು ಒಳ್ಳೆಯ ವಿಷಯಗಳನ್ನು ಹೇಳಿ*</v>
      </c>
      <c r="W90" s="4" t="str">
        <f>IFERROR(__xludf.DUMMYFUNCTION("GOOGLETRANSLATE(B90,""en"",""ml"")"),"ഞങ്ങളുടെ ആപ്പിനെക്കുറിച്ച് ചില നല്ല കാര്യങ്ങൾ പറയൂ*")</f>
        <v>ഞങ്ങളുടെ ആപ്പിനെക്കുറിച്ച് ചില നല്ല കാര്യങ്ങൾ പറയൂ*</v>
      </c>
      <c r="X90" s="4" t="str">
        <f>IFERROR(__xludf.DUMMYFUNCTION("GOOGLETRANSLATE(B90,""en"",""th"")"),"พูดสิ่งดีๆ เกี่ยวกับแอพของเรา*")</f>
        <v>พูดสิ่งดีๆ เกี่ยวกับแอพของเรา*</v>
      </c>
      <c r="Y90" s="4" t="str">
        <f>IFERROR(__xludf.DUMMYFUNCTION("GOOGLETRANSLATE(B90,""en"",""ko"")"),"우리 앱에 대한 좋은 이야기를 들려주세요*")</f>
        <v>우리 앱에 대한 좋은 이야기를 들려주세요*</v>
      </c>
      <c r="Z90" s="4" t="str">
        <f>IFERROR(__xludf.DUMMYFUNCTION("GOOGLETRANSLATE(B90,""en"",""zh"")"),"说说我们应用程序的优点*")</f>
        <v>说说我们应用程序的优点*</v>
      </c>
      <c r="AA90" s="4" t="str">
        <f>IFERROR(__xludf.DUMMYFUNCTION("GOOGLETRANSLATE(B90,""en"",""zh-TW"")"),"說說我們應用程式的優點*")</f>
        <v>說說我們應用程式的優點*</v>
      </c>
      <c r="AB90" s="4" t="str">
        <f>IFERROR(__xludf.DUMMYFUNCTION("GOOGLETRANSLATE(B90,""en"",""ja"")"),"当社のアプリについて良いことをお聞かせください*")</f>
        <v>当社のアプリについて良いことをお聞かせください*</v>
      </c>
      <c r="AC90" s="4" t="str">
        <f>IFERROR(__xludf.DUMMYFUNCTION("GOOGLETRANSLATE(B90,""en"",""bg"")"),"Кажете добри неща за нашето приложение*")</f>
        <v>Кажете добри неща за нашето приложение*</v>
      </c>
      <c r="AD90" s="4" t="str">
        <f>IFERROR(__xludf.DUMMYFUNCTION("GOOGLETRANSLATE(B90,""en"",""cs"")"),"Řekněte něco dobrého o naší aplikaci*")</f>
        <v>Řekněte něco dobrého o naší aplikaci*</v>
      </c>
      <c r="AE90" s="4" t="str">
        <f>IFERROR(__xludf.DUMMYFUNCTION("GOOGLETRANSLATE(B90,""en"",""da"")"),"Sig nogle gode ting om vores app*")</f>
        <v>Sig nogle gode ting om vores app*</v>
      </c>
      <c r="AF90" s="4" t="str">
        <f>IFERROR(__xludf.DUMMYFUNCTION("GOOGLETRANSLATE(B90,""en"",""el"")"),"Πείτε μερικά καλά πράγματα για την εφαρμογή μας*")</f>
        <v>Πείτε μερικά καλά πράγματα για την εφαρμογή μας*</v>
      </c>
      <c r="AG90" s="4" t="str">
        <f>IFERROR(__xludf.DUMMYFUNCTION("GOOGLETRANSLATE(B90,""en"",""et"")"),"Öelge meie rakenduse kohta häid sõnu*")</f>
        <v>Öelge meie rakenduse kohta häid sõnu*</v>
      </c>
      <c r="AH90" s="4" t="str">
        <f>IFERROR(__xludf.DUMMYFUNCTION("GOOGLETRANSLATE(B90,""en"",""fi"")"),"Kerro hyviä asioita sovelluksestamme*")</f>
        <v>Kerro hyviä asioita sovelluksestamme*</v>
      </c>
      <c r="AI90" s="4" t="str">
        <f>IFERROR(__xludf.DUMMYFUNCTION("GOOGLETRANSLATE(B90,""en"",""hr"")"),"Recite nešto dobro o našoj aplikaciji*")</f>
        <v>Recite nešto dobro o našoj aplikaciji*</v>
      </c>
      <c r="AJ90" s="4" t="str">
        <f>IFERROR(__xludf.DUMMYFUNCTION("GOOGLETRANSLATE(B90,""en"",""hu"")"),"Mondjon néhány jót az alkalmazásunkról*")</f>
        <v>Mondjon néhány jót az alkalmazásunkról*</v>
      </c>
      <c r="AK90" s="4" t="str">
        <f>IFERROR(__xludf.DUMMYFUNCTION("GOOGLETRANSLATE(B90,""en"",""hy"")"),"Ասեք լավ բաներ մեր հավելվածի մասին*")</f>
        <v>Ասեք լավ բաներ մեր հավելվածի մասին*</v>
      </c>
      <c r="AL90" s="4" t="str">
        <f>IFERROR(__xludf.DUMMYFUNCTION("GOOGLETRANSLATE(B90,""en"",""ca"")"),"Digues coses bones sobre la nostra aplicació*")</f>
        <v>Digues coses bones sobre la nostra aplicació*</v>
      </c>
      <c r="AM90" s="4" t="str">
        <f>IFERROR(__xludf.DUMMYFUNCTION("GOOGLETRANSLATE(B90,""en"",""nl"")"),"Zeg iets positiefs over onze app*")</f>
        <v>Zeg iets positiefs over onze app*</v>
      </c>
      <c r="AN90" s="4" t="str">
        <f>IFERROR(__xludf.DUMMYFUNCTION("GOOGLETRANSLATE(B90,""en"",""he"")"),"אמור כמה דברים טובים על האפליקציה שלנו*")</f>
        <v>אמור כמה דברים טובים על האפליקציה שלנו*</v>
      </c>
      <c r="AO90" s="4" t="str">
        <f>IFERROR(__xludf.DUMMYFUNCTION("GOOGLETRANSLATE(B90,""en"",""is"")"),"Segðu nokkra góða hluti um appið okkar*")</f>
        <v>Segðu nokkra góða hluti um appið okkar*</v>
      </c>
      <c r="AP90" s="4" t="str">
        <f>IFERROR(__xludf.DUMMYFUNCTION("GOOGLETRANSLATE(B90,""en"",""no"")"),"Si noen gode ting om appen vår*")</f>
        <v>Si noen gode ting om appen vår*</v>
      </c>
      <c r="AQ90" s="4" t="str">
        <f>IFERROR(__xludf.DUMMYFUNCTION("GOOGLETRANSLATE(B90,""en"",""fa"")"),"چیزهای خوبی در مورد برنامه ما بگویید*")</f>
        <v>چیزهای خوبی در مورد برنامه ما بگویید*</v>
      </c>
      <c r="AR90" s="4" t="str">
        <f>IFERROR(__xludf.DUMMYFUNCTION("GOOGLETRANSLATE(B90,""en"",""pl"")"),"Powiedz kilka dobrych rzeczy o naszej aplikacji*")</f>
        <v>Powiedz kilka dobrych rzeczy o naszej aplikacji*</v>
      </c>
      <c r="AS90" s="4" t="str">
        <f>IFERROR(__xludf.DUMMYFUNCTION("GOOGLETRANSLATE(B90,""en"",""sv"")"),"Säg några bra saker om vår app*")</f>
        <v>Säg några bra saker om vår app*</v>
      </c>
      <c r="AT90" s="4" t="str">
        <f>IFERROR(__xludf.DUMMYFUNCTION("GOOGLETRANSLATE(B90,""en"",""uk"")"),"Скажіть щось хороше про наш додаток*")</f>
        <v>Скажіть щось хороше про наш додаток*</v>
      </c>
      <c r="AU90" s="4" t="str">
        <f>IFERROR(__xludf.DUMMYFUNCTION("GOOGLETRANSLATE(B90,""en"",""zu"")"),"Isho izinto ezinhle mayelana nohlelo lwethu lokusebenza*")</f>
        <v>Isho izinto ezinhle mayelana nohlelo lwethu lokusebenza*</v>
      </c>
      <c r="AV90" s="4" t="str">
        <f>IFERROR(__xludf.DUMMYFUNCTION("GOOGLETRANSLATE(B90,""en"",""sr"")"),"Реците неке добре ствари о нашој апликацији*")</f>
        <v>Реците неке добре ствари о нашој апликацији*</v>
      </c>
    </row>
    <row r="91">
      <c r="A91" s="3" t="s">
        <v>221</v>
      </c>
      <c r="B91" s="3" t="s">
        <v>222</v>
      </c>
      <c r="C91" s="4" t="str">
        <f>IFERROR(__xludf.DUMMYFUNCTION("GOOGLETRANSLATE(B91,""en"",""ta"")"),"எங்கள் பயன்பாட்டைப் பற்றி சில மோசமான விஷயங்களைச் சொல்லுங்கள்*")</f>
        <v>எங்கள் பயன்பாட்டைப் பற்றி சில மோசமான விஷயங்களைச் சொல்லுங்கள்*</v>
      </c>
      <c r="D91" s="4" t="str">
        <f>IFERROR(__xludf.DUMMYFUNCTION("GOOGLETRANSLATE(B91,""en"",""hi"")"),"हमारे ऐप के बारे में कुछ बुरी बातें कहें*")</f>
        <v>हमारे ऐप के बारे में कुछ बुरी बातें कहें*</v>
      </c>
      <c r="E91" s="4" t="str">
        <f>IFERROR(__xludf.DUMMYFUNCTION("GOOGLETRANSLATE(B91,""en"",""id"")"),"Ucapkan beberapa hal buruk tentang aplikasi kami*")</f>
        <v>Ucapkan beberapa hal buruk tentang aplikasi kami*</v>
      </c>
      <c r="F91" s="4" t="str">
        <f>IFERROR(__xludf.DUMMYFUNCTION("GOOGLETRANSLATE(B91,""en"",""ms"")"),"Katakan beberapa perkara buruk tentang apl kami*")</f>
        <v>Katakan beberapa perkara buruk tentang apl kami*</v>
      </c>
      <c r="G91" s="4" t="str">
        <f>IFERROR(__xludf.DUMMYFUNCTION("GOOGLETRANSLATE(B91,""en"",""de"")"),"Sagen Sie etwas Schlechtes über unsere App*")</f>
        <v>Sagen Sie etwas Schlechtes über unsere App*</v>
      </c>
      <c r="H91" s="4" t="str">
        <f>IFERROR(__xludf.DUMMYFUNCTION("GOOGLETRANSLATE(B91,""en"",""es"")"),"Di algunas cosas malas sobre nuestra aplicación*")</f>
        <v>Di algunas cosas malas sobre nuestra aplicación*</v>
      </c>
      <c r="I91" s="4" t="str">
        <f>IFERROR(__xludf.DUMMYFUNCTION("GOOGLETRANSLATE(B91,""en"",""fr"")"),"Dites du mal de notre application*")</f>
        <v>Dites du mal de notre application*</v>
      </c>
      <c r="J91" s="4" t="str">
        <f>IFERROR(__xludf.DUMMYFUNCTION("GOOGLETRANSLATE(B91,""en"",""it"")"),"Di' cose negative sulla nostra app*")</f>
        <v>Di' cose negative sulla nostra app*</v>
      </c>
      <c r="K91" s="4" t="str">
        <f>IFERROR(__xludf.DUMMYFUNCTION("GOOGLETRANSLATE(B91,""en"",""pt"")"),"Diga algumas coisas ruins sobre nosso aplicativo*")</f>
        <v>Diga algumas coisas ruins sobre nosso aplicativo*</v>
      </c>
      <c r="L91" s="4" t="str">
        <f>IFERROR(__xludf.DUMMYFUNCTION("GOOGLETRANSLATE(B91,""en"",""ro"")"),"Spune câteva lucruri rele despre aplicația noastră*")</f>
        <v>Spune câteva lucruri rele despre aplicația noastră*</v>
      </c>
      <c r="M91" s="4" t="str">
        <f>IFERROR(__xludf.DUMMYFUNCTION("GOOGLETRANSLATE(B91,""en"",""vi"")"),"Nói một số điều không hay về ứng dụng của chúng tôi*")</f>
        <v>Nói một số điều không hay về ứng dụng của chúng tôi*</v>
      </c>
      <c r="N91" s="4" t="str">
        <f>IFERROR(__xludf.DUMMYFUNCTION("GOOGLETRANSLATE(B91,""en"",""ru"")"),"Скажите что-нибудь плохое о нашем приложении*")</f>
        <v>Скажите что-нибудь плохое о нашем приложении*</v>
      </c>
      <c r="O91" s="4" t="str">
        <f>IFERROR(__xludf.DUMMYFUNCTION("GOOGLETRANSLATE(B91,""en"",""tr"")"),"Uygulamamız hakkında kötü şeyler söyleyin*")</f>
        <v>Uygulamamız hakkında kötü şeyler söyleyin*</v>
      </c>
      <c r="P91" s="4" t="str">
        <f>IFERROR(__xludf.DUMMYFUNCTION("GOOGLETRANSLATE(B91,""en"",""ar"")"),"قل بعض الأشياء السيئة عن تطبيقنا*")</f>
        <v>قل بعض الأشياء السيئة عن تطبيقنا*</v>
      </c>
      <c r="Q91" s="4" t="str">
        <f>IFERROR(__xludf.DUMMYFUNCTION("GOOGLETRANSLATE(B91,""en"",""mr"")"),"आमच्या ॲपबद्दल काही वाईट गोष्टी सांगा*")</f>
        <v>आमच्या ॲपबद्दल काही वाईट गोष्टी सांगा*</v>
      </c>
      <c r="R91" s="4" t="str">
        <f>IFERROR(__xludf.DUMMYFUNCTION("GOOGLETRANSLATE(B91,""en"",""gu"")"),"અમારી એપ્લિકેશન વિશે કેટલીક ખરાબ બાબતો કહો*")</f>
        <v>અમારી એપ્લિકેશન વિશે કેટલીક ખરાબ બાબતો કહો*</v>
      </c>
      <c r="S91" s="4" t="str">
        <f>IFERROR(__xludf.DUMMYFUNCTION("GOOGLETRANSLATE(B91,""en"",""bn"")"),"আমাদের অ্যাপ সম্পর্কে কিছু খারাপ কথা বলুন*")</f>
        <v>আমাদের অ্যাপ সম্পর্কে কিছু খারাপ কথা বলুন*</v>
      </c>
      <c r="T91" s="4" t="str">
        <f>IFERROR(__xludf.DUMMYFUNCTION("GOOGLETRANSLATE(B91,""en"",""pa"")"),"ਸਾਡੀ ਐਪ ਬਾਰੇ ਕੁਝ ਮਾੜੀਆਂ ਗੱਲਾਂ ਕਹੋ*")</f>
        <v>ਸਾਡੀ ਐਪ ਬਾਰੇ ਕੁਝ ਮਾੜੀਆਂ ਗੱਲਾਂ ਕਹੋ*</v>
      </c>
      <c r="U91" s="4" t="str">
        <f>IFERROR(__xludf.DUMMYFUNCTION("GOOGLETRANSLATE(B91,""en"",""te"")"),"మా యాప్ గురించి కొన్ని చెడు విషయాలు చెప్పండి*")</f>
        <v>మా యాప్ గురించి కొన్ని చెడు విషయాలు చెప్పండి*</v>
      </c>
      <c r="V91" s="4" t="str">
        <f>IFERROR(__xludf.DUMMYFUNCTION("GOOGLETRANSLATE(B91,""en"",""kn"")"),"ನಮ್ಮ ಅಪ್ಲಿಕೇಶನ್ ಬಗ್ಗೆ ಕೆಲವು ಕೆಟ್ಟ ವಿಷಯಗಳನ್ನು ಹೇಳಿ*")</f>
        <v>ನಮ್ಮ ಅಪ್ಲಿಕೇಶನ್ ಬಗ್ಗೆ ಕೆಲವು ಕೆಟ್ಟ ವಿಷಯಗಳನ್ನು ಹೇಳಿ*</v>
      </c>
      <c r="W91" s="4" t="str">
        <f>IFERROR(__xludf.DUMMYFUNCTION("GOOGLETRANSLATE(B91,""en"",""ml"")"),"ഞങ്ങളുടെ ആപ്പിനെക്കുറിച്ച് ചില മോശം കാര്യങ്ങൾ പറയുക*")</f>
        <v>ഞങ്ങളുടെ ആപ്പിനെക്കുറിച്ച് ചില മോശം കാര്യങ്ങൾ പറയുക*</v>
      </c>
      <c r="X91" s="4" t="str">
        <f>IFERROR(__xludf.DUMMYFUNCTION("GOOGLETRANSLATE(B91,""en"",""th"")"),"พูดสิ่งที่ไม่ดีเกี่ยวกับแอพของเราบ้าง*")</f>
        <v>พูดสิ่งที่ไม่ดีเกี่ยวกับแอพของเราบ้าง*</v>
      </c>
      <c r="Y91" s="4" t="str">
        <f>IFERROR(__xludf.DUMMYFUNCTION("GOOGLETRANSLATE(B91,""en"",""ko"")"),"우리 앱에 대해 나쁜 말을 하세요*")</f>
        <v>우리 앱에 대해 나쁜 말을 하세요*</v>
      </c>
      <c r="Z91" s="4" t="str">
        <f>IFERROR(__xludf.DUMMYFUNCTION("GOOGLETRANSLATE(B91,""en"",""zh"")"),"说一些关于我们应用程序的坏话*")</f>
        <v>说一些关于我们应用程序的坏话*</v>
      </c>
      <c r="AA91" s="4" t="str">
        <f>IFERROR(__xludf.DUMMYFUNCTION("GOOGLETRANSLATE(B91,""en"",""zh-TW"")"),"說一些關於我們應用程式的壞話*")</f>
        <v>說一些關於我們應用程式的壞話*</v>
      </c>
      <c r="AB91" s="4" t="str">
        <f>IFERROR(__xludf.DUMMYFUNCTION("GOOGLETRANSLATE(B91,""en"",""ja"")"),"当社のアプリについて悪い点を述べてください*")</f>
        <v>当社のアプリについて悪い点を述べてください*</v>
      </c>
      <c r="AC91" s="4" t="str">
        <f>IFERROR(__xludf.DUMMYFUNCTION("GOOGLETRANSLATE(B91,""en"",""bg"")"),"Кажете някои лоши неща за нашето приложение*")</f>
        <v>Кажете някои лоши неща за нашето приложение*</v>
      </c>
      <c r="AD91" s="4" t="str">
        <f>IFERROR(__xludf.DUMMYFUNCTION("GOOGLETRANSLATE(B91,""en"",""cs"")"),"Řekni něco špatného o naší aplikaci*")</f>
        <v>Řekni něco špatného o naší aplikaci*</v>
      </c>
      <c r="AE91" s="4" t="str">
        <f>IFERROR(__xludf.DUMMYFUNCTION("GOOGLETRANSLATE(B91,""en"",""da"")"),"Sig nogle dårlige ting om vores app*")</f>
        <v>Sig nogle dårlige ting om vores app*</v>
      </c>
      <c r="AF91" s="4" t="str">
        <f>IFERROR(__xludf.DUMMYFUNCTION("GOOGLETRANSLATE(B91,""en"",""el"")"),"Πείτε μερικά άσχημα πράγματα για την εφαρμογή μας*")</f>
        <v>Πείτε μερικά άσχημα πράγματα για την εφαρμογή μας*</v>
      </c>
      <c r="AG91" s="4" t="str">
        <f>IFERROR(__xludf.DUMMYFUNCTION("GOOGLETRANSLATE(B91,""en"",""et"")"),"Öelge meie rakenduse kohta halvasti*")</f>
        <v>Öelge meie rakenduse kohta halvasti*</v>
      </c>
      <c r="AH91" s="4" t="str">
        <f>IFERROR(__xludf.DUMMYFUNCTION("GOOGLETRANSLATE(B91,""en"",""fi"")"),"Sano huonoja asioita sovelluksestamme*")</f>
        <v>Sano huonoja asioita sovelluksestamme*</v>
      </c>
      <c r="AI91" s="4" t="str">
        <f>IFERROR(__xludf.DUMMYFUNCTION("GOOGLETRANSLATE(B91,""en"",""hr"")"),"Recite nešto loše o našoj aplikaciji*")</f>
        <v>Recite nešto loše o našoj aplikaciji*</v>
      </c>
      <c r="AJ91" s="4" t="str">
        <f>IFERROR(__xludf.DUMMYFUNCTION("GOOGLETRANSLATE(B91,""en"",""hu"")"),"Mondjon néhány rosszat az alkalmazásunkról*")</f>
        <v>Mondjon néhány rosszat az alkalmazásunkról*</v>
      </c>
      <c r="AK91" s="4" t="str">
        <f>IFERROR(__xludf.DUMMYFUNCTION("GOOGLETRANSLATE(B91,""en"",""hy"")"),"Ասա մի քանի վատ բան մեր հավելվածի մասին*")</f>
        <v>Ասա մի քանի վատ բան մեր հավելվածի մասին*</v>
      </c>
      <c r="AL91" s="4" t="str">
        <f>IFERROR(__xludf.DUMMYFUNCTION("GOOGLETRANSLATE(B91,""en"",""ca"")"),"Digues algunes coses dolentes sobre la nostra aplicació*")</f>
        <v>Digues algunes coses dolentes sobre la nostra aplicació*</v>
      </c>
      <c r="AM91" s="4" t="str">
        <f>IFERROR(__xludf.DUMMYFUNCTION("GOOGLETRANSLATE(B91,""en"",""nl"")"),"Zeg eens wat negatieve dingen over onze app*")</f>
        <v>Zeg eens wat negatieve dingen over onze app*</v>
      </c>
      <c r="AN91" s="4" t="str">
        <f>IFERROR(__xludf.DUMMYFUNCTION("GOOGLETRANSLATE(B91,""en"",""he"")"),"אמור כמה דברים רעים על האפליקציה שלנו*")</f>
        <v>אמור כמה דברים רעים על האפליקציה שלנו*</v>
      </c>
      <c r="AO91" s="4" t="str">
        <f>IFERROR(__xludf.DUMMYFUNCTION("GOOGLETRANSLATE(B91,""en"",""is"")"),"Segðu eitthvað slæmt um appið okkar*")</f>
        <v>Segðu eitthvað slæmt um appið okkar*</v>
      </c>
      <c r="AP91" s="4" t="str">
        <f>IFERROR(__xludf.DUMMYFUNCTION("GOOGLETRANSLATE(B91,""en"",""no"")"),"Si noen dårlige ting om appen vår*")</f>
        <v>Si noen dårlige ting om appen vår*</v>
      </c>
      <c r="AQ91" s="4" t="str">
        <f>IFERROR(__xludf.DUMMYFUNCTION("GOOGLETRANSLATE(B91,""en"",""fa"")"),"درباره برنامه ما چیزهای بدی بگویید*")</f>
        <v>درباره برنامه ما چیزهای بدی بگویید*</v>
      </c>
      <c r="AR91" s="4" t="str">
        <f>IFERROR(__xludf.DUMMYFUNCTION("GOOGLETRANSLATE(B91,""en"",""pl"")"),"Powiedz kilka złych rzeczy o naszej aplikacji*")</f>
        <v>Powiedz kilka złych rzeczy o naszej aplikacji*</v>
      </c>
      <c r="AS91" s="4" t="str">
        <f>IFERROR(__xludf.DUMMYFUNCTION("GOOGLETRANSLATE(B91,""en"",""sv"")"),"Säg några dåliga saker om vår app*")</f>
        <v>Säg några dåliga saker om vår app*</v>
      </c>
      <c r="AT91" s="4" t="str">
        <f>IFERROR(__xludf.DUMMYFUNCTION("GOOGLETRANSLATE(B91,""en"",""uk"")"),"Скажіть щось погане про наш додаток*")</f>
        <v>Скажіть щось погане про наш додаток*</v>
      </c>
      <c r="AU91" s="4" t="str">
        <f>IFERROR(__xludf.DUMMYFUNCTION("GOOGLETRANSLATE(B91,""en"",""zu"")"),"Isho izinto ezimbi mayelana nohlelo lwethu*")</f>
        <v>Isho izinto ezimbi mayelana nohlelo lwethu*</v>
      </c>
      <c r="AV91" s="4" t="str">
        <f>IFERROR(__xludf.DUMMYFUNCTION("GOOGLETRANSLATE(B91,""en"",""sr"")"),"Реците неке лоше ствари о нашој апликацији*")</f>
        <v>Реците неке лоше ствари о нашој апликацији*</v>
      </c>
    </row>
    <row r="92">
      <c r="A92" s="3" t="s">
        <v>223</v>
      </c>
      <c r="B92" s="3" t="s">
        <v>224</v>
      </c>
      <c r="C92" s="4" t="str">
        <f>IFERROR(__xludf.DUMMYFUNCTION("GOOGLETRANSLATE(B92,""en"",""ta"")"),"மேம்பாடுகள்*")</f>
        <v>மேம்பாடுகள்*</v>
      </c>
      <c r="D92" s="4" t="str">
        <f>IFERROR(__xludf.DUMMYFUNCTION("GOOGLETRANSLATE(B92,""en"",""hi"")"),"सुधार*")</f>
        <v>सुधार*</v>
      </c>
      <c r="E92" s="4" t="str">
        <f>IFERROR(__xludf.DUMMYFUNCTION("GOOGLETRANSLATE(B92,""en"",""id"")"),"Perbaikan*")</f>
        <v>Perbaikan*</v>
      </c>
      <c r="F92" s="4" t="str">
        <f>IFERROR(__xludf.DUMMYFUNCTION("GOOGLETRANSLATE(B92,""en"",""ms"")"),"Penambahbaikan*")</f>
        <v>Penambahbaikan*</v>
      </c>
      <c r="G92" s="4" t="str">
        <f>IFERROR(__xludf.DUMMYFUNCTION("GOOGLETRANSLATE(B92,""en"",""de"")"),"Verbesserungen*")</f>
        <v>Verbesserungen*</v>
      </c>
      <c r="H92" s="4" t="str">
        <f>IFERROR(__xludf.DUMMYFUNCTION("GOOGLETRANSLATE(B92,""en"",""es"")"),"Mejoras*")</f>
        <v>Mejoras*</v>
      </c>
      <c r="I92" s="4" t="str">
        <f>IFERROR(__xludf.DUMMYFUNCTION("GOOGLETRANSLATE(B92,""en"",""fr"")"),"Améliorations*")</f>
        <v>Améliorations*</v>
      </c>
      <c r="J92" s="4" t="str">
        <f>IFERROR(__xludf.DUMMYFUNCTION("GOOGLETRANSLATE(B92,""en"",""it"")"),"Miglioramenti*")</f>
        <v>Miglioramenti*</v>
      </c>
      <c r="K92" s="4" t="str">
        <f>IFERROR(__xludf.DUMMYFUNCTION("GOOGLETRANSLATE(B92,""en"",""pt"")"),"Melhorias*")</f>
        <v>Melhorias*</v>
      </c>
      <c r="L92" s="4" t="str">
        <f>IFERROR(__xludf.DUMMYFUNCTION("GOOGLETRANSLATE(B92,""en"",""ro"")"),"Îmbunătățiri*")</f>
        <v>Îmbunătățiri*</v>
      </c>
      <c r="M92" s="4" t="str">
        <f>IFERROR(__xludf.DUMMYFUNCTION("GOOGLETRANSLATE(B92,""en"",""vi"")"),"Cải tiến*")</f>
        <v>Cải tiến*</v>
      </c>
      <c r="N92" s="4" t="str">
        <f>IFERROR(__xludf.DUMMYFUNCTION("GOOGLETRANSLATE(B92,""en"",""ru"")"),"Улучшения*")</f>
        <v>Улучшения*</v>
      </c>
      <c r="O92" s="4" t="str">
        <f>IFERROR(__xludf.DUMMYFUNCTION("GOOGLETRANSLATE(B92,""en"",""tr"")"),"İyileştirmeler*")</f>
        <v>İyileştirmeler*</v>
      </c>
      <c r="P92" s="4" t="str">
        <f>IFERROR(__xludf.DUMMYFUNCTION("GOOGLETRANSLATE(B92,""en"",""ar"")"),"التحسينات*")</f>
        <v>التحسينات*</v>
      </c>
      <c r="Q92" s="4" t="str">
        <f>IFERROR(__xludf.DUMMYFUNCTION("GOOGLETRANSLATE(B92,""en"",""mr"")"),"सुधारणा*")</f>
        <v>सुधारणा*</v>
      </c>
      <c r="R92" s="4" t="str">
        <f>IFERROR(__xludf.DUMMYFUNCTION("GOOGLETRANSLATE(B92,""en"",""gu"")"),"સુધારણા*")</f>
        <v>સુધારણા*</v>
      </c>
      <c r="S92" s="4" t="str">
        <f>IFERROR(__xludf.DUMMYFUNCTION("GOOGLETRANSLATE(B92,""en"",""bn"")"),"উন্নতি*")</f>
        <v>উন্নতি*</v>
      </c>
      <c r="T92" s="4" t="str">
        <f>IFERROR(__xludf.DUMMYFUNCTION("GOOGLETRANSLATE(B92,""en"",""pa"")"),"ਸੁਧਾਰ*")</f>
        <v>ਸੁਧਾਰ*</v>
      </c>
      <c r="U92" s="4" t="str">
        <f>IFERROR(__xludf.DUMMYFUNCTION("GOOGLETRANSLATE(B92,""en"",""te"")"),"మెరుగుదలలు*")</f>
        <v>మెరుగుదలలు*</v>
      </c>
      <c r="V92" s="4" t="str">
        <f>IFERROR(__xludf.DUMMYFUNCTION("GOOGLETRANSLATE(B92,""en"",""kn"")"),"ಸುಧಾರಣೆಗಳು*")</f>
        <v>ಸುಧಾರಣೆಗಳು*</v>
      </c>
      <c r="W92" s="4" t="str">
        <f>IFERROR(__xludf.DUMMYFUNCTION("GOOGLETRANSLATE(B92,""en"",""ml"")"),"മെച്ചപ്പെടുത്തലുകൾ*")</f>
        <v>മെച്ചപ്പെടുത്തലുകൾ*</v>
      </c>
      <c r="X92" s="4" t="str">
        <f>IFERROR(__xludf.DUMMYFUNCTION("GOOGLETRANSLATE(B92,""en"",""th"")"),"การปรับปรุง*")</f>
        <v>การปรับปรุง*</v>
      </c>
      <c r="Y92" s="4" t="str">
        <f>IFERROR(__xludf.DUMMYFUNCTION("GOOGLETRANSLATE(B92,""en"",""ko"")"),"개량*")</f>
        <v>개량*</v>
      </c>
      <c r="Z92" s="4" t="str">
        <f>IFERROR(__xludf.DUMMYFUNCTION("GOOGLETRANSLATE(B92,""en"",""zh"")"),"改进*")</f>
        <v>改进*</v>
      </c>
      <c r="AA92" s="4" t="str">
        <f>IFERROR(__xludf.DUMMYFUNCTION("GOOGLETRANSLATE(B92,""en"",""zh-TW"")"),"改進*")</f>
        <v>改進*</v>
      </c>
      <c r="AB92" s="4" t="str">
        <f>IFERROR(__xludf.DUMMYFUNCTION("GOOGLETRANSLATE(B92,""en"",""ja"")"),"改善点*")</f>
        <v>改善点*</v>
      </c>
      <c r="AC92" s="4" t="str">
        <f>IFERROR(__xludf.DUMMYFUNCTION("GOOGLETRANSLATE(B92,""en"",""bg"")"),"Подобрения*")</f>
        <v>Подобрения*</v>
      </c>
      <c r="AD92" s="4" t="str">
        <f>IFERROR(__xludf.DUMMYFUNCTION("GOOGLETRANSLATE(B92,""en"",""cs"")"),"Vylepšení*")</f>
        <v>Vylepšení*</v>
      </c>
      <c r="AE92" s="4" t="str">
        <f>IFERROR(__xludf.DUMMYFUNCTION("GOOGLETRANSLATE(B92,""en"",""da"")"),"Forbedringer*")</f>
        <v>Forbedringer*</v>
      </c>
      <c r="AF92" s="4" t="str">
        <f>IFERROR(__xludf.DUMMYFUNCTION("GOOGLETRANSLATE(B92,""en"",""el"")"),"Βελτιώσεις*")</f>
        <v>Βελτιώσεις*</v>
      </c>
      <c r="AG92" s="4" t="str">
        <f>IFERROR(__xludf.DUMMYFUNCTION("GOOGLETRANSLATE(B92,""en"",""et"")"),"Täiustused*")</f>
        <v>Täiustused*</v>
      </c>
      <c r="AH92" s="4" t="str">
        <f>IFERROR(__xludf.DUMMYFUNCTION("GOOGLETRANSLATE(B92,""en"",""fi"")"),"Parannukset*")</f>
        <v>Parannukset*</v>
      </c>
      <c r="AI92" s="4" t="str">
        <f>IFERROR(__xludf.DUMMYFUNCTION("GOOGLETRANSLATE(B92,""en"",""hr"")"),"poboljšanja*")</f>
        <v>poboljšanja*</v>
      </c>
      <c r="AJ92" s="4" t="str">
        <f>IFERROR(__xludf.DUMMYFUNCTION("GOOGLETRANSLATE(B92,""en"",""hu"")"),"Fejlesztések*")</f>
        <v>Fejlesztések*</v>
      </c>
      <c r="AK92" s="4" t="str">
        <f>IFERROR(__xludf.DUMMYFUNCTION("GOOGLETRANSLATE(B92,""en"",""hy"")"),"Բարելավումներ*")</f>
        <v>Բարելավումներ*</v>
      </c>
      <c r="AL92" s="4" t="str">
        <f>IFERROR(__xludf.DUMMYFUNCTION("GOOGLETRANSLATE(B92,""en"",""ca"")"),"Millores*")</f>
        <v>Millores*</v>
      </c>
      <c r="AM92" s="4" t="str">
        <f>IFERROR(__xludf.DUMMYFUNCTION("GOOGLETRANSLATE(B92,""en"",""nl"")"),"Verbeteringen*")</f>
        <v>Verbeteringen*</v>
      </c>
      <c r="AN92" s="4" t="str">
        <f>IFERROR(__xludf.DUMMYFUNCTION("GOOGLETRANSLATE(B92,""en"",""he"")"),"שיפורים*")</f>
        <v>שיפורים*</v>
      </c>
      <c r="AO92" s="4" t="str">
        <f>IFERROR(__xludf.DUMMYFUNCTION("GOOGLETRANSLATE(B92,""en"",""is"")"),"Endurbætur*")</f>
        <v>Endurbætur*</v>
      </c>
      <c r="AP92" s="4" t="str">
        <f>IFERROR(__xludf.DUMMYFUNCTION("GOOGLETRANSLATE(B92,""en"",""no"")"),"Forbedringer*")</f>
        <v>Forbedringer*</v>
      </c>
      <c r="AQ92" s="4" t="str">
        <f>IFERROR(__xludf.DUMMYFUNCTION("GOOGLETRANSLATE(B92,""en"",""fa"")"),"بهبود *")</f>
        <v>بهبود *</v>
      </c>
      <c r="AR92" s="4" t="str">
        <f>IFERROR(__xludf.DUMMYFUNCTION("GOOGLETRANSLATE(B92,""en"",""pl"")"),"Ulepszenia*")</f>
        <v>Ulepszenia*</v>
      </c>
      <c r="AS92" s="4" t="str">
        <f>IFERROR(__xludf.DUMMYFUNCTION("GOOGLETRANSLATE(B92,""en"",""sv"")"),"Förbättringar*")</f>
        <v>Förbättringar*</v>
      </c>
      <c r="AT92" s="4" t="str">
        <f>IFERROR(__xludf.DUMMYFUNCTION("GOOGLETRANSLATE(B92,""en"",""uk"")"),"Покращення*")</f>
        <v>Покращення*</v>
      </c>
      <c r="AU92" s="4" t="str">
        <f>IFERROR(__xludf.DUMMYFUNCTION("GOOGLETRANSLATE(B92,""en"",""zu"")"),"Ukuthuthukiswa*")</f>
        <v>Ukuthuthukiswa*</v>
      </c>
      <c r="AV92" s="4" t="str">
        <f>IFERROR(__xludf.DUMMYFUNCTION("GOOGLETRANSLATE(B92,""en"",""sr"")"),"Побољшања*")</f>
        <v>Побољшања*</v>
      </c>
    </row>
    <row r="93">
      <c r="A93" s="3" t="s">
        <v>225</v>
      </c>
      <c r="B93" s="3" t="s">
        <v>226</v>
      </c>
      <c r="C93" s="4" t="str">
        <f>IFERROR(__xludf.DUMMYFUNCTION("GOOGLETRANSLATE(B93,""en"",""ta"")"),"நீங்கள் எதிர்கொள்ளும் பிரச்சினைகள்*")</f>
        <v>நீங்கள் எதிர்கொள்ளும் பிரச்சினைகள்*</v>
      </c>
      <c r="D93" s="4" t="str">
        <f>IFERROR(__xludf.DUMMYFUNCTION("GOOGLETRANSLATE(B93,""en"",""hi"")"),"आपके सामने आने वाली समस्याएं*")</f>
        <v>आपके सामने आने वाली समस्याएं*</v>
      </c>
      <c r="E93" s="4" t="str">
        <f>IFERROR(__xludf.DUMMYFUNCTION("GOOGLETRANSLATE(B93,""en"",""id"")"),"Masalah yang Anda hadapi*")</f>
        <v>Masalah yang Anda hadapi*</v>
      </c>
      <c r="F93" s="4" t="str">
        <f>IFERROR(__xludf.DUMMYFUNCTION("GOOGLETRANSLATE(B93,""en"",""ms"")"),"Isu yang anda hadapi*")</f>
        <v>Isu yang anda hadapi*</v>
      </c>
      <c r="G93" s="4" t="str">
        <f>IFERROR(__xludf.DUMMYFUNCTION("GOOGLETRANSLATE(B93,""en"",""de"")"),"Probleme, mit denen Sie konfrontiert sind*")</f>
        <v>Probleme, mit denen Sie konfrontiert sind*</v>
      </c>
      <c r="H93" s="4" t="str">
        <f>IFERROR(__xludf.DUMMYFUNCTION("GOOGLETRANSLATE(B93,""en"",""es"")"),"Problemas que enfrenta*")</f>
        <v>Problemas que enfrenta*</v>
      </c>
      <c r="I93" s="4" t="str">
        <f>IFERROR(__xludf.DUMMYFUNCTION("GOOGLETRANSLATE(B93,""en"",""fr"")"),"Problèmes auxquels vous êtes confrontés*")</f>
        <v>Problèmes auxquels vous êtes confrontés*</v>
      </c>
      <c r="J93" s="4" t="str">
        <f>IFERROR(__xludf.DUMMYFUNCTION("GOOGLETRANSLATE(B93,""en"",""it"")"),"Problemi che stai affrontando*")</f>
        <v>Problemi che stai affrontando*</v>
      </c>
      <c r="K93" s="4" t="str">
        <f>IFERROR(__xludf.DUMMYFUNCTION("GOOGLETRANSLATE(B93,""en"",""pt"")"),"Problemas que você enfrenta*")</f>
        <v>Problemas que você enfrenta*</v>
      </c>
      <c r="L93" s="4" t="str">
        <f>IFERROR(__xludf.DUMMYFUNCTION("GOOGLETRANSLATE(B93,""en"",""ro"")"),"Probleme cu care te confrunți*")</f>
        <v>Probleme cu care te confrunți*</v>
      </c>
      <c r="M93" s="4" t="str">
        <f>IFERROR(__xludf.DUMMYFUNCTION("GOOGLETRANSLATE(B93,""en"",""vi"")"),"Các vấn đề bạn đang gặp phải*")</f>
        <v>Các vấn đề bạn đang gặp phải*</v>
      </c>
      <c r="N93" s="4" t="str">
        <f>IFERROR(__xludf.DUMMYFUNCTION("GOOGLETRANSLATE(B93,""en"",""ru"")"),"Проблемы, с которыми вы сталкиваетесь*")</f>
        <v>Проблемы, с которыми вы сталкиваетесь*</v>
      </c>
      <c r="O93" s="4" t="str">
        <f>IFERROR(__xludf.DUMMYFUNCTION("GOOGLETRANSLATE(B93,""en"",""tr"")"),"Karşılaştığınız sorunlar*")</f>
        <v>Karşılaştığınız sorunlar*</v>
      </c>
      <c r="P93" s="4" t="str">
        <f>IFERROR(__xludf.DUMMYFUNCTION("GOOGLETRANSLATE(B93,""en"",""ar"")"),"القضايا التي تواجهها*")</f>
        <v>القضايا التي تواجهها*</v>
      </c>
      <c r="Q93" s="4" t="str">
        <f>IFERROR(__xludf.DUMMYFUNCTION("GOOGLETRANSLATE(B93,""en"",""mr"")"),"तुम्हाला भेडसावणाऱ्या समस्या*")</f>
        <v>तुम्हाला भेडसावणाऱ्या समस्या*</v>
      </c>
      <c r="R93" s="4" t="str">
        <f>IFERROR(__xludf.DUMMYFUNCTION("GOOGLETRANSLATE(B93,""en"",""gu"")"),"તમે જે સમસ્યાઓનો સામનો કરી રહ્યાં છો*")</f>
        <v>તમે જે સમસ્યાઓનો સામનો કરી રહ્યાં છો*</v>
      </c>
      <c r="S93" s="4" t="str">
        <f>IFERROR(__xludf.DUMMYFUNCTION("GOOGLETRANSLATE(B93,""en"",""bn"")"),"আপনি যে সমস্যার সম্মুখীন হচ্ছেন*")</f>
        <v>আপনি যে সমস্যার সম্মুখীন হচ্ছেন*</v>
      </c>
      <c r="T93" s="4" t="str">
        <f>IFERROR(__xludf.DUMMYFUNCTION("GOOGLETRANSLATE(B93,""en"",""pa"")"),"ਜਿਹੜੀਆਂ ਸਮੱਸਿਆਵਾਂ ਦਾ ਤੁਸੀਂ ਸਾਹਮਣਾ ਕਰ ਰਹੇ ਹੋ*")</f>
        <v>ਜਿਹੜੀਆਂ ਸਮੱਸਿਆਵਾਂ ਦਾ ਤੁਸੀਂ ਸਾਹਮਣਾ ਕਰ ਰਹੇ ਹੋ*</v>
      </c>
      <c r="U93" s="4" t="str">
        <f>IFERROR(__xludf.DUMMYFUNCTION("GOOGLETRANSLATE(B93,""en"",""te"")"),"మీరు ఎదుర్కొంటున్న సమస్యలు*")</f>
        <v>మీరు ఎదుర్కొంటున్న సమస్యలు*</v>
      </c>
      <c r="V93" s="4" t="str">
        <f>IFERROR(__xludf.DUMMYFUNCTION("GOOGLETRANSLATE(B93,""en"",""kn"")"),"ನೀವು ಎದುರಿಸುತ್ತಿರುವ ಸಮಸ್ಯೆಗಳು*")</f>
        <v>ನೀವು ಎದುರಿಸುತ್ತಿರುವ ಸಮಸ್ಯೆಗಳು*</v>
      </c>
      <c r="W93" s="4" t="str">
        <f>IFERROR(__xludf.DUMMYFUNCTION("GOOGLETRANSLATE(B93,""en"",""ml"")"),"നിങ്ങൾ അഭിമുഖീകരിക്കുന്ന പ്രശ്നങ്ങൾ*")</f>
        <v>നിങ്ങൾ അഭിമുഖീകരിക്കുന്ന പ്രശ്നങ്ങൾ*</v>
      </c>
      <c r="X93" s="4" t="str">
        <f>IFERROR(__xludf.DUMMYFUNCTION("GOOGLETRANSLATE(B93,""en"",""th"")"),"ปัญหาที่คุณเผชิญ*")</f>
        <v>ปัญหาที่คุณเผชิญ*</v>
      </c>
      <c r="Y93" s="4" t="str">
        <f>IFERROR(__xludf.DUMMYFUNCTION("GOOGLETRANSLATE(B93,""en"",""ko"")"),"당신이 겪고 있는 문제*")</f>
        <v>당신이 겪고 있는 문제*</v>
      </c>
      <c r="Z93" s="4" t="str">
        <f>IFERROR(__xludf.DUMMYFUNCTION("GOOGLETRANSLATE(B93,""en"",""zh"")"),"您面临的问题*")</f>
        <v>您面临的问题*</v>
      </c>
      <c r="AA93" s="4" t="str">
        <f>IFERROR(__xludf.DUMMYFUNCTION("GOOGLETRANSLATE(B93,""en"",""zh-TW"")"),"您面臨的問題*")</f>
        <v>您面臨的問題*</v>
      </c>
      <c r="AB93" s="4" t="str">
        <f>IFERROR(__xludf.DUMMYFUNCTION("GOOGLETRANSLATE(B93,""en"",""ja"")"),"直面している問題*")</f>
        <v>直面している問題*</v>
      </c>
      <c r="AC93" s="4" t="str">
        <f>IFERROR(__xludf.DUMMYFUNCTION("GOOGLETRANSLATE(B93,""en"",""bg"")"),"Проблеми, с които се сблъсквате*")</f>
        <v>Проблеми, с които се сблъсквате*</v>
      </c>
      <c r="AD93" s="4" t="str">
        <f>IFERROR(__xludf.DUMMYFUNCTION("GOOGLETRANSLATE(B93,""en"",""cs"")"),"Problémy, kterým čelíte*")</f>
        <v>Problémy, kterým čelíte*</v>
      </c>
      <c r="AE93" s="4" t="str">
        <f>IFERROR(__xludf.DUMMYFUNCTION("GOOGLETRANSLATE(B93,""en"",""da"")"),"Problemer du står over for*")</f>
        <v>Problemer du står over for*</v>
      </c>
      <c r="AF93" s="4" t="str">
        <f>IFERROR(__xludf.DUMMYFUNCTION("GOOGLETRANSLATE(B93,""en"",""el"")"),"Ζητήματα που αντιμετωπίζεις*")</f>
        <v>Ζητήματα που αντιμετωπίζεις*</v>
      </c>
      <c r="AG93" s="4" t="str">
        <f>IFERROR(__xludf.DUMMYFUNCTION("GOOGLETRANSLATE(B93,""en"",""et"")"),"Probleemid, millega silmitsi seisate*")</f>
        <v>Probleemid, millega silmitsi seisate*</v>
      </c>
      <c r="AH93" s="4" t="str">
        <f>IFERROR(__xludf.DUMMYFUNCTION("GOOGLETRANSLATE(B93,""en"",""fi"")"),"kohtaamasi ongelmat*")</f>
        <v>kohtaamasi ongelmat*</v>
      </c>
      <c r="AI93" s="4" t="str">
        <f>IFERROR(__xludf.DUMMYFUNCTION("GOOGLETRANSLATE(B93,""en"",""hr"")"),"Problemi s kojima se suočavate*")</f>
        <v>Problemi s kojima se suočavate*</v>
      </c>
      <c r="AJ93" s="4" t="str">
        <f>IFERROR(__xludf.DUMMYFUNCTION("GOOGLETRANSLATE(B93,""en"",""hu"")"),"Problémák, amelyekkel szembesül*")</f>
        <v>Problémák, amelyekkel szembesül*</v>
      </c>
      <c r="AK93" s="4" t="str">
        <f>IFERROR(__xludf.DUMMYFUNCTION("GOOGLETRANSLATE(B93,""en"",""hy"")"),"Ձեր առջև ծառացած խնդիրները*")</f>
        <v>Ձեր առջև ծառացած խնդիրները*</v>
      </c>
      <c r="AL93" s="4" t="str">
        <f>IFERROR(__xludf.DUMMYFUNCTION("GOOGLETRANSLATE(B93,""en"",""ca"")"),"Problemes que tens*")</f>
        <v>Problemes que tens*</v>
      </c>
      <c r="AM93" s="4" t="str">
        <f>IFERROR(__xludf.DUMMYFUNCTION("GOOGLETRANSLATE(B93,""en"",""nl"")"),"Problemen waar u mee te maken krijgt*")</f>
        <v>Problemen waar u mee te maken krijgt*</v>
      </c>
      <c r="AN93" s="4" t="str">
        <f>IFERROR(__xludf.DUMMYFUNCTION("GOOGLETRANSLATE(B93,""en"",""he"")"),"בעיות שאתה מתמודד איתה*")</f>
        <v>בעיות שאתה מתמודד איתה*</v>
      </c>
      <c r="AO93" s="4" t="str">
        <f>IFERROR(__xludf.DUMMYFUNCTION("GOOGLETRANSLATE(B93,""en"",""is"")"),"Vandamál sem þú stendur frammi fyrir*")</f>
        <v>Vandamál sem þú stendur frammi fyrir*</v>
      </c>
      <c r="AP93" s="4" t="str">
        <f>IFERROR(__xludf.DUMMYFUNCTION("GOOGLETRANSLATE(B93,""en"",""no"")"),"Problemer du står overfor*")</f>
        <v>Problemer du står overfor*</v>
      </c>
      <c r="AQ93" s="4" t="str">
        <f>IFERROR(__xludf.DUMMYFUNCTION("GOOGLETRANSLATE(B93,""en"",""fa"")"),"مسائلی که با آن روبرو هستید*")</f>
        <v>مسائلی که با آن روبرو هستید*</v>
      </c>
      <c r="AR93" s="4" t="str">
        <f>IFERROR(__xludf.DUMMYFUNCTION("GOOGLETRANSLATE(B93,""en"",""pl"")"),"Problemy, z którymi się borykasz*")</f>
        <v>Problemy, z którymi się borykasz*</v>
      </c>
      <c r="AS93" s="4" t="str">
        <f>IFERROR(__xludf.DUMMYFUNCTION("GOOGLETRANSLATE(B93,""en"",""sv"")"),"Problem du möter*")</f>
        <v>Problem du möter*</v>
      </c>
      <c r="AT93" s="4" t="str">
        <f>IFERROR(__xludf.DUMMYFUNCTION("GOOGLETRANSLATE(B93,""en"",""uk"")"),"Проблеми, з якими ви стикаєтесь*")</f>
        <v>Проблеми, з якими ви стикаєтесь*</v>
      </c>
      <c r="AU93" s="4" t="str">
        <f>IFERROR(__xludf.DUMMYFUNCTION("GOOGLETRANSLATE(B93,""en"",""zu"")"),"Izinkinga obhekene nazo*")</f>
        <v>Izinkinga obhekene nazo*</v>
      </c>
      <c r="AV93" s="4" t="str">
        <f>IFERROR(__xludf.DUMMYFUNCTION("GOOGLETRANSLATE(B93,""en"",""sr"")"),"Проблеми са којима се суочавате*")</f>
        <v>Проблеми са којима се суочавате*</v>
      </c>
    </row>
    <row r="94">
      <c r="A94" s="3" t="s">
        <v>227</v>
      </c>
      <c r="B94" s="3" t="s">
        <v>228</v>
      </c>
      <c r="C94" s="4" t="str">
        <f>IFERROR(__xludf.DUMMYFUNCTION("GOOGLETRANSLATE(B94,""en"",""ta"")"),"மின்னஞ்சலை உள்ளிடவும்")</f>
        <v>மின்னஞ்சலை உள்ளிடவும்</v>
      </c>
      <c r="D94" s="4" t="str">
        <f>IFERROR(__xludf.DUMMYFUNCTION("GOOGLETRANSLATE(B94,""en"",""hi"")"),"ईमेल दर्ज करें")</f>
        <v>ईमेल दर्ज करें</v>
      </c>
      <c r="E94" s="4" t="str">
        <f>IFERROR(__xludf.DUMMYFUNCTION("GOOGLETRANSLATE(B94,""en"",""id"")"),"Masukkan email")</f>
        <v>Masukkan email</v>
      </c>
      <c r="F94" s="4" t="str">
        <f>IFERROR(__xludf.DUMMYFUNCTION("GOOGLETRANSLATE(B94,""en"",""ms"")"),"Masukkan e-mel")</f>
        <v>Masukkan e-mel</v>
      </c>
      <c r="G94" s="4" t="str">
        <f>IFERROR(__xludf.DUMMYFUNCTION("GOOGLETRANSLATE(B94,""en"",""de"")"),"E-Mail eingeben")</f>
        <v>E-Mail eingeben</v>
      </c>
      <c r="H94" s="4" t="str">
        <f>IFERROR(__xludf.DUMMYFUNCTION("GOOGLETRANSLATE(B94,""en"",""es"")"),"Introducir correo electrónico")</f>
        <v>Introducir correo electrónico</v>
      </c>
      <c r="I94" s="4" t="str">
        <f>IFERROR(__xludf.DUMMYFUNCTION("GOOGLETRANSLATE(B94,""en"",""fr"")"),"Entrez l'e-mail")</f>
        <v>Entrez l'e-mail</v>
      </c>
      <c r="J94" s="4" t="str">
        <f>IFERROR(__xludf.DUMMYFUNCTION("GOOGLETRANSLATE(B94,""en"",""it"")"),"Inserisci l'email")</f>
        <v>Inserisci l'email</v>
      </c>
      <c r="K94" s="4" t="str">
        <f>IFERROR(__xludf.DUMMYFUNCTION("GOOGLETRANSLATE(B94,""en"",""pt"")"),"Digite o e-mail")</f>
        <v>Digite o e-mail</v>
      </c>
      <c r="L94" s="4" t="str">
        <f>IFERROR(__xludf.DUMMYFUNCTION("GOOGLETRANSLATE(B94,""en"",""ro"")"),"Introdu e-mail")</f>
        <v>Introdu e-mail</v>
      </c>
      <c r="M94" s="4" t="str">
        <f>IFERROR(__xludf.DUMMYFUNCTION("GOOGLETRANSLATE(B94,""en"",""vi"")"),"Nhập email")</f>
        <v>Nhập email</v>
      </c>
      <c r="N94" s="4" t="str">
        <f>IFERROR(__xludf.DUMMYFUNCTION("GOOGLETRANSLATE(B94,""en"",""ru"")"),"Введите адрес электронной почты")</f>
        <v>Введите адрес электронной почты</v>
      </c>
      <c r="O94" s="4" t="str">
        <f>IFERROR(__xludf.DUMMYFUNCTION("GOOGLETRANSLATE(B94,""en"",""tr"")"),"E-posta girin")</f>
        <v>E-posta girin</v>
      </c>
      <c r="P94" s="4" t="str">
        <f>IFERROR(__xludf.DUMMYFUNCTION("GOOGLETRANSLATE(B94,""en"",""ar"")"),"أدخل البريد الإلكتروني")</f>
        <v>أدخل البريد الإلكتروني</v>
      </c>
      <c r="Q94" s="4" t="str">
        <f>IFERROR(__xludf.DUMMYFUNCTION("GOOGLETRANSLATE(B94,""en"",""mr"")"),"ईमेल प्रविष्ट करा")</f>
        <v>ईमेल प्रविष्ट करा</v>
      </c>
      <c r="R94" s="4" t="str">
        <f>IFERROR(__xludf.DUMMYFUNCTION("GOOGLETRANSLATE(B94,""en"",""gu"")"),"ઈમેલ દાખલ કરો")</f>
        <v>ઈમેલ દાખલ કરો</v>
      </c>
      <c r="S94" s="4" t="str">
        <f>IFERROR(__xludf.DUMMYFUNCTION("GOOGLETRANSLATE(B94,""en"",""bn"")"),"ইমেইল লিখুন")</f>
        <v>ইমেইল লিখুন</v>
      </c>
      <c r="T94" s="4" t="str">
        <f>IFERROR(__xludf.DUMMYFUNCTION("GOOGLETRANSLATE(B94,""en"",""pa"")"),"ਈਮੇਲ ਦਾਖਲ ਕਰੋ")</f>
        <v>ਈਮੇਲ ਦਾਖਲ ਕਰੋ</v>
      </c>
      <c r="U94" s="4" t="str">
        <f>IFERROR(__xludf.DUMMYFUNCTION("GOOGLETRANSLATE(B94,""en"",""te"")"),"ఇమెయిల్‌ని నమోదు చేయండి")</f>
        <v>ఇమెయిల్‌ని నమోదు చేయండి</v>
      </c>
      <c r="V94" s="4" t="str">
        <f>IFERROR(__xludf.DUMMYFUNCTION("GOOGLETRANSLATE(B94,""en"",""kn"")"),"ಇಮೇಲ್ ನಮೂದಿಸಿ")</f>
        <v>ಇಮೇಲ್ ನಮೂದಿಸಿ</v>
      </c>
      <c r="W94" s="4" t="str">
        <f>IFERROR(__xludf.DUMMYFUNCTION("GOOGLETRANSLATE(B94,""en"",""ml"")"),"ഇമെയിൽ നൽകുക")</f>
        <v>ഇമെയിൽ നൽകുക</v>
      </c>
      <c r="X94" s="4" t="str">
        <f>IFERROR(__xludf.DUMMYFUNCTION("GOOGLETRANSLATE(B94,""en"",""th"")"),"กรอกอีเมล์")</f>
        <v>กรอกอีเมล์</v>
      </c>
      <c r="Y94" s="4" t="str">
        <f>IFERROR(__xludf.DUMMYFUNCTION("GOOGLETRANSLATE(B94,""en"",""ko"")"),"이메일을 입력하세요")</f>
        <v>이메일을 입력하세요</v>
      </c>
      <c r="Z94" s="4" t="str">
        <f>IFERROR(__xludf.DUMMYFUNCTION("GOOGLETRANSLATE(B94,""en"",""zh"")"),"输入邮箱")</f>
        <v>输入邮箱</v>
      </c>
      <c r="AA94" s="4" t="str">
        <f>IFERROR(__xludf.DUMMYFUNCTION("GOOGLETRANSLATE(B94,""en"",""zh-TW"")"),"輸入信箱")</f>
        <v>輸入信箱</v>
      </c>
      <c r="AB94" s="4" t="str">
        <f>IFERROR(__xludf.DUMMYFUNCTION("GOOGLETRANSLATE(B94,""en"",""ja"")"),"メールアドレスを入力")</f>
        <v>メールアドレスを入力</v>
      </c>
      <c r="AC94" s="4" t="str">
        <f>IFERROR(__xludf.DUMMYFUNCTION("GOOGLETRANSLATE(B94,""en"",""bg"")"),"Въведете имейл")</f>
        <v>Въведете имейл</v>
      </c>
      <c r="AD94" s="4" t="str">
        <f>IFERROR(__xludf.DUMMYFUNCTION("GOOGLETRANSLATE(B94,""en"",""cs"")"),"Zadejte email")</f>
        <v>Zadejte email</v>
      </c>
      <c r="AE94" s="4" t="str">
        <f>IFERROR(__xludf.DUMMYFUNCTION("GOOGLETRANSLATE(B94,""en"",""da"")"),"Indtast e-mail")</f>
        <v>Indtast e-mail</v>
      </c>
      <c r="AF94" s="4" t="str">
        <f>IFERROR(__xludf.DUMMYFUNCTION("GOOGLETRANSLATE(B94,""en"",""el"")"),"Εισαγάγετε email")</f>
        <v>Εισαγάγετε email</v>
      </c>
      <c r="AG94" s="4" t="str">
        <f>IFERROR(__xludf.DUMMYFUNCTION("GOOGLETRANSLATE(B94,""en"",""et"")"),"Sisestage e-posti aadress")</f>
        <v>Sisestage e-posti aadress</v>
      </c>
      <c r="AH94" s="4" t="str">
        <f>IFERROR(__xludf.DUMMYFUNCTION("GOOGLETRANSLATE(B94,""en"",""fi"")"),"Anna sähköpostiosoite")</f>
        <v>Anna sähköpostiosoite</v>
      </c>
      <c r="AI94" s="4" t="str">
        <f>IFERROR(__xludf.DUMMYFUNCTION("GOOGLETRANSLATE(B94,""en"",""hr"")"),"Unesite email")</f>
        <v>Unesite email</v>
      </c>
      <c r="AJ94" s="4" t="str">
        <f>IFERROR(__xludf.DUMMYFUNCTION("GOOGLETRANSLATE(B94,""en"",""hu"")"),"Írja be az e-mail címet")</f>
        <v>Írja be az e-mail címet</v>
      </c>
      <c r="AK94" s="4" t="str">
        <f>IFERROR(__xludf.DUMMYFUNCTION("GOOGLETRANSLATE(B94,""en"",""hy"")"),"Մուտքագրեք էլ")</f>
        <v>Մուտքագրեք էլ</v>
      </c>
      <c r="AL94" s="4" t="str">
        <f>IFERROR(__xludf.DUMMYFUNCTION("GOOGLETRANSLATE(B94,""en"",""ca"")"),"Introduïu el correu electrònic")</f>
        <v>Introduïu el correu electrònic</v>
      </c>
      <c r="AM94" s="4" t="str">
        <f>IFERROR(__xludf.DUMMYFUNCTION("GOOGLETRANSLATE(B94,""en"",""nl"")"),"Voer e-mailadres in")</f>
        <v>Voer e-mailadres in</v>
      </c>
      <c r="AN94" s="4" t="str">
        <f>IFERROR(__xludf.DUMMYFUNCTION("GOOGLETRANSLATE(B94,""en"",""he"")"),"הזן אימייל")</f>
        <v>הזן אימייל</v>
      </c>
      <c r="AO94" s="4" t="str">
        <f>IFERROR(__xludf.DUMMYFUNCTION("GOOGLETRANSLATE(B94,""en"",""is"")"),"Sláðu inn tölvupóst")</f>
        <v>Sláðu inn tölvupóst</v>
      </c>
      <c r="AP94" s="4" t="str">
        <f>IFERROR(__xludf.DUMMYFUNCTION("GOOGLETRANSLATE(B94,""en"",""no"")"),"Skriv inn e-post")</f>
        <v>Skriv inn e-post</v>
      </c>
      <c r="AQ94" s="4" t="str">
        <f>IFERROR(__xludf.DUMMYFUNCTION("GOOGLETRANSLATE(B94,""en"",""fa"")"),"ایمیل را وارد کنید")</f>
        <v>ایمیل را وارد کنید</v>
      </c>
      <c r="AR94" s="4" t="str">
        <f>IFERROR(__xludf.DUMMYFUNCTION("GOOGLETRANSLATE(B94,""en"",""pl"")"),"Wprowadź adres e-mail")</f>
        <v>Wprowadź adres e-mail</v>
      </c>
      <c r="AS94" s="4" t="str">
        <f>IFERROR(__xludf.DUMMYFUNCTION("GOOGLETRANSLATE(B94,""en"",""sv"")"),"Ange e-post")</f>
        <v>Ange e-post</v>
      </c>
      <c r="AT94" s="4" t="str">
        <f>IFERROR(__xludf.DUMMYFUNCTION("GOOGLETRANSLATE(B94,""en"",""uk"")"),"Введіть адресу електронної пошти")</f>
        <v>Введіть адресу електронної пошти</v>
      </c>
      <c r="AU94" s="4" t="str">
        <f>IFERROR(__xludf.DUMMYFUNCTION("GOOGLETRANSLATE(B94,""en"",""zu"")"),"Faka i-imeyili")</f>
        <v>Faka i-imeyili</v>
      </c>
      <c r="AV94" s="4" t="str">
        <f>IFERROR(__xludf.DUMMYFUNCTION("GOOGLETRANSLATE(B94,""en"",""sr"")"),"Унесите емаил")</f>
        <v>Унесите емаил</v>
      </c>
    </row>
    <row r="95">
      <c r="A95" s="3" t="s">
        <v>229</v>
      </c>
      <c r="B95" s="3" t="s">
        <v>230</v>
      </c>
      <c r="C95" s="4" t="str">
        <f>IFERROR(__xludf.DUMMYFUNCTION("GOOGLETRANSLATE(B95,""en"",""ta"")"),"மின்னஞ்சல் ஐடியை இங்கு பகிர நான் சம்மதிக்கிறேன், மேலும் இது எந்த தரவுத்தளத்திலும் சேமிக்கப்படாது மற்றும் தகவல் தொடர்பு நோக்கத்திற்காக மட்டுமே பயன்படுத்தப்படும் என்பதை புரிந்துகொள்கிறேன்.")</f>
        <v>மின்னஞ்சல் ஐடியை இங்கு பகிர நான் சம்மதிக்கிறேன், மேலும் இது எந்த தரவுத்தளத்திலும் சேமிக்கப்படாது மற்றும் தகவல் தொடர்பு நோக்கத்திற்காக மட்டுமே பயன்படுத்தப்படும் என்பதை புரிந்துகொள்கிறேன்.</v>
      </c>
      <c r="D95" s="4" t="str">
        <f>IFERROR(__xludf.DUMMYFUNCTION("GOOGLETRANSLATE(B95,""en"",""hi"")"),"मैं यहां ईमेल आईडी साझा करने के लिए सहमति देता हूं और मैं समझता हूं कि इसे किसी भी डेटाबेस पर सहेजा नहीं जाएगा और इसका उपयोग केवल संचार उद्देश्य के लिए किया जाएगा।")</f>
        <v>मैं यहां ईमेल आईडी साझा करने के लिए सहमति देता हूं और मैं समझता हूं कि इसे किसी भी डेटाबेस पर सहेजा नहीं जाएगा और इसका उपयोग केवल संचार उद्देश्य के लिए किया जाएगा।</v>
      </c>
      <c r="E95" s="4" t="str">
        <f>IFERROR(__xludf.DUMMYFUNCTION("GOOGLETRANSLATE(B95,""en"",""id"")"),"Saya setuju untuk membagikan ID Email di sini dan saya mengerti bahwa ID tersebut tidak akan disimpan dalam basis data mana pun dan akan digunakan untuk tujuan komunikasi saja.")</f>
        <v>Saya setuju untuk membagikan ID Email di sini dan saya mengerti bahwa ID tersebut tidak akan disimpan dalam basis data mana pun dan akan digunakan untuk tujuan komunikasi saja.</v>
      </c>
      <c r="F95" s="4" t="str">
        <f>IFERROR(__xludf.DUMMYFUNCTION("GOOGLETRANSLATE(B95,""en"",""ms"")"),"Saya bersetuju untuk berkongsi ID E-mel di sini dan saya faham bahawa ia tidak akan disimpan pada mana-mana pangkalan data dan ia akan digunakan untuk tujuan komunikasi sahaja.")</f>
        <v>Saya bersetuju untuk berkongsi ID E-mel di sini dan saya faham bahawa ia tidak akan disimpan pada mana-mana pangkalan data dan ia akan digunakan untuk tujuan komunikasi sahaja.</v>
      </c>
      <c r="G95" s="4" t="str">
        <f>IFERROR(__xludf.DUMMYFUNCTION("GOOGLETRANSLATE(B95,""en"",""de"")"),"Ich bin damit einverstanden, dass meine E-Mail-ID hier weitergegeben wird, und ich verstehe, dass sie in keiner Datenbank gespeichert und nur zu Kommunikationszwecken verwendet wird.")</f>
        <v>Ich bin damit einverstanden, dass meine E-Mail-ID hier weitergegeben wird, und ich verstehe, dass sie in keiner Datenbank gespeichert und nur zu Kommunikationszwecken verwendet wird.</v>
      </c>
      <c r="H95" s="4" t="str">
        <f>IFERROR(__xludf.DUMMYFUNCTION("GOOGLETRANSLATE(B95,""en"",""es"")"),"Doy mi consentimiento para compartir mi ID de correo electrónico aquí y entiendo que no se guardará en ninguna base de datos y se utilizará únicamente con fines de comunicación.")</f>
        <v>Doy mi consentimiento para compartir mi ID de correo electrónico aquí y entiendo que no se guardará en ninguna base de datos y se utilizará únicamente con fines de comunicación.</v>
      </c>
      <c r="I95" s="4" t="str">
        <f>IFERROR(__xludf.DUMMYFUNCTION("GOOGLETRANSLATE(B95,""en"",""fr"")"),"J'accepte de partager mon identifiant e-mail ici et je comprends qu'il ne sera enregistré dans aucune base de données et qu'il sera utilisé uniquement à des fins de communication.")</f>
        <v>J'accepte de partager mon identifiant e-mail ici et je comprends qu'il ne sera enregistré dans aucune base de données et qu'il sera utilisé uniquement à des fins de communication.</v>
      </c>
      <c r="J95" s="4" t="str">
        <f>IFERROR(__xludf.DUMMYFUNCTION("GOOGLETRANSLATE(B95,""en"",""it"")"),"Acconsento a condividere qui il mio ID e-mail e comprendo che non verrà salvato in nessun database e verrà utilizzato solo a scopo di comunicazione.")</f>
        <v>Acconsento a condividere qui il mio ID e-mail e comprendo che non verrà salvato in nessun database e verrà utilizzato solo a scopo di comunicazione.</v>
      </c>
      <c r="K95" s="4" t="str">
        <f>IFERROR(__xludf.DUMMYFUNCTION("GOOGLETRANSLATE(B95,""en"",""pt"")"),"Eu concordo em compartilhar meu ID de e-mail aqui e entendo que ele não será salvo em nenhum banco de dados e será usado apenas para fins de comunicação.")</f>
        <v>Eu concordo em compartilhar meu ID de e-mail aqui e entendo que ele não será salvo em nenhum banco de dados e será usado apenas para fins de comunicação.</v>
      </c>
      <c r="L95" s="4" t="str">
        <f>IFERROR(__xludf.DUMMYFUNCTION("GOOGLETRANSLATE(B95,""en"",""ro"")"),"Sunt de acord să partajez ID-ul de e-mail aici și înțeleg că acesta nu va fi salvat în nicio bază de date și va fi folosit numai în scop de comunicare.")</f>
        <v>Sunt de acord să partajez ID-ul de e-mail aici și înțeleg că acesta nu va fi salvat în nicio bază de date și va fi folosit numai în scop de comunicare.</v>
      </c>
      <c r="M95" s="4" t="str">
        <f>IFERROR(__xludf.DUMMYFUNCTION("GOOGLETRANSLATE(B95,""en"",""vi"")"),"Tôi đồng ý chia sẻ ID Email tại đây và tôi hiểu rằng thông tin này sẽ không được lưu trên bất kỳ cơ sở dữ liệu nào và chỉ được sử dụng cho mục đích liên lạc.")</f>
        <v>Tôi đồng ý chia sẻ ID Email tại đây và tôi hiểu rằng thông tin này sẽ không được lưu trên bất kỳ cơ sở dữ liệu nào và chỉ được sử dụng cho mục đích liên lạc.</v>
      </c>
      <c r="N95" s="4" t="str">
        <f>IFERROR(__xludf.DUMMYFUNCTION("GOOGLETRANSLATE(B95,""en"",""ru"")"),"Я даю согласие на предоставление здесь идентификатора электронной почты и понимаю, что он не будет сохранен ни в одной базе данных и будет использоваться только в целях коммуникации.")</f>
        <v>Я даю согласие на предоставление здесь идентификатора электронной почты и понимаю, что он не будет сохранен ни в одной базе данных и будет использоваться только в целях коммуникации.</v>
      </c>
      <c r="O95" s="4" t="str">
        <f>IFERROR(__xludf.DUMMYFUNCTION("GOOGLETRANSLATE(B95,""en"",""tr"")"),"E-posta kimliğimin burada paylaşılmasına izin veriyorum ve bunun hiçbir veri tabanında saklanmayacağını ve yalnızca iletişim amacıyla kullanılacağını anlıyorum.")</f>
        <v>E-posta kimliğimin burada paylaşılmasına izin veriyorum ve bunun hiçbir veri tabanında saklanmayacağını ve yalnızca iletişim amacıyla kullanılacağını anlıyorum.</v>
      </c>
      <c r="P95" s="4" t="str">
        <f>IFERROR(__xludf.DUMMYFUNCTION("GOOGLETRANSLATE(B95,""en"",""ar"")"),"أوافق على مشاركة معرف البريد الإلكتروني هنا وأتفهم أنه لن يتم حفظه في أي قاعدة بيانات وسيتم استخدامه لأغراض الاتصال فقط.")</f>
        <v>أوافق على مشاركة معرف البريد الإلكتروني هنا وأتفهم أنه لن يتم حفظه في أي قاعدة بيانات وسيتم استخدامه لأغراض الاتصال فقط.</v>
      </c>
      <c r="Q95" s="4" t="str">
        <f>IFERROR(__xludf.DUMMYFUNCTION("GOOGLETRANSLATE(B95,""en"",""mr"")"),"मी येथे ईमेल आयडी सामायिक करण्यास संमती देतो आणि मला समजते की तो कोणत्याही डेटाबेसवर जतन केला जाणार नाही आणि तो केवळ संप्रेषणाच्या उद्देशासाठी वापरला जाईल.")</f>
        <v>मी येथे ईमेल आयडी सामायिक करण्यास संमती देतो आणि मला समजते की तो कोणत्याही डेटाबेसवर जतन केला जाणार नाही आणि तो केवळ संप्रेषणाच्या उद्देशासाठी वापरला जाईल.</v>
      </c>
      <c r="R95" s="4" t="str">
        <f>IFERROR(__xludf.DUMMYFUNCTION("GOOGLETRANSLATE(B95,""en"",""gu"")"),"હું અહીં ઈમેલ આઈડી શેર કરવાની સંમતિ આપું છું અને હું સમજું છું કે તે કોઈપણ ડેટાબેઝ પર સાચવવામાં આવશે નહીં અને તેનો ઉપયોગ માત્ર સંચાર હેતુ માટે જ કરવામાં આવશે.")</f>
        <v>હું અહીં ઈમેલ આઈડી શેર કરવાની સંમતિ આપું છું અને હું સમજું છું કે તે કોઈપણ ડેટાબેઝ પર સાચવવામાં આવશે નહીં અને તેનો ઉપયોગ માત્ર સંચાર હેતુ માટે જ કરવામાં આવશે.</v>
      </c>
      <c r="S95" s="4" t="str">
        <f>IFERROR(__xludf.DUMMYFUNCTION("GOOGLETRANSLATE(B95,""en"",""bn"")"),"আমি এখানে ইমেল আইডি শেয়ার করতে সম্মতি দিচ্ছি এবং আমি বুঝি যে এটি কোনো ডাটাবেসে সংরক্ষণ করা হবে না এবং এটি শুধুমাত্র যোগাযোগের উদ্দেশ্যে ব্যবহার করা হবে।")</f>
        <v>আমি এখানে ইমেল আইডি শেয়ার করতে সম্মতি দিচ্ছি এবং আমি বুঝি যে এটি কোনো ডাটাবেসে সংরক্ষণ করা হবে না এবং এটি শুধুমাত্র যোগাযোগের উদ্দেশ্যে ব্যবহার করা হবে।</v>
      </c>
      <c r="T95" s="4" t="str">
        <f>IFERROR(__xludf.DUMMYFUNCTION("GOOGLETRANSLATE(B95,""en"",""pa"")"),"ਮੈਂ ਇੱਥੇ ਈਮੇਲ ਆਈਡੀ ਨੂੰ ਸਾਂਝਾ ਕਰਨ ਲਈ ਸਹਿਮਤੀ ਦਿੰਦਾ ਹਾਂ ਅਤੇ ਮੈਂ ਸਮਝਦਾ/ਸਮਝਦੀ ਹਾਂ ਕਿ ਇਹ ਕਿਸੇ ਵੀ ਡੇਟਾਬੇਸ 'ਤੇ ਸੁਰੱਖਿਅਤ ਨਹੀਂ ਕੀਤੀ ਜਾਵੇਗੀ ਅਤੇ ਇਸਦੀ ਵਰਤੋਂ ਸਿਰਫ਼ ਸੰਚਾਰ ਦੇ ਉਦੇਸ਼ ਲਈ ਕੀਤੀ ਜਾਵੇਗੀ।")</f>
        <v>ਮੈਂ ਇੱਥੇ ਈਮੇਲ ਆਈਡੀ ਨੂੰ ਸਾਂਝਾ ਕਰਨ ਲਈ ਸਹਿਮਤੀ ਦਿੰਦਾ ਹਾਂ ਅਤੇ ਮੈਂ ਸਮਝਦਾ/ਸਮਝਦੀ ਹਾਂ ਕਿ ਇਹ ਕਿਸੇ ਵੀ ਡੇਟਾਬੇਸ 'ਤੇ ਸੁਰੱਖਿਅਤ ਨਹੀਂ ਕੀਤੀ ਜਾਵੇਗੀ ਅਤੇ ਇਸਦੀ ਵਰਤੋਂ ਸਿਰਫ਼ ਸੰਚਾਰ ਦੇ ਉਦੇਸ਼ ਲਈ ਕੀਤੀ ਜਾਵੇਗੀ।</v>
      </c>
      <c r="U95" s="4" t="str">
        <f>IFERROR(__xludf.DUMMYFUNCTION("GOOGLETRANSLATE(B95,""en"",""te"")"),"ఇమెయిల్ IDని ఇక్కడ భాగస్వామ్యం చేయడానికి నేను సమ్మతిస్తున్నాను మరియు అది ఏ డేటాబేస్‌లో సేవ్ చేయబడదని మరియు ఇది కమ్యూనికేషన్ ప్రయోజనం కోసం మాత్రమే ఉపయోగించబడుతుందని నేను అర్థం చేసుకున్నాను.")</f>
        <v>ఇమెయిల్ IDని ఇక్కడ భాగస్వామ్యం చేయడానికి నేను సమ్మతిస్తున్నాను మరియు అది ఏ డేటాబేస్‌లో సేవ్ చేయబడదని మరియు ఇది కమ్యూనికేషన్ ప్రయోజనం కోసం మాత్రమే ఉపయోగించబడుతుందని నేను అర్థం చేసుకున్నాను.</v>
      </c>
      <c r="V95" s="4" t="str">
        <f>IFERROR(__xludf.DUMMYFUNCTION("GOOGLETRANSLATE(B95,""en"",""kn"")"),"ಇಮೇಲ್ ಐಡಿಯನ್ನು ಇಲ್ಲಿ ಹಂಚಿಕೊಳ್ಳಲು ನಾನು ಸಮ್ಮತಿಸುತ್ತೇನೆ ಮತ್ತು ಅದನ್ನು ಯಾವುದೇ ಡೇಟಾಬೇಸ್‌ನಲ್ಲಿ ಉಳಿಸಲಾಗುವುದಿಲ್ಲ ಮತ್ತು ಅದನ್ನು ಸಂವಹನ ಉದ್ದೇಶಕ್ಕಾಗಿ ಮಾತ್ರ ಬಳಸಲಾಗುತ್ತದೆ ಎಂದು ನಾನು ಅರ್ಥಮಾಡಿಕೊಂಡಿದ್ದೇನೆ.")</f>
        <v>ಇಮೇಲ್ ಐಡಿಯನ್ನು ಇಲ್ಲಿ ಹಂಚಿಕೊಳ್ಳಲು ನಾನು ಸಮ್ಮತಿಸುತ್ತೇನೆ ಮತ್ತು ಅದನ್ನು ಯಾವುದೇ ಡೇಟಾಬೇಸ್‌ನಲ್ಲಿ ಉಳಿಸಲಾಗುವುದಿಲ್ಲ ಮತ್ತು ಅದನ್ನು ಸಂವಹನ ಉದ್ದೇಶಕ್ಕಾಗಿ ಮಾತ್ರ ಬಳಸಲಾಗುತ್ತದೆ ಎಂದು ನಾನು ಅರ್ಥಮಾಡಿಕೊಂಡಿದ್ದೇನೆ.</v>
      </c>
      <c r="W95" s="4" t="str">
        <f>IFERROR(__xludf.DUMMYFUNCTION("GOOGLETRANSLATE(B95,""en"",""ml"")"),"ഇമെയിൽ ഐഡി ഇവിടെ പങ്കിടാൻ ഞാൻ സമ്മതിക്കുന്നു, അത് ഒരു ഡാറ്റാബേസിലും സംരക്ഷിക്കപ്പെടില്ലെന്നും ആശയവിനിമയ ആവശ്യത്തിന് മാത്രമായിരിക്കും ഇത് ഉപയോഗിക്കുകയെന്നും ഞാൻ മനസ്സിലാക്കുന്നു.")</f>
        <v>ഇമെയിൽ ഐഡി ഇവിടെ പങ്കിടാൻ ഞാൻ സമ്മതിക്കുന്നു, അത് ഒരു ഡാറ്റാബേസിലും സംരക്ഷിക്കപ്പെടില്ലെന്നും ആശയവിനിമയ ആവശ്യത്തിന് മാത്രമായിരിക്കും ഇത് ഉപയോഗിക്കുകയെന്നും ഞാൻ മനസ്സിലാക്കുന്നു.</v>
      </c>
      <c r="X95" s="4" t="str">
        <f>IFERROR(__xludf.DUMMYFUNCTION("GOOGLETRANSLATE(B95,""en"",""th"")"),"ฉันยินยอมที่จะแบ่งปันรหัสอีเมลที่นี่ และฉันเข้าใจว่าจะไม่บันทึกรหัสนี้ลงในฐานข้อมูลใดๆ และจะใช้เพื่อวัตถุประสงค์ในการสื่อสารเท่านั้น")</f>
        <v>ฉันยินยอมที่จะแบ่งปันรหัสอีเมลที่นี่ และฉันเข้าใจว่าจะไม่บันทึกรหัสนี้ลงในฐานข้อมูลใดๆ และจะใช้เพื่อวัตถุประสงค์ในการสื่อสารเท่านั้น</v>
      </c>
      <c r="Y95" s="4" t="str">
        <f>IFERROR(__xludf.DUMMYFUNCTION("GOOGLETRANSLATE(B95,""en"",""ko"")"),"여기에 이메일 ID를 공유하는 데 동의하며, 이 정보는 어떠한 데이터베이스에도 저장되지 않고 오로지 커뮤니케이션 목적으로만 사용된다는 것을 이해합니다.")</f>
        <v>여기에 이메일 ID를 공유하는 데 동의하며, 이 정보는 어떠한 데이터베이스에도 저장되지 않고 오로지 커뮤니케이션 목적으로만 사용된다는 것을 이해합니다.</v>
      </c>
      <c r="Z95" s="4" t="str">
        <f>IFERROR(__xludf.DUMMYFUNCTION("GOOGLETRANSLATE(B95,""en"",""zh"")"),"我同意在此分享电子邮件 ID，并且我了解它不会保存在任何数据库中，并且仅用于通信目的。")</f>
        <v>我同意在此分享电子邮件 ID，并且我了解它不会保存在任何数据库中，并且仅用于通信目的。</v>
      </c>
      <c r="AA95" s="4" t="str">
        <f>IFERROR(__xludf.DUMMYFUNCTION("GOOGLETRANSLATE(B95,""en"",""zh-TW"")"),"我同意在此分享電子郵件 ID，並且我了解它不會保存在任何資料庫中，並且僅用於通訊目的。")</f>
        <v>我同意在此分享電子郵件 ID，並且我了解它不會保存在任何資料庫中，並且僅用於通訊目的。</v>
      </c>
      <c r="AB95" s="4" t="str">
        <f>IFERROR(__xludf.DUMMYFUNCTION("GOOGLETRANSLATE(B95,""en"",""ja"")"),"ここで電子メール ID を共有することに同意します。電子メール ID はデータベースに保存されず、通信目的にのみ使用されることを理解しています。")</f>
        <v>ここで電子メール ID を共有することに同意します。電子メール ID はデータベースに保存されず、通信目的にのみ使用されることを理解しています。</v>
      </c>
      <c r="AC95" s="4" t="str">
        <f>IFERROR(__xludf.DUMMYFUNCTION("GOOGLETRANSLATE(B95,""en"",""bg"")"),"Съгласявам се да споделя имейл ID тук и разбирам, че той няма да бъде запазен в никоя база данни и ще се използва само за комуникационни цели.")</f>
        <v>Съгласявам се да споделя имейл ID тук и разбирам, че той няма да бъде запазен в никоя база данни и ще се използва само за комуникационни цели.</v>
      </c>
      <c r="AD95" s="4" t="str">
        <f>IFERROR(__xludf.DUMMYFUNCTION("GOOGLETRANSLATE(B95,""en"",""cs"")"),"Souhlasím se sdílením e-mailového ID zde a beru na vědomí, že nebude uloženo v žádné databázi a bude použito pouze pro účely komunikace.")</f>
        <v>Souhlasím se sdílením e-mailového ID zde a beru na vědomí, že nebude uloženo v žádné databázi a bude použito pouze pro účely komunikace.</v>
      </c>
      <c r="AE95" s="4" t="str">
        <f>IFERROR(__xludf.DUMMYFUNCTION("GOOGLETRANSLATE(B95,""en"",""da"")"),"Jeg giver samtykke til at dele e-mail-id her, og jeg forstår, at det ikke vil blive gemt i nogen database, og det vil kun blive brugt til kommunikationsformål.")</f>
        <v>Jeg giver samtykke til at dele e-mail-id her, og jeg forstår, at det ikke vil blive gemt i nogen database, og det vil kun blive brugt til kommunikationsformål.</v>
      </c>
      <c r="AF95" s="4" t="str">
        <f>IFERROR(__xludf.DUMMYFUNCTION("GOOGLETRANSLATE(B95,""en"",""el"")"),"Συναινώ να κοινοποιήσω το αναγνωριστικό email εδώ και κατανοώ ότι δεν θα αποθηκευτεί σε καμία βάση δεδομένων και θα χρησιμοποιηθεί μόνο για λόγους επικοινωνίας.")</f>
        <v>Συναινώ να κοινοποιήσω το αναγνωριστικό email εδώ και κατανοώ ότι δεν θα αποθηκευτεί σε καμία βάση δεδομένων και θα χρησιμοποιηθεί μόνο για λόγους επικοινωνίας.</v>
      </c>
      <c r="AG95" s="4" t="str">
        <f>IFERROR(__xludf.DUMMYFUNCTION("GOOGLETRANSLATE(B95,""en"",""et"")"),"Nõustun siin e-posti ID-d jagama ja mõistan, et seda ei salvestata ühtegi andmebaasi ja seda kasutatakse ainult suhtluseesmärkidel.")</f>
        <v>Nõustun siin e-posti ID-d jagama ja mõistan, et seda ei salvestata ühtegi andmebaasi ja seda kasutatakse ainult suhtluseesmärkidel.</v>
      </c>
      <c r="AH95" s="4" t="str">
        <f>IFERROR(__xludf.DUMMYFUNCTION("GOOGLETRANSLATE(B95,""en"",""fi"")"),"Hyväksyn sähköpostiosoitteen jakamisen täällä ja ymmärrän, että sitä ei tallenneta mihinkään tietokantaan ja sitä käytetään vain viestintätarkoituksiin.")</f>
        <v>Hyväksyn sähköpostiosoitteen jakamisen täällä ja ymmärrän, että sitä ei tallenneta mihinkään tietokantaan ja sitä käytetään vain viestintätarkoituksiin.</v>
      </c>
      <c r="AI95" s="4" t="str">
        <f>IFERROR(__xludf.DUMMYFUNCTION("GOOGLETRANSLATE(B95,""en"",""hr"")"),"Pristajem na dijeljenje ID-a e-pošte ovdje i razumijem da neće biti pohranjen ni u jednoj bazi podataka i da će se koristiti samo u svrhu komunikacije.")</f>
        <v>Pristajem na dijeljenje ID-a e-pošte ovdje i razumijem da neće biti pohranjen ni u jednoj bazi podataka i da će se koristiti samo u svrhu komunikacije.</v>
      </c>
      <c r="AJ95" s="4" t="str">
        <f>IFERROR(__xludf.DUMMYFUNCTION("GOOGLETRANSLATE(B95,""en"",""hu"")"),"Hozzájárulok az e-mail azonosító itt való megosztásához, és tudomásul veszem, hogy az nem kerül mentésre semmilyen adatbázisba, és csak kommunikációs célokra használható fel.")</f>
        <v>Hozzájárulok az e-mail azonosító itt való megosztásához, és tudomásul veszem, hogy az nem kerül mentésre semmilyen adatbázisba, és csak kommunikációs célokra használható fel.</v>
      </c>
      <c r="AK95" s="4" t="str">
        <f>IFERROR(__xludf.DUMMYFUNCTION("GOOGLETRANSLATE(B95,""en"",""hy"")"),"Ես համաձայնում եմ կիսվել Email ID-ն այստեղ և հասկանում եմ, որ այն չի պահպանվի որևէ տվյալների բազայում և կօգտագործվի միայն հաղորդակցման նպատակով:")</f>
        <v>Ես համաձայնում եմ կիսվել Email ID-ն այստեղ և հասկանում եմ, որ այն չի պահպանվի որևէ տվյալների բազայում և կօգտագործվի միայն հաղորդակցման նպատակով:</v>
      </c>
      <c r="AL95" s="4" t="str">
        <f>IFERROR(__xludf.DUMMYFUNCTION("GOOGLETRANSLATE(B95,""en"",""ca"")"),"Accepto compartir l'identificador de correu electrònic aquí i entenc que no es desarà a cap base de dades i que s'utilitzarà només amb finalitats de comunicació.")</f>
        <v>Accepto compartir l'identificador de correu electrònic aquí i entenc que no es desarà a cap base de dades i que s'utilitzarà només amb finalitats de comunicació.</v>
      </c>
      <c r="AM95" s="4" t="str">
        <f>IFERROR(__xludf.DUMMYFUNCTION("GOOGLETRANSLATE(B95,""en"",""nl"")"),"Ik geef toestemming om mijn e-mailadres hier te delen en ik begrijp dat dit niet in een database wordt opgeslagen en alleen voor communicatiedoeleinden wordt gebruikt.")</f>
        <v>Ik geef toestemming om mijn e-mailadres hier te delen en ik begrijp dat dit niet in een database wordt opgeslagen en alleen voor communicatiedoeleinden wordt gebruikt.</v>
      </c>
      <c r="AN95" s="4" t="str">
        <f>IFERROR(__xludf.DUMMYFUNCTION("GOOGLETRANSLATE(B95,""en"",""he"")"),"אני מסכים לשתף את מזהה האימייל כאן ואני מבין שהוא לא יישמר בשום מסד נתונים והוא ישמש למטרות תקשורת בלבד.")</f>
        <v>אני מסכים לשתף את מזהה האימייל כאן ואני מבין שהוא לא יישמר בשום מסד נתונים והוא ישמש למטרות תקשורת בלבד.</v>
      </c>
      <c r="AO95" s="4" t="str">
        <f>IFERROR(__xludf.DUMMYFUNCTION("GOOGLETRANSLATE(B95,""en"",""is"")"),"Ég samþykki að deila tölvupóstauðkenni hér og ég skil að það verður ekki vistað í neinum gagnagrunni og það verður eingöngu notað í samskiptatilgangi.")</f>
        <v>Ég samþykki að deila tölvupóstauðkenni hér og ég skil að það verður ekki vistað í neinum gagnagrunni og það verður eingöngu notað í samskiptatilgangi.</v>
      </c>
      <c r="AP95" s="4" t="str">
        <f>IFERROR(__xludf.DUMMYFUNCTION("GOOGLETRANSLATE(B95,""en"",""no"")"),"Jeg samtykker til å dele e-post-ID her, og jeg forstår at den ikke vil bli lagret i noen database, og den vil kun brukes til kommunikasjonsformål.")</f>
        <v>Jeg samtykker til å dele e-post-ID her, og jeg forstår at den ikke vil bli lagret i noen database, og den vil kun brukes til kommunikasjonsformål.</v>
      </c>
      <c r="AQ95" s="4" t="str">
        <f>IFERROR(__xludf.DUMMYFUNCTION("GOOGLETRANSLATE(B95,""en"",""fa"")"),"من با به اشتراک گذاشتن شناسه ایمیل در اینجا موافقت می کنم و می دانم که در هیچ پایگاه داده ای ذخیره نخواهد شد و فقط برای اهداف ارتباطی استفاده خواهد شد.")</f>
        <v>من با به اشتراک گذاشتن شناسه ایمیل در اینجا موافقت می کنم و می دانم که در هیچ پایگاه داده ای ذخیره نخواهد شد و فقط برای اهداف ارتباطی استفاده خواهد شد.</v>
      </c>
      <c r="AR95" s="4" t="str">
        <f>IFERROR(__xludf.DUMMYFUNCTION("GOOGLETRANSLATE(B95,""en"",""pl"")"),"Wyrażam zgodę na udostępnienie mojego adresu e-mail i rozumiem, że nie zostanie on zapisany w żadnej bazie danych i będzie wykorzystywany wyłącznie w celach komunikacyjnych.")</f>
        <v>Wyrażam zgodę na udostępnienie mojego adresu e-mail i rozumiem, że nie zostanie on zapisany w żadnej bazie danych i będzie wykorzystywany wyłącznie w celach komunikacyjnych.</v>
      </c>
      <c r="AS95" s="4" t="str">
        <f>IFERROR(__xludf.DUMMYFUNCTION("GOOGLETRANSLATE(B95,""en"",""sv"")"),"Jag samtycker till att dela e-post-ID här och jag förstår att det inte kommer att sparas i någon databas och att det endast kommer att användas i kommunikationssyfte.")</f>
        <v>Jag samtycker till att dela e-post-ID här och jag förstår att det inte kommer att sparas i någon databas och att det endast kommer att användas i kommunikationssyfte.</v>
      </c>
      <c r="AT95" s="4" t="str">
        <f>IFERROR(__xludf.DUMMYFUNCTION("GOOGLETRANSLATE(B95,""en"",""uk"")"),"Я погоджуюся надати тут ідентифікатор електронної пошти та розумію, що він не зберігатиметься в жодній базі даних і використовуватиметься лише для зв’язку.")</f>
        <v>Я погоджуюся надати тут ідентифікатор електронної пошти та розумію, що він не зберігатиметься в жодній базі даних і використовуватиметься лише для зв’язку.</v>
      </c>
      <c r="AU95" s="4" t="str">
        <f>IFERROR(__xludf.DUMMYFUNCTION("GOOGLETRANSLATE(B95,""en"",""zu"")"),"Ngiyavuma ukwabelana nge-ID ye-imeyili lapha futhi ngiyaqonda ukuthi ngeke ilondolozwe kunoma iyiphi isizindalwazi futhi izosetshenziselwa izinjongo zokuxhumana kuphela.")</f>
        <v>Ngiyavuma ukwabelana nge-ID ye-imeyili lapha futhi ngiyaqonda ukuthi ngeke ilondolozwe kunoma iyiphi isizindalwazi futhi izosetshenziselwa izinjongo zokuxhumana kuphela.</v>
      </c>
      <c r="AV95" s="4" t="str">
        <f>IFERROR(__xludf.DUMMYFUNCTION("GOOGLETRANSLATE(B95,""en"",""sr"")"),"Сагласан сам да овде делим ИД е-поште и разумем да неће бити сачуван ни у једној бази података и да ће се користити само у комуникацијске сврхе.")</f>
        <v>Сагласан сам да овде делим ИД е-поште и разумем да неће бити сачуван ни у једној бази података и да ће се користити само у комуникацијске сврхе.</v>
      </c>
    </row>
    <row r="96">
      <c r="A96" s="3" t="s">
        <v>231</v>
      </c>
      <c r="B96" s="3" t="s">
        <v>232</v>
      </c>
      <c r="C96" s="4" t="str">
        <f>IFERROR(__xludf.DUMMYFUNCTION("GOOGLETRANSLATE(B96,""en"",""ta"")"),"சமர்ப்பிக்கவும்")</f>
        <v>சமர்ப்பிக்கவும்</v>
      </c>
      <c r="D96" s="4" t="str">
        <f>IFERROR(__xludf.DUMMYFUNCTION("GOOGLETRANSLATE(B96,""en"",""hi"")"),"जमा करना")</f>
        <v>जमा करना</v>
      </c>
      <c r="E96" s="4" t="str">
        <f>IFERROR(__xludf.DUMMYFUNCTION("GOOGLETRANSLATE(B96,""en"",""id"")"),"Kirim")</f>
        <v>Kirim</v>
      </c>
      <c r="F96" s="4" t="str">
        <f>IFERROR(__xludf.DUMMYFUNCTION("GOOGLETRANSLATE(B96,""en"",""ms"")"),"Hantar")</f>
        <v>Hantar</v>
      </c>
      <c r="G96" s="4" t="str">
        <f>IFERROR(__xludf.DUMMYFUNCTION("GOOGLETRANSLATE(B96,""en"",""de"")"),"Einreichen")</f>
        <v>Einreichen</v>
      </c>
      <c r="H96" s="4" t="str">
        <f>IFERROR(__xludf.DUMMYFUNCTION("GOOGLETRANSLATE(B96,""en"",""es"")"),"Entregar")</f>
        <v>Entregar</v>
      </c>
      <c r="I96" s="4" t="str">
        <f>IFERROR(__xludf.DUMMYFUNCTION("GOOGLETRANSLATE(B96,""en"",""fr"")"),"Soumettre")</f>
        <v>Soumettre</v>
      </c>
      <c r="J96" s="4" t="str">
        <f>IFERROR(__xludf.DUMMYFUNCTION("GOOGLETRANSLATE(B96,""en"",""it"")"),"Invia")</f>
        <v>Invia</v>
      </c>
      <c r="K96" s="4" t="str">
        <f>IFERROR(__xludf.DUMMYFUNCTION("GOOGLETRANSLATE(B96,""en"",""pt"")"),"Enviar")</f>
        <v>Enviar</v>
      </c>
      <c r="L96" s="4" t="str">
        <f>IFERROR(__xludf.DUMMYFUNCTION("GOOGLETRANSLATE(B96,""en"",""ro"")"),"Trimiteți")</f>
        <v>Trimiteți</v>
      </c>
      <c r="M96" s="4" t="str">
        <f>IFERROR(__xludf.DUMMYFUNCTION("GOOGLETRANSLATE(B96,""en"",""vi"")"),"Nộp")</f>
        <v>Nộp</v>
      </c>
      <c r="N96" s="4" t="str">
        <f>IFERROR(__xludf.DUMMYFUNCTION("GOOGLETRANSLATE(B96,""en"",""ru"")"),"Представлять на рассмотрение")</f>
        <v>Представлять на рассмотрение</v>
      </c>
      <c r="O96" s="4" t="str">
        <f>IFERROR(__xludf.DUMMYFUNCTION("GOOGLETRANSLATE(B96,""en"",""tr"")"),"Göndermek")</f>
        <v>Göndermek</v>
      </c>
      <c r="P96" s="4" t="str">
        <f>IFERROR(__xludf.DUMMYFUNCTION("GOOGLETRANSLATE(B96,""en"",""ar"")"),"يُقدِّم")</f>
        <v>يُقدِّم</v>
      </c>
      <c r="Q96" s="4" t="str">
        <f>IFERROR(__xludf.DUMMYFUNCTION("GOOGLETRANSLATE(B96,""en"",""mr"")"),"सबमिट करा")</f>
        <v>सबमिट करा</v>
      </c>
      <c r="R96" s="4" t="str">
        <f>IFERROR(__xludf.DUMMYFUNCTION("GOOGLETRANSLATE(B96,""en"",""gu"")"),"સબમિટ કરો")</f>
        <v>સબમિટ કરો</v>
      </c>
      <c r="S96" s="4" t="str">
        <f>IFERROR(__xludf.DUMMYFUNCTION("GOOGLETRANSLATE(B96,""en"",""bn"")"),"জমা দিন")</f>
        <v>জমা দিন</v>
      </c>
      <c r="T96" s="4" t="str">
        <f>IFERROR(__xludf.DUMMYFUNCTION("GOOGLETRANSLATE(B96,""en"",""pa"")"),"ਜਮ੍ਹਾਂ ਕਰੋ")</f>
        <v>ਜਮ੍ਹਾਂ ਕਰੋ</v>
      </c>
      <c r="U96" s="4" t="str">
        <f>IFERROR(__xludf.DUMMYFUNCTION("GOOGLETRANSLATE(B96,""en"",""te"")"),"సమర్పించండి")</f>
        <v>సమర్పించండి</v>
      </c>
      <c r="V96" s="4" t="str">
        <f>IFERROR(__xludf.DUMMYFUNCTION("GOOGLETRANSLATE(B96,""en"",""kn"")"),"ಸಲ್ಲಿಸಿ")</f>
        <v>ಸಲ್ಲಿಸಿ</v>
      </c>
      <c r="W96" s="4" t="str">
        <f>IFERROR(__xludf.DUMMYFUNCTION("GOOGLETRANSLATE(B96,""en"",""ml"")"),"സമർപ്പിക്കുക")</f>
        <v>സമർപ്പിക്കുക</v>
      </c>
      <c r="X96" s="4" t="str">
        <f>IFERROR(__xludf.DUMMYFUNCTION("GOOGLETRANSLATE(B96,""en"",""th"")"),"ส่ง")</f>
        <v>ส่ง</v>
      </c>
      <c r="Y96" s="4" t="str">
        <f>IFERROR(__xludf.DUMMYFUNCTION("GOOGLETRANSLATE(B96,""en"",""ko"")"),"제출하다")</f>
        <v>제출하다</v>
      </c>
      <c r="Z96" s="4" t="str">
        <f>IFERROR(__xludf.DUMMYFUNCTION("GOOGLETRANSLATE(B96,""en"",""zh"")"),"提交")</f>
        <v>提交</v>
      </c>
      <c r="AA96" s="4" t="str">
        <f>IFERROR(__xludf.DUMMYFUNCTION("GOOGLETRANSLATE(B96,""en"",""zh-TW"")"),"提交")</f>
        <v>提交</v>
      </c>
      <c r="AB96" s="4" t="str">
        <f>IFERROR(__xludf.DUMMYFUNCTION("GOOGLETRANSLATE(B96,""en"",""ja"")"),"提出する")</f>
        <v>提出する</v>
      </c>
      <c r="AC96" s="4" t="str">
        <f>IFERROR(__xludf.DUMMYFUNCTION("GOOGLETRANSLATE(B96,""en"",""bg"")"),"Изпратете")</f>
        <v>Изпратете</v>
      </c>
      <c r="AD96" s="4" t="str">
        <f>IFERROR(__xludf.DUMMYFUNCTION("GOOGLETRANSLATE(B96,""en"",""cs"")"),"Předložit")</f>
        <v>Předložit</v>
      </c>
      <c r="AE96" s="4" t="str">
        <f>IFERROR(__xludf.DUMMYFUNCTION("GOOGLETRANSLATE(B96,""en"",""da"")"),"Indsend")</f>
        <v>Indsend</v>
      </c>
      <c r="AF96" s="4" t="str">
        <f>IFERROR(__xludf.DUMMYFUNCTION("GOOGLETRANSLATE(B96,""en"",""el"")"),"Υποτάσσομαι")</f>
        <v>Υποτάσσομαι</v>
      </c>
      <c r="AG96" s="4" t="str">
        <f>IFERROR(__xludf.DUMMYFUNCTION("GOOGLETRANSLATE(B96,""en"",""et"")"),"Esita")</f>
        <v>Esita</v>
      </c>
      <c r="AH96" s="4" t="str">
        <f>IFERROR(__xludf.DUMMYFUNCTION("GOOGLETRANSLATE(B96,""en"",""fi"")"),"Lähetä")</f>
        <v>Lähetä</v>
      </c>
      <c r="AI96" s="4" t="str">
        <f>IFERROR(__xludf.DUMMYFUNCTION("GOOGLETRANSLATE(B96,""en"",""hr"")"),"Pošalji")</f>
        <v>Pošalji</v>
      </c>
      <c r="AJ96" s="4" t="str">
        <f>IFERROR(__xludf.DUMMYFUNCTION("GOOGLETRANSLATE(B96,""en"",""hu"")"),"Beküld")</f>
        <v>Beküld</v>
      </c>
      <c r="AK96" s="4" t="str">
        <f>IFERROR(__xludf.DUMMYFUNCTION("GOOGLETRANSLATE(B96,""en"",""hy"")"),"Ներկայացրե՛ք")</f>
        <v>Ներկայացրե՛ք</v>
      </c>
      <c r="AL96" s="4" t="str">
        <f>IFERROR(__xludf.DUMMYFUNCTION("GOOGLETRANSLATE(B96,""en"",""ca"")"),"Envia")</f>
        <v>Envia</v>
      </c>
      <c r="AM96" s="4" t="str">
        <f>IFERROR(__xludf.DUMMYFUNCTION("GOOGLETRANSLATE(B96,""en"",""nl"")"),"Indienen")</f>
        <v>Indienen</v>
      </c>
      <c r="AN96" s="4" t="str">
        <f>IFERROR(__xludf.DUMMYFUNCTION("GOOGLETRANSLATE(B96,""en"",""he"")"),"לְהַגִישׁ")</f>
        <v>לְהַגִישׁ</v>
      </c>
      <c r="AO96" s="4" t="str">
        <f>IFERROR(__xludf.DUMMYFUNCTION("GOOGLETRANSLATE(B96,""en"",""is"")"),"Sendu inn")</f>
        <v>Sendu inn</v>
      </c>
      <c r="AP96" s="4" t="str">
        <f>IFERROR(__xludf.DUMMYFUNCTION("GOOGLETRANSLATE(B96,""en"",""no"")"),"Send inn")</f>
        <v>Send inn</v>
      </c>
      <c r="AQ96" s="4" t="str">
        <f>IFERROR(__xludf.DUMMYFUNCTION("GOOGLETRANSLATE(B96,""en"",""fa"")"),"ارسال کنید")</f>
        <v>ارسال کنید</v>
      </c>
      <c r="AR96" s="4" t="str">
        <f>IFERROR(__xludf.DUMMYFUNCTION("GOOGLETRANSLATE(B96,""en"",""pl"")"),"Składać")</f>
        <v>Składać</v>
      </c>
      <c r="AS96" s="4" t="str">
        <f>IFERROR(__xludf.DUMMYFUNCTION("GOOGLETRANSLATE(B96,""en"",""sv"")"),"Överlämna")</f>
        <v>Överlämna</v>
      </c>
      <c r="AT96" s="4" t="str">
        <f>IFERROR(__xludf.DUMMYFUNCTION("GOOGLETRANSLATE(B96,""en"",""uk"")"),"Надіслати")</f>
        <v>Надіслати</v>
      </c>
      <c r="AU96" s="4" t="str">
        <f>IFERROR(__xludf.DUMMYFUNCTION("GOOGLETRANSLATE(B96,""en"",""zu"")"),"Thumela")</f>
        <v>Thumela</v>
      </c>
      <c r="AV96" s="4" t="str">
        <f>IFERROR(__xludf.DUMMYFUNCTION("GOOGLETRANSLATE(B96,""en"",""sr"")"),"Субмит")</f>
        <v>Субмит</v>
      </c>
    </row>
    <row r="97">
      <c r="A97" s="3" t="s">
        <v>233</v>
      </c>
      <c r="B97" s="3" t="s">
        <v>234</v>
      </c>
      <c r="C97" s="4" t="str">
        <f>IFERROR(__xludf.DUMMYFUNCTION("GOOGLETRANSLATE(B97,""en"",""ta"")"),"கருத்து சமர்ப்பிக்கப்பட்டது!")</f>
        <v>கருத்து சமர்ப்பிக்கப்பட்டது!</v>
      </c>
      <c r="D97" s="4" t="str">
        <f>IFERROR(__xludf.DUMMYFUNCTION("GOOGLETRANSLATE(B97,""en"",""hi"")"),"प्रतिक्रिया प्रस्तुत!")</f>
        <v>प्रतिक्रिया प्रस्तुत!</v>
      </c>
      <c r="E97" s="4" t="str">
        <f>IFERROR(__xludf.DUMMYFUNCTION("GOOGLETRANSLATE(B97,""en"",""id"")"),"Masukan Telah Dikirim!")</f>
        <v>Masukan Telah Dikirim!</v>
      </c>
      <c r="F97" s="4" t="str">
        <f>IFERROR(__xludf.DUMMYFUNCTION("GOOGLETRANSLATE(B97,""en"",""ms"")"),"Maklum Balas Dihantar!")</f>
        <v>Maklum Balas Dihantar!</v>
      </c>
      <c r="G97" s="4" t="str">
        <f>IFERROR(__xludf.DUMMYFUNCTION("GOOGLETRANSLATE(B97,""en"",""de"")"),"Feedback gesendet!")</f>
        <v>Feedback gesendet!</v>
      </c>
      <c r="H97" s="4" t="str">
        <f>IFERROR(__xludf.DUMMYFUNCTION("GOOGLETRANSLATE(B97,""en"",""es"")"),"¡Comentarios enviados!")</f>
        <v>¡Comentarios enviados!</v>
      </c>
      <c r="I97" s="4" t="str">
        <f>IFERROR(__xludf.DUMMYFUNCTION("GOOGLETRANSLATE(B97,""en"",""fr"")"),"Commentaires soumis !")</f>
        <v>Commentaires soumis !</v>
      </c>
      <c r="J97" s="4" t="str">
        <f>IFERROR(__xludf.DUMMYFUNCTION("GOOGLETRANSLATE(B97,""en"",""it"")"),"Feedback inviato!")</f>
        <v>Feedback inviato!</v>
      </c>
      <c r="K97" s="4" t="str">
        <f>IFERROR(__xludf.DUMMYFUNCTION("GOOGLETRANSLATE(B97,""en"",""pt"")"),"Feedback enviado!")</f>
        <v>Feedback enviado!</v>
      </c>
      <c r="L97" s="4" t="str">
        <f>IFERROR(__xludf.DUMMYFUNCTION("GOOGLETRANSLATE(B97,""en"",""ro"")"),"Feedback trimis!")</f>
        <v>Feedback trimis!</v>
      </c>
      <c r="M97" s="4" t="str">
        <f>IFERROR(__xludf.DUMMYFUNCTION("GOOGLETRANSLATE(B97,""en"",""vi"")"),"Đã gửi phản hồi!")</f>
        <v>Đã gửi phản hồi!</v>
      </c>
      <c r="N97" s="4" t="str">
        <f>IFERROR(__xludf.DUMMYFUNCTION("GOOGLETRANSLATE(B97,""en"",""ru"")"),"Отзыв отправлен!")</f>
        <v>Отзыв отправлен!</v>
      </c>
      <c r="O97" s="4" t="str">
        <f>IFERROR(__xludf.DUMMYFUNCTION("GOOGLETRANSLATE(B97,""en"",""tr"")"),"Geri bildirim gönderildi!")</f>
        <v>Geri bildirim gönderildi!</v>
      </c>
      <c r="P97" s="4" t="str">
        <f>IFERROR(__xludf.DUMMYFUNCTION("GOOGLETRANSLATE(B97,""en"",""ar"")"),"تم إرسال التعليقات!")</f>
        <v>تم إرسال التعليقات!</v>
      </c>
      <c r="Q97" s="4" t="str">
        <f>IFERROR(__xludf.DUMMYFUNCTION("GOOGLETRANSLATE(B97,""en"",""mr"")"),"अभिप्राय सबमिट केला!")</f>
        <v>अभिप्राय सबमिट केला!</v>
      </c>
      <c r="R97" s="4" t="str">
        <f>IFERROR(__xludf.DUMMYFUNCTION("GOOGLETRANSLATE(B97,""en"",""gu"")"),"પ્રતિસાદ સબમિટ કર્યો!")</f>
        <v>પ્રતિસાદ સબમિટ કર્યો!</v>
      </c>
      <c r="S97" s="4" t="str">
        <f>IFERROR(__xludf.DUMMYFUNCTION("GOOGLETRANSLATE(B97,""en"",""bn"")"),"প্রতিক্রিয়া জমা দেওয়া!")</f>
        <v>প্রতিক্রিয়া জমা দেওয়া!</v>
      </c>
      <c r="T97" s="4" t="str">
        <f>IFERROR(__xludf.DUMMYFUNCTION("GOOGLETRANSLATE(B97,""en"",""pa"")"),"ਫੀਡਬੈਕ ਸਪੁਰਦ ਕੀਤਾ ਗਿਆ!")</f>
        <v>ਫੀਡਬੈਕ ਸਪੁਰਦ ਕੀਤਾ ਗਿਆ!</v>
      </c>
      <c r="U97" s="4" t="str">
        <f>IFERROR(__xludf.DUMMYFUNCTION("GOOGLETRANSLATE(B97,""en"",""te"")"),"అభిప్రాయం సమర్పించబడింది!")</f>
        <v>అభిప్రాయం సమర్పించబడింది!</v>
      </c>
      <c r="V97" s="4" t="str">
        <f>IFERROR(__xludf.DUMMYFUNCTION("GOOGLETRANSLATE(B97,""en"",""kn"")"),"ಪ್ರತಿಕ್ರಿಯೆಯನ್ನು ಸಲ್ಲಿಸಲಾಗಿದೆ!")</f>
        <v>ಪ್ರತಿಕ್ರಿಯೆಯನ್ನು ಸಲ್ಲಿಸಲಾಗಿದೆ!</v>
      </c>
      <c r="W97" s="4" t="str">
        <f>IFERROR(__xludf.DUMMYFUNCTION("GOOGLETRANSLATE(B97,""en"",""ml"")"),"ഫീഡ്‌ബാക്ക് സമർപ്പിച്ചു!")</f>
        <v>ഫീഡ്‌ബാക്ക് സമർപ്പിച്ചു!</v>
      </c>
      <c r="X97" s="4" t="str">
        <f>IFERROR(__xludf.DUMMYFUNCTION("GOOGLETRANSLATE(B97,""en"",""th"")"),"ส่งคำติชมแล้ว!")</f>
        <v>ส่งคำติชมแล้ว!</v>
      </c>
      <c r="Y97" s="4" t="str">
        <f>IFERROR(__xludf.DUMMYFUNCTION("GOOGLETRANSLATE(B97,""en"",""ko"")"),"피드백을 제출했습니다!")</f>
        <v>피드백을 제출했습니다!</v>
      </c>
      <c r="Z97" s="4" t="str">
        <f>IFERROR(__xludf.DUMMYFUNCTION("GOOGLETRANSLATE(B97,""en"",""zh"")"),"反馈已提交！")</f>
        <v>反馈已提交！</v>
      </c>
      <c r="AA97" s="4" t="str">
        <f>IFERROR(__xludf.DUMMYFUNCTION("GOOGLETRANSLATE(B97,""en"",""zh-TW"")"),"反饋已提交！")</f>
        <v>反饋已提交！</v>
      </c>
      <c r="AB97" s="4" t="str">
        <f>IFERROR(__xludf.DUMMYFUNCTION("GOOGLETRANSLATE(B97,""en"",""ja"")"),"フィードバックを送信しました!")</f>
        <v>フィードバックを送信しました!</v>
      </c>
      <c r="AC97" s="4" t="str">
        <f>IFERROR(__xludf.DUMMYFUNCTION("GOOGLETRANSLATE(B97,""en"",""bg"")"),"Отзивите са изпратени!")</f>
        <v>Отзивите са изпратени!</v>
      </c>
      <c r="AD97" s="4" t="str">
        <f>IFERROR(__xludf.DUMMYFUNCTION("GOOGLETRANSLATE(B97,""en"",""cs"")"),"Zpětná vazba odeslána!")</f>
        <v>Zpětná vazba odeslána!</v>
      </c>
      <c r="AE97" s="4" t="str">
        <f>IFERROR(__xludf.DUMMYFUNCTION("GOOGLETRANSLATE(B97,""en"",""da"")"),"Feedback indsendt!")</f>
        <v>Feedback indsendt!</v>
      </c>
      <c r="AF97" s="4" t="str">
        <f>IFERROR(__xludf.DUMMYFUNCTION("GOOGLETRANSLATE(B97,""en"",""el"")"),"Τα σχόλια υποβλήθηκαν!")</f>
        <v>Τα σχόλια υποβλήθηκαν!</v>
      </c>
      <c r="AG97" s="4" t="str">
        <f>IFERROR(__xludf.DUMMYFUNCTION("GOOGLETRANSLATE(B97,""en"",""et"")"),"Tagasiside saadetud!")</f>
        <v>Tagasiside saadetud!</v>
      </c>
      <c r="AH97" s="4" t="str">
        <f>IFERROR(__xludf.DUMMYFUNCTION("GOOGLETRANSLATE(B97,""en"",""fi"")"),"Palaute lähetetty!")</f>
        <v>Palaute lähetetty!</v>
      </c>
      <c r="AI97" s="4" t="str">
        <f>IFERROR(__xludf.DUMMYFUNCTION("GOOGLETRANSLATE(B97,""en"",""hr"")"),"Povratne informacije poslane!")</f>
        <v>Povratne informacije poslane!</v>
      </c>
      <c r="AJ97" s="4" t="str">
        <f>IFERROR(__xludf.DUMMYFUNCTION("GOOGLETRANSLATE(B97,""en"",""hu"")"),"Visszajelzés elküldve!")</f>
        <v>Visszajelzés elküldve!</v>
      </c>
      <c r="AK97" s="4" t="str">
        <f>IFERROR(__xludf.DUMMYFUNCTION("GOOGLETRANSLATE(B97,""en"",""hy"")"),"Հետադարձ կապ ուղարկված է:")</f>
        <v>Հետադարձ կապ ուղարկված է:</v>
      </c>
      <c r="AL97" s="4" t="str">
        <f>IFERROR(__xludf.DUMMYFUNCTION("GOOGLETRANSLATE(B97,""en"",""ca"")"),"Comentaris enviats!")</f>
        <v>Comentaris enviats!</v>
      </c>
      <c r="AM97" s="4" t="str">
        <f>IFERROR(__xludf.DUMMYFUNCTION("GOOGLETRANSLATE(B97,""en"",""nl"")"),"Feedback ingediend!")</f>
        <v>Feedback ingediend!</v>
      </c>
      <c r="AN97" s="4" t="str">
        <f>IFERROR(__xludf.DUMMYFUNCTION("GOOGLETRANSLATE(B97,""en"",""he"")"),"משוב נשלח!")</f>
        <v>משוב נשלח!</v>
      </c>
      <c r="AO97" s="4" t="str">
        <f>IFERROR(__xludf.DUMMYFUNCTION("GOOGLETRANSLATE(B97,""en"",""is"")"),"Athugasemdir sendar inn!")</f>
        <v>Athugasemdir sendar inn!</v>
      </c>
      <c r="AP97" s="4" t="str">
        <f>IFERROR(__xludf.DUMMYFUNCTION("GOOGLETRANSLATE(B97,""en"",""no"")"),"Tilbakemelding sendt inn!")</f>
        <v>Tilbakemelding sendt inn!</v>
      </c>
      <c r="AQ97" s="4" t="str">
        <f>IFERROR(__xludf.DUMMYFUNCTION("GOOGLETRANSLATE(B97,""en"",""fa"")"),"بازخورد ارسال شد!")</f>
        <v>بازخورد ارسال شد!</v>
      </c>
      <c r="AR97" s="4" t="str">
        <f>IFERROR(__xludf.DUMMYFUNCTION("GOOGLETRANSLATE(B97,""en"",""pl"")"),"Opinia wysłana!")</f>
        <v>Opinia wysłana!</v>
      </c>
      <c r="AS97" s="4" t="str">
        <f>IFERROR(__xludf.DUMMYFUNCTION("GOOGLETRANSLATE(B97,""en"",""sv"")"),"Feedback har skickats!")</f>
        <v>Feedback har skickats!</v>
      </c>
      <c r="AT97" s="4" t="str">
        <f>IFERROR(__xludf.DUMMYFUNCTION("GOOGLETRANSLATE(B97,""en"",""uk"")"),"Відгук надіслано!")</f>
        <v>Відгук надіслано!</v>
      </c>
      <c r="AU97" s="4" t="str">
        <f>IFERROR(__xludf.DUMMYFUNCTION("GOOGLETRANSLATE(B97,""en"",""zu"")"),"Impendulo Ithunyelwe!")</f>
        <v>Impendulo Ithunyelwe!</v>
      </c>
      <c r="AV97" s="4" t="str">
        <f>IFERROR(__xludf.DUMMYFUNCTION("GOOGLETRANSLATE(B97,""en"",""sr"")"),"Повратне информације су послате!")</f>
        <v>Повратне информације су послате!</v>
      </c>
    </row>
    <row r="98">
      <c r="A98" s="3" t="s">
        <v>235</v>
      </c>
      <c r="B98" s="3" t="s">
        <v>236</v>
      </c>
      <c r="C98" s="4" t="str">
        <f>IFERROR(__xludf.DUMMYFUNCTION("GOOGLETRANSLATE(B98,""en"",""ta"")"),"சரியான மின்னஞ்சல் முகவரியை உள்ளிடவும்")</f>
        <v>சரியான மின்னஞ்சல் முகவரியை உள்ளிடவும்</v>
      </c>
      <c r="D98" s="4" t="str">
        <f>IFERROR(__xludf.DUMMYFUNCTION("GOOGLETRANSLATE(B98,""en"",""hi"")"),"कृपया एक मान्य ईमेल पता प्रविष्ट करें")</f>
        <v>कृपया एक मान्य ईमेल पता प्रविष्ट करें</v>
      </c>
      <c r="E98" s="4" t="str">
        <f>IFERROR(__xludf.DUMMYFUNCTION("GOOGLETRANSLATE(B98,""en"",""id"")"),"Harap masukkan alamat email yang valid")</f>
        <v>Harap masukkan alamat email yang valid</v>
      </c>
      <c r="F98" s="4" t="str">
        <f>IFERROR(__xludf.DUMMYFUNCTION("GOOGLETRANSLATE(B98,""en"",""ms"")"),"Sila masukkan alamat e-mel yang sah")</f>
        <v>Sila masukkan alamat e-mel yang sah</v>
      </c>
      <c r="G98" s="4" t="str">
        <f>IFERROR(__xludf.DUMMYFUNCTION("GOOGLETRANSLATE(B98,""en"",""de"")"),"Bitte geben Sie eine gültige E-Mail-Adresse ein")</f>
        <v>Bitte geben Sie eine gültige E-Mail-Adresse ein</v>
      </c>
      <c r="H98" s="4" t="str">
        <f>IFERROR(__xludf.DUMMYFUNCTION("GOOGLETRANSLATE(B98,""en"",""es"")"),"Por favor, introduce una dirección de correo electrónico válida")</f>
        <v>Por favor, introduce una dirección de correo electrónico válida</v>
      </c>
      <c r="I98" s="4" t="str">
        <f>IFERROR(__xludf.DUMMYFUNCTION("GOOGLETRANSLATE(B98,""en"",""fr"")"),"S'il vous plaît, mettez une adresse email valide")</f>
        <v>S'il vous plaît, mettez une adresse email valide</v>
      </c>
      <c r="J98" s="4" t="str">
        <f>IFERROR(__xludf.DUMMYFUNCTION("GOOGLETRANSLATE(B98,""en"",""it"")"),"Si prega di inserire un indirizzo email valido")</f>
        <v>Si prega di inserire un indirizzo email valido</v>
      </c>
      <c r="K98" s="4" t="str">
        <f>IFERROR(__xludf.DUMMYFUNCTION("GOOGLETRANSLATE(B98,""en"",""pt"")"),"Por favor, insira um endereço de e-mail válido")</f>
        <v>Por favor, insira um endereço de e-mail válido</v>
      </c>
      <c r="L98" s="4" t="str">
        <f>IFERROR(__xludf.DUMMYFUNCTION("GOOGLETRANSLATE(B98,""en"",""ro"")"),"Vă rugăm să introduceți o adresă de email validă")</f>
        <v>Vă rugăm să introduceți o adresă de email validă</v>
      </c>
      <c r="M98" s="4" t="str">
        <f>IFERROR(__xludf.DUMMYFUNCTION("GOOGLETRANSLATE(B98,""en"",""vi"")"),"Vui lòng nhập địa chỉ email hợp lệ")</f>
        <v>Vui lòng nhập địa chỉ email hợp lệ</v>
      </c>
      <c r="N98" s="4" t="str">
        <f>IFERROR(__xludf.DUMMYFUNCTION("GOOGLETRANSLATE(B98,""en"",""ru"")"),"Пожалуйста, введите действительный адрес электронной почты")</f>
        <v>Пожалуйста, введите действительный адрес электронной почты</v>
      </c>
      <c r="O98" s="4" t="str">
        <f>IFERROR(__xludf.DUMMYFUNCTION("GOOGLETRANSLATE(B98,""en"",""tr"")"),"Geçerli bir e")</f>
        <v>Geçerli bir e</v>
      </c>
      <c r="P98" s="4" t="str">
        <f>IFERROR(__xludf.DUMMYFUNCTION("GOOGLETRANSLATE(B98,""en"",""ar"")"),"يرجى إدخال عنوان بريد إلكتروني صالح")</f>
        <v>يرجى إدخال عنوان بريد إلكتروني صالح</v>
      </c>
      <c r="Q98" s="4" t="str">
        <f>IFERROR(__xludf.DUMMYFUNCTION("GOOGLETRANSLATE(B98,""en"",""mr"")"),"कृपया वैध ईमेल पत्ता प्रविष्ट करा")</f>
        <v>कृपया वैध ईमेल पत्ता प्रविष्ट करा</v>
      </c>
      <c r="R98" s="4" t="str">
        <f>IFERROR(__xludf.DUMMYFUNCTION("GOOGLETRANSLATE(B98,""en"",""gu"")"),"કૃપા કરીને માન્ય ઇમેઇલ સરનામું દાખલ કરો")</f>
        <v>કૃપા કરીને માન્ય ઇમેઇલ સરનામું દાખલ કરો</v>
      </c>
      <c r="S98" s="4" t="str">
        <f>IFERROR(__xludf.DUMMYFUNCTION("GOOGLETRANSLATE(B98,""en"",""bn"")"),"একটি বৈধ ইমেল ঠিকানা লিখুন")</f>
        <v>একটি বৈধ ইমেল ঠিকানা লিখুন</v>
      </c>
      <c r="T98" s="4" t="str">
        <f>IFERROR(__xludf.DUMMYFUNCTION("GOOGLETRANSLATE(B98,""en"",""pa"")"),"ਇੱਕ ਜਾਇਜ ਈਮੇਲ ਪਤਾ ਦਰਜ ਕਰੋ")</f>
        <v>ਇੱਕ ਜਾਇਜ ਈਮੇਲ ਪਤਾ ਦਰਜ ਕਰੋ</v>
      </c>
      <c r="U98" s="4" t="str">
        <f>IFERROR(__xludf.DUMMYFUNCTION("GOOGLETRANSLATE(B98,""en"",""te"")"),"దయచేసి చెల్లుబాటు అయ్యే ఇమెయిల్ చిరునామాను నమోదు చేయండి")</f>
        <v>దయచేసి చెల్లుబాటు అయ్యే ఇమెయిల్ చిరునామాను నమోదు చేయండి</v>
      </c>
      <c r="V98" s="4" t="str">
        <f>IFERROR(__xludf.DUMMYFUNCTION("GOOGLETRANSLATE(B98,""en"",""kn"")"),"ದಯವಿಟ್ಟು ಮಾನ್ಯವಾದ ಇಮೇಲ್ ವಿಳಾಸವನ್ನು ನಮೂದಿಸಿ")</f>
        <v>ದಯವಿಟ್ಟು ಮಾನ್ಯವಾದ ಇಮೇಲ್ ವಿಳಾಸವನ್ನು ನಮೂದಿಸಿ</v>
      </c>
      <c r="W98" s="4" t="str">
        <f>IFERROR(__xludf.DUMMYFUNCTION("GOOGLETRANSLATE(B98,""en"",""ml"")"),"സാധുവായ ഒരു ഇമെയിൽ വിലാസം നൽകുക")</f>
        <v>സാധുവായ ഒരു ഇമെയിൽ വിലാസം നൽകുക</v>
      </c>
      <c r="X98" s="4" t="str">
        <f>IFERROR(__xludf.DUMMYFUNCTION("GOOGLETRANSLATE(B98,""en"",""th"")"),"กรุณากรอกอีเมลที่ถูกต้อง")</f>
        <v>กรุณากรอกอีเมลที่ถูกต้อง</v>
      </c>
      <c r="Y98" s="4" t="str">
        <f>IFERROR(__xludf.DUMMYFUNCTION("GOOGLETRANSLATE(B98,""en"",""ko"")"),"유효한 이메일 주소를 입력하세요")</f>
        <v>유효한 이메일 주소를 입력하세요</v>
      </c>
      <c r="Z98" s="4" t="str">
        <f>IFERROR(__xludf.DUMMYFUNCTION("GOOGLETRANSLATE(B98,""en"",""zh"")"),"请输入有效的电子邮件地址")</f>
        <v>请输入有效的电子邮件地址</v>
      </c>
      <c r="AA98" s="4" t="str">
        <f>IFERROR(__xludf.DUMMYFUNCTION("GOOGLETRANSLATE(B98,""en"",""zh-TW"")"),"請輸入有效的電子郵件地址")</f>
        <v>請輸入有效的電子郵件地址</v>
      </c>
      <c r="AB98" s="4" t="str">
        <f>IFERROR(__xludf.DUMMYFUNCTION("GOOGLETRANSLATE(B98,""en"",""ja"")"),"有効なメールアドレスを入力してください")</f>
        <v>有効なメールアドレスを入力してください</v>
      </c>
      <c r="AC98" s="4" t="str">
        <f>IFERROR(__xludf.DUMMYFUNCTION("GOOGLETRANSLATE(B98,""en"",""bg"")"),"Моля, въведете валиден имейл адрес")</f>
        <v>Моля, въведете валиден имейл адрес</v>
      </c>
      <c r="AD98" s="4" t="str">
        <f>IFERROR(__xludf.DUMMYFUNCTION("GOOGLETRANSLATE(B98,""en"",""cs"")"),"Zadejte prosím platnou e-mailovou adresu")</f>
        <v>Zadejte prosím platnou e-mailovou adresu</v>
      </c>
      <c r="AE98" s="4" t="str">
        <f>IFERROR(__xludf.DUMMYFUNCTION("GOOGLETRANSLATE(B98,""en"",""da"")"),"Indtast venligst en gyldig e-mailadresse")</f>
        <v>Indtast venligst en gyldig e-mailadresse</v>
      </c>
      <c r="AF98" s="4" t="str">
        <f>IFERROR(__xludf.DUMMYFUNCTION("GOOGLETRANSLATE(B98,""en"",""el"")"),"Εισαγάγετε μια έγκυρη διεύθυνση email")</f>
        <v>Εισαγάγετε μια έγκυρη διεύθυνση email</v>
      </c>
      <c r="AG98" s="4" t="str">
        <f>IFERROR(__xludf.DUMMYFUNCTION("GOOGLETRANSLATE(B98,""en"",""et"")"),"Sisestage kehtiv e-posti aadress")</f>
        <v>Sisestage kehtiv e-posti aadress</v>
      </c>
      <c r="AH98" s="4" t="str">
        <f>IFERROR(__xludf.DUMMYFUNCTION("GOOGLETRANSLATE(B98,""en"",""fi"")"),"Anna kelvollinen sähköpostiosoite")</f>
        <v>Anna kelvollinen sähköpostiosoite</v>
      </c>
      <c r="AI98" s="4" t="str">
        <f>IFERROR(__xludf.DUMMYFUNCTION("GOOGLETRANSLATE(B98,""en"",""hr"")"),"Molimo unesite valjanu adresu e-pošte")</f>
        <v>Molimo unesite valjanu adresu e-pošte</v>
      </c>
      <c r="AJ98" s="4" t="str">
        <f>IFERROR(__xludf.DUMMYFUNCTION("GOOGLETRANSLATE(B98,""en"",""hu"")"),"Kérjük, adjon meg egy érvényes e-mail címet")</f>
        <v>Kérjük, adjon meg egy érvényes e-mail címet</v>
      </c>
      <c r="AK98" s="4" t="str">
        <f>IFERROR(__xludf.DUMMYFUNCTION("GOOGLETRANSLATE(B98,""en"",""hy"")"),"Խնդրում ենք մուտքագրել վավեր էլփոստի հասցե")</f>
        <v>Խնդրում ենք մուտքագրել վավեր էլփոստի հասցե</v>
      </c>
      <c r="AL98" s="4" t="str">
        <f>IFERROR(__xludf.DUMMYFUNCTION("GOOGLETRANSLATE(B98,""en"",""ca"")"),"Introduïu una adreça de correu electrònic vàlida")</f>
        <v>Introduïu una adreça de correu electrònic vàlida</v>
      </c>
      <c r="AM98" s="4" t="str">
        <f>IFERROR(__xludf.DUMMYFUNCTION("GOOGLETRANSLATE(B98,""en"",""nl"")"),"Voer een geldig e-mailadres in")</f>
        <v>Voer een geldig e-mailadres in</v>
      </c>
      <c r="AN98" s="4" t="str">
        <f>IFERROR(__xludf.DUMMYFUNCTION("GOOGLETRANSLATE(B98,""en"",""he"")"),"נא להזין כתובת אימייל חוקית")</f>
        <v>נא להזין כתובת אימייל חוקית</v>
      </c>
      <c r="AO98" s="4" t="str">
        <f>IFERROR(__xludf.DUMMYFUNCTION("GOOGLETRANSLATE(B98,""en"",""is"")"),"Vinsamlegast sláðu inn gilt netfang")</f>
        <v>Vinsamlegast sláðu inn gilt netfang</v>
      </c>
      <c r="AP98" s="4" t="str">
        <f>IFERROR(__xludf.DUMMYFUNCTION("GOOGLETRANSLATE(B98,""en"",""no"")"),"Vennligst skriv inn en gyldig e-postadresse")</f>
        <v>Vennligst skriv inn en gyldig e-postadresse</v>
      </c>
      <c r="AQ98" s="4" t="str">
        <f>IFERROR(__xludf.DUMMYFUNCTION("GOOGLETRANSLATE(B98,""en"",""fa"")"),"لطفا یک آدرس ایمیل معتبر وارد کنید")</f>
        <v>لطفا یک آدرس ایمیل معتبر وارد کنید</v>
      </c>
      <c r="AR98" s="4" t="str">
        <f>IFERROR(__xludf.DUMMYFUNCTION("GOOGLETRANSLATE(B98,""en"",""pl"")"),"Proszę wpisać prawidłowy adres e-mail")</f>
        <v>Proszę wpisać prawidłowy adres e-mail</v>
      </c>
      <c r="AS98" s="4" t="str">
        <f>IFERROR(__xludf.DUMMYFUNCTION("GOOGLETRANSLATE(B98,""en"",""sv"")"),"Ange en giltig e-postadress")</f>
        <v>Ange en giltig e-postadress</v>
      </c>
      <c r="AT98" s="4" t="str">
        <f>IFERROR(__xludf.DUMMYFUNCTION("GOOGLETRANSLATE(B98,""en"",""uk"")"),"Введіть дійсну адресу електронної пошти")</f>
        <v>Введіть дійсну адресу електронної пошти</v>
      </c>
      <c r="AU98" s="4" t="str">
        <f>IFERROR(__xludf.DUMMYFUNCTION("GOOGLETRANSLATE(B98,""en"",""zu"")"),"Ngicela ufake ikheli le-imeyili elilungile")</f>
        <v>Ngicela ufake ikheli le-imeyili elilungile</v>
      </c>
      <c r="AV98" s="4" t="str">
        <f>IFERROR(__xludf.DUMMYFUNCTION("GOOGLETRANSLATE(B98,""en"",""sr"")"),"Унесите важећу адресу е-поште")</f>
        <v>Унесите важећу адресу е-поште</v>
      </c>
    </row>
    <row r="99">
      <c r="A99" s="3" t="s">
        <v>237</v>
      </c>
      <c r="B99" s="3" t="s">
        <v>238</v>
      </c>
      <c r="C99" s="4" t="str">
        <f>IFERROR(__xludf.DUMMYFUNCTION("GOOGLETRANSLATE(B99,""en"",""ta"")"),"உங்கள் பெயரை உள்ளிடவும்*")</f>
        <v>உங்கள் பெயரை உள்ளிடவும்*</v>
      </c>
      <c r="D99" s="4" t="str">
        <f>IFERROR(__xludf.DUMMYFUNCTION("GOOGLETRANSLATE(B99,""en"",""hi"")"),"अपना नाम दर्ज करें*")</f>
        <v>अपना नाम दर्ज करें*</v>
      </c>
      <c r="E99" s="4" t="str">
        <f>IFERROR(__xludf.DUMMYFUNCTION("GOOGLETRANSLATE(B99,""en"",""id"")"),"Masukkan nama Anda*")</f>
        <v>Masukkan nama Anda*</v>
      </c>
      <c r="F99" s="4" t="str">
        <f>IFERROR(__xludf.DUMMYFUNCTION("GOOGLETRANSLATE(B99,""en"",""ms"")"),"Masukkan nama anda*")</f>
        <v>Masukkan nama anda*</v>
      </c>
      <c r="G99" s="4" t="str">
        <f>IFERROR(__xludf.DUMMYFUNCTION("GOOGLETRANSLATE(B99,""en"",""de"")"),"Geben Sie Ihren Namen ein*")</f>
        <v>Geben Sie Ihren Namen ein*</v>
      </c>
      <c r="H99" s="4" t="str">
        <f>IFERROR(__xludf.DUMMYFUNCTION("GOOGLETRANSLATE(B99,""en"",""es"")"),"Introduce tu nombre*")</f>
        <v>Introduce tu nombre*</v>
      </c>
      <c r="I99" s="4" t="str">
        <f>IFERROR(__xludf.DUMMYFUNCTION("GOOGLETRANSLATE(B99,""en"",""fr"")"),"Entrez votre nom*")</f>
        <v>Entrez votre nom*</v>
      </c>
      <c r="J99" s="4" t="str">
        <f>IFERROR(__xludf.DUMMYFUNCTION("GOOGLETRANSLATE(B99,""en"",""it"")"),"Inserisci il tuo nome*")</f>
        <v>Inserisci il tuo nome*</v>
      </c>
      <c r="K99" s="4" t="str">
        <f>IFERROR(__xludf.DUMMYFUNCTION("GOOGLETRANSLATE(B99,""en"",""pt"")"),"Digite seu nome*")</f>
        <v>Digite seu nome*</v>
      </c>
      <c r="L99" s="4" t="str">
        <f>IFERROR(__xludf.DUMMYFUNCTION("GOOGLETRANSLATE(B99,""en"",""ro"")"),"Introdu numele tau*")</f>
        <v>Introdu numele tau*</v>
      </c>
      <c r="M99" s="4" t="str">
        <f>IFERROR(__xludf.DUMMYFUNCTION("GOOGLETRANSLATE(B99,""en"",""vi"")"),"Nhập tên của bạn*")</f>
        <v>Nhập tên của bạn*</v>
      </c>
      <c r="N99" s="4" t="str">
        <f>IFERROR(__xludf.DUMMYFUNCTION("GOOGLETRANSLATE(B99,""en"",""ru"")"),"Введите свое имя*")</f>
        <v>Введите свое имя*</v>
      </c>
      <c r="O99" s="4" t="str">
        <f>IFERROR(__xludf.DUMMYFUNCTION("GOOGLETRANSLATE(B99,""en"",""tr"")"),"Adınızı girin*")</f>
        <v>Adınızı girin*</v>
      </c>
      <c r="P99" s="4" t="str">
        <f>IFERROR(__xludf.DUMMYFUNCTION("GOOGLETRANSLATE(B99,""en"",""ar"")"),"أدخل اسمك*")</f>
        <v>أدخل اسمك*</v>
      </c>
      <c r="Q99" s="4" t="str">
        <f>IFERROR(__xludf.DUMMYFUNCTION("GOOGLETRANSLATE(B99,""en"",""mr"")"),"तुमचे नाव प्रविष्ट करा*")</f>
        <v>तुमचे नाव प्रविष्ट करा*</v>
      </c>
      <c r="R99" s="4" t="str">
        <f>IFERROR(__xludf.DUMMYFUNCTION("GOOGLETRANSLATE(B99,""en"",""gu"")"),"તમારું નામ દાખલ કરો*")</f>
        <v>તમારું નામ દાખલ કરો*</v>
      </c>
      <c r="S99" s="4" t="str">
        <f>IFERROR(__xludf.DUMMYFUNCTION("GOOGLETRANSLATE(B99,""en"",""bn"")"),"আপনার নাম লিখুন*")</f>
        <v>আপনার নাম লিখুন*</v>
      </c>
      <c r="T99" s="4" t="str">
        <f>IFERROR(__xludf.DUMMYFUNCTION("GOOGLETRANSLATE(B99,""en"",""pa"")"),"ਆਪਣਾ ਨਾਮ ਦਰਜ ਕਰੋ*")</f>
        <v>ਆਪਣਾ ਨਾਮ ਦਰਜ ਕਰੋ*</v>
      </c>
      <c r="U99" s="4" t="str">
        <f>IFERROR(__xludf.DUMMYFUNCTION("GOOGLETRANSLATE(B99,""en"",""te"")"),"మీ పేరును నమోదు చేయండి*")</f>
        <v>మీ పేరును నమోదు చేయండి*</v>
      </c>
      <c r="V99" s="4" t="str">
        <f>IFERROR(__xludf.DUMMYFUNCTION("GOOGLETRANSLATE(B99,""en"",""kn"")"),"ನಿಮ್ಮ ಹೆಸರನ್ನು ನಮೂದಿಸಿ*")</f>
        <v>ನಿಮ್ಮ ಹೆಸರನ್ನು ನಮೂದಿಸಿ*</v>
      </c>
      <c r="W99" s="4" t="str">
        <f>IFERROR(__xludf.DUMMYFUNCTION("GOOGLETRANSLATE(B99,""en"",""ml"")"),"നിങ്ങളുടെ പേര് നൽകുക*")</f>
        <v>നിങ്ങളുടെ പേര് നൽകുക*</v>
      </c>
      <c r="X99" s="4" t="str">
        <f>IFERROR(__xludf.DUMMYFUNCTION("GOOGLETRANSLATE(B99,""en"",""th"")"),"กรุณากรอกชื่อของคุณ*")</f>
        <v>กรุณากรอกชื่อของคุณ*</v>
      </c>
      <c r="Y99" s="4" t="str">
        <f>IFERROR(__xludf.DUMMYFUNCTION("GOOGLETRANSLATE(B99,""en"",""ko"")"),"이름을 입력하세요*")</f>
        <v>이름을 입력하세요*</v>
      </c>
      <c r="Z99" s="4" t="str">
        <f>IFERROR(__xludf.DUMMYFUNCTION("GOOGLETRANSLATE(B99,""en"",""zh"")"),"输入您的姓名*")</f>
        <v>输入您的姓名*</v>
      </c>
      <c r="AA99" s="4" t="str">
        <f>IFERROR(__xludf.DUMMYFUNCTION("GOOGLETRANSLATE(B99,""en"",""zh-TW"")"),"輸入您的姓名*")</f>
        <v>輸入您的姓名*</v>
      </c>
      <c r="AB99" s="4" t="str">
        <f>IFERROR(__xludf.DUMMYFUNCTION("GOOGLETRANSLATE(B99,""en"",""ja"")"),"名前を入力してください*")</f>
        <v>名前を入力してください*</v>
      </c>
      <c r="AC99" s="4" t="str">
        <f>IFERROR(__xludf.DUMMYFUNCTION("GOOGLETRANSLATE(B99,""en"",""bg"")"),"Въведете вашето име*")</f>
        <v>Въведете вашето име*</v>
      </c>
      <c r="AD99" s="4" t="str">
        <f>IFERROR(__xludf.DUMMYFUNCTION("GOOGLETRANSLATE(B99,""en"",""cs"")"),"Zadejte své jméno*")</f>
        <v>Zadejte své jméno*</v>
      </c>
      <c r="AE99" s="4" t="str">
        <f>IFERROR(__xludf.DUMMYFUNCTION("GOOGLETRANSLATE(B99,""en"",""da"")"),"Indtast dit navn*")</f>
        <v>Indtast dit navn*</v>
      </c>
      <c r="AF99" s="4" t="str">
        <f>IFERROR(__xludf.DUMMYFUNCTION("GOOGLETRANSLATE(B99,""en"",""el"")"),"Εισαγάγετε το όνομά σας *")</f>
        <v>Εισαγάγετε το όνομά σας *</v>
      </c>
      <c r="AG99" s="4" t="str">
        <f>IFERROR(__xludf.DUMMYFUNCTION("GOOGLETRANSLATE(B99,""en"",""et"")"),"Sisesta oma nimi*")</f>
        <v>Sisesta oma nimi*</v>
      </c>
      <c r="AH99" s="4" t="str">
        <f>IFERROR(__xludf.DUMMYFUNCTION("GOOGLETRANSLATE(B99,""en"",""fi"")"),"Kirjoita nimesi*")</f>
        <v>Kirjoita nimesi*</v>
      </c>
      <c r="AI99" s="4" t="str">
        <f>IFERROR(__xludf.DUMMYFUNCTION("GOOGLETRANSLATE(B99,""en"",""hr"")"),"Unesite svoje ime*")</f>
        <v>Unesite svoje ime*</v>
      </c>
      <c r="AJ99" s="4" t="str">
        <f>IFERROR(__xludf.DUMMYFUNCTION("GOOGLETRANSLATE(B99,""en"",""hu"")"),"Írd be a neved*")</f>
        <v>Írd be a neved*</v>
      </c>
      <c r="AK99" s="4" t="str">
        <f>IFERROR(__xludf.DUMMYFUNCTION("GOOGLETRANSLATE(B99,""en"",""hy"")"),"Մուտքագրեք ձեր անունը *")</f>
        <v>Մուտքագրեք ձեր անունը *</v>
      </c>
      <c r="AL99" s="4" t="str">
        <f>IFERROR(__xludf.DUMMYFUNCTION("GOOGLETRANSLATE(B99,""en"",""ca"")"),"Introdueix el teu nom*")</f>
        <v>Introdueix el teu nom*</v>
      </c>
      <c r="AM99" s="4" t="str">
        <f>IFERROR(__xludf.DUMMYFUNCTION("GOOGLETRANSLATE(B99,""en"",""nl"")"),"Vul uw naam in*")</f>
        <v>Vul uw naam in*</v>
      </c>
      <c r="AN99" s="4" t="str">
        <f>IFERROR(__xludf.DUMMYFUNCTION("GOOGLETRANSLATE(B99,""en"",""he"")"),"הכנס את שמך*")</f>
        <v>הכנס את שמך*</v>
      </c>
      <c r="AO99" s="4" t="str">
        <f>IFERROR(__xludf.DUMMYFUNCTION("GOOGLETRANSLATE(B99,""en"",""is"")"),"Sláðu inn nafnið þitt*")</f>
        <v>Sláðu inn nafnið þitt*</v>
      </c>
      <c r="AP99" s="4" t="str">
        <f>IFERROR(__xludf.DUMMYFUNCTION("GOOGLETRANSLATE(B99,""en"",""no"")"),"Skriv inn navnet ditt*")</f>
        <v>Skriv inn navnet ditt*</v>
      </c>
      <c r="AQ99" s="4" t="str">
        <f>IFERROR(__xludf.DUMMYFUNCTION("GOOGLETRANSLATE(B99,""en"",""fa"")"),"نام خود را وارد کنید*")</f>
        <v>نام خود را وارد کنید*</v>
      </c>
      <c r="AR99" s="4" t="str">
        <f>IFERROR(__xludf.DUMMYFUNCTION("GOOGLETRANSLATE(B99,""en"",""pl"")"),"Wpisz swoje imię*")</f>
        <v>Wpisz swoje imię*</v>
      </c>
      <c r="AS99" s="4" t="str">
        <f>IFERROR(__xludf.DUMMYFUNCTION("GOOGLETRANSLATE(B99,""en"",""sv"")"),"Ange ditt namn*")</f>
        <v>Ange ditt namn*</v>
      </c>
      <c r="AT99" s="4" t="str">
        <f>IFERROR(__xludf.DUMMYFUNCTION("GOOGLETRANSLATE(B99,""en"",""uk"")"),"Введіть своє ім'я*")</f>
        <v>Введіть своє ім'я*</v>
      </c>
      <c r="AU99" s="4" t="str">
        <f>IFERROR(__xludf.DUMMYFUNCTION("GOOGLETRANSLATE(B99,""en"",""zu"")"),"Faka igama lakho*")</f>
        <v>Faka igama lakho*</v>
      </c>
      <c r="AV99" s="4" t="str">
        <f>IFERROR(__xludf.DUMMYFUNCTION("GOOGLETRANSLATE(B99,""en"",""sr"")"),"Унесите своје име*")</f>
        <v>Унесите своје име*</v>
      </c>
    </row>
    <row r="100">
      <c r="A100" s="3" t="s">
        <v>239</v>
      </c>
      <c r="B100" s="3" t="s">
        <v>240</v>
      </c>
      <c r="C100" s="4" t="str">
        <f>IFERROR(__xludf.DUMMYFUNCTION("GOOGLETRANSLATE(B100,""en"",""ta"")"),"உங்கள் நாட்டின் பெயரை உள்ளிடவும்*")</f>
        <v>உங்கள் நாட்டின் பெயரை உள்ளிடவும்*</v>
      </c>
      <c r="D100" s="4" t="str">
        <f>IFERROR(__xludf.DUMMYFUNCTION("GOOGLETRANSLATE(B100,""en"",""hi"")"),"अपने देश का नाम दर्ज करें*")</f>
        <v>अपने देश का नाम दर्ज करें*</v>
      </c>
      <c r="E100" s="4" t="str">
        <f>IFERROR(__xludf.DUMMYFUNCTION("GOOGLETRANSLATE(B100,""en"",""id"")"),"Masukkan nama negara Anda*")</f>
        <v>Masukkan nama negara Anda*</v>
      </c>
      <c r="F100" s="4" t="str">
        <f>IFERROR(__xludf.DUMMYFUNCTION("GOOGLETRANSLATE(B100,""en"",""ms"")"),"Masukkan nama negara anda*")</f>
        <v>Masukkan nama negara anda*</v>
      </c>
      <c r="G100" s="4" t="str">
        <f>IFERROR(__xludf.DUMMYFUNCTION("GOOGLETRANSLATE(B100,""en"",""de"")"),"Geben Sie den Namen Ihres Landes ein*")</f>
        <v>Geben Sie den Namen Ihres Landes ein*</v>
      </c>
      <c r="H100" s="4" t="str">
        <f>IFERROR(__xludf.DUMMYFUNCTION("GOOGLETRANSLATE(B100,""en"",""es"")"),"Ingrese el nombre de su país*")</f>
        <v>Ingrese el nombre de su país*</v>
      </c>
      <c r="I100" s="4" t="str">
        <f>IFERROR(__xludf.DUMMYFUNCTION("GOOGLETRANSLATE(B100,""en"",""fr"")"),"Entrez le nom de votre pays*")</f>
        <v>Entrez le nom de votre pays*</v>
      </c>
      <c r="J100" s="4" t="str">
        <f>IFERROR(__xludf.DUMMYFUNCTION("GOOGLETRANSLATE(B100,""en"",""it"")"),"Inserisci il nome del tuo paese*")</f>
        <v>Inserisci il nome del tuo paese*</v>
      </c>
      <c r="K100" s="4" t="str">
        <f>IFERROR(__xludf.DUMMYFUNCTION("GOOGLETRANSLATE(B100,""en"",""pt"")"),"Digite o nome do seu país*")</f>
        <v>Digite o nome do seu país*</v>
      </c>
      <c r="L100" s="4" t="str">
        <f>IFERROR(__xludf.DUMMYFUNCTION("GOOGLETRANSLATE(B100,""en"",""ro"")"),"Introduceți numele țării dvs.*")</f>
        <v>Introduceți numele țării dvs.*</v>
      </c>
      <c r="M100" s="4" t="str">
        <f>IFERROR(__xludf.DUMMYFUNCTION("GOOGLETRANSLATE(B100,""en"",""vi"")"),"Nhập tên quốc gia của bạn*")</f>
        <v>Nhập tên quốc gia của bạn*</v>
      </c>
      <c r="N100" s="4" t="str">
        <f>IFERROR(__xludf.DUMMYFUNCTION("GOOGLETRANSLATE(B100,""en"",""ru"")"),"Введите название вашей страны*")</f>
        <v>Введите название вашей страны*</v>
      </c>
      <c r="O100" s="4" t="str">
        <f>IFERROR(__xludf.DUMMYFUNCTION("GOOGLETRANSLATE(B100,""en"",""tr"")"),"Ülkenizin adını girin*")</f>
        <v>Ülkenizin adını girin*</v>
      </c>
      <c r="P100" s="4" t="str">
        <f>IFERROR(__xludf.DUMMYFUNCTION("GOOGLETRANSLATE(B100,""en"",""ar"")"),"أدخل اسم بلدك*")</f>
        <v>أدخل اسم بلدك*</v>
      </c>
      <c r="Q100" s="4" t="str">
        <f>IFERROR(__xludf.DUMMYFUNCTION("GOOGLETRANSLATE(B100,""en"",""mr"")"),"तुमच्या देशाचे नाव प्रविष्ट करा*")</f>
        <v>तुमच्या देशाचे नाव प्रविष्ट करा*</v>
      </c>
      <c r="R100" s="4" t="str">
        <f>IFERROR(__xludf.DUMMYFUNCTION("GOOGLETRANSLATE(B100,""en"",""gu"")"),"તમારા દેશનું નામ દાખલ કરો*")</f>
        <v>તમારા દેશનું નામ દાખલ કરો*</v>
      </c>
      <c r="S100" s="4" t="str">
        <f>IFERROR(__xludf.DUMMYFUNCTION("GOOGLETRANSLATE(B100,""en"",""bn"")"),"আপনার দেশের নাম লিখুন*")</f>
        <v>আপনার দেশের নাম লিখুন*</v>
      </c>
      <c r="T100" s="4" t="str">
        <f>IFERROR(__xludf.DUMMYFUNCTION("GOOGLETRANSLATE(B100,""en"",""pa"")"),"ਆਪਣੇ ਦੇਸ਼ ਦਾ ਨਾਮ ਦਰਜ ਕਰੋ*")</f>
        <v>ਆਪਣੇ ਦੇਸ਼ ਦਾ ਨਾਮ ਦਰਜ ਕਰੋ*</v>
      </c>
      <c r="U100" s="4" t="str">
        <f>IFERROR(__xludf.DUMMYFUNCTION("GOOGLETRANSLATE(B100,""en"",""te"")"),"మీ దేశం పేరు నమోదు చేయండి*")</f>
        <v>మీ దేశం పేరు నమోదు చేయండి*</v>
      </c>
      <c r="V100" s="4" t="str">
        <f>IFERROR(__xludf.DUMMYFUNCTION("GOOGLETRANSLATE(B100,""en"",""kn"")"),"ನಿಮ್ಮ ದೇಶದ ಹೆಸರನ್ನು ನಮೂದಿಸಿ*")</f>
        <v>ನಿಮ್ಮ ದೇಶದ ಹೆಸರನ್ನು ನಮೂದಿಸಿ*</v>
      </c>
      <c r="W100" s="4" t="str">
        <f>IFERROR(__xludf.DUMMYFUNCTION("GOOGLETRANSLATE(B100,""en"",""ml"")"),"നിങ്ങളുടെ രാജ്യത്തിൻ്റെ പേര് നൽകുക*")</f>
        <v>നിങ്ങളുടെ രാജ്യത്തിൻ്റെ പേര് നൽകുക*</v>
      </c>
      <c r="X100" s="4" t="str">
        <f>IFERROR(__xludf.DUMMYFUNCTION("GOOGLETRANSLATE(B100,""en"",""th"")"),"กรุณากรอกชื่อประเทศของคุณ*")</f>
        <v>กรุณากรอกชื่อประเทศของคุณ*</v>
      </c>
      <c r="Y100" s="4" t="str">
        <f>IFERROR(__xludf.DUMMYFUNCTION("GOOGLETRANSLATE(B100,""en"",""ko"")"),"국가명을 입력하세요*")</f>
        <v>국가명을 입력하세요*</v>
      </c>
      <c r="Z100" s="4" t="str">
        <f>IFERROR(__xludf.DUMMYFUNCTION("GOOGLETRANSLATE(B100,""en"",""zh"")"),"输入您的国家名称*")</f>
        <v>输入您的国家名称*</v>
      </c>
      <c r="AA100" s="4" t="str">
        <f>IFERROR(__xludf.DUMMYFUNCTION("GOOGLETRANSLATE(B100,""en"",""zh-TW"")"),"輸入您的國家名稱*")</f>
        <v>輸入您的國家名稱*</v>
      </c>
      <c r="AB100" s="4" t="str">
        <f>IFERROR(__xludf.DUMMYFUNCTION("GOOGLETRANSLATE(B100,""en"",""ja"")"),"国名を入力してください*")</f>
        <v>国名を入力してください*</v>
      </c>
      <c r="AC100" s="4" t="str">
        <f>IFERROR(__xludf.DUMMYFUNCTION("GOOGLETRANSLATE(B100,""en"",""bg"")"),"Въведете името на вашата държава*")</f>
        <v>Въведете името на вашата държава*</v>
      </c>
      <c r="AD100" s="4" t="str">
        <f>IFERROR(__xludf.DUMMYFUNCTION("GOOGLETRANSLATE(B100,""en"",""cs"")"),"Zadejte název své země*")</f>
        <v>Zadejte název své země*</v>
      </c>
      <c r="AE100" s="4" t="str">
        <f>IFERROR(__xludf.DUMMYFUNCTION("GOOGLETRANSLATE(B100,""en"",""da"")"),"Indtast dit landenavn*")</f>
        <v>Indtast dit landenavn*</v>
      </c>
      <c r="AF100" s="4" t="str">
        <f>IFERROR(__xludf.DUMMYFUNCTION("GOOGLETRANSLATE(B100,""en"",""el"")"),"Εισαγάγετε το όνομα της χώρας σας*")</f>
        <v>Εισαγάγετε το όνομα της χώρας σας*</v>
      </c>
      <c r="AG100" s="4" t="str">
        <f>IFERROR(__xludf.DUMMYFUNCTION("GOOGLETRANSLATE(B100,""en"",""et"")"),"Sisesta oma riigi nimi*")</f>
        <v>Sisesta oma riigi nimi*</v>
      </c>
      <c r="AH100" s="4" t="str">
        <f>IFERROR(__xludf.DUMMYFUNCTION("GOOGLETRANSLATE(B100,""en"",""fi"")"),"Kirjoita maasi nimi*")</f>
        <v>Kirjoita maasi nimi*</v>
      </c>
      <c r="AI100" s="4" t="str">
        <f>IFERROR(__xludf.DUMMYFUNCTION("GOOGLETRANSLATE(B100,""en"",""hr"")"),"Unesite naziv svoje zemlje*")</f>
        <v>Unesite naziv svoje zemlje*</v>
      </c>
      <c r="AJ100" s="4" t="str">
        <f>IFERROR(__xludf.DUMMYFUNCTION("GOOGLETRANSLATE(B100,""en"",""hu"")"),"Írja be az ország nevét*")</f>
        <v>Írja be az ország nevét*</v>
      </c>
      <c r="AK100" s="4" t="str">
        <f>IFERROR(__xludf.DUMMYFUNCTION("GOOGLETRANSLATE(B100,""en"",""hy"")"),"Մուտքագրեք ձեր երկրի անունը*")</f>
        <v>Մուտքագրեք ձեր երկրի անունը*</v>
      </c>
      <c r="AL100" s="4" t="str">
        <f>IFERROR(__xludf.DUMMYFUNCTION("GOOGLETRANSLATE(B100,""en"",""ca"")"),"Introduïu el vostre nom de país*")</f>
        <v>Introduïu el vostre nom de país*</v>
      </c>
      <c r="AM100" s="4" t="str">
        <f>IFERROR(__xludf.DUMMYFUNCTION("GOOGLETRANSLATE(B100,""en"",""nl"")"),"Voer uw landnaam in*")</f>
        <v>Voer uw landnaam in*</v>
      </c>
      <c r="AN100" s="4" t="str">
        <f>IFERROR(__xludf.DUMMYFUNCTION("GOOGLETRANSLATE(B100,""en"",""he"")"),"הזן את שם המדינה שלך*")</f>
        <v>הזן את שם המדינה שלך*</v>
      </c>
      <c r="AO100" s="4" t="str">
        <f>IFERROR(__xludf.DUMMYFUNCTION("GOOGLETRANSLATE(B100,""en"",""is"")"),"Sláðu inn landsnafnið þitt*")</f>
        <v>Sláðu inn landsnafnið þitt*</v>
      </c>
      <c r="AP100" s="4" t="str">
        <f>IFERROR(__xludf.DUMMYFUNCTION("GOOGLETRANSLATE(B100,""en"",""no"")"),"Skriv inn landets navn*")</f>
        <v>Skriv inn landets navn*</v>
      </c>
      <c r="AQ100" s="4" t="str">
        <f>IFERROR(__xludf.DUMMYFUNCTION("GOOGLETRANSLATE(B100,""en"",""fa"")"),"نام کشور خود را وارد کنید*")</f>
        <v>نام کشور خود را وارد کنید*</v>
      </c>
      <c r="AR100" s="4" t="str">
        <f>IFERROR(__xludf.DUMMYFUNCTION("GOOGLETRANSLATE(B100,""en"",""pl"")"),"Wprowadź nazwę swojego kraju*")</f>
        <v>Wprowadź nazwę swojego kraju*</v>
      </c>
      <c r="AS100" s="4" t="str">
        <f>IFERROR(__xludf.DUMMYFUNCTION("GOOGLETRANSLATE(B100,""en"",""sv"")"),"Ange ditt landsnamn*")</f>
        <v>Ange ditt landsnamn*</v>
      </c>
      <c r="AT100" s="4" t="str">
        <f>IFERROR(__xludf.DUMMYFUNCTION("GOOGLETRANSLATE(B100,""en"",""uk"")"),"Введіть назву вашої країни*")</f>
        <v>Введіть назву вашої країни*</v>
      </c>
      <c r="AU100" s="4" t="str">
        <f>IFERROR(__xludf.DUMMYFUNCTION("GOOGLETRANSLATE(B100,""en"",""zu"")"),"Faka igama lezwe lakini*")</f>
        <v>Faka igama lezwe lakini*</v>
      </c>
      <c r="AV100" s="4" t="str">
        <f>IFERROR(__xludf.DUMMYFUNCTION("GOOGLETRANSLATE(B100,""en"",""sr"")"),"Унесите назив ваше земље*")</f>
        <v>Унесите назив ваше земље*</v>
      </c>
    </row>
    <row r="101">
      <c r="A101" s="3" t="s">
        <v>241</v>
      </c>
      <c r="B101" s="3" t="s">
        <v>242</v>
      </c>
      <c r="C101" s="4" t="str">
        <f>IFERROR(__xludf.DUMMYFUNCTION("GOOGLETRANSLATE(B101,""en"",""ta"")"),"மொபைல் மாடல்*")</f>
        <v>மொபைல் மாடல்*</v>
      </c>
      <c r="D101" s="4" t="str">
        <f>IFERROR(__xludf.DUMMYFUNCTION("GOOGLETRANSLATE(B101,""en"",""hi"")"),"मोबाइल मॉडल*")</f>
        <v>मोबाइल मॉडल*</v>
      </c>
      <c r="E101" s="4" t="str">
        <f>IFERROR(__xludf.DUMMYFUNCTION("GOOGLETRANSLATE(B101,""en"",""id"")"),"Model seluler*")</f>
        <v>Model seluler*</v>
      </c>
      <c r="F101" s="4" t="str">
        <f>IFERROR(__xludf.DUMMYFUNCTION("GOOGLETRANSLATE(B101,""en"",""ms"")"),"Model mudah alih*")</f>
        <v>Model mudah alih*</v>
      </c>
      <c r="G101" s="4" t="str">
        <f>IFERROR(__xludf.DUMMYFUNCTION("GOOGLETRANSLATE(B101,""en"",""de"")"),"Mobiles Modell*")</f>
        <v>Mobiles Modell*</v>
      </c>
      <c r="H101" s="4" t="str">
        <f>IFERROR(__xludf.DUMMYFUNCTION("GOOGLETRANSLATE(B101,""en"",""es"")"),"Modelo móvil*")</f>
        <v>Modelo móvil*</v>
      </c>
      <c r="I101" s="4" t="str">
        <f>IFERROR(__xludf.DUMMYFUNCTION("GOOGLETRANSLATE(B101,""en"",""fr"")"),"Modèle mobile*")</f>
        <v>Modèle mobile*</v>
      </c>
      <c r="J101" s="4" t="str">
        <f>IFERROR(__xludf.DUMMYFUNCTION("GOOGLETRANSLATE(B101,""en"",""it"")"),"Modello mobile*")</f>
        <v>Modello mobile*</v>
      </c>
      <c r="K101" s="4" t="str">
        <f>IFERROR(__xludf.DUMMYFUNCTION("GOOGLETRANSLATE(B101,""en"",""pt"")"),"Modelo móvel*")</f>
        <v>Modelo móvel*</v>
      </c>
      <c r="L101" s="4" t="str">
        <f>IFERROR(__xludf.DUMMYFUNCTION("GOOGLETRANSLATE(B101,""en"",""ro"")"),"Model mobil*")</f>
        <v>Model mobil*</v>
      </c>
      <c r="M101" s="4" t="str">
        <f>IFERROR(__xludf.DUMMYFUNCTION("GOOGLETRANSLATE(B101,""en"",""vi"")"),"Mô hình di động*")</f>
        <v>Mô hình di động*</v>
      </c>
      <c r="N101" s="4" t="str">
        <f>IFERROR(__xludf.DUMMYFUNCTION("GOOGLETRANSLATE(B101,""en"",""ru"")"),"Мобильная модель*")</f>
        <v>Мобильная модель*</v>
      </c>
      <c r="O101" s="4" t="str">
        <f>IFERROR(__xludf.DUMMYFUNCTION("GOOGLETRANSLATE(B101,""en"",""tr"")"),"Mobil model*")</f>
        <v>Mobil model*</v>
      </c>
      <c r="P101" s="4" t="str">
        <f>IFERROR(__xludf.DUMMYFUNCTION("GOOGLETRANSLATE(B101,""en"",""ar"")"),"طراز الهاتف المحمول*")</f>
        <v>طراز الهاتف المحمول*</v>
      </c>
      <c r="Q101" s="4" t="str">
        <f>IFERROR(__xludf.DUMMYFUNCTION("GOOGLETRANSLATE(B101,""en"",""mr"")"),"मोबाईल मॉडेल*")</f>
        <v>मोबाईल मॉडेल*</v>
      </c>
      <c r="R101" s="4" t="str">
        <f>IFERROR(__xludf.DUMMYFUNCTION("GOOGLETRANSLATE(B101,""en"",""gu"")"),"મોબાઇલ મોડલ*")</f>
        <v>મોબાઇલ મોડલ*</v>
      </c>
      <c r="S101" s="4" t="str">
        <f>IFERROR(__xludf.DUMMYFUNCTION("GOOGLETRANSLATE(B101,""en"",""bn"")"),"মোবাইল মডেল*")</f>
        <v>মোবাইল মডেল*</v>
      </c>
      <c r="T101" s="4" t="str">
        <f>IFERROR(__xludf.DUMMYFUNCTION("GOOGLETRANSLATE(B101,""en"",""pa"")"),"ਮੋਬਾਈਲ ਮਾਡਲ*")</f>
        <v>ਮੋਬਾਈਲ ਮਾਡਲ*</v>
      </c>
      <c r="U101" s="4" t="str">
        <f>IFERROR(__xludf.DUMMYFUNCTION("GOOGLETRANSLATE(B101,""en"",""te"")"),"మొబైల్ మోడల్*")</f>
        <v>మొబైల్ మోడల్*</v>
      </c>
      <c r="V101" s="4" t="str">
        <f>IFERROR(__xludf.DUMMYFUNCTION("GOOGLETRANSLATE(B101,""en"",""kn"")"),"ಮೊಬೈಲ್ ಮಾದರಿ*")</f>
        <v>ಮೊಬೈಲ್ ಮಾದರಿ*</v>
      </c>
      <c r="W101" s="4" t="str">
        <f>IFERROR(__xludf.DUMMYFUNCTION("GOOGLETRANSLATE(B101,""en"",""ml"")"),"മൊബൈൽ മോഡൽ*")</f>
        <v>മൊബൈൽ മോഡൽ*</v>
      </c>
      <c r="X101" s="4" t="str">
        <f>IFERROR(__xludf.DUMMYFUNCTION("GOOGLETRANSLATE(B101,""en"",""th"")"),"รุ่นมือถือ*")</f>
        <v>รุ่นมือถือ*</v>
      </c>
      <c r="Y101" s="4" t="str">
        <f>IFERROR(__xludf.DUMMYFUNCTION("GOOGLETRANSLATE(B101,""en"",""ko"")"),"모바일 모델*")</f>
        <v>모바일 모델*</v>
      </c>
      <c r="Z101" s="4" t="str">
        <f>IFERROR(__xludf.DUMMYFUNCTION("GOOGLETRANSLATE(B101,""en"",""zh"")"),"移动模型*")</f>
        <v>移动模型*</v>
      </c>
      <c r="AA101" s="4" t="str">
        <f>IFERROR(__xludf.DUMMYFUNCTION("GOOGLETRANSLATE(B101,""en"",""zh-TW"")"),"移動模型*")</f>
        <v>移動模型*</v>
      </c>
      <c r="AB101" s="4" t="str">
        <f>IFERROR(__xludf.DUMMYFUNCTION("GOOGLETRANSLATE(B101,""en"",""ja"")"),"モバイルモデル*")</f>
        <v>モバイルモデル*</v>
      </c>
      <c r="AC101" s="4" t="str">
        <f>IFERROR(__xludf.DUMMYFUNCTION("GOOGLETRANSLATE(B101,""en"",""bg"")"),"Мобилен модел*")</f>
        <v>Мобилен модел*</v>
      </c>
      <c r="AD101" s="4" t="str">
        <f>IFERROR(__xludf.DUMMYFUNCTION("GOOGLETRANSLATE(B101,""en"",""cs"")"),"Mobilní model*")</f>
        <v>Mobilní model*</v>
      </c>
      <c r="AE101" s="4" t="str">
        <f>IFERROR(__xludf.DUMMYFUNCTION("GOOGLETRANSLATE(B101,""en"",""da"")"),"Mobil model*")</f>
        <v>Mobil model*</v>
      </c>
      <c r="AF101" s="4" t="str">
        <f>IFERROR(__xludf.DUMMYFUNCTION("GOOGLETRANSLATE(B101,""en"",""el"")"),"μοντέλο κινητού*")</f>
        <v>μοντέλο κινητού*</v>
      </c>
      <c r="AG101" s="4" t="str">
        <f>IFERROR(__xludf.DUMMYFUNCTION("GOOGLETRANSLATE(B101,""en"",""et"")"),"Mobiilimudel*")</f>
        <v>Mobiilimudel*</v>
      </c>
      <c r="AH101" s="4" t="str">
        <f>IFERROR(__xludf.DUMMYFUNCTION("GOOGLETRANSLATE(B101,""en"",""fi"")"),"Mobiilimalli*")</f>
        <v>Mobiilimalli*</v>
      </c>
      <c r="AI101" s="4" t="str">
        <f>IFERROR(__xludf.DUMMYFUNCTION("GOOGLETRANSLATE(B101,""en"",""hr"")"),"Mobilni model*")</f>
        <v>Mobilni model*</v>
      </c>
      <c r="AJ101" s="4" t="str">
        <f>IFERROR(__xludf.DUMMYFUNCTION("GOOGLETRANSLATE(B101,""en"",""hu"")"),"Mobil modell*")</f>
        <v>Mobil modell*</v>
      </c>
      <c r="AK101" s="4" t="str">
        <f>IFERROR(__xludf.DUMMYFUNCTION("GOOGLETRANSLATE(B101,""en"",""hy"")"),"Բջջային մոդել*")</f>
        <v>Բջջային մոդել*</v>
      </c>
      <c r="AL101" s="4" t="str">
        <f>IFERROR(__xludf.DUMMYFUNCTION("GOOGLETRANSLATE(B101,""en"",""ca"")"),"Model mòbil*")</f>
        <v>Model mòbil*</v>
      </c>
      <c r="AM101" s="4" t="str">
        <f>IFERROR(__xludf.DUMMYFUNCTION("GOOGLETRANSLATE(B101,""en"",""nl"")"),"Mobiel model*")</f>
        <v>Mobiel model*</v>
      </c>
      <c r="AN101" s="4" t="str">
        <f>IFERROR(__xludf.DUMMYFUNCTION("GOOGLETRANSLATE(B101,""en"",""he"")"),"דגם נייד*")</f>
        <v>דגם נייד*</v>
      </c>
      <c r="AO101" s="4" t="str">
        <f>IFERROR(__xludf.DUMMYFUNCTION("GOOGLETRANSLATE(B101,""en"",""is"")"),"Farsímagerð*")</f>
        <v>Farsímagerð*</v>
      </c>
      <c r="AP101" s="4" t="str">
        <f>IFERROR(__xludf.DUMMYFUNCTION("GOOGLETRANSLATE(B101,""en"",""no"")"),"Mobilmodell*")</f>
        <v>Mobilmodell*</v>
      </c>
      <c r="AQ101" s="4" t="str">
        <f>IFERROR(__xludf.DUMMYFUNCTION("GOOGLETRANSLATE(B101,""en"",""fa"")"),"مدل موبایل*")</f>
        <v>مدل موبایل*</v>
      </c>
      <c r="AR101" s="4" t="str">
        <f>IFERROR(__xludf.DUMMYFUNCTION("GOOGLETRANSLATE(B101,""en"",""pl"")"),"Model mobilny*")</f>
        <v>Model mobilny*</v>
      </c>
      <c r="AS101" s="4" t="str">
        <f>IFERROR(__xludf.DUMMYFUNCTION("GOOGLETRANSLATE(B101,""en"",""sv"")"),"Mobilmodell*")</f>
        <v>Mobilmodell*</v>
      </c>
      <c r="AT101" s="4" t="str">
        <f>IFERROR(__xludf.DUMMYFUNCTION("GOOGLETRANSLATE(B101,""en"",""uk"")"),"Мобільна модель*")</f>
        <v>Мобільна модель*</v>
      </c>
      <c r="AU101" s="4" t="str">
        <f>IFERROR(__xludf.DUMMYFUNCTION("GOOGLETRANSLATE(B101,""en"",""zu"")"),"Imodeli yeselula*")</f>
        <v>Imodeli yeselula*</v>
      </c>
      <c r="AV101" s="4" t="str">
        <f>IFERROR(__xludf.DUMMYFUNCTION("GOOGLETRANSLATE(B101,""en"",""sr"")"),"Мобилни модел*")</f>
        <v>Мобилни модел*</v>
      </c>
    </row>
    <row r="102">
      <c r="A102" s="3" t="s">
        <v>243</v>
      </c>
      <c r="B102" s="3" t="s">
        <v>244</v>
      </c>
      <c r="C102" s="4" t="str">
        <f>IFERROR(__xludf.DUMMYFUNCTION("GOOGLETRANSLATE(B102,""en"",""ta"")"),"பிழை விவரங்களை உள்ளிடவும்*")</f>
        <v>பிழை விவரங்களை உள்ளிடவும்*</v>
      </c>
      <c r="D102" s="4" t="str">
        <f>IFERROR(__xludf.DUMMYFUNCTION("GOOGLETRANSLATE(B102,""en"",""hi"")"),"त्रुटि विवरण दर्ज करें*")</f>
        <v>त्रुटि विवरण दर्ज करें*</v>
      </c>
      <c r="E102" s="4" t="str">
        <f>IFERROR(__xludf.DUMMYFUNCTION("GOOGLETRANSLATE(B102,""en"",""id"")"),"Masukkan detail kesalahan*")</f>
        <v>Masukkan detail kesalahan*</v>
      </c>
      <c r="F102" s="4" t="str">
        <f>IFERROR(__xludf.DUMMYFUNCTION("GOOGLETRANSLATE(B102,""en"",""ms"")"),"Masukkan butiran ralat*")</f>
        <v>Masukkan butiran ralat*</v>
      </c>
      <c r="G102" s="4" t="str">
        <f>IFERROR(__xludf.DUMMYFUNCTION("GOOGLETRANSLATE(B102,""en"",""de"")"),"Geben Sie die Fehlerdetails ein*")</f>
        <v>Geben Sie die Fehlerdetails ein*</v>
      </c>
      <c r="H102" s="4" t="str">
        <f>IFERROR(__xludf.DUMMYFUNCTION("GOOGLETRANSLATE(B102,""en"",""es"")"),"Introduzca los detalles del error*")</f>
        <v>Introduzca los detalles del error*</v>
      </c>
      <c r="I102" s="4" t="str">
        <f>IFERROR(__xludf.DUMMYFUNCTION("GOOGLETRANSLATE(B102,""en"",""fr"")"),"Entrez les détails de l'erreur*")</f>
        <v>Entrez les détails de l'erreur*</v>
      </c>
      <c r="J102" s="4" t="str">
        <f>IFERROR(__xludf.DUMMYFUNCTION("GOOGLETRANSLATE(B102,""en"",""it"")"),"Inserisci i dettagli dell'errore*")</f>
        <v>Inserisci i dettagli dell'errore*</v>
      </c>
      <c r="K102" s="4" t="str">
        <f>IFERROR(__xludf.DUMMYFUNCTION("GOOGLETRANSLATE(B102,""en"",""pt"")"),"Insira os detalhes do erro*")</f>
        <v>Insira os detalhes do erro*</v>
      </c>
      <c r="L102" s="4" t="str">
        <f>IFERROR(__xludf.DUMMYFUNCTION("GOOGLETRANSLATE(B102,""en"",""ro"")"),"Introduceți detaliile erorii*")</f>
        <v>Introduceți detaliile erorii*</v>
      </c>
      <c r="M102" s="4" t="str">
        <f>IFERROR(__xludf.DUMMYFUNCTION("GOOGLETRANSLATE(B102,""en"",""vi"")"),"Nhập thông tin lỗi*")</f>
        <v>Nhập thông tin lỗi*</v>
      </c>
      <c r="N102" s="4" t="str">
        <f>IFERROR(__xludf.DUMMYFUNCTION("GOOGLETRANSLATE(B102,""en"",""ru"")"),"Введите детали ошибки*")</f>
        <v>Введите детали ошибки*</v>
      </c>
      <c r="O102" s="4" t="str">
        <f>IFERROR(__xludf.DUMMYFUNCTION("GOOGLETRANSLATE(B102,""en"",""tr"")"),"Hata ayrıntılarını girin*")</f>
        <v>Hata ayrıntılarını girin*</v>
      </c>
      <c r="P102" s="4" t="str">
        <f>IFERROR(__xludf.DUMMYFUNCTION("GOOGLETRANSLATE(B102,""en"",""ar"")"),"أدخل تفاصيل الخطأ*")</f>
        <v>أدخل تفاصيل الخطأ*</v>
      </c>
      <c r="Q102" s="4" t="str">
        <f>IFERROR(__xludf.DUMMYFUNCTION("GOOGLETRANSLATE(B102,""en"",""mr"")"),"त्रुटी तपशील प्रविष्ट करा*")</f>
        <v>त्रुटी तपशील प्रविष्ट करा*</v>
      </c>
      <c r="R102" s="4" t="str">
        <f>IFERROR(__xludf.DUMMYFUNCTION("GOOGLETRANSLATE(B102,""en"",""gu"")"),"ભૂલની વિગતો દાખલ કરો*")</f>
        <v>ભૂલની વિગતો દાખલ કરો*</v>
      </c>
      <c r="S102" s="4" t="str">
        <f>IFERROR(__xludf.DUMMYFUNCTION("GOOGLETRANSLATE(B102,""en"",""bn"")"),"ত্রুটি বিবরণ লিখুন*")</f>
        <v>ত্রুটি বিবরণ লিখুন*</v>
      </c>
      <c r="T102" s="4" t="str">
        <f>IFERROR(__xludf.DUMMYFUNCTION("GOOGLETRANSLATE(B102,""en"",""pa"")"),"ਗਲਤੀ ਦੇ ਵੇਰਵੇ ਦਾਖਲ ਕਰੋ*")</f>
        <v>ਗਲਤੀ ਦੇ ਵੇਰਵੇ ਦਾਖਲ ਕਰੋ*</v>
      </c>
      <c r="U102" s="4" t="str">
        <f>IFERROR(__xludf.DUMMYFUNCTION("GOOGLETRANSLATE(B102,""en"",""te"")"),"ఎర్రర్ వివరాలను నమోదు చేయండి*")</f>
        <v>ఎర్రర్ వివరాలను నమోదు చేయండి*</v>
      </c>
      <c r="V102" s="4" t="str">
        <f>IFERROR(__xludf.DUMMYFUNCTION("GOOGLETRANSLATE(B102,""en"",""kn"")"),"ದೋಷ ವಿವರಗಳನ್ನು ನಮೂದಿಸಿ*")</f>
        <v>ದೋಷ ವಿವರಗಳನ್ನು ನಮೂದಿಸಿ*</v>
      </c>
      <c r="W102" s="4" t="str">
        <f>IFERROR(__xludf.DUMMYFUNCTION("GOOGLETRANSLATE(B102,""en"",""ml"")"),"പിശക് വിശദാംശങ്ങൾ നൽകുക*")</f>
        <v>പിശക് വിശദാംശങ്ങൾ നൽകുക*</v>
      </c>
      <c r="X102" s="4" t="str">
        <f>IFERROR(__xludf.DUMMYFUNCTION("GOOGLETRANSLATE(B102,""en"",""th"")"),"กรอกรายละเอียดข้อผิดพลาด*")</f>
        <v>กรอกรายละเอียดข้อผิดพลาด*</v>
      </c>
      <c r="Y102" s="4" t="str">
        <f>IFERROR(__xludf.DUMMYFUNCTION("GOOGLETRANSLATE(B102,""en"",""ko"")"),"오류 세부 정보를 입력하세요*")</f>
        <v>오류 세부 정보를 입력하세요*</v>
      </c>
      <c r="Z102" s="4" t="str">
        <f>IFERROR(__xludf.DUMMYFUNCTION("GOOGLETRANSLATE(B102,""en"",""zh"")"),"输入错误详细信息*")</f>
        <v>输入错误详细信息*</v>
      </c>
      <c r="AA102" s="4" t="str">
        <f>IFERROR(__xludf.DUMMYFUNCTION("GOOGLETRANSLATE(B102,""en"",""zh-TW"")"),"輸入錯誤詳細資料*")</f>
        <v>輸入錯誤詳細資料*</v>
      </c>
      <c r="AB102" s="4" t="str">
        <f>IFERROR(__xludf.DUMMYFUNCTION("GOOGLETRANSLATE(B102,""en"",""ja"")"),"エラーの詳細を入力してください*")</f>
        <v>エラーの詳細を入力してください*</v>
      </c>
      <c r="AC102" s="4" t="str">
        <f>IFERROR(__xludf.DUMMYFUNCTION("GOOGLETRANSLATE(B102,""en"",""bg"")"),"Въведете подробностите за грешката*")</f>
        <v>Въведете подробностите за грешката*</v>
      </c>
      <c r="AD102" s="4" t="str">
        <f>IFERROR(__xludf.DUMMYFUNCTION("GOOGLETRANSLATE(B102,""en"",""cs"")"),"Zadejte podrobnosti o chybě*")</f>
        <v>Zadejte podrobnosti o chybě*</v>
      </c>
      <c r="AE102" s="4" t="str">
        <f>IFERROR(__xludf.DUMMYFUNCTION("GOOGLETRANSLATE(B102,""en"",""da"")"),"Indtast fejloplysningerne*")</f>
        <v>Indtast fejloplysningerne*</v>
      </c>
      <c r="AF102" s="4" t="str">
        <f>IFERROR(__xludf.DUMMYFUNCTION("GOOGLETRANSLATE(B102,""en"",""el"")"),"Εισαγάγετε τα στοιχεία του σφάλματος*")</f>
        <v>Εισαγάγετε τα στοιχεία του σφάλματος*</v>
      </c>
      <c r="AG102" s="4" t="str">
        <f>IFERROR(__xludf.DUMMYFUNCTION("GOOGLETRANSLATE(B102,""en"",""et"")"),"Sisesta vea üksikasjad*")</f>
        <v>Sisesta vea üksikasjad*</v>
      </c>
      <c r="AH102" s="4" t="str">
        <f>IFERROR(__xludf.DUMMYFUNCTION("GOOGLETRANSLATE(B102,""en"",""fi"")"),"Anna virheen tiedot*")</f>
        <v>Anna virheen tiedot*</v>
      </c>
      <c r="AI102" s="4" t="str">
        <f>IFERROR(__xludf.DUMMYFUNCTION("GOOGLETRANSLATE(B102,""en"",""hr"")"),"Unesite detalje pogreške*")</f>
        <v>Unesite detalje pogreške*</v>
      </c>
      <c r="AJ102" s="4" t="str">
        <f>IFERROR(__xludf.DUMMYFUNCTION("GOOGLETRANSLATE(B102,""en"",""hu"")"),"Írja be a hiba részleteit*")</f>
        <v>Írja be a hiba részleteit*</v>
      </c>
      <c r="AK102" s="4" t="str">
        <f>IFERROR(__xludf.DUMMYFUNCTION("GOOGLETRANSLATE(B102,""en"",""hy"")"),"Մուտքագրեք սխալի մանրամասները*")</f>
        <v>Մուտքագրեք սխալի մանրամասները*</v>
      </c>
      <c r="AL102" s="4" t="str">
        <f>IFERROR(__xludf.DUMMYFUNCTION("GOOGLETRANSLATE(B102,""en"",""ca"")"),"Introduïu els detalls de l'error*")</f>
        <v>Introduïu els detalls de l'error*</v>
      </c>
      <c r="AM102" s="4" t="str">
        <f>IFERROR(__xludf.DUMMYFUNCTION("GOOGLETRANSLATE(B102,""en"",""nl"")"),"Vul de foutdetails in*")</f>
        <v>Vul de foutdetails in*</v>
      </c>
      <c r="AN102" s="4" t="str">
        <f>IFERROR(__xludf.DUMMYFUNCTION("GOOGLETRANSLATE(B102,""en"",""he"")"),"הזן את פרטי השגיאה*")</f>
        <v>הזן את פרטי השגיאה*</v>
      </c>
      <c r="AO102" s="4" t="str">
        <f>IFERROR(__xludf.DUMMYFUNCTION("GOOGLETRANSLATE(B102,""en"",""is"")"),"Sláðu inn villuupplýsingar*")</f>
        <v>Sláðu inn villuupplýsingar*</v>
      </c>
      <c r="AP102" s="4" t="str">
        <f>IFERROR(__xludf.DUMMYFUNCTION("GOOGLETRANSLATE(B102,""en"",""no"")"),"Skriv inn feildetaljene*")</f>
        <v>Skriv inn feildetaljene*</v>
      </c>
      <c r="AQ102" s="4" t="str">
        <f>IFERROR(__xludf.DUMMYFUNCTION("GOOGLETRANSLATE(B102,""en"",""fa"")"),"جزئیات خطا را وارد کنید*")</f>
        <v>جزئیات خطا را وارد کنید*</v>
      </c>
      <c r="AR102" s="4" t="str">
        <f>IFERROR(__xludf.DUMMYFUNCTION("GOOGLETRANSLATE(B102,""en"",""pl"")"),"Wprowadź szczegóły błędu*")</f>
        <v>Wprowadź szczegóły błędu*</v>
      </c>
      <c r="AS102" s="4" t="str">
        <f>IFERROR(__xludf.DUMMYFUNCTION("GOOGLETRANSLATE(B102,""en"",""sv"")"),"Ange felinformationen*")</f>
        <v>Ange felinformationen*</v>
      </c>
      <c r="AT102" s="4" t="str">
        <f>IFERROR(__xludf.DUMMYFUNCTION("GOOGLETRANSLATE(B102,""en"",""uk"")"),"Введіть деталі помилки*")</f>
        <v>Введіть деталі помилки*</v>
      </c>
      <c r="AU102" s="4" t="str">
        <f>IFERROR(__xludf.DUMMYFUNCTION("GOOGLETRANSLATE(B102,""en"",""zu"")"),"Faka imininingwane yephutha*")</f>
        <v>Faka imininingwane yephutha*</v>
      </c>
      <c r="AV102" s="4" t="str">
        <f>IFERROR(__xludf.DUMMYFUNCTION("GOOGLETRANSLATE(B102,""en"",""sr"")"),"Унесите детаље грешке*")</f>
        <v>Унесите детаље грешке*</v>
      </c>
    </row>
    <row r="103">
      <c r="A103" s="3" t="s">
        <v>245</v>
      </c>
      <c r="B103" s="3" t="s">
        <v>228</v>
      </c>
      <c r="C103" s="4" t="str">
        <f>IFERROR(__xludf.DUMMYFUNCTION("GOOGLETRANSLATE(B103,""en"",""ta"")"),"மின்னஞ்சலை உள்ளிடவும்")</f>
        <v>மின்னஞ்சலை உள்ளிடவும்</v>
      </c>
      <c r="D103" s="4" t="str">
        <f>IFERROR(__xludf.DUMMYFUNCTION("GOOGLETRANSLATE(B103,""en"",""hi"")"),"ईमेल दर्ज करें")</f>
        <v>ईमेल दर्ज करें</v>
      </c>
      <c r="E103" s="4" t="str">
        <f>IFERROR(__xludf.DUMMYFUNCTION("GOOGLETRANSLATE(B103,""en"",""id"")"),"Masukkan email")</f>
        <v>Masukkan email</v>
      </c>
      <c r="F103" s="4" t="str">
        <f>IFERROR(__xludf.DUMMYFUNCTION("GOOGLETRANSLATE(B103,""en"",""ms"")"),"Masukkan e-mel")</f>
        <v>Masukkan e-mel</v>
      </c>
      <c r="G103" s="4" t="str">
        <f>IFERROR(__xludf.DUMMYFUNCTION("GOOGLETRANSLATE(B103,""en"",""de"")"),"E-Mail eingeben")</f>
        <v>E-Mail eingeben</v>
      </c>
      <c r="H103" s="4" t="str">
        <f>IFERROR(__xludf.DUMMYFUNCTION("GOOGLETRANSLATE(B103,""en"",""es"")"),"Introducir correo electrónico")</f>
        <v>Introducir correo electrónico</v>
      </c>
      <c r="I103" s="4" t="str">
        <f>IFERROR(__xludf.DUMMYFUNCTION("GOOGLETRANSLATE(B103,""en"",""fr"")"),"Entrez l'e-mail")</f>
        <v>Entrez l'e-mail</v>
      </c>
      <c r="J103" s="4" t="str">
        <f>IFERROR(__xludf.DUMMYFUNCTION("GOOGLETRANSLATE(B103,""en"",""it"")"),"Inserisci l'email")</f>
        <v>Inserisci l'email</v>
      </c>
      <c r="K103" s="4" t="str">
        <f>IFERROR(__xludf.DUMMYFUNCTION("GOOGLETRANSLATE(B103,""en"",""pt"")"),"Digite o e-mail")</f>
        <v>Digite o e-mail</v>
      </c>
      <c r="L103" s="4" t="str">
        <f>IFERROR(__xludf.DUMMYFUNCTION("GOOGLETRANSLATE(B103,""en"",""ro"")"),"Introdu e-mail")</f>
        <v>Introdu e-mail</v>
      </c>
      <c r="M103" s="4" t="str">
        <f>IFERROR(__xludf.DUMMYFUNCTION("GOOGLETRANSLATE(B103,""en"",""vi"")"),"Nhập email")</f>
        <v>Nhập email</v>
      </c>
      <c r="N103" s="4" t="str">
        <f>IFERROR(__xludf.DUMMYFUNCTION("GOOGLETRANSLATE(B103,""en"",""ru"")"),"Введите адрес электронной почты")</f>
        <v>Введите адрес электронной почты</v>
      </c>
      <c r="O103" s="4" t="str">
        <f>IFERROR(__xludf.DUMMYFUNCTION("GOOGLETRANSLATE(B103,""en"",""tr"")"),"E-posta girin")</f>
        <v>E-posta girin</v>
      </c>
      <c r="P103" s="4" t="str">
        <f>IFERROR(__xludf.DUMMYFUNCTION("GOOGLETRANSLATE(B103,""en"",""ar"")"),"أدخل البريد الإلكتروني")</f>
        <v>أدخل البريد الإلكتروني</v>
      </c>
      <c r="Q103" s="4" t="str">
        <f>IFERROR(__xludf.DUMMYFUNCTION("GOOGLETRANSLATE(B103,""en"",""mr"")"),"ईमेल प्रविष्ट करा")</f>
        <v>ईमेल प्रविष्ट करा</v>
      </c>
      <c r="R103" s="4" t="str">
        <f>IFERROR(__xludf.DUMMYFUNCTION("GOOGLETRANSLATE(B103,""en"",""gu"")"),"ઈમેલ દાખલ કરો")</f>
        <v>ઈમેલ દાખલ કરો</v>
      </c>
      <c r="S103" s="4" t="str">
        <f>IFERROR(__xludf.DUMMYFUNCTION("GOOGLETRANSLATE(B103,""en"",""bn"")"),"ইমেইল লিখুন")</f>
        <v>ইমেইল লিখুন</v>
      </c>
      <c r="T103" s="4" t="str">
        <f>IFERROR(__xludf.DUMMYFUNCTION("GOOGLETRANSLATE(B103,""en"",""pa"")"),"ਈਮੇਲ ਦਾਖਲ ਕਰੋ")</f>
        <v>ਈਮੇਲ ਦਾਖਲ ਕਰੋ</v>
      </c>
      <c r="U103" s="4" t="str">
        <f>IFERROR(__xludf.DUMMYFUNCTION("GOOGLETRANSLATE(B103,""en"",""te"")"),"ఇమెయిల్‌ని నమోదు చేయండి")</f>
        <v>ఇమెయిల్‌ని నమోదు చేయండి</v>
      </c>
      <c r="V103" s="4" t="str">
        <f>IFERROR(__xludf.DUMMYFUNCTION("GOOGLETRANSLATE(B103,""en"",""kn"")"),"ಇಮೇಲ್ ನಮೂದಿಸಿ")</f>
        <v>ಇಮೇಲ್ ನಮೂದಿಸಿ</v>
      </c>
      <c r="W103" s="4" t="str">
        <f>IFERROR(__xludf.DUMMYFUNCTION("GOOGLETRANSLATE(B103,""en"",""ml"")"),"ഇമെയിൽ നൽകുക")</f>
        <v>ഇമെയിൽ നൽകുക</v>
      </c>
      <c r="X103" s="4" t="str">
        <f>IFERROR(__xludf.DUMMYFUNCTION("GOOGLETRANSLATE(B103,""en"",""th"")"),"กรอกอีเมล์")</f>
        <v>กรอกอีเมล์</v>
      </c>
      <c r="Y103" s="4" t="str">
        <f>IFERROR(__xludf.DUMMYFUNCTION("GOOGLETRANSLATE(B103,""en"",""ko"")"),"이메일을 입력하세요")</f>
        <v>이메일을 입력하세요</v>
      </c>
      <c r="Z103" s="4" t="str">
        <f>IFERROR(__xludf.DUMMYFUNCTION("GOOGLETRANSLATE(B103,""en"",""zh"")"),"输入邮箱")</f>
        <v>输入邮箱</v>
      </c>
      <c r="AA103" s="4" t="str">
        <f>IFERROR(__xludf.DUMMYFUNCTION("GOOGLETRANSLATE(B103,""en"",""zh-TW"")"),"輸入信箱")</f>
        <v>輸入信箱</v>
      </c>
      <c r="AB103" s="4" t="str">
        <f>IFERROR(__xludf.DUMMYFUNCTION("GOOGLETRANSLATE(B103,""en"",""ja"")"),"メールアドレスを入力")</f>
        <v>メールアドレスを入力</v>
      </c>
      <c r="AC103" s="4" t="str">
        <f>IFERROR(__xludf.DUMMYFUNCTION("GOOGLETRANSLATE(B103,""en"",""bg"")"),"Въведете имейл")</f>
        <v>Въведете имейл</v>
      </c>
      <c r="AD103" s="4" t="str">
        <f>IFERROR(__xludf.DUMMYFUNCTION("GOOGLETRANSLATE(B103,""en"",""cs"")"),"Zadejte email")</f>
        <v>Zadejte email</v>
      </c>
      <c r="AE103" s="4" t="str">
        <f>IFERROR(__xludf.DUMMYFUNCTION("GOOGLETRANSLATE(B103,""en"",""da"")"),"Indtast e-mail")</f>
        <v>Indtast e-mail</v>
      </c>
      <c r="AF103" s="4" t="str">
        <f>IFERROR(__xludf.DUMMYFUNCTION("GOOGLETRANSLATE(B103,""en"",""el"")"),"Εισαγάγετε email")</f>
        <v>Εισαγάγετε email</v>
      </c>
      <c r="AG103" s="4" t="str">
        <f>IFERROR(__xludf.DUMMYFUNCTION("GOOGLETRANSLATE(B103,""en"",""et"")"),"Sisestage e-posti aadress")</f>
        <v>Sisestage e-posti aadress</v>
      </c>
      <c r="AH103" s="4" t="str">
        <f>IFERROR(__xludf.DUMMYFUNCTION("GOOGLETRANSLATE(B103,""en"",""fi"")"),"Anna sähköpostiosoite")</f>
        <v>Anna sähköpostiosoite</v>
      </c>
      <c r="AI103" s="4" t="str">
        <f>IFERROR(__xludf.DUMMYFUNCTION("GOOGLETRANSLATE(B103,""en"",""hr"")"),"Unesite email")</f>
        <v>Unesite email</v>
      </c>
      <c r="AJ103" s="4" t="str">
        <f>IFERROR(__xludf.DUMMYFUNCTION("GOOGLETRANSLATE(B103,""en"",""hu"")"),"Írja be az e-mail címet")</f>
        <v>Írja be az e-mail címet</v>
      </c>
      <c r="AK103" s="4" t="str">
        <f>IFERROR(__xludf.DUMMYFUNCTION("GOOGLETRANSLATE(B103,""en"",""hy"")"),"Մուտքագրեք էլ")</f>
        <v>Մուտքագրեք էլ</v>
      </c>
      <c r="AL103" s="4" t="str">
        <f>IFERROR(__xludf.DUMMYFUNCTION("GOOGLETRANSLATE(B103,""en"",""ca"")"),"Introduïu el correu electrònic")</f>
        <v>Introduïu el correu electrònic</v>
      </c>
      <c r="AM103" s="4" t="str">
        <f>IFERROR(__xludf.DUMMYFUNCTION("GOOGLETRANSLATE(B103,""en"",""nl"")"),"Voer e-mailadres in")</f>
        <v>Voer e-mailadres in</v>
      </c>
      <c r="AN103" s="4" t="str">
        <f>IFERROR(__xludf.DUMMYFUNCTION("GOOGLETRANSLATE(B103,""en"",""he"")"),"הזן אימייל")</f>
        <v>הזן אימייל</v>
      </c>
      <c r="AO103" s="4" t="str">
        <f>IFERROR(__xludf.DUMMYFUNCTION("GOOGLETRANSLATE(B103,""en"",""is"")"),"Sláðu inn tölvupóst")</f>
        <v>Sláðu inn tölvupóst</v>
      </c>
      <c r="AP103" s="4" t="str">
        <f>IFERROR(__xludf.DUMMYFUNCTION("GOOGLETRANSLATE(B103,""en"",""no"")"),"Skriv inn e-post")</f>
        <v>Skriv inn e-post</v>
      </c>
      <c r="AQ103" s="4" t="str">
        <f>IFERROR(__xludf.DUMMYFUNCTION("GOOGLETRANSLATE(B103,""en"",""fa"")"),"ایمیل را وارد کنید")</f>
        <v>ایمیل را وارد کنید</v>
      </c>
      <c r="AR103" s="4" t="str">
        <f>IFERROR(__xludf.DUMMYFUNCTION("GOOGLETRANSLATE(B103,""en"",""pl"")"),"Wprowadź adres e-mail")</f>
        <v>Wprowadź adres e-mail</v>
      </c>
      <c r="AS103" s="4" t="str">
        <f>IFERROR(__xludf.DUMMYFUNCTION("GOOGLETRANSLATE(B103,""en"",""sv"")"),"Ange e-post")</f>
        <v>Ange e-post</v>
      </c>
      <c r="AT103" s="4" t="str">
        <f>IFERROR(__xludf.DUMMYFUNCTION("GOOGLETRANSLATE(B103,""en"",""uk"")"),"Введіть адресу електронної пошти")</f>
        <v>Введіть адресу електронної пошти</v>
      </c>
      <c r="AU103" s="4" t="str">
        <f>IFERROR(__xludf.DUMMYFUNCTION("GOOGLETRANSLATE(B103,""en"",""zu"")"),"Faka i-imeyili")</f>
        <v>Faka i-imeyili</v>
      </c>
      <c r="AV103" s="4" t="str">
        <f>IFERROR(__xludf.DUMMYFUNCTION("GOOGLETRANSLATE(B103,""en"",""sr"")"),"Унесите емаил")</f>
        <v>Унесите емаил</v>
      </c>
    </row>
    <row r="104">
      <c r="A104" s="3" t="s">
        <v>246</v>
      </c>
      <c r="B104" s="3" t="s">
        <v>230</v>
      </c>
      <c r="C104" s="4" t="str">
        <f>IFERROR(__xludf.DUMMYFUNCTION("GOOGLETRANSLATE(B104,""en"",""ta"")"),"மின்னஞ்சல் ஐடியை இங்கு பகிர நான் சம்மதிக்கிறேன், மேலும் இது எந்த தரவுத்தளத்திலும் சேமிக்கப்படாது மற்றும் தகவல் தொடர்பு நோக்கத்திற்காக மட்டுமே பயன்படுத்தப்படும் என்பதை புரிந்துகொள்கிறேன்.")</f>
        <v>மின்னஞ்சல் ஐடியை இங்கு பகிர நான் சம்மதிக்கிறேன், மேலும் இது எந்த தரவுத்தளத்திலும் சேமிக்கப்படாது மற்றும் தகவல் தொடர்பு நோக்கத்திற்காக மட்டுமே பயன்படுத்தப்படும் என்பதை புரிந்துகொள்கிறேன்.</v>
      </c>
      <c r="D104" s="4" t="str">
        <f>IFERROR(__xludf.DUMMYFUNCTION("GOOGLETRANSLATE(B104,""en"",""hi"")"),"मैं यहां ईमेल आईडी साझा करने के लिए सहमति देता हूं और मैं समझता हूं कि इसे किसी भी डेटाबेस पर सहेजा नहीं जाएगा और इसका उपयोग केवल संचार उद्देश्य के लिए किया जाएगा।")</f>
        <v>मैं यहां ईमेल आईडी साझा करने के लिए सहमति देता हूं और मैं समझता हूं कि इसे किसी भी डेटाबेस पर सहेजा नहीं जाएगा और इसका उपयोग केवल संचार उद्देश्य के लिए किया जाएगा।</v>
      </c>
      <c r="E104" s="4" t="str">
        <f>IFERROR(__xludf.DUMMYFUNCTION("GOOGLETRANSLATE(B104,""en"",""id"")"),"Saya setuju untuk membagikan ID Email di sini dan saya mengerti bahwa ID tersebut tidak akan disimpan dalam basis data mana pun dan akan digunakan untuk tujuan komunikasi saja.")</f>
        <v>Saya setuju untuk membagikan ID Email di sini dan saya mengerti bahwa ID tersebut tidak akan disimpan dalam basis data mana pun dan akan digunakan untuk tujuan komunikasi saja.</v>
      </c>
      <c r="F104" s="4" t="str">
        <f>IFERROR(__xludf.DUMMYFUNCTION("GOOGLETRANSLATE(B104,""en"",""ms"")"),"Saya bersetuju untuk berkongsi ID E-mel di sini dan saya faham bahawa ia tidak akan disimpan pada mana-mana pangkalan data dan ia akan digunakan untuk tujuan komunikasi sahaja.")</f>
        <v>Saya bersetuju untuk berkongsi ID E-mel di sini dan saya faham bahawa ia tidak akan disimpan pada mana-mana pangkalan data dan ia akan digunakan untuk tujuan komunikasi sahaja.</v>
      </c>
      <c r="G104" s="4" t="str">
        <f>IFERROR(__xludf.DUMMYFUNCTION("GOOGLETRANSLATE(B104,""en"",""de"")"),"Ich bin damit einverstanden, dass meine E-Mail-ID hier weitergegeben wird, und ich verstehe, dass sie in keiner Datenbank gespeichert und nur zu Kommunikationszwecken verwendet wird.")</f>
        <v>Ich bin damit einverstanden, dass meine E-Mail-ID hier weitergegeben wird, und ich verstehe, dass sie in keiner Datenbank gespeichert und nur zu Kommunikationszwecken verwendet wird.</v>
      </c>
      <c r="H104" s="4" t="str">
        <f>IFERROR(__xludf.DUMMYFUNCTION("GOOGLETRANSLATE(B104,""en"",""es"")"),"Doy mi consentimiento para compartir mi ID de correo electrónico aquí y entiendo que no se guardará en ninguna base de datos y se utilizará únicamente con fines de comunicación.")</f>
        <v>Doy mi consentimiento para compartir mi ID de correo electrónico aquí y entiendo que no se guardará en ninguna base de datos y se utilizará únicamente con fines de comunicación.</v>
      </c>
      <c r="I104" s="4" t="str">
        <f>IFERROR(__xludf.DUMMYFUNCTION("GOOGLETRANSLATE(B104,""en"",""fr"")"),"J'accepte de partager mon identifiant e-mail ici et je comprends qu'il ne sera enregistré dans aucune base de données et qu'il sera utilisé uniquement à des fins de communication.")</f>
        <v>J'accepte de partager mon identifiant e-mail ici et je comprends qu'il ne sera enregistré dans aucune base de données et qu'il sera utilisé uniquement à des fins de communication.</v>
      </c>
      <c r="J104" s="4" t="str">
        <f>IFERROR(__xludf.DUMMYFUNCTION("GOOGLETRANSLATE(B104,""en"",""it"")"),"Acconsento a condividere qui il mio ID e-mail e comprendo che non verrà salvato in nessun database e verrà utilizzato solo a scopo di comunicazione.")</f>
        <v>Acconsento a condividere qui il mio ID e-mail e comprendo che non verrà salvato in nessun database e verrà utilizzato solo a scopo di comunicazione.</v>
      </c>
      <c r="K104" s="4" t="str">
        <f>IFERROR(__xludf.DUMMYFUNCTION("GOOGLETRANSLATE(B104,""en"",""pt"")"),"Eu concordo em compartilhar meu ID de e-mail aqui e entendo que ele não será salvo em nenhum banco de dados e será usado apenas para fins de comunicação.")</f>
        <v>Eu concordo em compartilhar meu ID de e-mail aqui e entendo que ele não será salvo em nenhum banco de dados e será usado apenas para fins de comunicação.</v>
      </c>
      <c r="L104" s="4" t="str">
        <f>IFERROR(__xludf.DUMMYFUNCTION("GOOGLETRANSLATE(B104,""en"",""ro"")"),"Sunt de acord să partajez ID-ul de e-mail aici și înțeleg că acesta nu va fi salvat în nicio bază de date și va fi folosit numai în scop de comunicare.")</f>
        <v>Sunt de acord să partajez ID-ul de e-mail aici și înțeleg că acesta nu va fi salvat în nicio bază de date și va fi folosit numai în scop de comunicare.</v>
      </c>
      <c r="M104" s="4" t="str">
        <f>IFERROR(__xludf.DUMMYFUNCTION("GOOGLETRANSLATE(B104,""en"",""vi"")"),"Tôi đồng ý chia sẻ ID Email tại đây và tôi hiểu rằng thông tin này sẽ không được lưu trên bất kỳ cơ sở dữ liệu nào và chỉ được sử dụng cho mục đích liên lạc.")</f>
        <v>Tôi đồng ý chia sẻ ID Email tại đây và tôi hiểu rằng thông tin này sẽ không được lưu trên bất kỳ cơ sở dữ liệu nào và chỉ được sử dụng cho mục đích liên lạc.</v>
      </c>
      <c r="N104" s="4" t="str">
        <f>IFERROR(__xludf.DUMMYFUNCTION("GOOGLETRANSLATE(B104,""en"",""ru"")"),"Я даю согласие на предоставление здесь идентификатора электронной почты и понимаю, что он не будет сохранен ни в одной базе данных и будет использоваться только в целях коммуникации.")</f>
        <v>Я даю согласие на предоставление здесь идентификатора электронной почты и понимаю, что он не будет сохранен ни в одной базе данных и будет использоваться только в целях коммуникации.</v>
      </c>
      <c r="O104" s="4" t="str">
        <f>IFERROR(__xludf.DUMMYFUNCTION("GOOGLETRANSLATE(B104,""en"",""tr"")"),"E-posta kimliğimin burada paylaşılmasına izin veriyorum ve bunun hiçbir veri tabanında saklanmayacağını ve yalnızca iletişim amacıyla kullanılacağını anlıyorum.")</f>
        <v>E-posta kimliğimin burada paylaşılmasına izin veriyorum ve bunun hiçbir veri tabanında saklanmayacağını ve yalnızca iletişim amacıyla kullanılacağını anlıyorum.</v>
      </c>
      <c r="P104" s="4" t="str">
        <f>IFERROR(__xludf.DUMMYFUNCTION("GOOGLETRANSLATE(B104,""en"",""ar"")"),"أوافق على مشاركة معرف البريد الإلكتروني هنا وأتفهم أنه لن يتم حفظه في أي قاعدة بيانات وسيتم استخدامه لأغراض الاتصال فقط.")</f>
        <v>أوافق على مشاركة معرف البريد الإلكتروني هنا وأتفهم أنه لن يتم حفظه في أي قاعدة بيانات وسيتم استخدامه لأغراض الاتصال فقط.</v>
      </c>
      <c r="Q104" s="4" t="str">
        <f>IFERROR(__xludf.DUMMYFUNCTION("GOOGLETRANSLATE(B104,""en"",""mr"")"),"मी येथे ईमेल आयडी सामायिक करण्यास संमती देतो आणि मला समजते की तो कोणत्याही डेटाबेसवर जतन केला जाणार नाही आणि तो केवळ संप्रेषणाच्या उद्देशासाठी वापरला जाईल.")</f>
        <v>मी येथे ईमेल आयडी सामायिक करण्यास संमती देतो आणि मला समजते की तो कोणत्याही डेटाबेसवर जतन केला जाणार नाही आणि तो केवळ संप्रेषणाच्या उद्देशासाठी वापरला जाईल.</v>
      </c>
      <c r="R104" s="4" t="str">
        <f>IFERROR(__xludf.DUMMYFUNCTION("GOOGLETRANSLATE(B104,""en"",""gu"")"),"હું અહીં ઈમેલ આઈડી શેર કરવાની સંમતિ આપું છું અને હું સમજું છું કે તે કોઈપણ ડેટાબેઝ પર સાચવવામાં આવશે નહીં અને તેનો ઉપયોગ માત્ર સંચાર હેતુ માટે જ કરવામાં આવશે.")</f>
        <v>હું અહીં ઈમેલ આઈડી શેર કરવાની સંમતિ આપું છું અને હું સમજું છું કે તે કોઈપણ ડેટાબેઝ પર સાચવવામાં આવશે નહીં અને તેનો ઉપયોગ માત્ર સંચાર હેતુ માટે જ કરવામાં આવશે.</v>
      </c>
      <c r="S104" s="4" t="str">
        <f>IFERROR(__xludf.DUMMYFUNCTION("GOOGLETRANSLATE(B104,""en"",""bn"")"),"আমি এখানে ইমেল আইডি শেয়ার করতে সম্মতি দিচ্ছি এবং আমি বুঝি যে এটি কোনো ডাটাবেসে সংরক্ষণ করা হবে না এবং এটি শুধুমাত্র যোগাযোগের উদ্দেশ্যে ব্যবহার করা হবে।")</f>
        <v>আমি এখানে ইমেল আইডি শেয়ার করতে সম্মতি দিচ্ছি এবং আমি বুঝি যে এটি কোনো ডাটাবেসে সংরক্ষণ করা হবে না এবং এটি শুধুমাত্র যোগাযোগের উদ্দেশ্যে ব্যবহার করা হবে।</v>
      </c>
      <c r="T104" s="4" t="str">
        <f>IFERROR(__xludf.DUMMYFUNCTION("GOOGLETRANSLATE(B104,""en"",""pa"")"),"ਮੈਂ ਇੱਥੇ ਈਮੇਲ ਆਈਡੀ ਨੂੰ ਸਾਂਝਾ ਕਰਨ ਲਈ ਸਹਿਮਤੀ ਦਿੰਦਾ ਹਾਂ ਅਤੇ ਮੈਂ ਸਮਝਦਾ/ਸਮਝਦੀ ਹਾਂ ਕਿ ਇਹ ਕਿਸੇ ਵੀ ਡੇਟਾਬੇਸ 'ਤੇ ਸੁਰੱਖਿਅਤ ਨਹੀਂ ਕੀਤੀ ਜਾਵੇਗੀ ਅਤੇ ਇਸਦੀ ਵਰਤੋਂ ਸਿਰਫ਼ ਸੰਚਾਰ ਦੇ ਉਦੇਸ਼ ਲਈ ਕੀਤੀ ਜਾਵੇਗੀ।")</f>
        <v>ਮੈਂ ਇੱਥੇ ਈਮੇਲ ਆਈਡੀ ਨੂੰ ਸਾਂਝਾ ਕਰਨ ਲਈ ਸਹਿਮਤੀ ਦਿੰਦਾ ਹਾਂ ਅਤੇ ਮੈਂ ਸਮਝਦਾ/ਸਮਝਦੀ ਹਾਂ ਕਿ ਇਹ ਕਿਸੇ ਵੀ ਡੇਟਾਬੇਸ 'ਤੇ ਸੁਰੱਖਿਅਤ ਨਹੀਂ ਕੀਤੀ ਜਾਵੇਗੀ ਅਤੇ ਇਸਦੀ ਵਰਤੋਂ ਸਿਰਫ਼ ਸੰਚਾਰ ਦੇ ਉਦੇਸ਼ ਲਈ ਕੀਤੀ ਜਾਵੇਗੀ।</v>
      </c>
      <c r="U104" s="4" t="str">
        <f>IFERROR(__xludf.DUMMYFUNCTION("GOOGLETRANSLATE(B104,""en"",""te"")"),"ఇమెయిల్ IDని ఇక్కడ భాగస్వామ్యం చేయడానికి నేను సమ్మతిస్తున్నాను మరియు అది ఏ డేటాబేస్‌లో సేవ్ చేయబడదని మరియు ఇది కమ్యూనికేషన్ ప్రయోజనం కోసం మాత్రమే ఉపయోగించబడుతుందని నేను అర్థం చేసుకున్నాను.")</f>
        <v>ఇమెయిల్ IDని ఇక్కడ భాగస్వామ్యం చేయడానికి నేను సమ్మతిస్తున్నాను మరియు అది ఏ డేటాబేస్‌లో సేవ్ చేయబడదని మరియు ఇది కమ్యూనికేషన్ ప్రయోజనం కోసం మాత్రమే ఉపయోగించబడుతుందని నేను అర్థం చేసుకున్నాను.</v>
      </c>
      <c r="V104" s="4" t="str">
        <f>IFERROR(__xludf.DUMMYFUNCTION("GOOGLETRANSLATE(B104,""en"",""kn"")"),"ಇಮೇಲ್ ಐಡಿಯನ್ನು ಇಲ್ಲಿ ಹಂಚಿಕೊಳ್ಳಲು ನಾನು ಸಮ್ಮತಿಸುತ್ತೇನೆ ಮತ್ತು ಅದನ್ನು ಯಾವುದೇ ಡೇಟಾಬೇಸ್‌ನಲ್ಲಿ ಉಳಿಸಲಾಗುವುದಿಲ್ಲ ಮತ್ತು ಅದನ್ನು ಸಂವಹನ ಉದ್ದೇಶಕ್ಕಾಗಿ ಮಾತ್ರ ಬಳಸಲಾಗುತ್ತದೆ ಎಂದು ನಾನು ಅರ್ಥಮಾಡಿಕೊಂಡಿದ್ದೇನೆ.")</f>
        <v>ಇಮೇಲ್ ಐಡಿಯನ್ನು ಇಲ್ಲಿ ಹಂಚಿಕೊಳ್ಳಲು ನಾನು ಸಮ್ಮತಿಸುತ್ತೇನೆ ಮತ್ತು ಅದನ್ನು ಯಾವುದೇ ಡೇಟಾಬೇಸ್‌ನಲ್ಲಿ ಉಳಿಸಲಾಗುವುದಿಲ್ಲ ಮತ್ತು ಅದನ್ನು ಸಂವಹನ ಉದ್ದೇಶಕ್ಕಾಗಿ ಮಾತ್ರ ಬಳಸಲಾಗುತ್ತದೆ ಎಂದು ನಾನು ಅರ್ಥಮಾಡಿಕೊಂಡಿದ್ದೇನೆ.</v>
      </c>
      <c r="W104" s="4" t="str">
        <f>IFERROR(__xludf.DUMMYFUNCTION("GOOGLETRANSLATE(B104,""en"",""ml"")"),"ഇമെയിൽ ഐഡി ഇവിടെ പങ്കിടാൻ ഞാൻ സമ്മതിക്കുന്നു, അത് ഒരു ഡാറ്റാബേസിലും സംരക്ഷിക്കപ്പെടില്ലെന്നും ആശയവിനിമയ ആവശ്യത്തിന് മാത്രമായിരിക്കും ഇത് ഉപയോഗിക്കുകയെന്നും ഞാൻ മനസ്സിലാക്കുന്നു.")</f>
        <v>ഇമെയിൽ ഐഡി ഇവിടെ പങ്കിടാൻ ഞാൻ സമ്മതിക്കുന്നു, അത് ഒരു ഡാറ്റാബേസിലും സംരക്ഷിക്കപ്പെടില്ലെന്നും ആശയവിനിമയ ആവശ്യത്തിന് മാത്രമായിരിക്കും ഇത് ഉപയോഗിക്കുകയെന്നും ഞാൻ മനസ്സിലാക്കുന്നു.</v>
      </c>
      <c r="X104" s="4" t="str">
        <f>IFERROR(__xludf.DUMMYFUNCTION("GOOGLETRANSLATE(B104,""en"",""th"")"),"ฉันยินยอมที่จะแบ่งปันรหัสอีเมลที่นี่ และฉันเข้าใจว่าจะไม่บันทึกรหัสนี้ลงในฐานข้อมูลใดๆ และจะใช้เพื่อวัตถุประสงค์ในการสื่อสารเท่านั้น")</f>
        <v>ฉันยินยอมที่จะแบ่งปันรหัสอีเมลที่นี่ และฉันเข้าใจว่าจะไม่บันทึกรหัสนี้ลงในฐานข้อมูลใดๆ และจะใช้เพื่อวัตถุประสงค์ในการสื่อสารเท่านั้น</v>
      </c>
      <c r="Y104" s="4" t="str">
        <f>IFERROR(__xludf.DUMMYFUNCTION("GOOGLETRANSLATE(B104,""en"",""ko"")"),"여기에 이메일 ID를 공유하는 데 동의하며, 이 정보는 어떠한 데이터베이스에도 저장되지 않고 오로지 커뮤니케이션 목적으로만 사용된다는 것을 이해합니다.")</f>
        <v>여기에 이메일 ID를 공유하는 데 동의하며, 이 정보는 어떠한 데이터베이스에도 저장되지 않고 오로지 커뮤니케이션 목적으로만 사용된다는 것을 이해합니다.</v>
      </c>
      <c r="Z104" s="4" t="str">
        <f>IFERROR(__xludf.DUMMYFUNCTION("GOOGLETRANSLATE(B104,""en"",""zh"")"),"我同意在此分享电子邮件 ID，并且我了解它不会保存在任何数据库中，并且仅用于通信目的。")</f>
        <v>我同意在此分享电子邮件 ID，并且我了解它不会保存在任何数据库中，并且仅用于通信目的。</v>
      </c>
      <c r="AA104" s="4" t="str">
        <f>IFERROR(__xludf.DUMMYFUNCTION("GOOGLETRANSLATE(B104,""en"",""zh-TW"")"),"我同意在此分享電子郵件 ID，並且我了解它不會保存在任何資料庫中，並且僅用於通訊目的。")</f>
        <v>我同意在此分享電子郵件 ID，並且我了解它不會保存在任何資料庫中，並且僅用於通訊目的。</v>
      </c>
      <c r="AB104" s="4" t="str">
        <f>IFERROR(__xludf.DUMMYFUNCTION("GOOGLETRANSLATE(B104,""en"",""ja"")"),"ここで電子メール ID を共有することに同意します。電子メール ID はデータベースに保存されず、通信目的にのみ使用されることを理解しています。")</f>
        <v>ここで電子メール ID を共有することに同意します。電子メール ID はデータベースに保存されず、通信目的にのみ使用されることを理解しています。</v>
      </c>
      <c r="AC104" s="4" t="str">
        <f>IFERROR(__xludf.DUMMYFUNCTION("GOOGLETRANSLATE(B104,""en"",""bg"")"),"Съгласявам се да споделя имейл ID тук и разбирам, че той няма да бъде запазен в никоя база данни и ще се използва само за комуникационни цели.")</f>
        <v>Съгласявам се да споделя имейл ID тук и разбирам, че той няма да бъде запазен в никоя база данни и ще се използва само за комуникационни цели.</v>
      </c>
      <c r="AD104" s="4" t="str">
        <f>IFERROR(__xludf.DUMMYFUNCTION("GOOGLETRANSLATE(B104,""en"",""cs"")"),"Souhlasím se sdílením e-mailového ID zde a beru na vědomí, že nebude uloženo v žádné databázi a bude použito pouze pro účely komunikace.")</f>
        <v>Souhlasím se sdílením e-mailového ID zde a beru na vědomí, že nebude uloženo v žádné databázi a bude použito pouze pro účely komunikace.</v>
      </c>
      <c r="AE104" s="4" t="str">
        <f>IFERROR(__xludf.DUMMYFUNCTION("GOOGLETRANSLATE(B104,""en"",""da"")"),"Jeg giver samtykke til at dele e-mail-id her, og jeg forstår, at det ikke vil blive gemt i nogen database, og det vil kun blive brugt til kommunikationsformål.")</f>
        <v>Jeg giver samtykke til at dele e-mail-id her, og jeg forstår, at det ikke vil blive gemt i nogen database, og det vil kun blive brugt til kommunikationsformål.</v>
      </c>
      <c r="AF104" s="4" t="str">
        <f>IFERROR(__xludf.DUMMYFUNCTION("GOOGLETRANSLATE(B104,""en"",""el"")"),"Συναινώ να κοινοποιήσω το αναγνωριστικό email εδώ και κατανοώ ότι δεν θα αποθηκευτεί σε καμία βάση δεδομένων και θα χρησιμοποιηθεί μόνο για λόγους επικοινωνίας.")</f>
        <v>Συναινώ να κοινοποιήσω το αναγνωριστικό email εδώ και κατανοώ ότι δεν θα αποθηκευτεί σε καμία βάση δεδομένων και θα χρησιμοποιηθεί μόνο για λόγους επικοινωνίας.</v>
      </c>
      <c r="AG104" s="4" t="str">
        <f>IFERROR(__xludf.DUMMYFUNCTION("GOOGLETRANSLATE(B104,""en"",""et"")"),"Nõustun siin e-posti ID-d jagama ja mõistan, et seda ei salvestata ühtegi andmebaasi ja seda kasutatakse ainult suhtluseesmärkidel.")</f>
        <v>Nõustun siin e-posti ID-d jagama ja mõistan, et seda ei salvestata ühtegi andmebaasi ja seda kasutatakse ainult suhtluseesmärkidel.</v>
      </c>
      <c r="AH104" s="4" t="str">
        <f>IFERROR(__xludf.DUMMYFUNCTION("GOOGLETRANSLATE(B104,""en"",""fi"")"),"Hyväksyn sähköpostiosoitteen jakamisen täällä ja ymmärrän, että sitä ei tallenneta mihinkään tietokantaan ja sitä käytetään vain viestintätarkoituksiin.")</f>
        <v>Hyväksyn sähköpostiosoitteen jakamisen täällä ja ymmärrän, että sitä ei tallenneta mihinkään tietokantaan ja sitä käytetään vain viestintätarkoituksiin.</v>
      </c>
      <c r="AI104" s="4" t="str">
        <f>IFERROR(__xludf.DUMMYFUNCTION("GOOGLETRANSLATE(B104,""en"",""hr"")"),"Pristajem na dijeljenje ID-a e-pošte ovdje i razumijem da neće biti pohranjen ni u jednoj bazi podataka i da će se koristiti samo u svrhu komunikacije.")</f>
        <v>Pristajem na dijeljenje ID-a e-pošte ovdje i razumijem da neće biti pohranjen ni u jednoj bazi podataka i da će se koristiti samo u svrhu komunikacije.</v>
      </c>
      <c r="AJ104" s="4" t="str">
        <f>IFERROR(__xludf.DUMMYFUNCTION("GOOGLETRANSLATE(B104,""en"",""hu"")"),"Hozzájárulok az e-mail azonosító itt való megosztásához, és tudomásul veszem, hogy az nem kerül mentésre semmilyen adatbázisba, és csak kommunikációs célokra használható fel.")</f>
        <v>Hozzájárulok az e-mail azonosító itt való megosztásához, és tudomásul veszem, hogy az nem kerül mentésre semmilyen adatbázisba, és csak kommunikációs célokra használható fel.</v>
      </c>
      <c r="AK104" s="4" t="str">
        <f>IFERROR(__xludf.DUMMYFUNCTION("GOOGLETRANSLATE(B104,""en"",""hy"")"),"Ես համաձայնում եմ կիսվել Email ID-ն այստեղ և հասկանում եմ, որ այն չի պահպանվի որևէ տվյալների բազայում և կօգտագործվի միայն հաղորդակցման նպատակով:")</f>
        <v>Ես համաձայնում եմ կիսվել Email ID-ն այստեղ և հասկանում եմ, որ այն չի պահպանվի որևէ տվյալների բազայում և կօգտագործվի միայն հաղորդակցման նպատակով:</v>
      </c>
      <c r="AL104" s="4" t="str">
        <f>IFERROR(__xludf.DUMMYFUNCTION("GOOGLETRANSLATE(B104,""en"",""ca"")"),"Accepto compartir l'identificador de correu electrònic aquí i entenc que no es desarà a cap base de dades i que s'utilitzarà només amb finalitats de comunicació.")</f>
        <v>Accepto compartir l'identificador de correu electrònic aquí i entenc que no es desarà a cap base de dades i que s'utilitzarà només amb finalitats de comunicació.</v>
      </c>
      <c r="AM104" s="4" t="str">
        <f>IFERROR(__xludf.DUMMYFUNCTION("GOOGLETRANSLATE(B104,""en"",""nl"")"),"Ik geef toestemming om mijn e-mailadres hier te delen en ik begrijp dat dit niet in een database wordt opgeslagen en alleen voor communicatiedoeleinden wordt gebruikt.")</f>
        <v>Ik geef toestemming om mijn e-mailadres hier te delen en ik begrijp dat dit niet in een database wordt opgeslagen en alleen voor communicatiedoeleinden wordt gebruikt.</v>
      </c>
      <c r="AN104" s="4" t="str">
        <f>IFERROR(__xludf.DUMMYFUNCTION("GOOGLETRANSLATE(B104,""en"",""he"")"),"אני מסכים לשתף את מזהה האימייל כאן ואני מבין שהוא לא יישמר בשום מסד נתונים והוא ישמש למטרות תקשורת בלבד.")</f>
        <v>אני מסכים לשתף את מזהה האימייל כאן ואני מבין שהוא לא יישמר בשום מסד נתונים והוא ישמש למטרות תקשורת בלבד.</v>
      </c>
      <c r="AO104" s="4" t="str">
        <f>IFERROR(__xludf.DUMMYFUNCTION("GOOGLETRANSLATE(B104,""en"",""is"")"),"Ég samþykki að deila tölvupóstauðkenni hér og ég skil að það verður ekki vistað í neinum gagnagrunni og það verður eingöngu notað í samskiptatilgangi.")</f>
        <v>Ég samþykki að deila tölvupóstauðkenni hér og ég skil að það verður ekki vistað í neinum gagnagrunni og það verður eingöngu notað í samskiptatilgangi.</v>
      </c>
      <c r="AP104" s="4" t="str">
        <f>IFERROR(__xludf.DUMMYFUNCTION("GOOGLETRANSLATE(B104,""en"",""no"")"),"Jeg samtykker til å dele e-post-ID her, og jeg forstår at den ikke vil bli lagret i noen database, og den vil kun brukes til kommunikasjonsformål.")</f>
        <v>Jeg samtykker til å dele e-post-ID her, og jeg forstår at den ikke vil bli lagret i noen database, og den vil kun brukes til kommunikasjonsformål.</v>
      </c>
      <c r="AQ104" s="4" t="str">
        <f>IFERROR(__xludf.DUMMYFUNCTION("GOOGLETRANSLATE(B104,""en"",""fa"")"),"من با به اشتراک گذاشتن شناسه ایمیل در اینجا موافقت می کنم و می دانم که در هیچ پایگاه داده ای ذخیره نخواهد شد و فقط برای اهداف ارتباطی استفاده خواهد شد.")</f>
        <v>من با به اشتراک گذاشتن شناسه ایمیل در اینجا موافقت می کنم و می دانم که در هیچ پایگاه داده ای ذخیره نخواهد شد و فقط برای اهداف ارتباطی استفاده خواهد شد.</v>
      </c>
      <c r="AR104" s="4" t="str">
        <f>IFERROR(__xludf.DUMMYFUNCTION("GOOGLETRANSLATE(B104,""en"",""pl"")"),"Wyrażam zgodę na udostępnienie mojego adresu e-mail i rozumiem, że nie zostanie on zapisany w żadnej bazie danych i będzie wykorzystywany wyłącznie w celach komunikacyjnych.")</f>
        <v>Wyrażam zgodę na udostępnienie mojego adresu e-mail i rozumiem, że nie zostanie on zapisany w żadnej bazie danych i będzie wykorzystywany wyłącznie w celach komunikacyjnych.</v>
      </c>
      <c r="AS104" s="4" t="str">
        <f>IFERROR(__xludf.DUMMYFUNCTION("GOOGLETRANSLATE(B104,""en"",""sv"")"),"Jag samtycker till att dela e-post-ID här och jag förstår att det inte kommer att sparas i någon databas och att det endast kommer att användas i kommunikationssyfte.")</f>
        <v>Jag samtycker till att dela e-post-ID här och jag förstår att det inte kommer att sparas i någon databas och att det endast kommer att användas i kommunikationssyfte.</v>
      </c>
      <c r="AT104" s="4" t="str">
        <f>IFERROR(__xludf.DUMMYFUNCTION("GOOGLETRANSLATE(B104,""en"",""uk"")"),"Я погоджуюся надати тут ідентифікатор електронної пошти та розумію, що він не зберігатиметься в жодній базі даних і використовуватиметься лише для зв’язку.")</f>
        <v>Я погоджуюся надати тут ідентифікатор електронної пошти та розумію, що він не зберігатиметься в жодній базі даних і використовуватиметься лише для зв’язку.</v>
      </c>
      <c r="AU104" s="4" t="str">
        <f>IFERROR(__xludf.DUMMYFUNCTION("GOOGLETRANSLATE(B104,""en"",""zu"")"),"Ngiyavuma ukwabelana nge-ID ye-imeyili lapha futhi ngiyaqonda ukuthi ngeke ilondolozwe kunoma iyiphi isizindalwazi futhi izosetshenziselwa izinjongo zokuxhumana kuphela.")</f>
        <v>Ngiyavuma ukwabelana nge-ID ye-imeyili lapha futhi ngiyaqonda ukuthi ngeke ilondolozwe kunoma iyiphi isizindalwazi futhi izosetshenziselwa izinjongo zokuxhumana kuphela.</v>
      </c>
      <c r="AV104" s="4" t="str">
        <f>IFERROR(__xludf.DUMMYFUNCTION("GOOGLETRANSLATE(B104,""en"",""sr"")"),"Сагласан сам да овде делим ИД е-поште и разумем да неће бити сачуван ни у једној бази података и да ће се користити само у комуникацијске сврхе.")</f>
        <v>Сагласан сам да овде делим ИД е-поште и разумем да неће бити сачуван ни у једној бази података и да ће се користити само у комуникацијске сврхе.</v>
      </c>
    </row>
    <row r="105">
      <c r="A105" s="3" t="s">
        <v>247</v>
      </c>
      <c r="B105" s="3" t="s">
        <v>232</v>
      </c>
      <c r="C105" s="4" t="str">
        <f>IFERROR(__xludf.DUMMYFUNCTION("GOOGLETRANSLATE(B105,""en"",""ta"")"),"சமர்ப்பிக்கவும்")</f>
        <v>சமர்ப்பிக்கவும்</v>
      </c>
      <c r="D105" s="4" t="str">
        <f>IFERROR(__xludf.DUMMYFUNCTION("GOOGLETRANSLATE(B105,""en"",""hi"")"),"जमा करना")</f>
        <v>जमा करना</v>
      </c>
      <c r="E105" s="4" t="str">
        <f>IFERROR(__xludf.DUMMYFUNCTION("GOOGLETRANSLATE(B105,""en"",""id"")"),"Kirim")</f>
        <v>Kirim</v>
      </c>
      <c r="F105" s="4" t="str">
        <f>IFERROR(__xludf.DUMMYFUNCTION("GOOGLETRANSLATE(B105,""en"",""ms"")"),"Hantar")</f>
        <v>Hantar</v>
      </c>
      <c r="G105" s="4" t="str">
        <f>IFERROR(__xludf.DUMMYFUNCTION("GOOGLETRANSLATE(B105,""en"",""de"")"),"Einreichen")</f>
        <v>Einreichen</v>
      </c>
      <c r="H105" s="4" t="str">
        <f>IFERROR(__xludf.DUMMYFUNCTION("GOOGLETRANSLATE(B105,""en"",""es"")"),"Entregar")</f>
        <v>Entregar</v>
      </c>
      <c r="I105" s="4" t="str">
        <f>IFERROR(__xludf.DUMMYFUNCTION("GOOGLETRANSLATE(B105,""en"",""fr"")"),"Soumettre")</f>
        <v>Soumettre</v>
      </c>
      <c r="J105" s="4" t="str">
        <f>IFERROR(__xludf.DUMMYFUNCTION("GOOGLETRANSLATE(B105,""en"",""it"")"),"Invia")</f>
        <v>Invia</v>
      </c>
      <c r="K105" s="4" t="str">
        <f>IFERROR(__xludf.DUMMYFUNCTION("GOOGLETRANSLATE(B105,""en"",""pt"")"),"Enviar")</f>
        <v>Enviar</v>
      </c>
      <c r="L105" s="4" t="str">
        <f>IFERROR(__xludf.DUMMYFUNCTION("GOOGLETRANSLATE(B105,""en"",""ro"")"),"Trimiteți")</f>
        <v>Trimiteți</v>
      </c>
      <c r="M105" s="4" t="str">
        <f>IFERROR(__xludf.DUMMYFUNCTION("GOOGLETRANSLATE(B105,""en"",""vi"")"),"Nộp")</f>
        <v>Nộp</v>
      </c>
      <c r="N105" s="4" t="str">
        <f>IFERROR(__xludf.DUMMYFUNCTION("GOOGLETRANSLATE(B105,""en"",""ru"")"),"Представлять на рассмотрение")</f>
        <v>Представлять на рассмотрение</v>
      </c>
      <c r="O105" s="4" t="str">
        <f>IFERROR(__xludf.DUMMYFUNCTION("GOOGLETRANSLATE(B105,""en"",""tr"")"),"Göndermek")</f>
        <v>Göndermek</v>
      </c>
      <c r="P105" s="4" t="str">
        <f>IFERROR(__xludf.DUMMYFUNCTION("GOOGLETRANSLATE(B105,""en"",""ar"")"),"يُقدِّم")</f>
        <v>يُقدِّم</v>
      </c>
      <c r="Q105" s="4" t="str">
        <f>IFERROR(__xludf.DUMMYFUNCTION("GOOGLETRANSLATE(B105,""en"",""mr"")"),"सबमिट करा")</f>
        <v>सबमिट करा</v>
      </c>
      <c r="R105" s="4" t="str">
        <f>IFERROR(__xludf.DUMMYFUNCTION("GOOGLETRANSLATE(B105,""en"",""gu"")"),"સબમિટ કરો")</f>
        <v>સબમિટ કરો</v>
      </c>
      <c r="S105" s="4" t="str">
        <f>IFERROR(__xludf.DUMMYFUNCTION("GOOGLETRANSLATE(B105,""en"",""bn"")"),"জমা দিন")</f>
        <v>জমা দিন</v>
      </c>
      <c r="T105" s="4" t="str">
        <f>IFERROR(__xludf.DUMMYFUNCTION("GOOGLETRANSLATE(B105,""en"",""pa"")"),"ਜਮ੍ਹਾਂ ਕਰੋ")</f>
        <v>ਜਮ੍ਹਾਂ ਕਰੋ</v>
      </c>
      <c r="U105" s="4" t="str">
        <f>IFERROR(__xludf.DUMMYFUNCTION("GOOGLETRANSLATE(B105,""en"",""te"")"),"సమర్పించండి")</f>
        <v>సమర్పించండి</v>
      </c>
      <c r="V105" s="4" t="str">
        <f>IFERROR(__xludf.DUMMYFUNCTION("GOOGLETRANSLATE(B105,""en"",""kn"")"),"ಸಲ್ಲಿಸಿ")</f>
        <v>ಸಲ್ಲಿಸಿ</v>
      </c>
      <c r="W105" s="4" t="str">
        <f>IFERROR(__xludf.DUMMYFUNCTION("GOOGLETRANSLATE(B105,""en"",""ml"")"),"സമർപ്പിക്കുക")</f>
        <v>സമർപ്പിക്കുക</v>
      </c>
      <c r="X105" s="4" t="str">
        <f>IFERROR(__xludf.DUMMYFUNCTION("GOOGLETRANSLATE(B105,""en"",""th"")"),"ส่ง")</f>
        <v>ส่ง</v>
      </c>
      <c r="Y105" s="4" t="str">
        <f>IFERROR(__xludf.DUMMYFUNCTION("GOOGLETRANSLATE(B105,""en"",""ko"")"),"제출하다")</f>
        <v>제출하다</v>
      </c>
      <c r="Z105" s="4" t="str">
        <f>IFERROR(__xludf.DUMMYFUNCTION("GOOGLETRANSLATE(B105,""en"",""zh"")"),"提交")</f>
        <v>提交</v>
      </c>
      <c r="AA105" s="4" t="str">
        <f>IFERROR(__xludf.DUMMYFUNCTION("GOOGLETRANSLATE(B105,""en"",""zh-TW"")"),"提交")</f>
        <v>提交</v>
      </c>
      <c r="AB105" s="4" t="str">
        <f>IFERROR(__xludf.DUMMYFUNCTION("GOOGLETRANSLATE(B105,""en"",""ja"")"),"提出する")</f>
        <v>提出する</v>
      </c>
      <c r="AC105" s="4" t="str">
        <f>IFERROR(__xludf.DUMMYFUNCTION("GOOGLETRANSLATE(B105,""en"",""bg"")"),"Изпратете")</f>
        <v>Изпратете</v>
      </c>
      <c r="AD105" s="4" t="str">
        <f>IFERROR(__xludf.DUMMYFUNCTION("GOOGLETRANSLATE(B105,""en"",""cs"")"),"Předložit")</f>
        <v>Předložit</v>
      </c>
      <c r="AE105" s="4" t="str">
        <f>IFERROR(__xludf.DUMMYFUNCTION("GOOGLETRANSLATE(B105,""en"",""da"")"),"Indsend")</f>
        <v>Indsend</v>
      </c>
      <c r="AF105" s="4" t="str">
        <f>IFERROR(__xludf.DUMMYFUNCTION("GOOGLETRANSLATE(B105,""en"",""el"")"),"Υποτάσσομαι")</f>
        <v>Υποτάσσομαι</v>
      </c>
      <c r="AG105" s="4" t="str">
        <f>IFERROR(__xludf.DUMMYFUNCTION("GOOGLETRANSLATE(B105,""en"",""et"")"),"Esita")</f>
        <v>Esita</v>
      </c>
      <c r="AH105" s="4" t="str">
        <f>IFERROR(__xludf.DUMMYFUNCTION("GOOGLETRANSLATE(B105,""en"",""fi"")"),"Lähetä")</f>
        <v>Lähetä</v>
      </c>
      <c r="AI105" s="4" t="str">
        <f>IFERROR(__xludf.DUMMYFUNCTION("GOOGLETRANSLATE(B105,""en"",""hr"")"),"Pošalji")</f>
        <v>Pošalji</v>
      </c>
      <c r="AJ105" s="4" t="str">
        <f>IFERROR(__xludf.DUMMYFUNCTION("GOOGLETRANSLATE(B105,""en"",""hu"")"),"Beküld")</f>
        <v>Beküld</v>
      </c>
      <c r="AK105" s="4" t="str">
        <f>IFERROR(__xludf.DUMMYFUNCTION("GOOGLETRANSLATE(B105,""en"",""hy"")"),"Ներկայացրե՛ք")</f>
        <v>Ներկայացրե՛ք</v>
      </c>
      <c r="AL105" s="4" t="str">
        <f>IFERROR(__xludf.DUMMYFUNCTION("GOOGLETRANSLATE(B105,""en"",""ca"")"),"Envia")</f>
        <v>Envia</v>
      </c>
      <c r="AM105" s="4" t="str">
        <f>IFERROR(__xludf.DUMMYFUNCTION("GOOGLETRANSLATE(B105,""en"",""nl"")"),"Indienen")</f>
        <v>Indienen</v>
      </c>
      <c r="AN105" s="4" t="str">
        <f>IFERROR(__xludf.DUMMYFUNCTION("GOOGLETRANSLATE(B105,""en"",""he"")"),"לְהַגִישׁ")</f>
        <v>לְהַגִישׁ</v>
      </c>
      <c r="AO105" s="4" t="str">
        <f>IFERROR(__xludf.DUMMYFUNCTION("GOOGLETRANSLATE(B105,""en"",""is"")"),"Sendu inn")</f>
        <v>Sendu inn</v>
      </c>
      <c r="AP105" s="4" t="str">
        <f>IFERROR(__xludf.DUMMYFUNCTION("GOOGLETRANSLATE(B105,""en"",""no"")"),"Send inn")</f>
        <v>Send inn</v>
      </c>
      <c r="AQ105" s="4" t="str">
        <f>IFERROR(__xludf.DUMMYFUNCTION("GOOGLETRANSLATE(B105,""en"",""fa"")"),"ارسال کنید")</f>
        <v>ارسال کنید</v>
      </c>
      <c r="AR105" s="4" t="str">
        <f>IFERROR(__xludf.DUMMYFUNCTION("GOOGLETRANSLATE(B105,""en"",""pl"")"),"Składać")</f>
        <v>Składać</v>
      </c>
      <c r="AS105" s="4" t="str">
        <f>IFERROR(__xludf.DUMMYFUNCTION("GOOGLETRANSLATE(B105,""en"",""sv"")"),"Överlämna")</f>
        <v>Överlämna</v>
      </c>
      <c r="AT105" s="4" t="str">
        <f>IFERROR(__xludf.DUMMYFUNCTION("GOOGLETRANSLATE(B105,""en"",""uk"")"),"Надіслати")</f>
        <v>Надіслати</v>
      </c>
      <c r="AU105" s="4" t="str">
        <f>IFERROR(__xludf.DUMMYFUNCTION("GOOGLETRANSLATE(B105,""en"",""zu"")"),"Thumela")</f>
        <v>Thumela</v>
      </c>
      <c r="AV105" s="4" t="str">
        <f>IFERROR(__xludf.DUMMYFUNCTION("GOOGLETRANSLATE(B105,""en"",""sr"")"),"Субмит")</f>
        <v>Субмит</v>
      </c>
    </row>
    <row r="106">
      <c r="A106" s="3" t="s">
        <v>248</v>
      </c>
      <c r="B106" s="3" t="s">
        <v>249</v>
      </c>
      <c r="C106" s="4" t="str">
        <f>IFERROR(__xludf.DUMMYFUNCTION("GOOGLETRANSLATE(B106,""en"",""ta"")"),"பிழை அறிக்கை சமர்ப்பிக்கப்பட்டது!")</f>
        <v>பிழை அறிக்கை சமர்ப்பிக்கப்பட்டது!</v>
      </c>
      <c r="D106" s="4" t="str">
        <f>IFERROR(__xludf.DUMMYFUNCTION("GOOGLETRANSLATE(B106,""en"",""hi"")"),"त्रुटि रिपोर्ट प्रस्तुत की गई!")</f>
        <v>त्रुटि रिपोर्ट प्रस्तुत की गई!</v>
      </c>
      <c r="E106" s="4" t="str">
        <f>IFERROR(__xludf.DUMMYFUNCTION("GOOGLETRANSLATE(B106,""en"",""id"")"),"Laporan Kesalahan Terkirim!")</f>
        <v>Laporan Kesalahan Terkirim!</v>
      </c>
      <c r="F106" s="4" t="str">
        <f>IFERROR(__xludf.DUMMYFUNCTION("GOOGLETRANSLATE(B106,""en"",""ms"")"),"Laporan Ralat Dihantar!")</f>
        <v>Laporan Ralat Dihantar!</v>
      </c>
      <c r="G106" s="4" t="str">
        <f>IFERROR(__xludf.DUMMYFUNCTION("GOOGLETRANSLATE(B106,""en"",""de"")"),"Fehlerbericht übermittelt!")</f>
        <v>Fehlerbericht übermittelt!</v>
      </c>
      <c r="H106" s="4" t="str">
        <f>IFERROR(__xludf.DUMMYFUNCTION("GOOGLETRANSLATE(B106,""en"",""es"")"),"¡Informe de error enviado!")</f>
        <v>¡Informe de error enviado!</v>
      </c>
      <c r="I106" s="4" t="str">
        <f>IFERROR(__xludf.DUMMYFUNCTION("GOOGLETRANSLATE(B106,""en"",""fr"")"),"Rapport d'erreur soumis !")</f>
        <v>Rapport d'erreur soumis !</v>
      </c>
      <c r="J106" s="4" t="str">
        <f>IFERROR(__xludf.DUMMYFUNCTION("GOOGLETRANSLATE(B106,""en"",""it"")"),"Segnalazione di errore inviata!")</f>
        <v>Segnalazione di errore inviata!</v>
      </c>
      <c r="K106" s="4" t="str">
        <f>IFERROR(__xludf.DUMMYFUNCTION("GOOGLETRANSLATE(B106,""en"",""pt"")"),"Relatório de erro enviado!")</f>
        <v>Relatório de erro enviado!</v>
      </c>
      <c r="L106" s="4" t="str">
        <f>IFERROR(__xludf.DUMMYFUNCTION("GOOGLETRANSLATE(B106,""en"",""ro"")"),"Raport de eroare trimis!")</f>
        <v>Raport de eroare trimis!</v>
      </c>
      <c r="M106" s="4" t="str">
        <f>IFERROR(__xludf.DUMMYFUNCTION("GOOGLETRANSLATE(B106,""en"",""vi"")"),"Đã gửi báo cáo lỗi!")</f>
        <v>Đã gửi báo cáo lỗi!</v>
      </c>
      <c r="N106" s="4" t="str">
        <f>IFERROR(__xludf.DUMMYFUNCTION("GOOGLETRANSLATE(B106,""en"",""ru"")"),"Отчет об ошибке отправлен!")</f>
        <v>Отчет об ошибке отправлен!</v>
      </c>
      <c r="O106" s="4" t="str">
        <f>IFERROR(__xludf.DUMMYFUNCTION("GOOGLETRANSLATE(B106,""en"",""tr"")"),"Hata Raporu Gönderildi!")</f>
        <v>Hata Raporu Gönderildi!</v>
      </c>
      <c r="P106" s="4" t="str">
        <f>IFERROR(__xludf.DUMMYFUNCTION("GOOGLETRANSLATE(B106,""en"",""ar"")"),"تم إرسال تقرير الخطأ!")</f>
        <v>تم إرسال تقرير الخطأ!</v>
      </c>
      <c r="Q106" s="4" t="str">
        <f>IFERROR(__xludf.DUMMYFUNCTION("GOOGLETRANSLATE(B106,""en"",""mr"")"),"त्रुटी अहवाल सबमिट केला!")</f>
        <v>त्रुटी अहवाल सबमिट केला!</v>
      </c>
      <c r="R106" s="4" t="str">
        <f>IFERROR(__xludf.DUMMYFUNCTION("GOOGLETRANSLATE(B106,""en"",""gu"")"),"ભૂલ રિપોર્ટ સબમિટ!")</f>
        <v>ભૂલ રિપોર્ટ સબમિટ!</v>
      </c>
      <c r="S106" s="4" t="str">
        <f>IFERROR(__xludf.DUMMYFUNCTION("GOOGLETRANSLATE(B106,""en"",""bn"")"),"ত্রুটি রিপোর্ট জমা!")</f>
        <v>ত্রুটি রিপোর্ট জমা!</v>
      </c>
      <c r="T106" s="4" t="str">
        <f>IFERROR(__xludf.DUMMYFUNCTION("GOOGLETRANSLATE(B106,""en"",""pa"")"),"ਗਲਤੀ ਰਿਪੋਰਟ ਦਰਜ ਕੀਤੀ ਗਈ!")</f>
        <v>ਗਲਤੀ ਰਿਪੋਰਟ ਦਰਜ ਕੀਤੀ ਗਈ!</v>
      </c>
      <c r="U106" s="4" t="str">
        <f>IFERROR(__xludf.DUMMYFUNCTION("GOOGLETRANSLATE(B106,""en"",""te"")"),"లోపం నివేదిక సమర్పించబడింది!")</f>
        <v>లోపం నివేదిక సమర్పించబడింది!</v>
      </c>
      <c r="V106" s="4" t="str">
        <f>IFERROR(__xludf.DUMMYFUNCTION("GOOGLETRANSLATE(B106,""en"",""kn"")"),"ದೋಷ ವರದಿಯನ್ನು ಸಲ್ಲಿಸಲಾಗಿದೆ!")</f>
        <v>ದೋಷ ವರದಿಯನ್ನು ಸಲ್ಲಿಸಲಾಗಿದೆ!</v>
      </c>
      <c r="W106" s="4" t="str">
        <f>IFERROR(__xludf.DUMMYFUNCTION("GOOGLETRANSLATE(B106,""en"",""ml"")"),"പിശക് റിപ്പോർട്ട് സമർപ്പിച്ചു!")</f>
        <v>പിശക് റിപ്പോർട്ട് സമർപ്പിച്ചു!</v>
      </c>
      <c r="X106" s="4" t="str">
        <f>IFERROR(__xludf.DUMMYFUNCTION("GOOGLETRANSLATE(B106,""en"",""th"")"),"ส่งรายงานข้อผิดพลาดแล้ว!")</f>
        <v>ส่งรายงานข้อผิดพลาดแล้ว!</v>
      </c>
      <c r="Y106" s="4" t="str">
        <f>IFERROR(__xludf.DUMMYFUNCTION("GOOGLETRANSLATE(B106,""en"",""ko"")"),"오류 보고서가 제출되었습니다!")</f>
        <v>오류 보고서가 제출되었습니다!</v>
      </c>
      <c r="Z106" s="4" t="str">
        <f>IFERROR(__xludf.DUMMYFUNCTION("GOOGLETRANSLATE(B106,""en"",""zh"")"),"错误报告已提交！")</f>
        <v>错误报告已提交！</v>
      </c>
      <c r="AA106" s="4" t="str">
        <f>IFERROR(__xludf.DUMMYFUNCTION("GOOGLETRANSLATE(B106,""en"",""zh-TW"")"),"錯誤報告已提交！")</f>
        <v>錯誤報告已提交！</v>
      </c>
      <c r="AB106" s="4" t="str">
        <f>IFERROR(__xludf.DUMMYFUNCTION("GOOGLETRANSLATE(B106,""en"",""ja"")"),"エラーレポートが送信されました!")</f>
        <v>エラーレポートが送信されました!</v>
      </c>
      <c r="AC106" s="4" t="str">
        <f>IFERROR(__xludf.DUMMYFUNCTION("GOOGLETRANSLATE(B106,""en"",""bg"")"),"Докладът за грешка е изпратен!")</f>
        <v>Докладът за грешка е изпратен!</v>
      </c>
      <c r="AD106" s="4" t="str">
        <f>IFERROR(__xludf.DUMMYFUNCTION("GOOGLETRANSLATE(B106,""en"",""cs"")"),"Zpráva o chybě odeslána!")</f>
        <v>Zpráva o chybě odeslána!</v>
      </c>
      <c r="AE106" s="4" t="str">
        <f>IFERROR(__xludf.DUMMYFUNCTION("GOOGLETRANSLATE(B106,""en"",""da"")"),"Fejlrapport indsendt!")</f>
        <v>Fejlrapport indsendt!</v>
      </c>
      <c r="AF106" s="4" t="str">
        <f>IFERROR(__xludf.DUMMYFUNCTION("GOOGLETRANSLATE(B106,""en"",""el"")"),"Υποβλήθηκε η αναφορά σφάλματος!")</f>
        <v>Υποβλήθηκε η αναφορά σφάλματος!</v>
      </c>
      <c r="AG106" s="4" t="str">
        <f>IFERROR(__xludf.DUMMYFUNCTION("GOOGLETRANSLATE(B106,""en"",""et"")"),"Veateade on saadetud!")</f>
        <v>Veateade on saadetud!</v>
      </c>
      <c r="AH106" s="4" t="str">
        <f>IFERROR(__xludf.DUMMYFUNCTION("GOOGLETRANSLATE(B106,""en"",""fi"")"),"Virheilmoitus lähetetty!")</f>
        <v>Virheilmoitus lähetetty!</v>
      </c>
      <c r="AI106" s="4" t="str">
        <f>IFERROR(__xludf.DUMMYFUNCTION("GOOGLETRANSLATE(B106,""en"",""hr"")"),"Izvješće o pogrešci je poslano!")</f>
        <v>Izvješće o pogrešci je poslano!</v>
      </c>
      <c r="AJ106" s="4" t="str">
        <f>IFERROR(__xludf.DUMMYFUNCTION("GOOGLETRANSLATE(B106,""en"",""hu"")"),"Hibajelentés elküldve!")</f>
        <v>Hibajelentés elküldve!</v>
      </c>
      <c r="AK106" s="4" t="str">
        <f>IFERROR(__xludf.DUMMYFUNCTION("GOOGLETRANSLATE(B106,""en"",""hy"")"),"Սխալի մասին հաղորդում է ուղարկվել:")</f>
        <v>Սխալի մասին հաղորդում է ուղարկվել:</v>
      </c>
      <c r="AL106" s="4" t="str">
        <f>IFERROR(__xludf.DUMMYFUNCTION("GOOGLETRANSLATE(B106,""en"",""ca"")"),"Informe d'error enviat!")</f>
        <v>Informe d'error enviat!</v>
      </c>
      <c r="AM106" s="4" t="str">
        <f>IFERROR(__xludf.DUMMYFUNCTION("GOOGLETRANSLATE(B106,""en"",""nl"")"),"Foutrapport verzonden!")</f>
        <v>Foutrapport verzonden!</v>
      </c>
      <c r="AN106" s="4" t="str">
        <f>IFERROR(__xludf.DUMMYFUNCTION("GOOGLETRANSLATE(B106,""en"",""he"")"),"דוח שגיאה נשלח!")</f>
        <v>דוח שגיאה נשלח!</v>
      </c>
      <c r="AO106" s="4" t="str">
        <f>IFERROR(__xludf.DUMMYFUNCTION("GOOGLETRANSLATE(B106,""en"",""is"")"),"Villuskýrsla send!")</f>
        <v>Villuskýrsla send!</v>
      </c>
      <c r="AP106" s="4" t="str">
        <f>IFERROR(__xludf.DUMMYFUNCTION("GOOGLETRANSLATE(B106,""en"",""no"")"),"Feilrapport sendt!")</f>
        <v>Feilrapport sendt!</v>
      </c>
      <c r="AQ106" s="4" t="str">
        <f>IFERROR(__xludf.DUMMYFUNCTION("GOOGLETRANSLATE(B106,""en"",""fa"")"),"گزارش خطا ارسال شد!")</f>
        <v>گزارش خطا ارسال شد!</v>
      </c>
      <c r="AR106" s="4" t="str">
        <f>IFERROR(__xludf.DUMMYFUNCTION("GOOGLETRANSLATE(B106,""en"",""pl"")"),"Raport o błędzie został wysłany!")</f>
        <v>Raport o błędzie został wysłany!</v>
      </c>
      <c r="AS106" s="4" t="str">
        <f>IFERROR(__xludf.DUMMYFUNCTION("GOOGLETRANSLATE(B106,""en"",""sv"")"),"Felrapport har skickats!")</f>
        <v>Felrapport har skickats!</v>
      </c>
      <c r="AT106" s="4" t="str">
        <f>IFERROR(__xludf.DUMMYFUNCTION("GOOGLETRANSLATE(B106,""en"",""uk"")"),"Звіт про помилку надіслано!")</f>
        <v>Звіт про помилку надіслано!</v>
      </c>
      <c r="AU106" s="4" t="str">
        <f>IFERROR(__xludf.DUMMYFUNCTION("GOOGLETRANSLATE(B106,""en"",""zu"")"),"Umbiko Wephutha Uthunyelwe!")</f>
        <v>Umbiko Wephutha Uthunyelwe!</v>
      </c>
      <c r="AV106" s="4" t="str">
        <f>IFERROR(__xludf.DUMMYFUNCTION("GOOGLETRANSLATE(B106,""en"",""sr"")"),"Извештај о грешци је послат!")</f>
        <v>Извештај о грешци је послат!</v>
      </c>
    </row>
    <row r="107">
      <c r="A107" s="3" t="s">
        <v>250</v>
      </c>
      <c r="B107" s="3" t="s">
        <v>71</v>
      </c>
      <c r="C107" s="4" t="str">
        <f>IFERROR(__xludf.DUMMYFUNCTION("GOOGLETRANSLATE(B107,""en"",""ta"")"),"ஜிபிஎஸ் கருவிகள்")</f>
        <v>ஜிபிஎஸ் கருவிகள்</v>
      </c>
      <c r="D107" s="4" t="str">
        <f>IFERROR(__xludf.DUMMYFUNCTION("GOOGLETRANSLATE(B107,""en"",""hi"")"),"जीपीएस उपकरण")</f>
        <v>जीपीएस उपकरण</v>
      </c>
      <c r="E107" s="4" t="str">
        <f>IFERROR(__xludf.DUMMYFUNCTION("GOOGLETRANSLATE(B107,""en"",""id"")"),"Alat GPS")</f>
        <v>Alat GPS</v>
      </c>
      <c r="F107" s="4" t="str">
        <f>IFERROR(__xludf.DUMMYFUNCTION("GOOGLETRANSLATE(B107,""en"",""ms"")"),"Alat GPS")</f>
        <v>Alat GPS</v>
      </c>
      <c r="G107" s="4" t="str">
        <f>IFERROR(__xludf.DUMMYFUNCTION("GOOGLETRANSLATE(B107,""en"",""de"")"),"GPS-Tools")</f>
        <v>GPS-Tools</v>
      </c>
      <c r="H107" s="4" t="str">
        <f>IFERROR(__xludf.DUMMYFUNCTION("GOOGLETRANSLATE(B107,""en"",""es"")"),"Herramientas GPS")</f>
        <v>Herramientas GPS</v>
      </c>
      <c r="I107" s="4" t="str">
        <f>IFERROR(__xludf.DUMMYFUNCTION("GOOGLETRANSLATE(B107,""en"",""fr"")"),"Outils GPS")</f>
        <v>Outils GPS</v>
      </c>
      <c r="J107" s="4" t="str">
        <f>IFERROR(__xludf.DUMMYFUNCTION("GOOGLETRANSLATE(B107,""en"",""it"")"),"Strumenti GPS")</f>
        <v>Strumenti GPS</v>
      </c>
      <c r="K107" s="4" t="str">
        <f>IFERROR(__xludf.DUMMYFUNCTION("GOOGLETRANSLATE(B107,""en"",""pt"")"),"Ferramentas GPS")</f>
        <v>Ferramentas GPS</v>
      </c>
      <c r="L107" s="4" t="str">
        <f>IFERROR(__xludf.DUMMYFUNCTION("GOOGLETRANSLATE(B107,""en"",""ro"")"),"Instrumente GPS")</f>
        <v>Instrumente GPS</v>
      </c>
      <c r="M107" s="4" t="str">
        <f>IFERROR(__xludf.DUMMYFUNCTION("GOOGLETRANSLATE(B107,""en"",""vi"")"),"Công cụ GPS")</f>
        <v>Công cụ GPS</v>
      </c>
      <c r="N107" s="4" t="str">
        <f>IFERROR(__xludf.DUMMYFUNCTION("GOOGLETRANSLATE(B107,""en"",""ru"")"),"GPS-инструменты")</f>
        <v>GPS-инструменты</v>
      </c>
      <c r="O107" s="4" t="str">
        <f>IFERROR(__xludf.DUMMYFUNCTION("GOOGLETRANSLATE(B107,""en"",""tr"")"),"GPS Araçları")</f>
        <v>GPS Araçları</v>
      </c>
      <c r="P107" s="4" t="str">
        <f>IFERROR(__xludf.DUMMYFUNCTION("GOOGLETRANSLATE(B107,""en"",""ar"")"),"أدوات نظام تحديد المواقع العالمي (GPS)")</f>
        <v>أدوات نظام تحديد المواقع العالمي (GPS)</v>
      </c>
      <c r="Q107" s="4" t="str">
        <f>IFERROR(__xludf.DUMMYFUNCTION("GOOGLETRANSLATE(B107,""en"",""mr"")"),"जीपीएस साधने")</f>
        <v>जीपीएस साधने</v>
      </c>
      <c r="R107" s="4" t="str">
        <f>IFERROR(__xludf.DUMMYFUNCTION("GOOGLETRANSLATE(B107,""en"",""gu"")"),"જીપીએસ સાધનો")</f>
        <v>જીપીએસ સાધનો</v>
      </c>
      <c r="S107" s="4" t="str">
        <f>IFERROR(__xludf.DUMMYFUNCTION("GOOGLETRANSLATE(B107,""en"",""bn"")"),"জিপিএস টুলস")</f>
        <v>জিপিএস টুলস</v>
      </c>
      <c r="T107" s="4" t="str">
        <f>IFERROR(__xludf.DUMMYFUNCTION("GOOGLETRANSLATE(B107,""en"",""pa"")"),"GPS ਟੂਲ")</f>
        <v>GPS ਟੂਲ</v>
      </c>
      <c r="U107" s="4" t="str">
        <f>IFERROR(__xludf.DUMMYFUNCTION("GOOGLETRANSLATE(B107,""en"",""te"")"),"GPS సాధనాలు")</f>
        <v>GPS సాధనాలు</v>
      </c>
      <c r="V107" s="4" t="str">
        <f>IFERROR(__xludf.DUMMYFUNCTION("GOOGLETRANSLATE(B107,""en"",""kn"")"),"GPS ಪರಿಕರಗಳು")</f>
        <v>GPS ಪರಿಕರಗಳು</v>
      </c>
      <c r="W107" s="4" t="str">
        <f>IFERROR(__xludf.DUMMYFUNCTION("GOOGLETRANSLATE(B107,""en"",""ml"")"),"ജിപിഎസ് ടൂളുകൾ")</f>
        <v>ജിപിഎസ് ടൂളുകൾ</v>
      </c>
      <c r="X107" s="4" t="str">
        <f>IFERROR(__xludf.DUMMYFUNCTION("GOOGLETRANSLATE(B107,""en"",""th"")"),"เครื่องมือ GPS")</f>
        <v>เครื่องมือ GPS</v>
      </c>
      <c r="Y107" s="4" t="str">
        <f>IFERROR(__xludf.DUMMYFUNCTION("GOOGLETRANSLATE(B107,""en"",""ko"")"),"GPS 도구")</f>
        <v>GPS 도구</v>
      </c>
      <c r="Z107" s="4" t="str">
        <f>IFERROR(__xludf.DUMMYFUNCTION("GOOGLETRANSLATE(B107,""en"",""zh"")"),"GPS工具")</f>
        <v>GPS工具</v>
      </c>
      <c r="AA107" s="4" t="str">
        <f>IFERROR(__xludf.DUMMYFUNCTION("GOOGLETRANSLATE(B107,""en"",""zh-TW"")"),"GPS工具")</f>
        <v>GPS工具</v>
      </c>
      <c r="AB107" s="4" t="str">
        <f>IFERROR(__xludf.DUMMYFUNCTION("GOOGLETRANSLATE(B107,""en"",""ja"")"),"GPSツール")</f>
        <v>GPSツール</v>
      </c>
      <c r="AC107" s="4" t="str">
        <f>IFERROR(__xludf.DUMMYFUNCTION("GOOGLETRANSLATE(B107,""en"",""bg"")"),"GPS инструменти")</f>
        <v>GPS инструменти</v>
      </c>
      <c r="AD107" s="4" t="str">
        <f>IFERROR(__xludf.DUMMYFUNCTION("GOOGLETRANSLATE(B107,""en"",""cs"")"),"GPS nástroje")</f>
        <v>GPS nástroje</v>
      </c>
      <c r="AE107" s="4" t="str">
        <f>IFERROR(__xludf.DUMMYFUNCTION("GOOGLETRANSLATE(B107,""en"",""da"")"),"GPS værktøjer")</f>
        <v>GPS værktøjer</v>
      </c>
      <c r="AF107" s="4" t="str">
        <f>IFERROR(__xludf.DUMMYFUNCTION("GOOGLETRANSLATE(B107,""en"",""el"")"),"Εργαλεία GPS")</f>
        <v>Εργαλεία GPS</v>
      </c>
      <c r="AG107" s="4" t="str">
        <f>IFERROR(__xludf.DUMMYFUNCTION("GOOGLETRANSLATE(B107,""en"",""et"")"),"GPS-tööriistad")</f>
        <v>GPS-tööriistad</v>
      </c>
      <c r="AH107" s="4" t="str">
        <f>IFERROR(__xludf.DUMMYFUNCTION("GOOGLETRANSLATE(B107,""en"",""fi"")"),"GPS-työkalut")</f>
        <v>GPS-työkalut</v>
      </c>
      <c r="AI107" s="4" t="str">
        <f>IFERROR(__xludf.DUMMYFUNCTION("GOOGLETRANSLATE(B107,""en"",""hr"")"),"GPS alati")</f>
        <v>GPS alati</v>
      </c>
      <c r="AJ107" s="4" t="str">
        <f>IFERROR(__xludf.DUMMYFUNCTION("GOOGLETRANSLATE(B107,""en"",""hu"")"),"GPS eszközök")</f>
        <v>GPS eszközök</v>
      </c>
      <c r="AK107" s="4" t="str">
        <f>IFERROR(__xludf.DUMMYFUNCTION("GOOGLETRANSLATE(B107,""en"",""hy"")"),"GPS գործիքներ")</f>
        <v>GPS գործիքներ</v>
      </c>
      <c r="AL107" s="4" t="str">
        <f>IFERROR(__xludf.DUMMYFUNCTION("GOOGLETRANSLATE(B107,""en"",""ca"")"),"Eines GPS")</f>
        <v>Eines GPS</v>
      </c>
      <c r="AM107" s="4" t="str">
        <f>IFERROR(__xludf.DUMMYFUNCTION("GOOGLETRANSLATE(B107,""en"",""nl"")"),"GPS-hulpmiddelen")</f>
        <v>GPS-hulpmiddelen</v>
      </c>
      <c r="AN107" s="4" t="str">
        <f>IFERROR(__xludf.DUMMYFUNCTION("GOOGLETRANSLATE(B107,""en"",""he"")"),"כלי GPS")</f>
        <v>כלי GPS</v>
      </c>
      <c r="AO107" s="4" t="str">
        <f>IFERROR(__xludf.DUMMYFUNCTION("GOOGLETRANSLATE(B107,""en"",""is"")"),"GPS verkfæri")</f>
        <v>GPS verkfæri</v>
      </c>
      <c r="AP107" s="4" t="str">
        <f>IFERROR(__xludf.DUMMYFUNCTION("GOOGLETRANSLATE(B107,""en"",""no"")"),"GPS-verktøy")</f>
        <v>GPS-verktøy</v>
      </c>
      <c r="AQ107" s="4" t="str">
        <f>IFERROR(__xludf.DUMMYFUNCTION("GOOGLETRANSLATE(B107,""en"",""fa"")"),"ابزارهای GPS")</f>
        <v>ابزارهای GPS</v>
      </c>
      <c r="AR107" s="4" t="str">
        <f>IFERROR(__xludf.DUMMYFUNCTION("GOOGLETRANSLATE(B107,""en"",""pl"")"),"Narzędzia GPS")</f>
        <v>Narzędzia GPS</v>
      </c>
      <c r="AS107" s="4" t="str">
        <f>IFERROR(__xludf.DUMMYFUNCTION("GOOGLETRANSLATE(B107,""en"",""sv"")"),"GPS-verktyg")</f>
        <v>GPS-verktyg</v>
      </c>
      <c r="AT107" s="4" t="str">
        <f>IFERROR(__xludf.DUMMYFUNCTION("GOOGLETRANSLATE(B107,""en"",""uk"")"),"Інструменти GPS")</f>
        <v>Інструменти GPS</v>
      </c>
      <c r="AU107" s="4" t="str">
        <f>IFERROR(__xludf.DUMMYFUNCTION("GOOGLETRANSLATE(B107,""en"",""zu"")"),"Amathuluzi e-GPS")</f>
        <v>Amathuluzi e-GPS</v>
      </c>
      <c r="AV107" s="4" t="str">
        <f>IFERROR(__xludf.DUMMYFUNCTION("GOOGLETRANSLATE(B107,""en"",""sr"")"),"ГПС алати")</f>
        <v>ГПС алати</v>
      </c>
    </row>
    <row r="108">
      <c r="A108" s="3" t="s">
        <v>251</v>
      </c>
      <c r="B108" s="3" t="s">
        <v>252</v>
      </c>
      <c r="C108" s="4" t="str">
        <f>IFERROR(__xludf.DUMMYFUNCTION("GOOGLETRANSLATE(B108,""en"",""ta"")"),"பதிப்பு {{version}}")</f>
        <v>பதிப்பு {{version}}</v>
      </c>
      <c r="D108" s="4" t="str">
        <f>IFERROR(__xludf.DUMMYFUNCTION("GOOGLETRANSLATE(B108,""en"",""hi"")"),"संस्करण {{version}}")</f>
        <v>संस्करण {{version}}</v>
      </c>
      <c r="E108" s="4" t="str">
        <f>IFERROR(__xludf.DUMMYFUNCTION("GOOGLETRANSLATE(B108,""en"",""id"")"),"Versi {{version}}")</f>
        <v>Versi {{version}}</v>
      </c>
      <c r="F108" s="4" t="str">
        <f>IFERROR(__xludf.DUMMYFUNCTION("GOOGLETRANSLATE(B108,""en"",""ms"")"),"Versi {{versi}}")</f>
        <v>Versi {{versi}}</v>
      </c>
      <c r="G108" s="4" t="str">
        <f>IFERROR(__xludf.DUMMYFUNCTION("GOOGLETRANSLATE(B108,""en"",""de"")"),"Version {{version}}")</f>
        <v>Version {{version}}</v>
      </c>
      <c r="H108" s="4" t="str">
        <f>IFERROR(__xludf.DUMMYFUNCTION("GOOGLETRANSLATE(B108,""en"",""es"")"),"Versión {{versión}}")</f>
        <v>Versión {{versión}}</v>
      </c>
      <c r="I108" s="4" t="str">
        <f>IFERROR(__xludf.DUMMYFUNCTION("GOOGLETRANSLATE(B108,""en"",""fr"")"),"Version {{version}}")</f>
        <v>Version {{version}}</v>
      </c>
      <c r="J108" s="4" t="str">
        <f>IFERROR(__xludf.DUMMYFUNCTION("GOOGLETRANSLATE(B108,""en"",""it"")"),"Versione {{version}}")</f>
        <v>Versione {{version}}</v>
      </c>
      <c r="K108" s="4" t="str">
        <f>IFERROR(__xludf.DUMMYFUNCTION("GOOGLETRANSLATE(B108,""en"",""pt"")"),"Versão {{versão}}")</f>
        <v>Versão {{versão}}</v>
      </c>
      <c r="L108" s="4" t="str">
        <f>IFERROR(__xludf.DUMMYFUNCTION("GOOGLETRANSLATE(B108,""en"",""ro"")"),"Versiunea {{versiunea}}")</f>
        <v>Versiunea {{versiunea}}</v>
      </c>
      <c r="M108" s="4" t="str">
        <f>IFERROR(__xludf.DUMMYFUNCTION("GOOGLETRANSLATE(B108,""en"",""vi"")"),"Phiên bản {{version}}")</f>
        <v>Phiên bản {{version}}</v>
      </c>
      <c r="N108" s="4" t="str">
        <f>IFERROR(__xludf.DUMMYFUNCTION("GOOGLETRANSLATE(B108,""en"",""ru"")"),"Версия {{version}}")</f>
        <v>Версия {{version}}</v>
      </c>
      <c r="O108" s="4" t="str">
        <f>IFERROR(__xludf.DUMMYFUNCTION("GOOGLETRANSLATE(B108,""en"",""tr"")"),"Sürüm {{sürüm}}")</f>
        <v>Sürüm {{sürüm}}</v>
      </c>
      <c r="P108" s="4" t="str">
        <f>IFERROR(__xludf.DUMMYFUNCTION("GOOGLETRANSLATE(B108,""en"",""ar"")"),"الإصدار {{version}}")</f>
        <v>الإصدار {{version}}</v>
      </c>
      <c r="Q108" s="4" t="str">
        <f>IFERROR(__xludf.DUMMYFUNCTION("GOOGLETRANSLATE(B108,""en"",""mr"")"),"आवृत्ती {{version}}")</f>
        <v>आवृत्ती {{version}}</v>
      </c>
      <c r="R108" s="4" t="str">
        <f>IFERROR(__xludf.DUMMYFUNCTION("GOOGLETRANSLATE(B108,""en"",""gu"")"),"સંસ્કરણ {{version}}")</f>
        <v>સંસ્કરણ {{version}}</v>
      </c>
      <c r="S108" s="4" t="str">
        <f>IFERROR(__xludf.DUMMYFUNCTION("GOOGLETRANSLATE(B108,""en"",""bn"")"),"সংস্করণ {{version}}")</f>
        <v>সংস্করণ {{version}}</v>
      </c>
      <c r="T108" s="4" t="str">
        <f>IFERROR(__xludf.DUMMYFUNCTION("GOOGLETRANSLATE(B108,""en"",""pa"")"),"ਸੰਸਕਰਣ {{version}}")</f>
        <v>ਸੰਸਕਰਣ {{version}}</v>
      </c>
      <c r="U108" s="4" t="str">
        <f>IFERROR(__xludf.DUMMYFUNCTION("GOOGLETRANSLATE(B108,""en"",""te"")"),"వెర్షన్ {{version}}")</f>
        <v>వెర్షన్ {{version}}</v>
      </c>
      <c r="V108" s="4" t="str">
        <f>IFERROR(__xludf.DUMMYFUNCTION("GOOGLETRANSLATE(B108,""en"",""kn"")"),"ಆವೃತ್ತಿ {{version}}")</f>
        <v>ಆವೃತ್ತಿ {{version}}</v>
      </c>
      <c r="W108" s="4" t="str">
        <f>IFERROR(__xludf.DUMMYFUNCTION("GOOGLETRANSLATE(B108,""en"",""ml"")"),"പതിപ്പ് {{version}}")</f>
        <v>പതിപ്പ് {{version}}</v>
      </c>
      <c r="X108" s="4" t="str">
        <f>IFERROR(__xludf.DUMMYFUNCTION("GOOGLETRANSLATE(B108,""en"",""th"")"),"เวอร์ชัน {{version}}")</f>
        <v>เวอร์ชัน {{version}}</v>
      </c>
      <c r="Y108" s="4" t="str">
        <f>IFERROR(__xludf.DUMMYFUNCTION("GOOGLETRANSLATE(B108,""en"",""ko"")"),"버전 {{version}}")</f>
        <v>버전 {{version}}</v>
      </c>
      <c r="Z108" s="4" t="str">
        <f>IFERROR(__xludf.DUMMYFUNCTION("GOOGLETRANSLATE(B108,""en"",""zh"")"),"版本 {{version}}")</f>
        <v>版本 {{version}}</v>
      </c>
      <c r="AA108" s="4" t="str">
        <f>IFERROR(__xludf.DUMMYFUNCTION("GOOGLETRANSLATE(B108,""en"",""zh-TW"")"),"版本 {{version}}")</f>
        <v>版本 {{version}}</v>
      </c>
      <c r="AB108" s="4" t="str">
        <f>IFERROR(__xludf.DUMMYFUNCTION("GOOGLETRANSLATE(B108,""en"",""ja"")"),"バージョン {{version}}")</f>
        <v>バージョン {{version}}</v>
      </c>
      <c r="AC108" s="4" t="str">
        <f>IFERROR(__xludf.DUMMYFUNCTION("GOOGLETRANSLATE(B108,""en"",""bg"")"),"Версия {{version}}")</f>
        <v>Версия {{version}}</v>
      </c>
      <c r="AD108" s="4" t="str">
        <f>IFERROR(__xludf.DUMMYFUNCTION("GOOGLETRANSLATE(B108,""en"",""cs"")"),"Verze {{version}}")</f>
        <v>Verze {{version}}</v>
      </c>
      <c r="AE108" s="4" t="str">
        <f>IFERROR(__xludf.DUMMYFUNCTION("GOOGLETRANSLATE(B108,""en"",""da"")"),"Version {{version}}")</f>
        <v>Version {{version}}</v>
      </c>
      <c r="AF108" s="4" t="str">
        <f>IFERROR(__xludf.DUMMYFUNCTION("GOOGLETRANSLATE(B108,""en"",""el"")"),"Έκδοση {{έκδοση}}")</f>
        <v>Έκδοση {{έκδοση}}</v>
      </c>
      <c r="AG108" s="4" t="str">
        <f>IFERROR(__xludf.DUMMYFUNCTION("GOOGLETRANSLATE(B108,""en"",""et"")"),"Versioon {{version}}")</f>
        <v>Versioon {{version}}</v>
      </c>
      <c r="AH108" s="4" t="str">
        <f>IFERROR(__xludf.DUMMYFUNCTION("GOOGLETRANSLATE(B108,""en"",""fi"")"),"Versio {{versio}}")</f>
        <v>Versio {{versio}}</v>
      </c>
      <c r="AI108" s="4" t="str">
        <f>IFERROR(__xludf.DUMMYFUNCTION("GOOGLETRANSLATE(B108,""en"",""hr"")"),"Verzija {{version}}")</f>
        <v>Verzija {{version}}</v>
      </c>
      <c r="AJ108" s="4" t="str">
        <f>IFERROR(__xludf.DUMMYFUNCTION("GOOGLETRANSLATE(B108,""en"",""hu"")"),"Verzió {{version}}")</f>
        <v>Verzió {{version}}</v>
      </c>
      <c r="AK108" s="4" t="str">
        <f>IFERROR(__xludf.DUMMYFUNCTION("GOOGLETRANSLATE(B108,""en"",""hy"")"),"Տարբերակ {{տարբերակ}}")</f>
        <v>Տարբերակ {{տարբերակ}}</v>
      </c>
      <c r="AL108" s="4" t="str">
        <f>IFERROR(__xludf.DUMMYFUNCTION("GOOGLETRANSLATE(B108,""en"",""ca"")"),"Versió {{versió}}")</f>
        <v>Versió {{versió}}</v>
      </c>
      <c r="AM108" s="4" t="str">
        <f>IFERROR(__xludf.DUMMYFUNCTION("GOOGLETRANSLATE(B108,""en"",""nl"")"),"Versie {{version}}")</f>
        <v>Versie {{version}}</v>
      </c>
      <c r="AN108" s="4" t="str">
        <f>IFERROR(__xludf.DUMMYFUNCTION("GOOGLETRANSLATE(B108,""en"",""he"")"),"גרסה {{version}}")</f>
        <v>גרסה {{version}}</v>
      </c>
      <c r="AO108" s="4" t="str">
        <f>IFERROR(__xludf.DUMMYFUNCTION("GOOGLETRANSLATE(B108,""en"",""is"")"),"Útgáfa {{version}}")</f>
        <v>Útgáfa {{version}}</v>
      </c>
      <c r="AP108" s="4" t="str">
        <f>IFERROR(__xludf.DUMMYFUNCTION("GOOGLETRANSLATE(B108,""en"",""no"")"),"Versjon {{versjon}}")</f>
        <v>Versjon {{versjon}}</v>
      </c>
      <c r="AQ108" s="4" t="str">
        <f>IFERROR(__xludf.DUMMYFUNCTION("GOOGLETRANSLATE(B108,""en"",""fa"")"),"نسخه {{نسخه}}")</f>
        <v>نسخه {{نسخه}}</v>
      </c>
      <c r="AR108" s="4" t="str">
        <f>IFERROR(__xludf.DUMMYFUNCTION("GOOGLETRANSLATE(B108,""en"",""pl"")"),"Wersja {{wersja}}")</f>
        <v>Wersja {{wersja}}</v>
      </c>
      <c r="AS108" s="4" t="str">
        <f>IFERROR(__xludf.DUMMYFUNCTION("GOOGLETRANSLATE(B108,""en"",""sv"")"),"Version {{version}}")</f>
        <v>Version {{version}}</v>
      </c>
      <c r="AT108" s="4" t="str">
        <f>IFERROR(__xludf.DUMMYFUNCTION("GOOGLETRANSLATE(B108,""en"",""uk"")"),"Версія {{version}}")</f>
        <v>Версія {{version}}</v>
      </c>
      <c r="AU108" s="4" t="str">
        <f>IFERROR(__xludf.DUMMYFUNCTION("GOOGLETRANSLATE(B108,""en"",""zu"")"),"Inguqulo {{version}}")</f>
        <v>Inguqulo {{version}}</v>
      </c>
      <c r="AV108" s="4" t="str">
        <f>IFERROR(__xludf.DUMMYFUNCTION("GOOGLETRANSLATE(B108,""en"",""sr"")"),"Верзија {{верзија}}")</f>
        <v>Верзија {{верзија}}</v>
      </c>
    </row>
    <row r="109">
      <c r="A109" s="3" t="s">
        <v>253</v>
      </c>
      <c r="B109" s="3" t="s">
        <v>254</v>
      </c>
      <c r="C109" s="4" t="str">
        <f>IFERROR(__xludf.DUMMYFUNCTION("GOOGLETRANSLATE(B109,""en"",""ta"")"),"எங்கள் பயன்பாடுகள்")</f>
        <v>எங்கள் பயன்பாடுகள்</v>
      </c>
      <c r="D109" s="4" t="str">
        <f>IFERROR(__xludf.DUMMYFUNCTION("GOOGLETRANSLATE(B109,""en"",""hi"")"),"हमारे ऐप्स")</f>
        <v>हमारे ऐप्स</v>
      </c>
      <c r="E109" s="4" t="str">
        <f>IFERROR(__xludf.DUMMYFUNCTION("GOOGLETRANSLATE(B109,""en"",""id"")"),"Aplikasi Kami")</f>
        <v>Aplikasi Kami</v>
      </c>
      <c r="F109" s="4" t="str">
        <f>IFERROR(__xludf.DUMMYFUNCTION("GOOGLETRANSLATE(B109,""en"",""ms"")"),"Apl Kami")</f>
        <v>Apl Kami</v>
      </c>
      <c r="G109" s="4" t="str">
        <f>IFERROR(__xludf.DUMMYFUNCTION("GOOGLETRANSLATE(B109,""en"",""de"")"),"Unsere Apps")</f>
        <v>Unsere Apps</v>
      </c>
      <c r="H109" s="4" t="str">
        <f>IFERROR(__xludf.DUMMYFUNCTION("GOOGLETRANSLATE(B109,""en"",""es"")"),"Nuestras aplicaciones")</f>
        <v>Nuestras aplicaciones</v>
      </c>
      <c r="I109" s="4" t="str">
        <f>IFERROR(__xludf.DUMMYFUNCTION("GOOGLETRANSLATE(B109,""en"",""fr"")"),"Nos applications")</f>
        <v>Nos applications</v>
      </c>
      <c r="J109" s="4" t="str">
        <f>IFERROR(__xludf.DUMMYFUNCTION("GOOGLETRANSLATE(B109,""en"",""it"")"),"Le nostre app")</f>
        <v>Le nostre app</v>
      </c>
      <c r="K109" s="4" t="str">
        <f>IFERROR(__xludf.DUMMYFUNCTION("GOOGLETRANSLATE(B109,""en"",""pt"")"),"Nossos aplicativos")</f>
        <v>Nossos aplicativos</v>
      </c>
      <c r="L109" s="4" t="str">
        <f>IFERROR(__xludf.DUMMYFUNCTION("GOOGLETRANSLATE(B109,""en"",""ro"")"),"Aplicațiile noastre")</f>
        <v>Aplicațiile noastre</v>
      </c>
      <c r="M109" s="4" t="str">
        <f>IFERROR(__xludf.DUMMYFUNCTION("GOOGLETRANSLATE(B109,""en"",""vi"")"),"Ứng dụng của chúng tôi")</f>
        <v>Ứng dụng của chúng tôi</v>
      </c>
      <c r="N109" s="4" t="str">
        <f>IFERROR(__xludf.DUMMYFUNCTION("GOOGLETRANSLATE(B109,""en"",""ru"")"),"Наши приложения")</f>
        <v>Наши приложения</v>
      </c>
      <c r="O109" s="4" t="str">
        <f>IFERROR(__xludf.DUMMYFUNCTION("GOOGLETRANSLATE(B109,""en"",""tr"")"),"Uygulamalarımız")</f>
        <v>Uygulamalarımız</v>
      </c>
      <c r="P109" s="4" t="str">
        <f>IFERROR(__xludf.DUMMYFUNCTION("GOOGLETRANSLATE(B109,""en"",""ar"")"),"تطبيقاتنا")</f>
        <v>تطبيقاتنا</v>
      </c>
      <c r="Q109" s="4" t="str">
        <f>IFERROR(__xludf.DUMMYFUNCTION("GOOGLETRANSLATE(B109,""en"",""mr"")"),"आमचे ॲप्स")</f>
        <v>आमचे ॲप्स</v>
      </c>
      <c r="R109" s="4" t="str">
        <f>IFERROR(__xludf.DUMMYFUNCTION("GOOGLETRANSLATE(B109,""en"",""gu"")"),"અમારી એપ્સ")</f>
        <v>અમારી એપ્સ</v>
      </c>
      <c r="S109" s="4" t="str">
        <f>IFERROR(__xludf.DUMMYFUNCTION("GOOGLETRANSLATE(B109,""en"",""bn"")"),"আমাদের অ্যাপস")</f>
        <v>আমাদের অ্যাপস</v>
      </c>
      <c r="T109" s="4" t="str">
        <f>IFERROR(__xludf.DUMMYFUNCTION("GOOGLETRANSLATE(B109,""en"",""pa"")"),"ਸਾਡੀਆਂ ਐਪਾਂ")</f>
        <v>ਸਾਡੀਆਂ ਐਪਾਂ</v>
      </c>
      <c r="U109" s="4" t="str">
        <f>IFERROR(__xludf.DUMMYFUNCTION("GOOGLETRANSLATE(B109,""en"",""te"")"),"మా యాప్‌లు")</f>
        <v>మా యాప్‌లు</v>
      </c>
      <c r="V109" s="4" t="str">
        <f>IFERROR(__xludf.DUMMYFUNCTION("GOOGLETRANSLATE(B109,""en"",""kn"")"),"ನಮ್ಮ ಅಪ್ಲಿಕೇಶನ್‌ಗಳು")</f>
        <v>ನಮ್ಮ ಅಪ್ಲಿಕೇಶನ್‌ಗಳು</v>
      </c>
      <c r="W109" s="4" t="str">
        <f>IFERROR(__xludf.DUMMYFUNCTION("GOOGLETRANSLATE(B109,""en"",""ml"")"),"ഞങ്ങളുടെ അപ്ലിക്കേഷനുകൾ")</f>
        <v>ഞങ്ങളുടെ അപ്ലിക്കേഷനുകൾ</v>
      </c>
      <c r="X109" s="4" t="str">
        <f>IFERROR(__xludf.DUMMYFUNCTION("GOOGLETRANSLATE(B109,""en"",""th"")"),"แอปของเรา")</f>
        <v>แอปของเรา</v>
      </c>
      <c r="Y109" s="4" t="str">
        <f>IFERROR(__xludf.DUMMYFUNCTION("GOOGLETRANSLATE(B109,""en"",""ko"")"),"우리의 앱")</f>
        <v>우리의 앱</v>
      </c>
      <c r="Z109" s="4" t="str">
        <f>IFERROR(__xludf.DUMMYFUNCTION("GOOGLETRANSLATE(B109,""en"",""zh"")"),"我们的应用程序")</f>
        <v>我们的应用程序</v>
      </c>
      <c r="AA109" s="4" t="str">
        <f>IFERROR(__xludf.DUMMYFUNCTION("GOOGLETRANSLATE(B109,""en"",""zh-TW"")"),"我們的應用程式")</f>
        <v>我們的應用程式</v>
      </c>
      <c r="AB109" s="4" t="str">
        <f>IFERROR(__xludf.DUMMYFUNCTION("GOOGLETRANSLATE(B109,""en"",""ja"")"),"当社のアプリ")</f>
        <v>当社のアプリ</v>
      </c>
      <c r="AC109" s="4" t="str">
        <f>IFERROR(__xludf.DUMMYFUNCTION("GOOGLETRANSLATE(B109,""en"",""bg"")"),"Нашите приложения")</f>
        <v>Нашите приложения</v>
      </c>
      <c r="AD109" s="4" t="str">
        <f>IFERROR(__xludf.DUMMYFUNCTION("GOOGLETRANSLATE(B109,""en"",""cs"")"),"Naše aplikace")</f>
        <v>Naše aplikace</v>
      </c>
      <c r="AE109" s="4" t="str">
        <f>IFERROR(__xludf.DUMMYFUNCTION("GOOGLETRANSLATE(B109,""en"",""da"")"),"Vores apps")</f>
        <v>Vores apps</v>
      </c>
      <c r="AF109" s="4" t="str">
        <f>IFERROR(__xludf.DUMMYFUNCTION("GOOGLETRANSLATE(B109,""en"",""el"")"),"Οι εφαρμογές μας")</f>
        <v>Οι εφαρμογές μας</v>
      </c>
      <c r="AG109" s="4" t="str">
        <f>IFERROR(__xludf.DUMMYFUNCTION("GOOGLETRANSLATE(B109,""en"",""et"")"),"Meie rakendused")</f>
        <v>Meie rakendused</v>
      </c>
      <c r="AH109" s="4" t="str">
        <f>IFERROR(__xludf.DUMMYFUNCTION("GOOGLETRANSLATE(B109,""en"",""fi"")"),"Sovelluksemme")</f>
        <v>Sovelluksemme</v>
      </c>
      <c r="AI109" s="4" t="str">
        <f>IFERROR(__xludf.DUMMYFUNCTION("GOOGLETRANSLATE(B109,""en"",""hr"")"),"Naše aplikacije")</f>
        <v>Naše aplikacije</v>
      </c>
      <c r="AJ109" s="4" t="str">
        <f>IFERROR(__xludf.DUMMYFUNCTION("GOOGLETRANSLATE(B109,""en"",""hu"")"),"Alkalmazásaink")</f>
        <v>Alkalmazásaink</v>
      </c>
      <c r="AK109" s="4" t="str">
        <f>IFERROR(__xludf.DUMMYFUNCTION("GOOGLETRANSLATE(B109,""en"",""hy"")"),"Մեր հավելվածները")</f>
        <v>Մեր հավելվածները</v>
      </c>
      <c r="AL109" s="4" t="str">
        <f>IFERROR(__xludf.DUMMYFUNCTION("GOOGLETRANSLATE(B109,""en"",""ca"")"),"Les nostres aplicacions")</f>
        <v>Les nostres aplicacions</v>
      </c>
      <c r="AM109" s="4" t="str">
        <f>IFERROR(__xludf.DUMMYFUNCTION("GOOGLETRANSLATE(B109,""en"",""nl"")"),"Onze apps")</f>
        <v>Onze apps</v>
      </c>
      <c r="AN109" s="4" t="str">
        <f>IFERROR(__xludf.DUMMYFUNCTION("GOOGLETRANSLATE(B109,""en"",""he"")"),"האפליקציות שלנו")</f>
        <v>האפליקציות שלנו</v>
      </c>
      <c r="AO109" s="4" t="str">
        <f>IFERROR(__xludf.DUMMYFUNCTION("GOOGLETRANSLATE(B109,""en"",""is"")"),"Forritin okkar")</f>
        <v>Forritin okkar</v>
      </c>
      <c r="AP109" s="4" t="str">
        <f>IFERROR(__xludf.DUMMYFUNCTION("GOOGLETRANSLATE(B109,""en"",""no"")"),"Våre apper")</f>
        <v>Våre apper</v>
      </c>
      <c r="AQ109" s="4" t="str">
        <f>IFERROR(__xludf.DUMMYFUNCTION("GOOGLETRANSLATE(B109,""en"",""fa"")"),"برنامه های ما")</f>
        <v>برنامه های ما</v>
      </c>
      <c r="AR109" s="4" t="str">
        <f>IFERROR(__xludf.DUMMYFUNCTION("GOOGLETRANSLATE(B109,""en"",""pl"")"),"Nasze aplikacje")</f>
        <v>Nasze aplikacje</v>
      </c>
      <c r="AS109" s="4" t="str">
        <f>IFERROR(__xludf.DUMMYFUNCTION("GOOGLETRANSLATE(B109,""en"",""sv"")"),"Våra appar")</f>
        <v>Våra appar</v>
      </c>
      <c r="AT109" s="4" t="str">
        <f>IFERROR(__xludf.DUMMYFUNCTION("GOOGLETRANSLATE(B109,""en"",""uk"")"),"Наші програми")</f>
        <v>Наші програми</v>
      </c>
      <c r="AU109" s="4" t="str">
        <f>IFERROR(__xludf.DUMMYFUNCTION("GOOGLETRANSLATE(B109,""en"",""zu"")"),"Izinhlelo Zethu")</f>
        <v>Izinhlelo Zethu</v>
      </c>
      <c r="AV109" s="4" t="str">
        <f>IFERROR(__xludf.DUMMYFUNCTION("GOOGLETRANSLATE(B109,""en"",""sr"")"),"Наше апликације")</f>
        <v>Наше апликације</v>
      </c>
    </row>
    <row r="110">
      <c r="A110" s="3" t="s">
        <v>255</v>
      </c>
      <c r="B110" s="3" t="s">
        <v>256</v>
      </c>
      <c r="C110" s="4" t="str">
        <f>IFERROR(__xludf.DUMMYFUNCTION("GOOGLETRANSLATE(B110,""en"",""ta"")"),"ஆஃப்லைன் வரைபட வழிசெலுத்தல்")</f>
        <v>ஆஃப்லைன் வரைபட வழிசெலுத்தல்</v>
      </c>
      <c r="D110" s="4" t="str">
        <f>IFERROR(__xludf.DUMMYFUNCTION("GOOGLETRANSLATE(B110,""en"",""hi"")"),"ऑफ़लाइन मानचित्र नेविगेशन")</f>
        <v>ऑफ़लाइन मानचित्र नेविगेशन</v>
      </c>
      <c r="E110" s="4" t="str">
        <f>IFERROR(__xludf.DUMMYFUNCTION("GOOGLETRANSLATE(B110,""en"",""id"")"),"Navigasi Peta Offline")</f>
        <v>Navigasi Peta Offline</v>
      </c>
      <c r="F110" s="4" t="str">
        <f>IFERROR(__xludf.DUMMYFUNCTION("GOOGLETRANSLATE(B110,""en"",""ms"")"),"Navigasi Peta Luar Talian")</f>
        <v>Navigasi Peta Luar Talian</v>
      </c>
      <c r="G110" s="4" t="str">
        <f>IFERROR(__xludf.DUMMYFUNCTION("GOOGLETRANSLATE(B110,""en"",""de"")"),"Offline-Kartennavigation")</f>
        <v>Offline-Kartennavigation</v>
      </c>
      <c r="H110" s="4" t="str">
        <f>IFERROR(__xludf.DUMMYFUNCTION("GOOGLETRANSLATE(B110,""en"",""es"")"),"Navegación de mapas sin conexión")</f>
        <v>Navegación de mapas sin conexión</v>
      </c>
      <c r="I110" s="4" t="str">
        <f>IFERROR(__xludf.DUMMYFUNCTION("GOOGLETRANSLATE(B110,""en"",""fr"")"),"Navigation cartographique hors ligne")</f>
        <v>Navigation cartographique hors ligne</v>
      </c>
      <c r="J110" s="4" t="str">
        <f>IFERROR(__xludf.DUMMYFUNCTION("GOOGLETRANSLATE(B110,""en"",""it"")"),"Navigazione mappa offline")</f>
        <v>Navigazione mappa offline</v>
      </c>
      <c r="K110" s="4" t="str">
        <f>IFERROR(__xludf.DUMMYFUNCTION("GOOGLETRANSLATE(B110,""en"",""pt"")"),"Navegação de mapa offline")</f>
        <v>Navegação de mapa offline</v>
      </c>
      <c r="L110" s="4" t="str">
        <f>IFERROR(__xludf.DUMMYFUNCTION("GOOGLETRANSLATE(B110,""en"",""ro"")"),"Navigare offline pe hartă")</f>
        <v>Navigare offline pe hartă</v>
      </c>
      <c r="M110" s="4" t="str">
        <f>IFERROR(__xludf.DUMMYFUNCTION("GOOGLETRANSLATE(B110,""en"",""vi"")"),"Bản đồ ngoại tuyến")</f>
        <v>Bản đồ ngoại tuyến</v>
      </c>
      <c r="N110" s="4" t="str">
        <f>IFERROR(__xludf.DUMMYFUNCTION("GOOGLETRANSLATE(B110,""en"",""ru"")"),"Навигация по офлайн-карте")</f>
        <v>Навигация по офлайн-карте</v>
      </c>
      <c r="O110" s="4" t="str">
        <f>IFERROR(__xludf.DUMMYFUNCTION("GOOGLETRANSLATE(B110,""en"",""tr"")"),"Çevrimdışı Harita Navigasyonu")</f>
        <v>Çevrimdışı Harita Navigasyonu</v>
      </c>
      <c r="P110" s="4" t="str">
        <f>IFERROR(__xludf.DUMMYFUNCTION("GOOGLETRANSLATE(B110,""en"",""ar"")"),"التنقل عبر الخريطة دون اتصال بالإنترنت")</f>
        <v>التنقل عبر الخريطة دون اتصال بالإنترنت</v>
      </c>
      <c r="Q110" s="4" t="str">
        <f>IFERROR(__xludf.DUMMYFUNCTION("GOOGLETRANSLATE(B110,""en"",""mr"")"),"ऑफलाइन नकाशा नेव्हिगेशन")</f>
        <v>ऑफलाइन नकाशा नेव्हिगेशन</v>
      </c>
      <c r="R110" s="4" t="str">
        <f>IFERROR(__xludf.DUMMYFUNCTION("GOOGLETRANSLATE(B110,""en"",""gu"")"),"ઑફલાઇન નકશો નેવિગેશન")</f>
        <v>ઑફલાઇન નકશો નેવિગેશન</v>
      </c>
      <c r="S110" s="4" t="str">
        <f>IFERROR(__xludf.DUMMYFUNCTION("GOOGLETRANSLATE(B110,""en"",""bn"")"),"অফলাইন মানচিত্র নেভিগেশন")</f>
        <v>অফলাইন মানচিত্র নেভিগেশন</v>
      </c>
      <c r="T110" s="4" t="str">
        <f>IFERROR(__xludf.DUMMYFUNCTION("GOOGLETRANSLATE(B110,""en"",""pa"")"),"ਔਫਲਾਈਨ ਨਕਸ਼ਾ ਨੇਵੀਗੇਸ਼ਨ")</f>
        <v>ਔਫਲਾਈਨ ਨਕਸ਼ਾ ਨੇਵੀਗੇਸ਼ਨ</v>
      </c>
      <c r="U110" s="4" t="str">
        <f>IFERROR(__xludf.DUMMYFUNCTION("GOOGLETRANSLATE(B110,""en"",""te"")"),"ఆఫ్‌లైన్ మ్యాప్ నావిగేషన్")</f>
        <v>ఆఫ్‌లైన్ మ్యాప్ నావిగేషన్</v>
      </c>
      <c r="V110" s="4" t="str">
        <f>IFERROR(__xludf.DUMMYFUNCTION("GOOGLETRANSLATE(B110,""en"",""kn"")"),"ಆಫ್‌ಲೈನ್ ನಕ್ಷೆ ನ್ಯಾವಿಗೇಷನ್")</f>
        <v>ಆಫ್‌ಲೈನ್ ನಕ್ಷೆ ನ್ಯಾವಿಗೇಷನ್</v>
      </c>
      <c r="W110" s="4" t="str">
        <f>IFERROR(__xludf.DUMMYFUNCTION("GOOGLETRANSLATE(B110,""en"",""ml"")"),"ഓഫ്‌ലൈൻ മാപ്പ് നാവിഗേഷൻ")</f>
        <v>ഓഫ്‌ലൈൻ മാപ്പ് നാവിഗേഷൻ</v>
      </c>
      <c r="X110" s="4" t="str">
        <f>IFERROR(__xludf.DUMMYFUNCTION("GOOGLETRANSLATE(B110,""en"",""th"")"),"การนำทางแผนที่แบบออฟไลน์")</f>
        <v>การนำทางแผนที่แบบออฟไลน์</v>
      </c>
      <c r="Y110" s="4" t="str">
        <f>IFERROR(__xludf.DUMMYFUNCTION("GOOGLETRANSLATE(B110,""en"",""ko"")"),"오프라인 지도 탐색")</f>
        <v>오프라인 지도 탐색</v>
      </c>
      <c r="Z110" s="4" t="str">
        <f>IFERROR(__xludf.DUMMYFUNCTION("GOOGLETRANSLATE(B110,""en"",""zh"")"),"离线地图导航")</f>
        <v>离线地图导航</v>
      </c>
      <c r="AA110" s="4" t="str">
        <f>IFERROR(__xludf.DUMMYFUNCTION("GOOGLETRANSLATE(B110,""en"",""zh-TW"")"),"離線地圖導航")</f>
        <v>離線地圖導航</v>
      </c>
      <c r="AB110" s="4" t="str">
        <f>IFERROR(__xludf.DUMMYFUNCTION("GOOGLETRANSLATE(B110,""en"",""ja"")"),"オフラインマップナビゲーション")</f>
        <v>オフラインマップナビゲーション</v>
      </c>
      <c r="AC110" s="4" t="str">
        <f>IFERROR(__xludf.DUMMYFUNCTION("GOOGLETRANSLATE(B110,""en"",""bg"")"),"Офлайн навигация по карта")</f>
        <v>Офлайн навигация по карта</v>
      </c>
      <c r="AD110" s="4" t="str">
        <f>IFERROR(__xludf.DUMMYFUNCTION("GOOGLETRANSLATE(B110,""en"",""cs"")"),"Offline mapová navigace")</f>
        <v>Offline mapová navigace</v>
      </c>
      <c r="AE110" s="4" t="str">
        <f>IFERROR(__xludf.DUMMYFUNCTION("GOOGLETRANSLATE(B110,""en"",""da"")"),"Offline kortnavigation")</f>
        <v>Offline kortnavigation</v>
      </c>
      <c r="AF110" s="4" t="str">
        <f>IFERROR(__xludf.DUMMYFUNCTION("GOOGLETRANSLATE(B110,""en"",""el"")"),"Πλοήγηση σε χάρτη εκτός σύνδεσης")</f>
        <v>Πλοήγηση σε χάρτη εκτός σύνδεσης</v>
      </c>
      <c r="AG110" s="4" t="str">
        <f>IFERROR(__xludf.DUMMYFUNCTION("GOOGLETRANSLATE(B110,""en"",""et"")"),"Võrguühenduseta kaardil navigeerimine")</f>
        <v>Võrguühenduseta kaardil navigeerimine</v>
      </c>
      <c r="AH110" s="4" t="str">
        <f>IFERROR(__xludf.DUMMYFUNCTION("GOOGLETRANSLATE(B110,""en"",""fi"")"),"Offline-kartan navigointi")</f>
        <v>Offline-kartan navigointi</v>
      </c>
      <c r="AI110" s="4" t="str">
        <f>IFERROR(__xludf.DUMMYFUNCTION("GOOGLETRANSLATE(B110,""en"",""hr"")"),"Izvanmrežna navigacija kartom")</f>
        <v>Izvanmrežna navigacija kartom</v>
      </c>
      <c r="AJ110" s="4" t="str">
        <f>IFERROR(__xludf.DUMMYFUNCTION("GOOGLETRANSLATE(B110,""en"",""hu"")"),"Offline térképnavigáció")</f>
        <v>Offline térképnavigáció</v>
      </c>
      <c r="AK110" s="4" t="str">
        <f>IFERROR(__xludf.DUMMYFUNCTION("GOOGLETRANSLATE(B110,""en"",""hy"")"),"Քարտեզի անցանց նավիգացիա")</f>
        <v>Քարտեզի անցանց նավիգացիա</v>
      </c>
      <c r="AL110" s="4" t="str">
        <f>IFERROR(__xludf.DUMMYFUNCTION("GOOGLETRANSLATE(B110,""en"",""ca"")"),"Navegació per mapa fora de línia")</f>
        <v>Navegació per mapa fora de línia</v>
      </c>
      <c r="AM110" s="4" t="str">
        <f>IFERROR(__xludf.DUMMYFUNCTION("GOOGLETRANSLATE(B110,""en"",""nl"")"),"Offline kaartnavigatie")</f>
        <v>Offline kaartnavigatie</v>
      </c>
      <c r="AN110" s="4" t="str">
        <f>IFERROR(__xludf.DUMMYFUNCTION("GOOGLETRANSLATE(B110,""en"",""he"")"),"ניווט מפה לא מקוון")</f>
        <v>ניווט מפה לא מקוון</v>
      </c>
      <c r="AO110" s="4" t="str">
        <f>IFERROR(__xludf.DUMMYFUNCTION("GOOGLETRANSLATE(B110,""en"",""is"")"),"Ótengdur kortaleiðsögn")</f>
        <v>Ótengdur kortaleiðsögn</v>
      </c>
      <c r="AP110" s="4" t="str">
        <f>IFERROR(__xludf.DUMMYFUNCTION("GOOGLETRANSLATE(B110,""en"",""no"")"),"Frakoblet kartnavigasjon")</f>
        <v>Frakoblet kartnavigasjon</v>
      </c>
      <c r="AQ110" s="4" t="str">
        <f>IFERROR(__xludf.DUMMYFUNCTION("GOOGLETRANSLATE(B110,""en"",""fa"")"),"ناوبری نقشه آفلاین")</f>
        <v>ناوبری نقشه آفلاین</v>
      </c>
      <c r="AR110" s="4" t="str">
        <f>IFERROR(__xludf.DUMMYFUNCTION("GOOGLETRANSLATE(B110,""en"",""pl"")"),"Nawigacja po mapie offline")</f>
        <v>Nawigacja po mapie offline</v>
      </c>
      <c r="AS110" s="4" t="str">
        <f>IFERROR(__xludf.DUMMYFUNCTION("GOOGLETRANSLATE(B110,""en"",""sv"")"),"Offline kartnavigering")</f>
        <v>Offline kartnavigering</v>
      </c>
      <c r="AT110" s="4" t="str">
        <f>IFERROR(__xludf.DUMMYFUNCTION("GOOGLETRANSLATE(B110,""en"",""uk"")"),"Офлайн-навігація по карті")</f>
        <v>Офлайн-навігація по карті</v>
      </c>
      <c r="AU110" s="4" t="str">
        <f>IFERROR(__xludf.DUMMYFUNCTION("GOOGLETRANSLATE(B110,""en"",""zu"")"),"Ukuzulazula kwemephu engaxhunyiwe ku-inthanethi")</f>
        <v>Ukuzulazula kwemephu engaxhunyiwe ku-inthanethi</v>
      </c>
      <c r="AV110" s="4" t="str">
        <f>IFERROR(__xludf.DUMMYFUNCTION("GOOGLETRANSLATE(B110,""en"",""sr"")"),"Навигација ван мреже")</f>
        <v>Навигација ван мреже</v>
      </c>
    </row>
    <row r="111">
      <c r="A111" s="3" t="s">
        <v>257</v>
      </c>
      <c r="B111" s="3" t="s">
        <v>258</v>
      </c>
      <c r="C111" s="4" t="str">
        <f>IFERROR(__xludf.DUMMYFUNCTION("GOOGLETRANSLATE(B111,""en"",""ta"")"),"இணையம் இல்லாமல் செல்லவும்")</f>
        <v>இணையம் இல்லாமல் செல்லவும்</v>
      </c>
      <c r="D111" s="4" t="str">
        <f>IFERROR(__xludf.DUMMYFUNCTION("GOOGLETRANSLATE(B111,""en"",""hi"")"),"इंटरनेट के बिना नेविगेट करें")</f>
        <v>इंटरनेट के बिना नेविगेट करें</v>
      </c>
      <c r="E111" s="4" t="str">
        <f>IFERROR(__xludf.DUMMYFUNCTION("GOOGLETRANSLATE(B111,""en"",""id"")"),"Navigasi tanpa internet")</f>
        <v>Navigasi tanpa internet</v>
      </c>
      <c r="F111" s="4" t="str">
        <f>IFERROR(__xludf.DUMMYFUNCTION("GOOGLETRANSLATE(B111,""en"",""ms"")"),"Navigasi tanpa internet")</f>
        <v>Navigasi tanpa internet</v>
      </c>
      <c r="G111" s="4" t="str">
        <f>IFERROR(__xludf.DUMMYFUNCTION("GOOGLETRANSLATE(B111,""en"",""de"")"),"Navigieren ohne Internet")</f>
        <v>Navigieren ohne Internet</v>
      </c>
      <c r="H111" s="4" t="str">
        <f>IFERROR(__xludf.DUMMYFUNCTION("GOOGLETRANSLATE(B111,""en"",""es"")"),"Navegar sin internet")</f>
        <v>Navegar sin internet</v>
      </c>
      <c r="I111" s="4" t="str">
        <f>IFERROR(__xludf.DUMMYFUNCTION("GOOGLETRANSLATE(B111,""en"",""fr"")"),"Naviguer sans Internet")</f>
        <v>Naviguer sans Internet</v>
      </c>
      <c r="J111" s="4" t="str">
        <f>IFERROR(__xludf.DUMMYFUNCTION("GOOGLETRANSLATE(B111,""en"",""it"")"),"Navigare senza internet")</f>
        <v>Navigare senza internet</v>
      </c>
      <c r="K111" s="4" t="str">
        <f>IFERROR(__xludf.DUMMYFUNCTION("GOOGLETRANSLATE(B111,""en"",""pt"")"),"Navegar sem internet")</f>
        <v>Navegar sem internet</v>
      </c>
      <c r="L111" s="4" t="str">
        <f>IFERROR(__xludf.DUMMYFUNCTION("GOOGLETRANSLATE(B111,""en"",""ro"")"),"Navigați fără internet")</f>
        <v>Navigați fără internet</v>
      </c>
      <c r="M111" s="4" t="str">
        <f>IFERROR(__xludf.DUMMYFUNCTION("GOOGLETRANSLATE(B111,""en"",""vi"")"),"Điều hướng mà không cần internet")</f>
        <v>Điều hướng mà không cần internet</v>
      </c>
      <c r="N111" s="4" t="str">
        <f>IFERROR(__xludf.DUMMYFUNCTION("GOOGLETRANSLATE(B111,""en"",""ru"")"),"Навигация без интернета")</f>
        <v>Навигация без интернета</v>
      </c>
      <c r="O111" s="4" t="str">
        <f>IFERROR(__xludf.DUMMYFUNCTION("GOOGLETRANSLATE(B111,""en"",""tr"")"),"İnternet olmadan gezinin")</f>
        <v>İnternet olmadan gezinin</v>
      </c>
      <c r="P111" s="4" t="str">
        <f>IFERROR(__xludf.DUMMYFUNCTION("GOOGLETRANSLATE(B111,""en"",""ar"")"),"التنقل بدون الإنترنت")</f>
        <v>التنقل بدون الإنترنت</v>
      </c>
      <c r="Q111" s="4" t="str">
        <f>IFERROR(__xludf.DUMMYFUNCTION("GOOGLETRANSLATE(B111,""en"",""mr"")"),"इंटरनेटशिवाय नेव्हिगेट करा")</f>
        <v>इंटरनेटशिवाय नेव्हिगेट करा</v>
      </c>
      <c r="R111" s="4" t="str">
        <f>IFERROR(__xludf.DUMMYFUNCTION("GOOGLETRANSLATE(B111,""en"",""gu"")"),"ઇન્ટરનેટ વિના નેવિગેટ કરો")</f>
        <v>ઇન્ટરનેટ વિના નેવિગેટ કરો</v>
      </c>
      <c r="S111" s="4" t="str">
        <f>IFERROR(__xludf.DUMMYFUNCTION("GOOGLETRANSLATE(B111,""en"",""bn"")"),"ইন্টারনেট ছাড়াই নেভিগেট করুন")</f>
        <v>ইন্টারনেট ছাড়াই নেভিগেট করুন</v>
      </c>
      <c r="T111" s="4" t="str">
        <f>IFERROR(__xludf.DUMMYFUNCTION("GOOGLETRANSLATE(B111,""en"",""pa"")"),"ਇੰਟਰਨੈਟ ਤੋਂ ਬਿਨਾਂ ਨੈਵੀਗੇਟ ਕਰੋ")</f>
        <v>ਇੰਟਰਨੈਟ ਤੋਂ ਬਿਨਾਂ ਨੈਵੀਗੇਟ ਕਰੋ</v>
      </c>
      <c r="U111" s="4" t="str">
        <f>IFERROR(__xludf.DUMMYFUNCTION("GOOGLETRANSLATE(B111,""en"",""te"")"),"ఇంటర్నెట్ లేకుండా నావిగేట్ చేయండి")</f>
        <v>ఇంటర్నెట్ లేకుండా నావిగేట్ చేయండి</v>
      </c>
      <c r="V111" s="4" t="str">
        <f>IFERROR(__xludf.DUMMYFUNCTION("GOOGLETRANSLATE(B111,""en"",""kn"")"),"ಇಂಟರ್ನೆಟ್ ಇಲ್ಲದೆ ನ್ಯಾವಿಗೇಟ್ ಮಾಡಿ")</f>
        <v>ಇಂಟರ್ನೆಟ್ ಇಲ್ಲದೆ ನ್ಯಾವಿಗೇಟ್ ಮಾಡಿ</v>
      </c>
      <c r="W111" s="4" t="str">
        <f>IFERROR(__xludf.DUMMYFUNCTION("GOOGLETRANSLATE(B111,""en"",""ml"")"),"ഇൻ്റർനെറ്റ് ഇല്ലാതെ നാവിഗേറ്റ് ചെയ്യുക")</f>
        <v>ഇൻ്റർനെറ്റ് ഇല്ലാതെ നാവിഗേറ്റ് ചെയ്യുക</v>
      </c>
      <c r="X111" s="4" t="str">
        <f>IFERROR(__xludf.DUMMYFUNCTION("GOOGLETRANSLATE(B111,""en"",""th"")"),"นำทางโดยไม่ต้องใช้อินเทอร์เน็ต")</f>
        <v>นำทางโดยไม่ต้องใช้อินเทอร์เน็ต</v>
      </c>
      <c r="Y111" s="4" t="str">
        <f>IFERROR(__xludf.DUMMYFUNCTION("GOOGLETRANSLATE(B111,""en"",""ko"")"),"인터넷 없이 탐색")</f>
        <v>인터넷 없이 탐색</v>
      </c>
      <c r="Z111" s="4" t="str">
        <f>IFERROR(__xludf.DUMMYFUNCTION("GOOGLETRANSLATE(B111,""en"",""zh"")"),"无需互联网即可导航")</f>
        <v>无需互联网即可导航</v>
      </c>
      <c r="AA111" s="4" t="str">
        <f>IFERROR(__xludf.DUMMYFUNCTION("GOOGLETRANSLATE(B111,""en"",""zh-TW"")"),"無需互聯網即可導航")</f>
        <v>無需互聯網即可導航</v>
      </c>
      <c r="AB111" s="4" t="str">
        <f>IFERROR(__xludf.DUMMYFUNCTION("GOOGLETRANSLATE(B111,""en"",""ja"")"),"インターネットなしでナビゲートする")</f>
        <v>インターネットなしでナビゲートする</v>
      </c>
      <c r="AC111" s="4" t="str">
        <f>IFERROR(__xludf.DUMMYFUNCTION("GOOGLETRANSLATE(B111,""en"",""bg"")"),"Навигирайте без интернет")</f>
        <v>Навигирайте без интернет</v>
      </c>
      <c r="AD111" s="4" t="str">
        <f>IFERROR(__xludf.DUMMYFUNCTION("GOOGLETRANSLATE(B111,""en"",""cs"")"),"Navigujte bez internetu")</f>
        <v>Navigujte bez internetu</v>
      </c>
      <c r="AE111" s="4" t="str">
        <f>IFERROR(__xludf.DUMMYFUNCTION("GOOGLETRANSLATE(B111,""en"",""da"")"),"Naviger uden internet")</f>
        <v>Naviger uden internet</v>
      </c>
      <c r="AF111" s="4" t="str">
        <f>IFERROR(__xludf.DUMMYFUNCTION("GOOGLETRANSLATE(B111,""en"",""el"")"),"Πλοήγηση χωρίς internet")</f>
        <v>Πλοήγηση χωρίς internet</v>
      </c>
      <c r="AG111" s="4" t="str">
        <f>IFERROR(__xludf.DUMMYFUNCTION("GOOGLETRANSLATE(B111,""en"",""et"")"),"Navigeerige ilma Internetita")</f>
        <v>Navigeerige ilma Internetita</v>
      </c>
      <c r="AH111" s="4" t="str">
        <f>IFERROR(__xludf.DUMMYFUNCTION("GOOGLETRANSLATE(B111,""en"",""fi"")"),"Navigoi ilman Internetiä")</f>
        <v>Navigoi ilman Internetiä</v>
      </c>
      <c r="AI111" s="4" t="str">
        <f>IFERROR(__xludf.DUMMYFUNCTION("GOOGLETRANSLATE(B111,""en"",""hr"")"),"Navigirajte bez interneta")</f>
        <v>Navigirajte bez interneta</v>
      </c>
      <c r="AJ111" s="4" t="str">
        <f>IFERROR(__xludf.DUMMYFUNCTION("GOOGLETRANSLATE(B111,""en"",""hu"")"),"Navigáljon internet nélkül")</f>
        <v>Navigáljon internet nélkül</v>
      </c>
      <c r="AK111" s="4" t="str">
        <f>IFERROR(__xludf.DUMMYFUNCTION("GOOGLETRANSLATE(B111,""en"",""hy"")"),"Նավարկեք առանց ինտերնետի")</f>
        <v>Նավարկեք առանց ինտերնետի</v>
      </c>
      <c r="AL111" s="4" t="str">
        <f>IFERROR(__xludf.DUMMYFUNCTION("GOOGLETRANSLATE(B111,""en"",""ca"")"),"Navega sense Internet")</f>
        <v>Navega sense Internet</v>
      </c>
      <c r="AM111" s="4" t="str">
        <f>IFERROR(__xludf.DUMMYFUNCTION("GOOGLETRANSLATE(B111,""en"",""nl"")"),"Navigeren zonder internet")</f>
        <v>Navigeren zonder internet</v>
      </c>
      <c r="AN111" s="4" t="str">
        <f>IFERROR(__xludf.DUMMYFUNCTION("GOOGLETRANSLATE(B111,""en"",""he"")"),"נווט ללא אינטרנט")</f>
        <v>נווט ללא אינטרנט</v>
      </c>
      <c r="AO111" s="4" t="str">
        <f>IFERROR(__xludf.DUMMYFUNCTION("GOOGLETRANSLATE(B111,""en"",""is"")"),"Sigla án internets")</f>
        <v>Sigla án internets</v>
      </c>
      <c r="AP111" s="4" t="str">
        <f>IFERROR(__xludf.DUMMYFUNCTION("GOOGLETRANSLATE(B111,""en"",""no"")"),"Naviger uten internett")</f>
        <v>Naviger uten internett</v>
      </c>
      <c r="AQ111" s="4" t="str">
        <f>IFERROR(__xludf.DUMMYFUNCTION("GOOGLETRANSLATE(B111,""en"",""fa"")"),"بدون اینترنت پیمایش کنید")</f>
        <v>بدون اینترنت پیمایش کنید</v>
      </c>
      <c r="AR111" s="4" t="str">
        <f>IFERROR(__xludf.DUMMYFUNCTION("GOOGLETRANSLATE(B111,""en"",""pl"")"),"Nawiguj bez internetu")</f>
        <v>Nawiguj bez internetu</v>
      </c>
      <c r="AS111" s="4" t="str">
        <f>IFERROR(__xludf.DUMMYFUNCTION("GOOGLETRANSLATE(B111,""en"",""sv"")"),"Navigera utan internet")</f>
        <v>Navigera utan internet</v>
      </c>
      <c r="AT111" s="4" t="str">
        <f>IFERROR(__xludf.DUMMYFUNCTION("GOOGLETRANSLATE(B111,""en"",""uk"")"),"Навігація без інтернету")</f>
        <v>Навігація без інтернету</v>
      </c>
      <c r="AU111" s="4" t="str">
        <f>IFERROR(__xludf.DUMMYFUNCTION("GOOGLETRANSLATE(B111,""en"",""zu"")"),"Zulazula ngaphandle kwe-inthanethi")</f>
        <v>Zulazula ngaphandle kwe-inthanethi</v>
      </c>
      <c r="AV111" s="4" t="str">
        <f>IFERROR(__xludf.DUMMYFUNCTION("GOOGLETRANSLATE(B111,""en"",""sr"")"),"Крећите се без интернета")</f>
        <v>Крећите се без интернета</v>
      </c>
    </row>
    <row r="112">
      <c r="A112" s="3" t="s">
        <v>259</v>
      </c>
      <c r="B112" s="3" t="s">
        <v>260</v>
      </c>
      <c r="C112" s="4" t="str">
        <f>IFERROR(__xludf.DUMMYFUNCTION("GOOGLETRANSLATE(B112,""en"",""ta"")"),"VM டிராக்கர்")</f>
        <v>VM டிராக்கர்</v>
      </c>
      <c r="D112" s="4" t="str">
        <f>IFERROR(__xludf.DUMMYFUNCTION("GOOGLETRANSLATE(B112,""en"",""hi"")"),"वीएम ट्रैकर")</f>
        <v>वीएम ट्रैकर</v>
      </c>
      <c r="E112" s="4" t="str">
        <f>IFERROR(__xludf.DUMMYFUNCTION("GOOGLETRANSLATE(B112,""en"",""id"")"),"Pelacak VM")</f>
        <v>Pelacak VM</v>
      </c>
      <c r="F112" s="4" t="str">
        <f>IFERROR(__xludf.DUMMYFUNCTION("GOOGLETRANSLATE(B112,""en"",""ms"")"),"Penjejak VM")</f>
        <v>Penjejak VM</v>
      </c>
      <c r="G112" s="4" t="str">
        <f>IFERROR(__xludf.DUMMYFUNCTION("GOOGLETRANSLATE(B112,""en"",""de"")"),"VM Tracker")</f>
        <v>VM Tracker</v>
      </c>
      <c r="H112" s="4" t="str">
        <f>IFERROR(__xludf.DUMMYFUNCTION("GOOGLETRANSLATE(B112,""en"",""es"")"),"Rastreador de máquinas virtuales")</f>
        <v>Rastreador de máquinas virtuales</v>
      </c>
      <c r="I112" s="4" t="str">
        <f>IFERROR(__xludf.DUMMYFUNCTION("GOOGLETRANSLATE(B112,""en"",""fr"")"),"Suivi des machines virtuelles")</f>
        <v>Suivi des machines virtuelles</v>
      </c>
      <c r="J112" s="4" t="str">
        <f>IFERROR(__xludf.DUMMYFUNCTION("GOOGLETRANSLATE(B112,""en"",""it"")"),"Tracciatore VM")</f>
        <v>Tracciatore VM</v>
      </c>
      <c r="K112" s="4" t="str">
        <f>IFERROR(__xludf.DUMMYFUNCTION("GOOGLETRANSLATE(B112,""en"",""pt"")"),"Rastreador de VM")</f>
        <v>Rastreador de VM</v>
      </c>
      <c r="L112" s="4" t="str">
        <f>IFERROR(__xludf.DUMMYFUNCTION("GOOGLETRANSLATE(B112,""en"",""ro"")"),"VM Tracker")</f>
        <v>VM Tracker</v>
      </c>
      <c r="M112" s="4" t="str">
        <f>IFERROR(__xludf.DUMMYFUNCTION("GOOGLETRANSLATE(B112,""en"",""vi"")"),"Trình theo dõi VM")</f>
        <v>Trình theo dõi VM</v>
      </c>
      <c r="N112" s="4" t="str">
        <f>IFERROR(__xludf.DUMMYFUNCTION("GOOGLETRANSLATE(B112,""en"",""ru"")"),"Трекер ВМ")</f>
        <v>Трекер ВМ</v>
      </c>
      <c r="O112" s="4" t="str">
        <f>IFERROR(__xludf.DUMMYFUNCTION("GOOGLETRANSLATE(B112,""en"",""tr"")"),"VM İzleyici")</f>
        <v>VM İzleyici</v>
      </c>
      <c r="P112" s="4" t="str">
        <f>IFERROR(__xludf.DUMMYFUNCTION("GOOGLETRANSLATE(B112,""en"",""ar"")"),"متتبع الآلة الافتراضية")</f>
        <v>متتبع الآلة الافتراضية</v>
      </c>
      <c r="Q112" s="4" t="str">
        <f>IFERROR(__xludf.DUMMYFUNCTION("GOOGLETRANSLATE(B112,""en"",""mr"")"),"व्हीएम ट्रॅकर")</f>
        <v>व्हीएम ट्रॅकर</v>
      </c>
      <c r="R112" s="4" t="str">
        <f>IFERROR(__xludf.DUMMYFUNCTION("GOOGLETRANSLATE(B112,""en"",""gu"")"),"VM ટ્રેકર")</f>
        <v>VM ટ્રેકર</v>
      </c>
      <c r="S112" s="4" t="str">
        <f>IFERROR(__xludf.DUMMYFUNCTION("GOOGLETRANSLATE(B112,""en"",""bn"")"),"ভিএম ট্র্যাকার")</f>
        <v>ভিএম ট্র্যাকার</v>
      </c>
      <c r="T112" s="4" t="str">
        <f>IFERROR(__xludf.DUMMYFUNCTION("GOOGLETRANSLATE(B112,""en"",""pa"")"),"VM ਟਰੈਕਰ")</f>
        <v>VM ਟਰੈਕਰ</v>
      </c>
      <c r="U112" s="4" t="str">
        <f>IFERROR(__xludf.DUMMYFUNCTION("GOOGLETRANSLATE(B112,""en"",""te"")"),"VM ట్రాకర్")</f>
        <v>VM ట్రాకర్</v>
      </c>
      <c r="V112" s="4" t="str">
        <f>IFERROR(__xludf.DUMMYFUNCTION("GOOGLETRANSLATE(B112,""en"",""kn"")"),"VM ಟ್ರ್ಯಾಕರ್")</f>
        <v>VM ಟ್ರ್ಯಾಕರ್</v>
      </c>
      <c r="W112" s="4" t="str">
        <f>IFERROR(__xludf.DUMMYFUNCTION("GOOGLETRANSLATE(B112,""en"",""ml"")"),"വിഎം ട്രാക്കർ")</f>
        <v>വിഎം ട്രാക്കർ</v>
      </c>
      <c r="X112" s="4" t="str">
        <f>IFERROR(__xludf.DUMMYFUNCTION("GOOGLETRANSLATE(B112,""en"",""th"")"),"ตัวติดตาม VM")</f>
        <v>ตัวติดตาม VM</v>
      </c>
      <c r="Y112" s="4" t="str">
        <f>IFERROR(__xludf.DUMMYFUNCTION("GOOGLETRANSLATE(B112,""en"",""ko"")"),"VM 추적기")</f>
        <v>VM 추적기</v>
      </c>
      <c r="Z112" s="4" t="str">
        <f>IFERROR(__xludf.DUMMYFUNCTION("GOOGLETRANSLATE(B112,""en"",""zh"")"),"虚拟机跟踪器")</f>
        <v>虚拟机跟踪器</v>
      </c>
      <c r="AA112" s="4" t="str">
        <f>IFERROR(__xludf.DUMMYFUNCTION("GOOGLETRANSLATE(B112,""en"",""zh-TW"")"),"虛擬機器追蹤器")</f>
        <v>虛擬機器追蹤器</v>
      </c>
      <c r="AB112" s="4" t="str">
        <f>IFERROR(__xludf.DUMMYFUNCTION("GOOGLETRANSLATE(B112,""en"",""ja"")"),"VMトラッカー")</f>
        <v>VMトラッカー</v>
      </c>
      <c r="AC112" s="4" t="str">
        <f>IFERROR(__xludf.DUMMYFUNCTION("GOOGLETRANSLATE(B112,""en"",""bg"")"),"VM тракер")</f>
        <v>VM тракер</v>
      </c>
      <c r="AD112" s="4" t="str">
        <f>IFERROR(__xludf.DUMMYFUNCTION("GOOGLETRANSLATE(B112,""en"",""cs"")"),"VM Tracker")</f>
        <v>VM Tracker</v>
      </c>
      <c r="AE112" s="4" t="str">
        <f>IFERROR(__xludf.DUMMYFUNCTION("GOOGLETRANSLATE(B112,""en"",""da"")"),"VM Tracker")</f>
        <v>VM Tracker</v>
      </c>
      <c r="AF112" s="4" t="str">
        <f>IFERROR(__xludf.DUMMYFUNCTION("GOOGLETRANSLATE(B112,""en"",""el"")"),"VM Tracker")</f>
        <v>VM Tracker</v>
      </c>
      <c r="AG112" s="4" t="str">
        <f>IFERROR(__xludf.DUMMYFUNCTION("GOOGLETRANSLATE(B112,""en"",""et"")"),"VM Tracker")</f>
        <v>VM Tracker</v>
      </c>
      <c r="AH112" s="4" t="str">
        <f>IFERROR(__xludf.DUMMYFUNCTION("GOOGLETRANSLATE(B112,""en"",""fi"")"),"VM Tracker")</f>
        <v>VM Tracker</v>
      </c>
      <c r="AI112" s="4" t="str">
        <f>IFERROR(__xludf.DUMMYFUNCTION("GOOGLETRANSLATE(B112,""en"",""hr"")"),"VM Tracker")</f>
        <v>VM Tracker</v>
      </c>
      <c r="AJ112" s="4" t="str">
        <f>IFERROR(__xludf.DUMMYFUNCTION("GOOGLETRANSLATE(B112,""en"",""hu"")"),"VM Tracker")</f>
        <v>VM Tracker</v>
      </c>
      <c r="AK112" s="4" t="str">
        <f>IFERROR(__xludf.DUMMYFUNCTION("GOOGLETRANSLATE(B112,""en"",""hy"")"),"VM Tracker")</f>
        <v>VM Tracker</v>
      </c>
      <c r="AL112" s="4" t="str">
        <f>IFERROR(__xludf.DUMMYFUNCTION("GOOGLETRANSLATE(B112,""en"",""ca"")"),"VM Tracker")</f>
        <v>VM Tracker</v>
      </c>
      <c r="AM112" s="4" t="str">
        <f>IFERROR(__xludf.DUMMYFUNCTION("GOOGLETRANSLATE(B112,""en"",""nl"")"),"VM-tracker")</f>
        <v>VM-tracker</v>
      </c>
      <c r="AN112" s="4" t="str">
        <f>IFERROR(__xludf.DUMMYFUNCTION("GOOGLETRANSLATE(B112,""en"",""he"")"),"VM Tracker")</f>
        <v>VM Tracker</v>
      </c>
      <c r="AO112" s="4" t="str">
        <f>IFERROR(__xludf.DUMMYFUNCTION("GOOGLETRANSLATE(B112,""en"",""is"")"),"VM rekja spor einhvers")</f>
        <v>VM rekja spor einhvers</v>
      </c>
      <c r="AP112" s="4" t="str">
        <f>IFERROR(__xludf.DUMMYFUNCTION("GOOGLETRANSLATE(B112,""en"",""no"")"),"VM Tracker")</f>
        <v>VM Tracker</v>
      </c>
      <c r="AQ112" s="4" t="str">
        <f>IFERROR(__xludf.DUMMYFUNCTION("GOOGLETRANSLATE(B112,""en"",""fa"")"),"VM Tracker")</f>
        <v>VM Tracker</v>
      </c>
      <c r="AR112" s="4" t="str">
        <f>IFERROR(__xludf.DUMMYFUNCTION("GOOGLETRANSLATE(B112,""en"",""pl"")"),"Śledzenie maszyn wirtualnych")</f>
        <v>Śledzenie maszyn wirtualnych</v>
      </c>
      <c r="AS112" s="4" t="str">
        <f>IFERROR(__xludf.DUMMYFUNCTION("GOOGLETRANSLATE(B112,""en"",""sv"")"),"VM Tracker")</f>
        <v>VM Tracker</v>
      </c>
      <c r="AT112" s="4" t="str">
        <f>IFERROR(__xludf.DUMMYFUNCTION("GOOGLETRANSLATE(B112,""en"",""uk"")"),"VM Tracker")</f>
        <v>VM Tracker</v>
      </c>
      <c r="AU112" s="4" t="str">
        <f>IFERROR(__xludf.DUMMYFUNCTION("GOOGLETRANSLATE(B112,""en"",""zu"")"),"I-VM Tracker")</f>
        <v>I-VM Tracker</v>
      </c>
      <c r="AV112" s="4" t="str">
        <f>IFERROR(__xludf.DUMMYFUNCTION("GOOGLETRANSLATE(B112,""en"",""sr"")"),"ВМ Трацкер")</f>
        <v>ВМ Трацкер</v>
      </c>
    </row>
    <row r="113">
      <c r="A113" s="3" t="s">
        <v>261</v>
      </c>
      <c r="B113" s="3" t="s">
        <v>262</v>
      </c>
      <c r="C113" s="4" t="str">
        <f>IFERROR(__xludf.DUMMYFUNCTION("GOOGLETRANSLATE(B113,""en"",""ta"")"),"உங்கள் இருப்பிடத்தைக் கண்காணிக்கவும்")</f>
        <v>உங்கள் இருப்பிடத்தைக் கண்காணிக்கவும்</v>
      </c>
      <c r="D113" s="4" t="str">
        <f>IFERROR(__xludf.DUMMYFUNCTION("GOOGLETRANSLATE(B113,""en"",""hi"")"),"अपना स्थान ट्रैक करें")</f>
        <v>अपना स्थान ट्रैक करें</v>
      </c>
      <c r="E113" s="4" t="str">
        <f>IFERROR(__xludf.DUMMYFUNCTION("GOOGLETRANSLATE(B113,""en"",""id"")"),"Lacak lokasi Anda")</f>
        <v>Lacak lokasi Anda</v>
      </c>
      <c r="F113" s="4" t="str">
        <f>IFERROR(__xludf.DUMMYFUNCTION("GOOGLETRANSLATE(B113,""en"",""ms"")"),"Jejaki lokasi anda")</f>
        <v>Jejaki lokasi anda</v>
      </c>
      <c r="G113" s="4" t="str">
        <f>IFERROR(__xludf.DUMMYFUNCTION("GOOGLETRANSLATE(B113,""en"",""de"")"),"Verfolgen Sie Ihren Standort")</f>
        <v>Verfolgen Sie Ihren Standort</v>
      </c>
      <c r="H113" s="4" t="str">
        <f>IFERROR(__xludf.DUMMYFUNCTION("GOOGLETRANSLATE(B113,""en"",""es"")"),"Rastrear tu ubicación")</f>
        <v>Rastrear tu ubicación</v>
      </c>
      <c r="I113" s="4" t="str">
        <f>IFERROR(__xludf.DUMMYFUNCTION("GOOGLETRANSLATE(B113,""en"",""fr"")"),"Suivez votre position")</f>
        <v>Suivez votre position</v>
      </c>
      <c r="J113" s="4" t="str">
        <f>IFERROR(__xludf.DUMMYFUNCTION("GOOGLETRANSLATE(B113,""en"",""it"")"),"Tieni traccia della tua posizione")</f>
        <v>Tieni traccia della tua posizione</v>
      </c>
      <c r="K113" s="4" t="str">
        <f>IFERROR(__xludf.DUMMYFUNCTION("GOOGLETRANSLATE(B113,""en"",""pt"")"),"Rastreie sua localização")</f>
        <v>Rastreie sua localização</v>
      </c>
      <c r="L113" s="4" t="str">
        <f>IFERROR(__xludf.DUMMYFUNCTION("GOOGLETRANSLATE(B113,""en"",""ro"")"),"Urmăriți-vă locația")</f>
        <v>Urmăriți-vă locația</v>
      </c>
      <c r="M113" s="4" t="str">
        <f>IFERROR(__xludf.DUMMYFUNCTION("GOOGLETRANSLATE(B113,""en"",""vi"")"),"Theo dõi vị trí của bạn")</f>
        <v>Theo dõi vị trí của bạn</v>
      </c>
      <c r="N113" s="4" t="str">
        <f>IFERROR(__xludf.DUMMYFUNCTION("GOOGLETRANSLATE(B113,""en"",""ru"")"),"Отслеживайте свое местоположение")</f>
        <v>Отслеживайте свое местоположение</v>
      </c>
      <c r="O113" s="4" t="str">
        <f>IFERROR(__xludf.DUMMYFUNCTION("GOOGLETRANSLATE(B113,""en"",""tr"")"),"Konumunuzu takip edin")</f>
        <v>Konumunuzu takip edin</v>
      </c>
      <c r="P113" s="4" t="str">
        <f>IFERROR(__xludf.DUMMYFUNCTION("GOOGLETRANSLATE(B113,""en"",""ar"")"),"تتبع موقعك")</f>
        <v>تتبع موقعك</v>
      </c>
      <c r="Q113" s="4" t="str">
        <f>IFERROR(__xludf.DUMMYFUNCTION("GOOGLETRANSLATE(B113,""en"",""mr"")"),"तुमचे स्थान ट्रॅक करा")</f>
        <v>तुमचे स्थान ट्रॅक करा</v>
      </c>
      <c r="R113" s="4" t="str">
        <f>IFERROR(__xludf.DUMMYFUNCTION("GOOGLETRANSLATE(B113,""en"",""gu"")"),"તમારું સ્થાન ટ્રૅક કરો")</f>
        <v>તમારું સ્થાન ટ્રૅક કરો</v>
      </c>
      <c r="S113" s="4" t="str">
        <f>IFERROR(__xludf.DUMMYFUNCTION("GOOGLETRANSLATE(B113,""en"",""bn"")"),"আপনার অবস্থান ট্র্যাক")</f>
        <v>আপনার অবস্থান ট্র্যাক</v>
      </c>
      <c r="T113" s="4" t="str">
        <f>IFERROR(__xludf.DUMMYFUNCTION("GOOGLETRANSLATE(B113,""en"",""pa"")"),"ਆਪਣੇ ਟਿਕਾਣੇ ਨੂੰ ਟਰੈਕ ਕਰੋ")</f>
        <v>ਆਪਣੇ ਟਿਕਾਣੇ ਨੂੰ ਟਰੈਕ ਕਰੋ</v>
      </c>
      <c r="U113" s="4" t="str">
        <f>IFERROR(__xludf.DUMMYFUNCTION("GOOGLETRANSLATE(B113,""en"",""te"")"),"మీ స్థానాన్ని ట్రాక్ చేయండి")</f>
        <v>మీ స్థానాన్ని ట్రాక్ చేయండి</v>
      </c>
      <c r="V113" s="4" t="str">
        <f>IFERROR(__xludf.DUMMYFUNCTION("GOOGLETRANSLATE(B113,""en"",""kn"")"),"ನಿಮ್ಮ ಸ್ಥಳವನ್ನು ಟ್ರ್ಯಾಕ್ ಮಾಡಿ")</f>
        <v>ನಿಮ್ಮ ಸ್ಥಳವನ್ನು ಟ್ರ್ಯಾಕ್ ಮಾಡಿ</v>
      </c>
      <c r="W113" s="4" t="str">
        <f>IFERROR(__xludf.DUMMYFUNCTION("GOOGLETRANSLATE(B113,""en"",""ml"")"),"നിങ്ങളുടെ സ്ഥാനം ട്രാക്ക് ചെയ്യുക")</f>
        <v>നിങ്ങളുടെ സ്ഥാനം ട്രാക്ക് ചെയ്യുക</v>
      </c>
      <c r="X113" s="4" t="str">
        <f>IFERROR(__xludf.DUMMYFUNCTION("GOOGLETRANSLATE(B113,""en"",""th"")"),"ติดตามตำแหน่งของคุณ")</f>
        <v>ติดตามตำแหน่งของคุณ</v>
      </c>
      <c r="Y113" s="4" t="str">
        <f>IFERROR(__xludf.DUMMYFUNCTION("GOOGLETRANSLATE(B113,""en"",""ko"")"),"위치 추적")</f>
        <v>위치 추적</v>
      </c>
      <c r="Z113" s="4" t="str">
        <f>IFERROR(__xludf.DUMMYFUNCTION("GOOGLETRANSLATE(B113,""en"",""zh"")"),"追踪您的位置")</f>
        <v>追踪您的位置</v>
      </c>
      <c r="AA113" s="4" t="str">
        <f>IFERROR(__xludf.DUMMYFUNCTION("GOOGLETRANSLATE(B113,""en"",""zh-TW"")"),"追蹤您的位置")</f>
        <v>追蹤您的位置</v>
      </c>
      <c r="AB113" s="4" t="str">
        <f>IFERROR(__xludf.DUMMYFUNCTION("GOOGLETRANSLATE(B113,""en"",""ja"")"),"あなたの位置を追跡する")</f>
        <v>あなたの位置を追跡する</v>
      </c>
      <c r="AC113" s="4" t="str">
        <f>IFERROR(__xludf.DUMMYFUNCTION("GOOGLETRANSLATE(B113,""en"",""bg"")"),"Проследете местоположението си")</f>
        <v>Проследете местоположението си</v>
      </c>
      <c r="AD113" s="4" t="str">
        <f>IFERROR(__xludf.DUMMYFUNCTION("GOOGLETRANSLATE(B113,""en"",""cs"")"),"Sledujte svou polohu")</f>
        <v>Sledujte svou polohu</v>
      </c>
      <c r="AE113" s="4" t="str">
        <f>IFERROR(__xludf.DUMMYFUNCTION("GOOGLETRANSLATE(B113,""en"",""da"")"),"Spor din placering")</f>
        <v>Spor din placering</v>
      </c>
      <c r="AF113" s="4" t="str">
        <f>IFERROR(__xludf.DUMMYFUNCTION("GOOGLETRANSLATE(B113,""en"",""el"")"),"Παρακολουθήστε την τοποθεσία σας")</f>
        <v>Παρακολουθήστε την τοποθεσία σας</v>
      </c>
      <c r="AG113" s="4" t="str">
        <f>IFERROR(__xludf.DUMMYFUNCTION("GOOGLETRANSLATE(B113,""en"",""et"")"),"Jälgige oma asukohta")</f>
        <v>Jälgige oma asukohta</v>
      </c>
      <c r="AH113" s="4" t="str">
        <f>IFERROR(__xludf.DUMMYFUNCTION("GOOGLETRANSLATE(B113,""en"",""fi"")"),"Seuraa sijaintiasi")</f>
        <v>Seuraa sijaintiasi</v>
      </c>
      <c r="AI113" s="4" t="str">
        <f>IFERROR(__xludf.DUMMYFUNCTION("GOOGLETRANSLATE(B113,""en"",""hr"")"),"Pratite svoju lokaciju")</f>
        <v>Pratite svoju lokaciju</v>
      </c>
      <c r="AJ113" s="4" t="str">
        <f>IFERROR(__xludf.DUMMYFUNCTION("GOOGLETRANSLATE(B113,""en"",""hu"")"),"Kövesse nyomon a tartózkodási helyét")</f>
        <v>Kövesse nyomon a tartózkodási helyét</v>
      </c>
      <c r="AK113" s="4" t="str">
        <f>IFERROR(__xludf.DUMMYFUNCTION("GOOGLETRANSLATE(B113,""en"",""hy"")"),"Հետևեք ձեր գտնվելու վայրին")</f>
        <v>Հետևեք ձեր գտնվելու վայրին</v>
      </c>
      <c r="AL113" s="4" t="str">
        <f>IFERROR(__xludf.DUMMYFUNCTION("GOOGLETRANSLATE(B113,""en"",""ca"")"),"Feu un seguiment de la vostra ubicació")</f>
        <v>Feu un seguiment de la vostra ubicació</v>
      </c>
      <c r="AM113" s="4" t="str">
        <f>IFERROR(__xludf.DUMMYFUNCTION("GOOGLETRANSLATE(B113,""en"",""nl"")"),"Volg uw locatie")</f>
        <v>Volg uw locatie</v>
      </c>
      <c r="AN113" s="4" t="str">
        <f>IFERROR(__xludf.DUMMYFUNCTION("GOOGLETRANSLATE(B113,""en"",""he"")"),"עקוב אחר המיקום שלך")</f>
        <v>עקוב אחר המיקום שלך</v>
      </c>
      <c r="AO113" s="4" t="str">
        <f>IFERROR(__xludf.DUMMYFUNCTION("GOOGLETRANSLATE(B113,""en"",""is"")"),"Fylgstu með staðsetningu þinni")</f>
        <v>Fylgstu með staðsetningu þinni</v>
      </c>
      <c r="AP113" s="4" t="str">
        <f>IFERROR(__xludf.DUMMYFUNCTION("GOOGLETRANSLATE(B113,""en"",""no"")"),"Spor posisjonen din")</f>
        <v>Spor posisjonen din</v>
      </c>
      <c r="AQ113" s="4" t="str">
        <f>IFERROR(__xludf.DUMMYFUNCTION("GOOGLETRANSLATE(B113,""en"",""fa"")"),"موقعیت مکانی خود را ردیابی کنید")</f>
        <v>موقعیت مکانی خود را ردیابی کنید</v>
      </c>
      <c r="AR113" s="4" t="str">
        <f>IFERROR(__xludf.DUMMYFUNCTION("GOOGLETRANSLATE(B113,""en"",""pl"")"),"Śledź swoją lokalizację")</f>
        <v>Śledź swoją lokalizację</v>
      </c>
      <c r="AS113" s="4" t="str">
        <f>IFERROR(__xludf.DUMMYFUNCTION("GOOGLETRANSLATE(B113,""en"",""sv"")"),"Spåra din plats")</f>
        <v>Spåra din plats</v>
      </c>
      <c r="AT113" s="4" t="str">
        <f>IFERROR(__xludf.DUMMYFUNCTION("GOOGLETRANSLATE(B113,""en"",""uk"")"),"Відстежуйте своє місцезнаходження")</f>
        <v>Відстежуйте своє місцезнаходження</v>
      </c>
      <c r="AU113" s="4" t="str">
        <f>IFERROR(__xludf.DUMMYFUNCTION("GOOGLETRANSLATE(B113,""en"",""zu"")"),"Landelela indawo yakho")</f>
        <v>Landelela indawo yakho</v>
      </c>
      <c r="AV113" s="4" t="str">
        <f>IFERROR(__xludf.DUMMYFUNCTION("GOOGLETRANSLATE(B113,""en"",""sr"")"),"Пратите своју локацију")</f>
        <v>Пратите своју локацију</v>
      </c>
    </row>
    <row r="114">
      <c r="A114" s="3" t="s">
        <v>263</v>
      </c>
      <c r="B114" s="3" t="s">
        <v>264</v>
      </c>
      <c r="C114" s="4" t="str">
        <f>IFERROR(__xludf.DUMMYFUNCTION("GOOGLETRANSLATE(B114,""en"",""ta"")"),"எங்களுடன் இணைக்கவும்")</f>
        <v>எங்களுடன் இணைக்கவும்</v>
      </c>
      <c r="D114" s="4" t="str">
        <f>IFERROR(__xludf.DUMMYFUNCTION("GOOGLETRANSLATE(B114,""en"",""hi"")"),"हमारे साथ जुड़ें")</f>
        <v>हमारे साथ जुड़ें</v>
      </c>
      <c r="E114" s="4" t="str">
        <f>IFERROR(__xludf.DUMMYFUNCTION("GOOGLETRANSLATE(B114,""en"",""id"")"),"Hubungi Kami")</f>
        <v>Hubungi Kami</v>
      </c>
      <c r="F114" s="4" t="str">
        <f>IFERROR(__xludf.DUMMYFUNCTION("GOOGLETRANSLATE(B114,""en"",""ms"")"),"Berhubung Dengan Kami")</f>
        <v>Berhubung Dengan Kami</v>
      </c>
      <c r="G114" s="4" t="str">
        <f>IFERROR(__xludf.DUMMYFUNCTION("GOOGLETRANSLATE(B114,""en"",""de"")"),"Kontaktieren Sie uns")</f>
        <v>Kontaktieren Sie uns</v>
      </c>
      <c r="H114" s="4" t="str">
        <f>IFERROR(__xludf.DUMMYFUNCTION("GOOGLETRANSLATE(B114,""en"",""es"")"),"Conéctate con nosotros")</f>
        <v>Conéctate con nosotros</v>
      </c>
      <c r="I114" s="4" t="str">
        <f>IFERROR(__xludf.DUMMYFUNCTION("GOOGLETRANSLATE(B114,""en"",""fr"")"),"Connectez-vous avec nous")</f>
        <v>Connectez-vous avec nous</v>
      </c>
      <c r="J114" s="4" t="str">
        <f>IFERROR(__xludf.DUMMYFUNCTION("GOOGLETRANSLATE(B114,""en"",""it"")"),"Connettiti con noi")</f>
        <v>Connettiti con noi</v>
      </c>
      <c r="K114" s="4" t="str">
        <f>IFERROR(__xludf.DUMMYFUNCTION("GOOGLETRANSLATE(B114,""en"",""pt"")"),"Conecte-se conosco")</f>
        <v>Conecte-se conosco</v>
      </c>
      <c r="L114" s="4" t="str">
        <f>IFERROR(__xludf.DUMMYFUNCTION("GOOGLETRANSLATE(B114,""en"",""ro"")"),"Conectează-te cu noi")</f>
        <v>Conectează-te cu noi</v>
      </c>
      <c r="M114" s="4" t="str">
        <f>IFERROR(__xludf.DUMMYFUNCTION("GOOGLETRANSLATE(B114,""en"",""vi"")"),"Kết nối với chúng tôi")</f>
        <v>Kết nối với chúng tôi</v>
      </c>
      <c r="N114" s="4" t="str">
        <f>IFERROR(__xludf.DUMMYFUNCTION("GOOGLETRANSLATE(B114,""en"",""ru"")"),"Свяжитесь с нами")</f>
        <v>Свяжитесь с нами</v>
      </c>
      <c r="O114" s="4" t="str">
        <f>IFERROR(__xludf.DUMMYFUNCTION("GOOGLETRANSLATE(B114,""en"",""tr"")"),"Bizimle Bağlantı Kurun")</f>
        <v>Bizimle Bağlantı Kurun</v>
      </c>
      <c r="P114" s="4" t="str">
        <f>IFERROR(__xludf.DUMMYFUNCTION("GOOGLETRANSLATE(B114,""en"",""ar"")"),"تواصل معنا")</f>
        <v>تواصل معنا</v>
      </c>
      <c r="Q114" s="4" t="str">
        <f>IFERROR(__xludf.DUMMYFUNCTION("GOOGLETRANSLATE(B114,""en"",""mr"")"),"आमच्याशी कनेक्ट व्हा")</f>
        <v>आमच्याशी कनेक्ट व्हा</v>
      </c>
      <c r="R114" s="4" t="str">
        <f>IFERROR(__xludf.DUMMYFUNCTION("GOOGLETRANSLATE(B114,""en"",""gu"")"),"અમારી સાથે જોડાઓ")</f>
        <v>અમારી સાથે જોડાઓ</v>
      </c>
      <c r="S114" s="4" t="str">
        <f>IFERROR(__xludf.DUMMYFUNCTION("GOOGLETRANSLATE(B114,""en"",""bn"")"),"আমাদের সাথে সংযোগ করুন")</f>
        <v>আমাদের সাথে সংযোগ করুন</v>
      </c>
      <c r="T114" s="4" t="str">
        <f>IFERROR(__xludf.DUMMYFUNCTION("GOOGLETRANSLATE(B114,""en"",""pa"")"),"ਸਾਡੇ ਨਾਲ ਜੁੜੋ")</f>
        <v>ਸਾਡੇ ਨਾਲ ਜੁੜੋ</v>
      </c>
      <c r="U114" s="4" t="str">
        <f>IFERROR(__xludf.DUMMYFUNCTION("GOOGLETRANSLATE(B114,""en"",""te"")"),"మాతో కనెక్ట్ అవ్వండి")</f>
        <v>మాతో కనెక్ట్ అవ్వండి</v>
      </c>
      <c r="V114" s="4" t="str">
        <f>IFERROR(__xludf.DUMMYFUNCTION("GOOGLETRANSLATE(B114,""en"",""kn"")"),"ನಮ್ಮೊಂದಿಗೆ ಸಂಪರ್ಕ ಸಾಧಿಸಿ")</f>
        <v>ನಮ್ಮೊಂದಿಗೆ ಸಂಪರ್ಕ ಸಾಧಿಸಿ</v>
      </c>
      <c r="W114" s="4" t="str">
        <f>IFERROR(__xludf.DUMMYFUNCTION("GOOGLETRANSLATE(B114,""en"",""ml"")"),"ഞങ്ങളുമായി ബന്ധപ്പെടുക")</f>
        <v>ഞങ്ങളുമായി ബന്ധപ്പെടുക</v>
      </c>
      <c r="X114" s="4" t="str">
        <f>IFERROR(__xludf.DUMMYFUNCTION("GOOGLETRANSLATE(B114,""en"",""th"")"),"เชื่อมต่อกับเรา")</f>
        <v>เชื่อมต่อกับเรา</v>
      </c>
      <c r="Y114" s="4" t="str">
        <f>IFERROR(__xludf.DUMMYFUNCTION("GOOGLETRANSLATE(B114,""en"",""ko"")"),"저희와 연결하세요")</f>
        <v>저희와 연결하세요</v>
      </c>
      <c r="Z114" s="4" t="str">
        <f>IFERROR(__xludf.DUMMYFUNCTION("GOOGLETRANSLATE(B114,""en"",""zh"")"),"与我们联系")</f>
        <v>与我们联系</v>
      </c>
      <c r="AA114" s="4" t="str">
        <f>IFERROR(__xludf.DUMMYFUNCTION("GOOGLETRANSLATE(B114,""en"",""zh-TW"")"),"與我們聯繫")</f>
        <v>與我們聯繫</v>
      </c>
      <c r="AB114" s="4" t="str">
        <f>IFERROR(__xludf.DUMMYFUNCTION("GOOGLETRANSLATE(B114,""en"",""ja"")"),"私たちとつながる")</f>
        <v>私たちとつながる</v>
      </c>
      <c r="AC114" s="4" t="str">
        <f>IFERROR(__xludf.DUMMYFUNCTION("GOOGLETRANSLATE(B114,""en"",""bg"")"),"Свържете се с нас")</f>
        <v>Свържете се с нас</v>
      </c>
      <c r="AD114" s="4" t="str">
        <f>IFERROR(__xludf.DUMMYFUNCTION("GOOGLETRANSLATE(B114,""en"",""cs"")"),"Spojte se s námi")</f>
        <v>Spojte se s námi</v>
      </c>
      <c r="AE114" s="4" t="str">
        <f>IFERROR(__xludf.DUMMYFUNCTION("GOOGLETRANSLATE(B114,""en"",""da"")"),"Forbind med os")</f>
        <v>Forbind med os</v>
      </c>
      <c r="AF114" s="4" t="str">
        <f>IFERROR(__xludf.DUMMYFUNCTION("GOOGLETRANSLATE(B114,""en"",""el"")"),"Συνδεθείτε μαζί μας")</f>
        <v>Συνδεθείτε μαζί μας</v>
      </c>
      <c r="AG114" s="4" t="str">
        <f>IFERROR(__xludf.DUMMYFUNCTION("GOOGLETRANSLATE(B114,""en"",""et"")"),"Võtke meiega ühendust")</f>
        <v>Võtke meiega ühendust</v>
      </c>
      <c r="AH114" s="4" t="str">
        <f>IFERROR(__xludf.DUMMYFUNCTION("GOOGLETRANSLATE(B114,""en"",""fi"")"),"Ota yhteyttä meihin")</f>
        <v>Ota yhteyttä meihin</v>
      </c>
      <c r="AI114" s="4" t="str">
        <f>IFERROR(__xludf.DUMMYFUNCTION("GOOGLETRANSLATE(B114,""en"",""hr"")"),"Povežite se s nama")</f>
        <v>Povežite se s nama</v>
      </c>
      <c r="AJ114" s="4" t="str">
        <f>IFERROR(__xludf.DUMMYFUNCTION("GOOGLETRANSLATE(B114,""en"",""hu"")"),"Kapcsolatba lép velünk")</f>
        <v>Kapcsolatba lép velünk</v>
      </c>
      <c r="AK114" s="4" t="str">
        <f>IFERROR(__xludf.DUMMYFUNCTION("GOOGLETRANSLATE(B114,""en"",""hy"")"),"Միացեք մեզ հետ")</f>
        <v>Միացեք մեզ հետ</v>
      </c>
      <c r="AL114" s="4" t="str">
        <f>IFERROR(__xludf.DUMMYFUNCTION("GOOGLETRANSLATE(B114,""en"",""ca"")"),"Connecta't amb nosaltres")</f>
        <v>Connecta't amb nosaltres</v>
      </c>
      <c r="AM114" s="4" t="str">
        <f>IFERROR(__xludf.DUMMYFUNCTION("GOOGLETRANSLATE(B114,""en"",""nl"")"),"Neem contact met ons op")</f>
        <v>Neem contact met ons op</v>
      </c>
      <c r="AN114" s="4" t="str">
        <f>IFERROR(__xludf.DUMMYFUNCTION("GOOGLETRANSLATE(B114,""en"",""he"")"),"התחבר אלינו")</f>
        <v>התחבר אלינו</v>
      </c>
      <c r="AO114" s="4" t="str">
        <f>IFERROR(__xludf.DUMMYFUNCTION("GOOGLETRANSLATE(B114,""en"",""is"")"),"Tengstu við okkur")</f>
        <v>Tengstu við okkur</v>
      </c>
      <c r="AP114" s="4" t="str">
        <f>IFERROR(__xludf.DUMMYFUNCTION("GOOGLETRANSLATE(B114,""en"",""no"")"),"Ta kontakt med oss")</f>
        <v>Ta kontakt med oss</v>
      </c>
      <c r="AQ114" s="4" t="str">
        <f>IFERROR(__xludf.DUMMYFUNCTION("GOOGLETRANSLATE(B114,""en"",""fa"")"),"ارتباط با ما")</f>
        <v>ارتباط با ما</v>
      </c>
      <c r="AR114" s="4" t="str">
        <f>IFERROR(__xludf.DUMMYFUNCTION("GOOGLETRANSLATE(B114,""en"",""pl"")"),"Połącz się z nami")</f>
        <v>Połącz się z nami</v>
      </c>
      <c r="AS114" s="4" t="str">
        <f>IFERROR(__xludf.DUMMYFUNCTION("GOOGLETRANSLATE(B114,""en"",""sv"")"),"Anslut med oss")</f>
        <v>Anslut med oss</v>
      </c>
      <c r="AT114" s="4" t="str">
        <f>IFERROR(__xludf.DUMMYFUNCTION("GOOGLETRANSLATE(B114,""en"",""uk"")"),"Зв'яжіться з нами")</f>
        <v>Зв'яжіться з нами</v>
      </c>
      <c r="AU114" s="4" t="str">
        <f>IFERROR(__xludf.DUMMYFUNCTION("GOOGLETRANSLATE(B114,""en"",""zu"")"),"Xhuma nathi")</f>
        <v>Xhuma nathi</v>
      </c>
      <c r="AV114" s="4" t="str">
        <f>IFERROR(__xludf.DUMMYFUNCTION("GOOGLETRANSLATE(B114,""en"",""sr"")"),"Повежите се са нама")</f>
        <v>Повежите се са нама</v>
      </c>
    </row>
    <row r="115">
      <c r="A115" s="3" t="s">
        <v>265</v>
      </c>
      <c r="B115" s="3" t="s">
        <v>266</v>
      </c>
      <c r="C115" s="4" t="str">
        <f>IFERROR(__xludf.DUMMYFUNCTION("GOOGLETRANSLATE(B115,""en"",""ta"")"),"எங்கள் பயன்பாடுகளைப் பதிவிறக்கவும்")</f>
        <v>எங்கள் பயன்பாடுகளைப் பதிவிறக்கவும்</v>
      </c>
      <c r="D115" s="4" t="str">
        <f>IFERROR(__xludf.DUMMYFUNCTION("GOOGLETRANSLATE(B115,""en"",""hi"")"),"हमारे ऐप्स डाउनलोड करें")</f>
        <v>हमारे ऐप्स डाउनलोड करें</v>
      </c>
      <c r="E115" s="4" t="str">
        <f>IFERROR(__xludf.DUMMYFUNCTION("GOOGLETRANSLATE(B115,""en"",""id"")"),"Unduh Aplikasi Kami")</f>
        <v>Unduh Aplikasi Kami</v>
      </c>
      <c r="F115" s="4" t="str">
        <f>IFERROR(__xludf.DUMMYFUNCTION("GOOGLETRANSLATE(B115,""en"",""ms"")"),"Muat turun Apl Kami")</f>
        <v>Muat turun Apl Kami</v>
      </c>
      <c r="G115" s="4" t="str">
        <f>IFERROR(__xludf.DUMMYFUNCTION("GOOGLETRANSLATE(B115,""en"",""de"")"),"Laden Sie unsere Apps herunter")</f>
        <v>Laden Sie unsere Apps herunter</v>
      </c>
      <c r="H115" s="4" t="str">
        <f>IFERROR(__xludf.DUMMYFUNCTION("GOOGLETRANSLATE(B115,""en"",""es"")"),"Descarga nuestras aplicaciones")</f>
        <v>Descarga nuestras aplicaciones</v>
      </c>
      <c r="I115" s="4" t="str">
        <f>IFERROR(__xludf.DUMMYFUNCTION("GOOGLETRANSLATE(B115,""en"",""fr"")"),"Téléchargez nos applications")</f>
        <v>Téléchargez nos applications</v>
      </c>
      <c r="J115" s="4" t="str">
        <f>IFERROR(__xludf.DUMMYFUNCTION("GOOGLETRANSLATE(B115,""en"",""it"")"),"Scarica le nostre app")</f>
        <v>Scarica le nostre app</v>
      </c>
      <c r="K115" s="4" t="str">
        <f>IFERROR(__xludf.DUMMYFUNCTION("GOOGLETRANSLATE(B115,""en"",""pt"")"),"Baixe nossos aplicativos")</f>
        <v>Baixe nossos aplicativos</v>
      </c>
      <c r="L115" s="4" t="str">
        <f>IFERROR(__xludf.DUMMYFUNCTION("GOOGLETRANSLATE(B115,""en"",""ro"")"),"Descărcați aplicațiile noastre")</f>
        <v>Descărcați aplicațiile noastre</v>
      </c>
      <c r="M115" s="4" t="str">
        <f>IFERROR(__xludf.DUMMYFUNCTION("GOOGLETRANSLATE(B115,""en"",""vi"")"),"Tải xuống ứng dụng của chúng tôi")</f>
        <v>Tải xuống ứng dụng của chúng tôi</v>
      </c>
      <c r="N115" s="4" t="str">
        <f>IFERROR(__xludf.DUMMYFUNCTION("GOOGLETRANSLATE(B115,""en"",""ru"")"),"Загрузите наши приложения")</f>
        <v>Загрузите наши приложения</v>
      </c>
      <c r="O115" s="4" t="str">
        <f>IFERROR(__xludf.DUMMYFUNCTION("GOOGLETRANSLATE(B115,""en"",""tr"")"),"Uygulamalarımızı İndirin")</f>
        <v>Uygulamalarımızı İndirin</v>
      </c>
      <c r="P115" s="4" t="str">
        <f>IFERROR(__xludf.DUMMYFUNCTION("GOOGLETRANSLATE(B115,""en"",""ar"")"),"قم بتنزيل تطبيقاتنا")</f>
        <v>قم بتنزيل تطبيقاتنا</v>
      </c>
      <c r="Q115" s="4" t="str">
        <f>IFERROR(__xludf.DUMMYFUNCTION("GOOGLETRANSLATE(B115,""en"",""mr"")"),"आमचे ॲप्स डाउनलोड करा")</f>
        <v>आमचे ॲप्स डाउनलोड करा</v>
      </c>
      <c r="R115" s="4" t="str">
        <f>IFERROR(__xludf.DUMMYFUNCTION("GOOGLETRANSLATE(B115,""en"",""gu"")"),"અમારી એપ્સ ડાઉનલોડ કરો")</f>
        <v>અમારી એપ્સ ડાઉનલોડ કરો</v>
      </c>
      <c r="S115" s="4" t="str">
        <f>IFERROR(__xludf.DUMMYFUNCTION("GOOGLETRANSLATE(B115,""en"",""bn"")"),"আমাদের অ্যাপস ডাউনলোড করুন")</f>
        <v>আমাদের অ্যাপস ডাউনলোড করুন</v>
      </c>
      <c r="T115" s="4" t="str">
        <f>IFERROR(__xludf.DUMMYFUNCTION("GOOGLETRANSLATE(B115,""en"",""pa"")"),"ਸਾਡੀਆਂ ਐਪਾਂ ਨੂੰ ਡਾਊਨਲੋਡ ਕਰੋ")</f>
        <v>ਸਾਡੀਆਂ ਐਪਾਂ ਨੂੰ ਡਾਊਨਲੋਡ ਕਰੋ</v>
      </c>
      <c r="U115" s="4" t="str">
        <f>IFERROR(__xludf.DUMMYFUNCTION("GOOGLETRANSLATE(B115,""en"",""te"")"),"మా యాప్‌లను డౌన్‌లోడ్ చేయండి")</f>
        <v>మా యాప్‌లను డౌన్‌లోడ్ చేయండి</v>
      </c>
      <c r="V115" s="4" t="str">
        <f>IFERROR(__xludf.DUMMYFUNCTION("GOOGLETRANSLATE(B115,""en"",""kn"")"),"ನಮ್ಮ ಅಪ್ಲಿಕೇಶನ್‌ಗಳನ್ನು ಡೌನ್‌ಲೋಡ್ ಮಾಡಿ")</f>
        <v>ನಮ್ಮ ಅಪ್ಲಿಕೇಶನ್‌ಗಳನ್ನು ಡೌನ್‌ಲೋಡ್ ಮಾಡಿ</v>
      </c>
      <c r="W115" s="4" t="str">
        <f>IFERROR(__xludf.DUMMYFUNCTION("GOOGLETRANSLATE(B115,""en"",""ml"")"),"ഞങ്ങളുടെ ആപ്പുകൾ ഡൗൺലോഡ് ചെയ്യുക")</f>
        <v>ഞങ്ങളുടെ ആപ്പുകൾ ഡൗൺലോഡ് ചെയ്യുക</v>
      </c>
      <c r="X115" s="4" t="str">
        <f>IFERROR(__xludf.DUMMYFUNCTION("GOOGLETRANSLATE(B115,""en"",""th"")"),"ดาวน์โหลดแอพของเรา")</f>
        <v>ดาวน์โหลดแอพของเรา</v>
      </c>
      <c r="Y115" s="4" t="str">
        <f>IFERROR(__xludf.DUMMYFUNCTION("GOOGLETRANSLATE(B115,""en"",""ko"")"),"앱을 다운로드하세요")</f>
        <v>앱을 다운로드하세요</v>
      </c>
      <c r="Z115" s="4" t="str">
        <f>IFERROR(__xludf.DUMMYFUNCTION("GOOGLETRANSLATE(B115,""en"",""zh"")"),"下载我们的应用程序")</f>
        <v>下载我们的应用程序</v>
      </c>
      <c r="AA115" s="4" t="str">
        <f>IFERROR(__xludf.DUMMYFUNCTION("GOOGLETRANSLATE(B115,""en"",""zh-TW"")"),"下載我們的應用程式")</f>
        <v>下載我們的應用程式</v>
      </c>
      <c r="AB115" s="4" t="str">
        <f>IFERROR(__xludf.DUMMYFUNCTION("GOOGLETRANSLATE(B115,""en"",""ja"")"),"アプリをダウンロード")</f>
        <v>アプリをダウンロード</v>
      </c>
      <c r="AC115" s="4" t="str">
        <f>IFERROR(__xludf.DUMMYFUNCTION("GOOGLETRANSLATE(B115,""en"",""bg"")"),"Изтеглете нашите приложения")</f>
        <v>Изтеглете нашите приложения</v>
      </c>
      <c r="AD115" s="4" t="str">
        <f>IFERROR(__xludf.DUMMYFUNCTION("GOOGLETRANSLATE(B115,""en"",""cs"")"),"Stáhněte si naše aplikace")</f>
        <v>Stáhněte si naše aplikace</v>
      </c>
      <c r="AE115" s="4" t="str">
        <f>IFERROR(__xludf.DUMMYFUNCTION("GOOGLETRANSLATE(B115,""en"",""da"")"),"Download vores apps")</f>
        <v>Download vores apps</v>
      </c>
      <c r="AF115" s="4" t="str">
        <f>IFERROR(__xludf.DUMMYFUNCTION("GOOGLETRANSLATE(B115,""en"",""el"")"),"Κατεβάστε τις εφαρμογές μας")</f>
        <v>Κατεβάστε τις εφαρμογές μας</v>
      </c>
      <c r="AG115" s="4" t="str">
        <f>IFERROR(__xludf.DUMMYFUNCTION("GOOGLETRANSLATE(B115,""en"",""et"")"),"Laadige alla meie rakendused")</f>
        <v>Laadige alla meie rakendused</v>
      </c>
      <c r="AH115" s="4" t="str">
        <f>IFERROR(__xludf.DUMMYFUNCTION("GOOGLETRANSLATE(B115,""en"",""fi"")"),"Lataa sovelluksemme")</f>
        <v>Lataa sovelluksemme</v>
      </c>
      <c r="AI115" s="4" t="str">
        <f>IFERROR(__xludf.DUMMYFUNCTION("GOOGLETRANSLATE(B115,""en"",""hr"")"),"Preuzmite naše aplikacije")</f>
        <v>Preuzmite naše aplikacije</v>
      </c>
      <c r="AJ115" s="4" t="str">
        <f>IFERROR(__xludf.DUMMYFUNCTION("GOOGLETRANSLATE(B115,""en"",""hu"")"),"Töltse le alkalmazásainkat")</f>
        <v>Töltse le alkalmazásainkat</v>
      </c>
      <c r="AK115" s="4" t="str">
        <f>IFERROR(__xludf.DUMMYFUNCTION("GOOGLETRANSLATE(B115,""en"",""hy"")"),"Ներբեռնեք մեր հավելվածները")</f>
        <v>Ներբեռնեք մեր հավելվածները</v>
      </c>
      <c r="AL115" s="4" t="str">
        <f>IFERROR(__xludf.DUMMYFUNCTION("GOOGLETRANSLATE(B115,""en"",""ca"")"),"Descarrega les nostres aplicacions")</f>
        <v>Descarrega les nostres aplicacions</v>
      </c>
      <c r="AM115" s="4" t="str">
        <f>IFERROR(__xludf.DUMMYFUNCTION("GOOGLETRANSLATE(B115,""en"",""nl"")"),"Download onze apps")</f>
        <v>Download onze apps</v>
      </c>
      <c r="AN115" s="4" t="str">
        <f>IFERROR(__xludf.DUMMYFUNCTION("GOOGLETRANSLATE(B115,""en"",""he"")"),"הורד את האפליקציות שלנו")</f>
        <v>הורד את האפליקציות שלנו</v>
      </c>
      <c r="AO115" s="4" t="str">
        <f>IFERROR(__xludf.DUMMYFUNCTION("GOOGLETRANSLATE(B115,""en"",""is"")"),"Sæktu öppin okkar")</f>
        <v>Sæktu öppin okkar</v>
      </c>
      <c r="AP115" s="4" t="str">
        <f>IFERROR(__xludf.DUMMYFUNCTION("GOOGLETRANSLATE(B115,""en"",""no"")"),"Last ned appene våre")</f>
        <v>Last ned appene våre</v>
      </c>
      <c r="AQ115" s="4" t="str">
        <f>IFERROR(__xludf.DUMMYFUNCTION("GOOGLETRANSLATE(B115,""en"",""fa"")"),"برنامه های ما را دانلود کنید")</f>
        <v>برنامه های ما را دانلود کنید</v>
      </c>
      <c r="AR115" s="4" t="str">
        <f>IFERROR(__xludf.DUMMYFUNCTION("GOOGLETRANSLATE(B115,""en"",""pl"")"),"Pobierz nasze aplikacje")</f>
        <v>Pobierz nasze aplikacje</v>
      </c>
      <c r="AS115" s="4" t="str">
        <f>IFERROR(__xludf.DUMMYFUNCTION("GOOGLETRANSLATE(B115,""en"",""sv"")"),"Ladda ner våra appar")</f>
        <v>Ladda ner våra appar</v>
      </c>
      <c r="AT115" s="4" t="str">
        <f>IFERROR(__xludf.DUMMYFUNCTION("GOOGLETRANSLATE(B115,""en"",""uk"")"),"Завантажте наші програми")</f>
        <v>Завантажте наші програми</v>
      </c>
      <c r="AU115" s="4" t="str">
        <f>IFERROR(__xludf.DUMMYFUNCTION("GOOGLETRANSLATE(B115,""en"",""zu"")"),"Landa Izinhlelo Zokusebenza Zethu")</f>
        <v>Landa Izinhlelo Zokusebenza Zethu</v>
      </c>
      <c r="AV115" s="4" t="str">
        <f>IFERROR(__xludf.DUMMYFUNCTION("GOOGLETRANSLATE(B115,""en"",""sr"")"),"Преузмите наше апликације")</f>
        <v>Преузмите наше апликације</v>
      </c>
    </row>
    <row r="116">
      <c r="A116" s="3" t="s">
        <v>267</v>
      </c>
      <c r="B116" s="3" t="s">
        <v>268</v>
      </c>
      <c r="C116" s="4" t="str">
        <f>IFERROR(__xludf.DUMMYFUNCTION("GOOGLETRANSLATE(B116,""en"",""ta"")"),"Play Store")</f>
        <v>Play Store</v>
      </c>
      <c r="D116" s="4" t="str">
        <f>IFERROR(__xludf.DUMMYFUNCTION("GOOGLETRANSLATE(B116,""en"",""hi"")"),"खेल स्टोर")</f>
        <v>खेल स्टोर</v>
      </c>
      <c r="E116" s="4" t="str">
        <f>IFERROR(__xludf.DUMMYFUNCTION("GOOGLETRANSLATE(B116,""en"",""id"")"),"Toko Play")</f>
        <v>Toko Play</v>
      </c>
      <c r="F116" s="4" t="str">
        <f>IFERROR(__xludf.DUMMYFUNCTION("GOOGLETRANSLATE(B116,""en"",""ms"")"),"Gedung Play")</f>
        <v>Gedung Play</v>
      </c>
      <c r="G116" s="4" t="str">
        <f>IFERROR(__xludf.DUMMYFUNCTION("GOOGLETRANSLATE(B116,""en"",""de"")"),"Play Store")</f>
        <v>Play Store</v>
      </c>
      <c r="H116" s="4" t="str">
        <f>IFERROR(__xludf.DUMMYFUNCTION("GOOGLETRANSLATE(B116,""en"",""es"")"),"Tienda de juegos")</f>
        <v>Tienda de juegos</v>
      </c>
      <c r="I116" s="4" t="str">
        <f>IFERROR(__xludf.DUMMYFUNCTION("GOOGLETRANSLATE(B116,""en"",""fr"")"),"Play Store")</f>
        <v>Play Store</v>
      </c>
      <c r="J116" s="4" t="str">
        <f>IFERROR(__xludf.DUMMYFUNCTION("GOOGLETRANSLATE(B116,""en"",""it"")"),"Play Store")</f>
        <v>Play Store</v>
      </c>
      <c r="K116" s="4" t="str">
        <f>IFERROR(__xludf.DUMMYFUNCTION("GOOGLETRANSLATE(B116,""en"",""pt"")"),"Loja de jogos")</f>
        <v>Loja de jogos</v>
      </c>
      <c r="L116" s="4" t="str">
        <f>IFERROR(__xludf.DUMMYFUNCTION("GOOGLETRANSLATE(B116,""en"",""ro"")"),"Magazin Play")</f>
        <v>Magazin Play</v>
      </c>
      <c r="M116" s="4" t="str">
        <f>IFERROR(__xludf.DUMMYFUNCTION("GOOGLETRANSLATE(B116,""en"",""vi"")"),"Cửa hàng Play")</f>
        <v>Cửa hàng Play</v>
      </c>
      <c r="N116" s="4" t="str">
        <f>IFERROR(__xludf.DUMMYFUNCTION("GOOGLETRANSLATE(B116,""en"",""ru"")"),"Play Store")</f>
        <v>Play Store</v>
      </c>
      <c r="O116" s="4" t="str">
        <f>IFERROR(__xludf.DUMMYFUNCTION("GOOGLETRANSLATE(B116,""en"",""tr"")"),"Oyun Mağazası")</f>
        <v>Oyun Mağazası</v>
      </c>
      <c r="P116" s="4" t="str">
        <f>IFERROR(__xludf.DUMMYFUNCTION("GOOGLETRANSLATE(B116,""en"",""ar"")"),"متجر بلاي")</f>
        <v>متجر بلاي</v>
      </c>
      <c r="Q116" s="4" t="str">
        <f>IFERROR(__xludf.DUMMYFUNCTION("GOOGLETRANSLATE(B116,""en"",""mr"")"),"प्ले स्टोअर")</f>
        <v>प्ले स्टोअर</v>
      </c>
      <c r="R116" s="4" t="str">
        <f>IFERROR(__xludf.DUMMYFUNCTION("GOOGLETRANSLATE(B116,""en"",""gu"")"),"પ્લે સ્ટોર")</f>
        <v>પ્લે સ્ટોર</v>
      </c>
      <c r="S116" s="4" t="str">
        <f>IFERROR(__xludf.DUMMYFUNCTION("GOOGLETRANSLATE(B116,""en"",""bn"")"),"প্লে স্টোর")</f>
        <v>প্লে স্টোর</v>
      </c>
      <c r="T116" s="4" t="str">
        <f>IFERROR(__xludf.DUMMYFUNCTION("GOOGLETRANSLATE(B116,""en"",""pa"")"),"ਪਲੇ ਸਟੋਰ")</f>
        <v>ਪਲੇ ਸਟੋਰ</v>
      </c>
      <c r="U116" s="4" t="str">
        <f>IFERROR(__xludf.DUMMYFUNCTION("GOOGLETRANSLATE(B116,""en"",""te"")"),"ప్లే స్టోర్")</f>
        <v>ప్లే స్టోర్</v>
      </c>
      <c r="V116" s="4" t="str">
        <f>IFERROR(__xludf.DUMMYFUNCTION("GOOGLETRANSLATE(B116,""en"",""kn"")"),"ಪ್ಲೇ ಸ್ಟೋರ್")</f>
        <v>ಪ್ಲೇ ಸ್ಟೋರ್</v>
      </c>
      <c r="W116" s="4" t="str">
        <f>IFERROR(__xludf.DUMMYFUNCTION("GOOGLETRANSLATE(B116,""en"",""ml"")"),"പ്ലേ സ്റ്റോർ")</f>
        <v>പ്ലേ സ്റ്റോർ</v>
      </c>
      <c r="X116" s="4" t="str">
        <f>IFERROR(__xludf.DUMMYFUNCTION("GOOGLETRANSLATE(B116,""en"",""th"")"),"เพลย์สโตร์")</f>
        <v>เพลย์สโตร์</v>
      </c>
      <c r="Y116" s="4" t="str">
        <f>IFERROR(__xludf.DUMMYFUNCTION("GOOGLETRANSLATE(B116,""en"",""ko"")"),"플레이 스토어")</f>
        <v>플레이 스토어</v>
      </c>
      <c r="Z116" s="4" t="str">
        <f>IFERROR(__xludf.DUMMYFUNCTION("GOOGLETRANSLATE(B116,""en"",""zh"")"),"Play 商店")</f>
        <v>Play 商店</v>
      </c>
      <c r="AA116" s="4" t="str">
        <f>IFERROR(__xludf.DUMMYFUNCTION("GOOGLETRANSLATE(B116,""en"",""zh-TW"")"),"Play 商店")</f>
        <v>Play 商店</v>
      </c>
      <c r="AB116" s="4" t="str">
        <f>IFERROR(__xludf.DUMMYFUNCTION("GOOGLETRANSLATE(B116,""en"",""ja"")"),"Playストア")</f>
        <v>Playストア</v>
      </c>
      <c r="AC116" s="4" t="str">
        <f>IFERROR(__xludf.DUMMYFUNCTION("GOOGLETRANSLATE(B116,""en"",""bg"")"),"Play Store")</f>
        <v>Play Store</v>
      </c>
      <c r="AD116" s="4" t="str">
        <f>IFERROR(__xludf.DUMMYFUNCTION("GOOGLETRANSLATE(B116,""en"",""cs"")"),"Obchod Play")</f>
        <v>Obchod Play</v>
      </c>
      <c r="AE116" s="4" t="str">
        <f>IFERROR(__xludf.DUMMYFUNCTION("GOOGLETRANSLATE(B116,""en"",""da"")"),"Play Butik")</f>
        <v>Play Butik</v>
      </c>
      <c r="AF116" s="4" t="str">
        <f>IFERROR(__xludf.DUMMYFUNCTION("GOOGLETRANSLATE(B116,""en"",""el"")"),"Play Store")</f>
        <v>Play Store</v>
      </c>
      <c r="AG116" s="4" t="str">
        <f>IFERROR(__xludf.DUMMYFUNCTION("GOOGLETRANSLATE(B116,""en"",""et"")"),"Play pood")</f>
        <v>Play pood</v>
      </c>
      <c r="AH116" s="4" t="str">
        <f>IFERROR(__xludf.DUMMYFUNCTION("GOOGLETRANSLATE(B116,""en"",""fi"")"),"Play Kauppa")</f>
        <v>Play Kauppa</v>
      </c>
      <c r="AI116" s="4" t="str">
        <f>IFERROR(__xludf.DUMMYFUNCTION("GOOGLETRANSLATE(B116,""en"",""hr"")"),"Play Store")</f>
        <v>Play Store</v>
      </c>
      <c r="AJ116" s="4" t="str">
        <f>IFERROR(__xludf.DUMMYFUNCTION("GOOGLETRANSLATE(B116,""en"",""hu"")"),"Play Áruház")</f>
        <v>Play Áruház</v>
      </c>
      <c r="AK116" s="4" t="str">
        <f>IFERROR(__xludf.DUMMYFUNCTION("GOOGLETRANSLATE(B116,""en"",""hy"")"),"Play Store")</f>
        <v>Play Store</v>
      </c>
      <c r="AL116" s="4" t="str">
        <f>IFERROR(__xludf.DUMMYFUNCTION("GOOGLETRANSLATE(B116,""en"",""ca"")"),"Play Store")</f>
        <v>Play Store</v>
      </c>
      <c r="AM116" s="4" t="str">
        <f>IFERROR(__xludf.DUMMYFUNCTION("GOOGLETRANSLATE(B116,""en"",""nl"")"),"Play Store")</f>
        <v>Play Store</v>
      </c>
      <c r="AN116" s="4" t="str">
        <f>IFERROR(__xludf.DUMMYFUNCTION("GOOGLETRANSLATE(B116,""en"",""he"")"),"חנות Play")</f>
        <v>חנות Play</v>
      </c>
      <c r="AO116" s="4" t="str">
        <f>IFERROR(__xludf.DUMMYFUNCTION("GOOGLETRANSLATE(B116,""en"",""is"")"),"Play Store")</f>
        <v>Play Store</v>
      </c>
      <c r="AP116" s="4" t="str">
        <f>IFERROR(__xludf.DUMMYFUNCTION("GOOGLETRANSLATE(B116,""en"",""no"")"),"Play Butikk")</f>
        <v>Play Butikk</v>
      </c>
      <c r="AQ116" s="4" t="str">
        <f>IFERROR(__xludf.DUMMYFUNCTION("GOOGLETRANSLATE(B116,""en"",""fa"")"),"فروشگاه Play")</f>
        <v>فروشگاه Play</v>
      </c>
      <c r="AR116" s="4" t="str">
        <f>IFERROR(__xludf.DUMMYFUNCTION("GOOGLETRANSLATE(B116,""en"",""pl"")"),"Sklep Play")</f>
        <v>Sklep Play</v>
      </c>
      <c r="AS116" s="4" t="str">
        <f>IFERROR(__xludf.DUMMYFUNCTION("GOOGLETRANSLATE(B116,""en"",""sv"")"),"Play Butik")</f>
        <v>Play Butik</v>
      </c>
      <c r="AT116" s="4" t="str">
        <f>IFERROR(__xludf.DUMMYFUNCTION("GOOGLETRANSLATE(B116,""en"",""uk"")"),"Play Store")</f>
        <v>Play Store</v>
      </c>
      <c r="AU116" s="4" t="str">
        <f>IFERROR(__xludf.DUMMYFUNCTION("GOOGLETRANSLATE(B116,""en"",""zu"")"),"I-Google Play Isitolo")</f>
        <v>I-Google Play Isitolo</v>
      </c>
      <c r="AV116" s="4" t="str">
        <f>IFERROR(__xludf.DUMMYFUNCTION("GOOGLETRANSLATE(B116,""en"",""sr"")"),"Плаи продавница")</f>
        <v>Плаи продавница</v>
      </c>
    </row>
    <row r="117">
      <c r="A117" s="3" t="s">
        <v>269</v>
      </c>
      <c r="B117" s="3" t="s">
        <v>270</v>
      </c>
      <c r="C117" s="4" t="str">
        <f>IFERROR(__xludf.DUMMYFUNCTION("GOOGLETRANSLATE(B117,""en"",""ta"")"),"VirtualMaze SoftSys பிரைவேட் லிமிடெட் தனியுரிமைக் கொள்கை")</f>
        <v>VirtualMaze SoftSys பிரைவேட் லிமிடெட் தனியுரிமைக் கொள்கை</v>
      </c>
      <c r="D117" s="4" t="str">
        <f>IFERROR(__xludf.DUMMYFUNCTION("GOOGLETRANSLATE(B117,""en"",""hi"")"),"वर्चुअलमेज़ सॉफ्टसिस्ट प्राइवेट लिमिटेड गोपनीयता नीति")</f>
        <v>वर्चुअलमेज़ सॉफ्टसिस्ट प्राइवेट लिमिटेड गोपनीयता नीति</v>
      </c>
      <c r="E117" s="4" t="str">
        <f>IFERROR(__xludf.DUMMYFUNCTION("GOOGLETRANSLATE(B117,""en"",""id"")"),"Kebijakan Privasi VirtualMaze SoftSys Private Limited")</f>
        <v>Kebijakan Privasi VirtualMaze SoftSys Private Limited</v>
      </c>
      <c r="F117" s="4" t="str">
        <f>IFERROR(__xludf.DUMMYFUNCTION("GOOGLETRANSLATE(B117,""en"",""ms"")"),"Dasar Privasi VirtualMaze SoftSys Private Limited")</f>
        <v>Dasar Privasi VirtualMaze SoftSys Private Limited</v>
      </c>
      <c r="G117" s="4" t="str">
        <f>IFERROR(__xludf.DUMMYFUNCTION("GOOGLETRANSLATE(B117,""en"",""de"")"),"Datenschutzrichtlinie von VirtualMaze SoftSys Private Limited")</f>
        <v>Datenschutzrichtlinie von VirtualMaze SoftSys Private Limited</v>
      </c>
      <c r="H117" s="4" t="str">
        <f>IFERROR(__xludf.DUMMYFUNCTION("GOOGLETRANSLATE(B117,""en"",""es"")"),"Política de privacidad de VirtualMaze SoftSys Private Limited")</f>
        <v>Política de privacidad de VirtualMaze SoftSys Private Limited</v>
      </c>
      <c r="I117" s="4" t="str">
        <f>IFERROR(__xludf.DUMMYFUNCTION("GOOGLETRANSLATE(B117,""en"",""fr"")"),"Politique de confidentialité de VirtualMaze SoftSys Private Limited")</f>
        <v>Politique de confidentialité de VirtualMaze SoftSys Private Limited</v>
      </c>
      <c r="J117" s="4" t="str">
        <f>IFERROR(__xludf.DUMMYFUNCTION("GOOGLETRANSLATE(B117,""en"",""it"")"),"Informativa sulla privacy di VirtualMaze SoftSys Private Limited")</f>
        <v>Informativa sulla privacy di VirtualMaze SoftSys Private Limited</v>
      </c>
      <c r="K117" s="4" t="str">
        <f>IFERROR(__xludf.DUMMYFUNCTION("GOOGLETRANSLATE(B117,""en"",""pt"")"),"Política de Privacidade da VirtualMaze SoftSys Private Limited")</f>
        <v>Política de Privacidade da VirtualMaze SoftSys Private Limited</v>
      </c>
      <c r="L117" s="4" t="str">
        <f>IFERROR(__xludf.DUMMYFUNCTION("GOOGLETRANSLATE(B117,""en"",""ro"")"),"VirtualMaze SoftSys Private Limited Politică de confidențialitate")</f>
        <v>VirtualMaze SoftSys Private Limited Politică de confidențialitate</v>
      </c>
      <c r="M117" s="4" t="str">
        <f>IFERROR(__xludf.DUMMYFUNCTION("GOOGLETRANSLATE(B117,""en"",""vi"")"),"Chính sách bảo mật của VirtualMaze SoftSys Private Limited")</f>
        <v>Chính sách bảo mật của VirtualMaze SoftSys Private Limited</v>
      </c>
      <c r="N117" s="4" t="str">
        <f>IFERROR(__xludf.DUMMYFUNCTION("GOOGLETRANSLATE(B117,""en"",""ru"")"),"Политика конфиденциальности VirtualMaze SoftSys Private Limited")</f>
        <v>Политика конфиденциальности VirtualMaze SoftSys Private Limited</v>
      </c>
      <c r="O117" s="4" t="str">
        <f>IFERROR(__xludf.DUMMYFUNCTION("GOOGLETRANSLATE(B117,""en"",""tr"")"),"VirtualMaze SoftSys Private Limited Gizlilik Politikası")</f>
        <v>VirtualMaze SoftSys Private Limited Gizlilik Politikası</v>
      </c>
      <c r="P117" s="4" t="str">
        <f>IFERROR(__xludf.DUMMYFUNCTION("GOOGLETRANSLATE(B117,""en"",""ar"")"),"سياسة الخصوصية لشركة VirtualMaze SoftSys Private Limited")</f>
        <v>سياسة الخصوصية لشركة VirtualMaze SoftSys Private Limited</v>
      </c>
      <c r="Q117" s="4" t="str">
        <f>IFERROR(__xludf.DUMMYFUNCTION("GOOGLETRANSLATE(B117,""en"",""mr"")"),"VirtualMaze SoftSys प्रायव्हेट लिमिटेड गोपनीयता धोरण")</f>
        <v>VirtualMaze SoftSys प्रायव्हेट लिमिटेड गोपनीयता धोरण</v>
      </c>
      <c r="R117" s="4" t="str">
        <f>IFERROR(__xludf.DUMMYFUNCTION("GOOGLETRANSLATE(B117,""en"",""gu"")"),"VirtualMaze SoftSys પ્રાઇવેટ લિમિટેડ ગોપનીયતા નીતિ")</f>
        <v>VirtualMaze SoftSys પ્રાઇવેટ લિમિટેડ ગોપનીયતા નીતિ</v>
      </c>
      <c r="S117" s="4" t="str">
        <f>IFERROR(__xludf.DUMMYFUNCTION("GOOGLETRANSLATE(B117,""en"",""bn"")"),"VirtualMaze SoftSys প্রাইভেট লিমিটেড গোপনীয়তা নীতি")</f>
        <v>VirtualMaze SoftSys প্রাইভেট লিমিটেড গোপনীয়তা নীতি</v>
      </c>
      <c r="T117" s="4" t="str">
        <f>IFERROR(__xludf.DUMMYFUNCTION("GOOGLETRANSLATE(B117,""en"",""pa"")"),"VirtualMaze SoftSys ਪ੍ਰਾਈਵੇਟ ਲਿਮਟਿਡ ਗੋਪਨੀਯਤਾ ਨੀਤੀ")</f>
        <v>VirtualMaze SoftSys ਪ੍ਰਾਈਵੇਟ ਲਿਮਟਿਡ ਗੋਪਨੀਯਤਾ ਨੀਤੀ</v>
      </c>
      <c r="U117" s="4" t="str">
        <f>IFERROR(__xludf.DUMMYFUNCTION("GOOGLETRANSLATE(B117,""en"",""te"")"),"VirtualMaze SoftSys ప్రైవేట్ లిమిటెడ్ గోప్యతా విధానం")</f>
        <v>VirtualMaze SoftSys ప్రైవేట్ లిమిటెడ్ గోప్యతా విధానం</v>
      </c>
      <c r="V117" s="4" t="str">
        <f>IFERROR(__xludf.DUMMYFUNCTION("GOOGLETRANSLATE(B117,""en"",""kn"")"),"VirtualMaze SoftSys ಪ್ರೈವೇಟ್ ಲಿಮಿಟೆಡ್ ಗೌಪ್ಯತಾ ನೀತಿ")</f>
        <v>VirtualMaze SoftSys ಪ್ರೈವೇಟ್ ಲಿಮಿಟೆಡ್ ಗೌಪ್ಯತಾ ನೀತಿ</v>
      </c>
      <c r="W117" s="4" t="str">
        <f>IFERROR(__xludf.DUMMYFUNCTION("GOOGLETRANSLATE(B117,""en"",""ml"")"),"VirtualMaze SoftSys പ്രൈവറ്റ് ലിമിറ്റഡ് സ്വകാര്യതാ നയം")</f>
        <v>VirtualMaze SoftSys പ്രൈവറ്റ് ലിമിറ്റഡ് സ്വകാര്യതാ നയം</v>
      </c>
      <c r="X117" s="4" t="str">
        <f>IFERROR(__xludf.DUMMYFUNCTION("GOOGLETRANSLATE(B117,""en"",""th"")"),"นโยบายความเป็นส่วนตัวของ VirtualMaze SoftSys Private Limited")</f>
        <v>นโยบายความเป็นส่วนตัวของ VirtualMaze SoftSys Private Limited</v>
      </c>
      <c r="Y117" s="4" t="str">
        <f>IFERROR(__xludf.DUMMYFUNCTION("GOOGLETRANSLATE(B117,""en"",""ko"")"),"VirtualMaze SoftSys Private Limited 개인정보 보호정책")</f>
        <v>VirtualMaze SoftSys Private Limited 개인정보 보호정책</v>
      </c>
      <c r="Z117" s="4" t="str">
        <f>IFERROR(__xludf.DUMMYFUNCTION("GOOGLETRANSLATE(B117,""en"",""zh"")"),"VirtualMaze SoftSys Private Limited 隐私政策")</f>
        <v>VirtualMaze SoftSys Private Limited 隐私政策</v>
      </c>
      <c r="AA117" s="4" t="str">
        <f>IFERROR(__xludf.DUMMYFUNCTION("GOOGLETRANSLATE(B117,""en"",""zh-TW"")"),"VirtualMaze SoftSys Private Limited 隱私權政策")</f>
        <v>VirtualMaze SoftSys Private Limited 隱私權政策</v>
      </c>
      <c r="AB117" s="4" t="str">
        <f>IFERROR(__xludf.DUMMYFUNCTION("GOOGLETRANSLATE(B117,""en"",""ja"")"),"VirtualMaze SoftSys Private Limited プライバシーポリシー")</f>
        <v>VirtualMaze SoftSys Private Limited プライバシーポリシー</v>
      </c>
      <c r="AC117" s="4" t="str">
        <f>IFERROR(__xludf.DUMMYFUNCTION("GOOGLETRANSLATE(B117,""en"",""bg"")"),"Правила за поверителност на VirtualMaze SoftSys Private Limited")</f>
        <v>Правила за поверителност на VirtualMaze SoftSys Private Limited</v>
      </c>
      <c r="AD117" s="4" t="str">
        <f>IFERROR(__xludf.DUMMYFUNCTION("GOOGLETRANSLATE(B117,""en"",""cs"")"),"Zásady ochrany osobních údajů VirtualMaze SoftSys Private Limited")</f>
        <v>Zásady ochrany osobních údajů VirtualMaze SoftSys Private Limited</v>
      </c>
      <c r="AE117" s="4" t="str">
        <f>IFERROR(__xludf.DUMMYFUNCTION("GOOGLETRANSLATE(B117,""en"",""da"")"),"VirtualMaze SoftSys Private Limited Privatlivspolitik")</f>
        <v>VirtualMaze SoftSys Private Limited Privatlivspolitik</v>
      </c>
      <c r="AF117" s="4" t="str">
        <f>IFERROR(__xludf.DUMMYFUNCTION("GOOGLETRANSLATE(B117,""en"",""el"")"),"Πολιτική απορρήτου VirtualMaze SoftSys Private Limited")</f>
        <v>Πολιτική απορρήτου VirtualMaze SoftSys Private Limited</v>
      </c>
      <c r="AG117" s="4" t="str">
        <f>IFERROR(__xludf.DUMMYFUNCTION("GOOGLETRANSLATE(B117,""en"",""et"")"),"VirtualMaze SoftSys Private Limited privaatsuspoliitika")</f>
        <v>VirtualMaze SoftSys Private Limited privaatsuspoliitika</v>
      </c>
      <c r="AH117" s="4" t="str">
        <f>IFERROR(__xludf.DUMMYFUNCTION("GOOGLETRANSLATE(B117,""en"",""fi"")"),"VirtualMaze SoftSys Private Limited -tietosuojakäytäntö")</f>
        <v>VirtualMaze SoftSys Private Limited -tietosuojakäytäntö</v>
      </c>
      <c r="AI117" s="4" t="str">
        <f>IFERROR(__xludf.DUMMYFUNCTION("GOOGLETRANSLATE(B117,""en"",""hr"")"),"VirtualMaze SoftSys Private Limited Politika privatnosti")</f>
        <v>VirtualMaze SoftSys Private Limited Politika privatnosti</v>
      </c>
      <c r="AJ117" s="4" t="str">
        <f>IFERROR(__xludf.DUMMYFUNCTION("GOOGLETRANSLATE(B117,""en"",""hu"")"),"A VirtualMaze SoftSys Private Limited adatvédelmi szabályzata")</f>
        <v>A VirtualMaze SoftSys Private Limited adatvédelmi szabályzata</v>
      </c>
      <c r="AK117" s="4" t="str">
        <f>IFERROR(__xludf.DUMMYFUNCTION("GOOGLETRANSLATE(B117,""en"",""hy"")"),"VirtualMaze SoftSys Private Limited Գաղտնիության քաղաքականություն")</f>
        <v>VirtualMaze SoftSys Private Limited Գաղտնիության քաղաքականություն</v>
      </c>
      <c r="AL117" s="4" t="str">
        <f>IFERROR(__xludf.DUMMYFUNCTION("GOOGLETRANSLATE(B117,""en"",""ca"")"),"Política de privadesa de VirtualMaze SoftSys Private Limited")</f>
        <v>Política de privadesa de VirtualMaze SoftSys Private Limited</v>
      </c>
      <c r="AM117" s="4" t="str">
        <f>IFERROR(__xludf.DUMMYFUNCTION("GOOGLETRANSLATE(B117,""en"",""nl"")"),"Privacybeleid van VirtualMaze SoftSys Private Limited")</f>
        <v>Privacybeleid van VirtualMaze SoftSys Private Limited</v>
      </c>
      <c r="AN117" s="4" t="str">
        <f>IFERROR(__xludf.DUMMYFUNCTION("GOOGLETRANSLATE(B117,""en"",""he"")"),"מדיניות הפרטיות של VirtualMaze SoftSys Private Limited")</f>
        <v>מדיניות הפרטיות של VirtualMaze SoftSys Private Limited</v>
      </c>
      <c r="AO117" s="4" t="str">
        <f>IFERROR(__xludf.DUMMYFUNCTION("GOOGLETRANSLATE(B117,""en"",""is"")"),"Persónuverndarstefna VirtualMaze SoftSys Private Limited")</f>
        <v>Persónuverndarstefna VirtualMaze SoftSys Private Limited</v>
      </c>
      <c r="AP117" s="4" t="str">
        <f>IFERROR(__xludf.DUMMYFUNCTION("GOOGLETRANSLATE(B117,""en"",""no"")"),"VirtualMaze SoftSys Private Limited Personvernerklæring")</f>
        <v>VirtualMaze SoftSys Private Limited Personvernerklæring</v>
      </c>
      <c r="AQ117" s="4" t="str">
        <f>IFERROR(__xludf.DUMMYFUNCTION("GOOGLETRANSLATE(B117,""en"",""fa"")"),"سیاست حفظ حریم خصوصی محدود VirtualMaze SoftSys")</f>
        <v>سیاست حفظ حریم خصوصی محدود VirtualMaze SoftSys</v>
      </c>
      <c r="AR117" s="4" t="str">
        <f>IFERROR(__xludf.DUMMYFUNCTION("GOOGLETRANSLATE(B117,""en"",""pl"")"),"Polityka prywatności VirtualMaze SoftSys Private Limited")</f>
        <v>Polityka prywatności VirtualMaze SoftSys Private Limited</v>
      </c>
      <c r="AS117" s="4" t="str">
        <f>IFERROR(__xludf.DUMMYFUNCTION("GOOGLETRANSLATE(B117,""en"",""sv"")"),"VirtualMaze SoftSys Private Limited Sekretesspolicy")</f>
        <v>VirtualMaze SoftSys Private Limited Sekretesspolicy</v>
      </c>
      <c r="AT117" s="4" t="str">
        <f>IFERROR(__xludf.DUMMYFUNCTION("GOOGLETRANSLATE(B117,""en"",""uk"")"),"Політика конфіденційності VirtualMaze SoftSys Private Limited")</f>
        <v>Політика конфіденційності VirtualMaze SoftSys Private Limited</v>
      </c>
      <c r="AU117" s="4" t="str">
        <f>IFERROR(__xludf.DUMMYFUNCTION("GOOGLETRANSLATE(B117,""en"",""zu"")"),"Inqubomgomo Yobumfihlo ye-VirtualMaze SoftSys Private Limited")</f>
        <v>Inqubomgomo Yobumfihlo ye-VirtualMaze SoftSys Private Limited</v>
      </c>
      <c r="AV117" s="4" t="str">
        <f>IFERROR(__xludf.DUMMYFUNCTION("GOOGLETRANSLATE(B117,""en"",""sr"")"),"Политика приватности ВиртуалМазе СофтСис Привате Лимитед")</f>
        <v>Политика приватности ВиртуалМазе СофтСис Привате Лимитед</v>
      </c>
    </row>
    <row r="118">
      <c r="A118" s="3" t="s">
        <v>271</v>
      </c>
      <c r="B118" s="3" t="s">
        <v>272</v>
      </c>
      <c r="C118" s="4" t="str">
        <f>IFERROR(__xludf.DUMMYFUNCTION("GOOGLETRANSLATE(B118,""en"",""ta"")"),"VirtualMaze SoftSys Private Limited (""VMSPL"") எங்கள் வலைத்தளத்திற்கு நீங்கள் வருகை தரும் போது அல்லது எங்கள் மொபைல் பயன்பாட்டைப் பயன்படுத்தும் போது உங்களிடமிருந்து பெறப்பட்ட அனைத்து தனிப்பட்ட தகவல்களின் தனியுரிமையைப் பாதுகாப்பதில் உறுதியாக உள்ளது. அனைத்த"&amp;"ு பயனர்களின் பாதுகாப்பு மற்றும் தனியுரிமையைப் பாதுகாப்பதே எங்கள் நோக்கம். இந்தக் கொள்கையானது எங்களின் தகவல் நடைமுறைகள் மற்றும் VMSPL உங்கள் தகவலைச் சேகரித்து பயன்படுத்தும் விதம் குறித்து நீங்கள் செய்யக்கூடிய தேர்வுகளை விளக்குகிறது.")</f>
        <v>VirtualMaze SoftSys Private Limited ("VMSPL") எங்கள் வலைத்தளத்திற்கு நீங்கள் வருகை தரும் போது அல்லது எங்கள் மொபைல் பயன்பாட்டைப் பயன்படுத்தும் போது உங்களிடமிருந்து பெறப்பட்ட அனைத்து தனிப்பட்ட தகவல்களின் தனியுரிமையைப் பாதுகாப்பதில் உறுதியாக உள்ளது. அனைத்து பயனர்களின் பாதுகாப்பு மற்றும் தனியுரிமையைப் பாதுகாப்பதே எங்கள் நோக்கம். இந்தக் கொள்கையானது எங்களின் தகவல் நடைமுறைகள் மற்றும் VMSPL உங்கள் தகவலைச் சேகரித்து பயன்படுத்தும் விதம் குறித்து நீங்கள் செய்யக்கூடிய தேர்வுகளை விளக்குகிறது.</v>
      </c>
      <c r="D118" s="4" t="str">
        <f>IFERROR(__xludf.DUMMYFUNCTION("GOOGLETRANSLATE(B118,""en"",""hi"")"),"वर्चुअलमेज़ सॉफ्टस प्राइवेट लिमिटेड (""VMSPL"") हमारी वेबसाइट पर आपकी विज़िट के दौरान या हमारे मोबाइल एप्लिकेशन का उपयोग करते समय आपसे प्राप्त सभी व्यक्तिगत जानकारी की गोपनीयता की रक्षा करने के लिए प्रतिबद्ध है। हमारा उद्देश्य सभी उपयोगकर्ताओं की सुरक्षा "&amp;"और गोपनीयता की रक्षा करना है। यह नीति हमारी सूचना प्रथाओं और आपके द्वारा चुने जा सकने वाले विकल्पों के बारे में बताती है कि VMSPL किस तरह से आपकी जानकारी एकत्र करता है और उसका उपयोग करता है।")</f>
        <v>वर्चुअलमेज़ सॉफ्टस प्राइवेट लिमिटेड ("VMSPL") हमारी वेबसाइट पर आपकी विज़िट के दौरान या हमारे मोबाइल एप्लिकेशन का उपयोग करते समय आपसे प्राप्त सभी व्यक्तिगत जानकारी की गोपनीयता की रक्षा करने के लिए प्रतिबद्ध है। हमारा उद्देश्य सभी उपयोगकर्ताओं की सुरक्षा और गोपनीयता की रक्षा करना है। यह नीति हमारी सूचना प्रथाओं और आपके द्वारा चुने जा सकने वाले विकल्पों के बारे में बताती है कि VMSPL किस तरह से आपकी जानकारी एकत्र करता है और उसका उपयोग करता है।</v>
      </c>
      <c r="E118" s="4" t="str">
        <f>IFERROR(__xludf.DUMMYFUNCTION("GOOGLETRANSLATE(B118,""en"",""id"")"),"VirtualMaze SoftSys Private Limited (""VMSPL"") berkomitmen untuk melindungi privasi semua informasi pribadi yang diperoleh dari Anda selama kunjungan Anda ke situs web kami atau saat menggunakan aplikasi seluler kami. Tujuan kami adalah untuk menjaga kea"&amp;"manan dan privasi semua pengguna. Kebijakan ini menjelaskan praktik informasi kami dan pilihan yang dapat Anda buat tentang cara VMSPL mengumpulkan dan menggunakan informasi Anda.")</f>
        <v>VirtualMaze SoftSys Private Limited ("VMSPL") berkomitmen untuk melindungi privasi semua informasi pribadi yang diperoleh dari Anda selama kunjungan Anda ke situs web kami atau saat menggunakan aplikasi seluler kami. Tujuan kami adalah untuk menjaga keamanan dan privasi semua pengguna. Kebijakan ini menjelaskan praktik informasi kami dan pilihan yang dapat Anda buat tentang cara VMSPL mengumpulkan dan menggunakan informasi Anda.</v>
      </c>
      <c r="F118" s="4" t="str">
        <f>IFERROR(__xludf.DUMMYFUNCTION("GOOGLETRANSLATE(B118,""en"",""ms"")"),"VirtualMaze SoftSys Private Limited (""VMSPL"") komited untuk melindungi privasi semua maklumat peribadi yang diperoleh daripada anda semasa lawatan anda ke laman web kami atau semasa menggunakan aplikasi mudah alih kami. Matlamat kami adalah untuk menjag"&amp;"a keselamatan dan privasi semua pengguna. Dasar ini menerangkan amalan maklumat kami dan pilihan yang boleh anda buat tentang cara VMSPL mengumpul dan menggunakan maklumat anda.")</f>
        <v>VirtualMaze SoftSys Private Limited ("VMSPL") komited untuk melindungi privasi semua maklumat peribadi yang diperoleh daripada anda semasa lawatan anda ke laman web kami atau semasa menggunakan aplikasi mudah alih kami. Matlamat kami adalah untuk menjaga keselamatan dan privasi semua pengguna. Dasar ini menerangkan amalan maklumat kami dan pilihan yang boleh anda buat tentang cara VMSPL mengumpul dan menggunakan maklumat anda.</v>
      </c>
      <c r="G118" s="4" t="str">
        <f>IFERROR(__xludf.DUMMYFUNCTION("GOOGLETRANSLATE(B118,""en"",""de"")"),"VirtualMaze SoftSys Private Limited („VMSPL“) verpflichtet sich zum Schutz aller personenbezogenen Daten, die wir bei Ihren Besuchen auf unserer Website oder bei der Nutzung unserer mobilen Anwendung von Ihnen erheben. Unser Ziel ist es, die Sicherheit un"&amp;"d Privatsphäre aller Nutzer zu gewährleisten. Diese Richtlinie erläutert unseren Umgang mit Informationen und Ihre Wahlmöglichkeiten hinsichtlich der Erhebung und Verwendung Ihrer Daten durch VMSPL.")</f>
        <v>VirtualMaze SoftSys Private Limited („VMSPL“) verpflichtet sich zum Schutz aller personenbezogenen Daten, die wir bei Ihren Besuchen auf unserer Website oder bei der Nutzung unserer mobilen Anwendung von Ihnen erheben. Unser Ziel ist es, die Sicherheit und Privatsphäre aller Nutzer zu gewährleisten. Diese Richtlinie erläutert unseren Umgang mit Informationen und Ihre Wahlmöglichkeiten hinsichtlich der Erhebung und Verwendung Ihrer Daten durch VMSPL.</v>
      </c>
      <c r="H118" s="4" t="str">
        <f>IFERROR(__xludf.DUMMYFUNCTION("GOOGLETRANSLATE(B118,""en"",""es"")"),"VirtualMaze SoftSys Private Limited (""VMSPL"") se compromete a proteger la privacidad de toda la información personal que obtenga de usted durante sus visitas a nuestro sitio web o al usar nuestra aplicación móvil. Nuestro objetivo es salvaguardar la seg"&amp;"uridad y la privacidad de todos los usuarios. Esta política explica nuestras prácticas de información y las opciones que usted puede elegir sobre cómo VMSPL recopila y utiliza su información.")</f>
        <v>VirtualMaze SoftSys Private Limited ("VMSPL") se compromete a proteger la privacidad de toda la información personal que obtenga de usted durante sus visitas a nuestro sitio web o al usar nuestra aplicación móvil. Nuestro objetivo es salvaguardar la seguridad y la privacidad de todos los usuarios. Esta política explica nuestras prácticas de información y las opciones que usted puede elegir sobre cómo VMSPL recopila y utiliza su información.</v>
      </c>
      <c r="I118" s="4" t="str">
        <f>IFERROR(__xludf.DUMMYFUNCTION("GOOGLETRANSLATE(B118,""en"",""fr"")"),"VirtualMaze SoftSys Private Limited (« VMSPL ») s'engage à protéger la confidentialité de toutes les informations personnelles que vous nous fournissez lors de vos visites sur notre site web ou de l'utilisation de notre application mobile. Notre objectif "&amp;"est de garantir la sécurité et la confidentialité de tous nos utilisateurs. Cette politique explique nos pratiques en matière d'information et les choix que vous pouvez faire quant à la manière dont VMSPL collecte et utilise vos informations.")</f>
        <v>VirtualMaze SoftSys Private Limited (« VMSPL ») s'engage à protéger la confidentialité de toutes les informations personnelles que vous nous fournissez lors de vos visites sur notre site web ou de l'utilisation de notre application mobile. Notre objectif est de garantir la sécurité et la confidentialité de tous nos utilisateurs. Cette politique explique nos pratiques en matière d'information et les choix que vous pouvez faire quant à la manière dont VMSPL collecte et utilise vos informations.</v>
      </c>
      <c r="J118" s="4" t="str">
        <f>IFERROR(__xludf.DUMMYFUNCTION("GOOGLETRANSLATE(B118,""en"",""it"")"),"VirtualMaze SoftSys Private Limited (""VMSPL"") si impegna a proteggere la privacy di tutte le informazioni personali che ottenete durante le vostre visite al nostro sito web o durante l'utilizzo della nostra applicazione mobile. Il nostro obiettivo è sal"&amp;"vaguardare la sicurezza e la privacy di tutti gli utenti. Questa informativa illustra le nostre pratiche in materia di informazioni e le scelte che potete effettuare in merito alle modalità con cui VMSPL raccoglie e utilizza le vostre informazioni.")</f>
        <v>VirtualMaze SoftSys Private Limited ("VMSPL") si impegna a proteggere la privacy di tutte le informazioni personali che ottenete durante le vostre visite al nostro sito web o durante l'utilizzo della nostra applicazione mobile. Il nostro obiettivo è salvaguardare la sicurezza e la privacy di tutti gli utenti. Questa informativa illustra le nostre pratiche in materia di informazioni e le scelte che potete effettuare in merito alle modalità con cui VMSPL raccoglie e utilizza le vostre informazioni.</v>
      </c>
      <c r="K118" s="4" t="str">
        <f>IFERROR(__xludf.DUMMYFUNCTION("GOOGLETRANSLATE(B118,""en"",""pt"")"),"A VirtualMaze SoftSys Private Limited (""VMSPL"") está comprometida em proteger a privacidade de todas as informações pessoais obtidas de você durante suas visitas ao nosso site ou durante o uso do nosso aplicativo móvel. Nosso objetivo é proteger a segur"&amp;"ança e a privacidade de todos os usuários. Esta política explica nossas práticas de informação e as escolhas que você pode fazer sobre a forma como a VMSPL coleta e utiliza suas informações.")</f>
        <v>A VirtualMaze SoftSys Private Limited ("VMSPL") está comprometida em proteger a privacidade de todas as informações pessoais obtidas de você durante suas visitas ao nosso site ou durante o uso do nosso aplicativo móvel. Nosso objetivo é proteger a segurança e a privacidade de todos os usuários. Esta política explica nossas práticas de informação e as escolhas que você pode fazer sobre a forma como a VMSPL coleta e utiliza suas informações.</v>
      </c>
      <c r="L118" s="4" t="str">
        <f>IFERROR(__xludf.DUMMYFUNCTION("GOOGLETRANSLATE(B118,""en"",""ro"")"),"VirtualMaze SoftSys Private Limited (""VMSPL"") se angajează să protejeze confidențialitatea tuturor informațiilor personale obținute de la dvs. în timpul vizitelor dumneavoastră pe site-ul nostru web sau în timpul utilizării aplicației noastre mobile. Sc"&amp;"opul nostru este de a proteja securitatea și confidențialitatea tuturor utilizatorilor. Această politică explică practicile noastre de informare și alegerile pe care le puteți face cu privire la modul în care VMSPL colectează și utilizează informațiile du"&amp;"mneavoastră.")</f>
        <v>VirtualMaze SoftSys Private Limited ("VMSPL") se angajează să protejeze confidențialitatea tuturor informațiilor personale obținute de la dvs. în timpul vizitelor dumneavoastră pe site-ul nostru web sau în timpul utilizării aplicației noastre mobile. Scopul nostru este de a proteja securitatea și confidențialitatea tuturor utilizatorilor. Această politică explică practicile noastre de informare și alegerile pe care le puteți face cu privire la modul în care VMSPL colectează și utilizează informațiile dumneavoastră.</v>
      </c>
      <c r="M118" s="4" t="str">
        <f>IFERROR(__xludf.DUMMYFUNCTION("GOOGLETRANSLATE(B118,""en"",""vi"")"),"VirtualMaze SoftSys Private Limited (""VMSPL"") cam kết bảo vệ quyền riêng tư của mọi thông tin cá nhân thu thập được từ bạn trong quá trình bạn truy cập trang web của chúng tôi hoặc khi sử dụng ứng dụng di động của chúng tôi. Mục tiêu của chúng tôi là bả"&amp;"o vệ tính bảo mật và quyền riêng tư của mọi người dùng. Chính sách này giải thích các hoạt động thông tin của chúng tôi và các lựa chọn bạn có thể thực hiện về cách VMSPL thu thập và sử dụng thông tin của bạn.")</f>
        <v>VirtualMaze SoftSys Private Limited ("VMSPL") cam kết bảo vệ quyền riêng tư của mọi thông tin cá nhân thu thập được từ bạn trong quá trình bạn truy cập trang web của chúng tôi hoặc khi sử dụng ứng dụng di động của chúng tôi. Mục tiêu của chúng tôi là bảo vệ tính bảo mật và quyền riêng tư của mọi người dùng. Chính sách này giải thích các hoạt động thông tin của chúng tôi và các lựa chọn bạn có thể thực hiện về cách VMSPL thu thập và sử dụng thông tin của bạn.</v>
      </c>
      <c r="N118" s="4" t="str">
        <f>IFERROR(__xludf.DUMMYFUNCTION("GOOGLETRANSLATE(B118,""en"",""ru"")"),"VirtualMaze SoftSys Private Limited («VMSPL») обязуется защищать конфиденциальность всей личной информации, полученной от вас во время ваших посещений нашего веб-сайта или при использовании нашего мобильного приложения. Наша цель — обеспечить безопасность"&amp;" и конфиденциальность всех пользователей. В этой политике разъясняются наши методы работы с информацией и выбор, который вы можете сделать относительно того, как VMSPL собирает и использует вашу информацию.")</f>
        <v>VirtualMaze SoftSys Private Limited («VMSPL») обязуется защищать конфиденциальность всей личной информации, полученной от вас во время ваших посещений нашего веб-сайта или при использовании нашего мобильного приложения. Наша цель — обеспечить безопасность и конфиденциальность всех пользователей. В этой политике разъясняются наши методы работы с информацией и выбор, который вы можете сделать относительно того, как VMSPL собирает и использует вашу информацию.</v>
      </c>
      <c r="O118" s="4" t="str">
        <f>IFERROR(__xludf.DUMMYFUNCTION("GOOGLETRANSLATE(B118,""en"",""tr"")"),"VirtualMaze SoftSys Private Limited (""VMSPL""), web sitemizi ziyaretleriniz sırasında veya mobil uygulamamızı kullanırken sizden alınan tüm kişisel bilgilerin gizliliğini korumaya kendini adamıştır. Amacımız tüm kullanıcıların güvenliğini ve gizliliğini "&amp;"korumaktır. Bu politika, bilgi uygulamalarımızı ve VMSPL'nin bilgilerinizi toplama ve kullanma şekliyle ilgili yapabileceğiniz seçimleri açıklar.")</f>
        <v>VirtualMaze SoftSys Private Limited ("VMSPL"), web sitemizi ziyaretleriniz sırasında veya mobil uygulamamızı kullanırken sizden alınan tüm kişisel bilgilerin gizliliğini korumaya kendini adamıştır. Amacımız tüm kullanıcıların güvenliğini ve gizliliğini korumaktır. Bu politika, bilgi uygulamalarımızı ve VMSPL'nin bilgilerinizi toplama ve kullanma şekliyle ilgili yapabileceğiniz seçimleri açıklar.</v>
      </c>
      <c r="P118" s="4" t="str">
        <f>IFERROR(__xludf.DUMMYFUNCTION("GOOGLETRANSLATE(B118,""en"",""ar"")"),"تلتزم شركة VirtualMaze SoftSys Private Limited (""VMSPL"") بحماية خصوصية جميع معلوماتك الشخصية التي تحصل عليها أثناء زيارتك لموقعنا الإلكتروني أو استخدام تطبيقنا للهواتف المحمولة. هدفنا هو حماية أمن وخصوصية جميع المستخدمين. توضح هذه السياسة ممارساتنا المت"&amp;"علقة بالمعلومات والخيارات المتاحة لك بشأن طريقة جمع VMSPL لمعلوماتك واستخدامها.")</f>
        <v>تلتزم شركة VirtualMaze SoftSys Private Limited ("VMSPL") بحماية خصوصية جميع معلوماتك الشخصية التي تحصل عليها أثناء زيارتك لموقعنا الإلكتروني أو استخدام تطبيقنا للهواتف المحمولة. هدفنا هو حماية أمن وخصوصية جميع المستخدمين. توضح هذه السياسة ممارساتنا المتعلقة بالمعلومات والخيارات المتاحة لك بشأن طريقة جمع VMSPL لمعلوماتك واستخدامها.</v>
      </c>
      <c r="Q118" s="4" t="str">
        <f>IFERROR(__xludf.DUMMYFUNCTION("GOOGLETRANSLATE(B118,""en"",""mr"")"),"VirtualMaze SoftSys Private Limited (""VMSPL"") आमच्या वेबसाइटला भेट देताना किंवा आमचा मोबाईल ऍप्लिकेशन वापरत असताना तुमच्याकडून मिळवलेल्या सर्व वैयक्तिक माहितीच्या गोपनीयतेचे रक्षण करण्यासाठी वचनबद्ध आहे. सर्व वापरकर्त्यांची सुरक्षा आणि गोपनीयतेचे रक्षण "&amp;"करणे हे आमचे उद्दिष्ट आहे. हे धोरण आमच्या माहितीच्या पद्धती आणि VMSPL तुमची माहिती ज्या पद्धतीने संकलित करते आणि वापरते त्याबद्दल तुम्ही करू शकता त्या निवडी स्पष्ट करते.")</f>
        <v>VirtualMaze SoftSys Private Limited ("VMSPL") आमच्या वेबसाइटला भेट देताना किंवा आमचा मोबाईल ऍप्लिकेशन वापरत असताना तुमच्याकडून मिळवलेल्या सर्व वैयक्तिक माहितीच्या गोपनीयतेचे रक्षण करण्यासाठी वचनबद्ध आहे. सर्व वापरकर्त्यांची सुरक्षा आणि गोपनीयतेचे रक्षण करणे हे आमचे उद्दिष्ट आहे. हे धोरण आमच्या माहितीच्या पद्धती आणि VMSPL तुमची माहिती ज्या पद्धतीने संकलित करते आणि वापरते त्याबद्दल तुम्ही करू शकता त्या निवडी स्पष्ट करते.</v>
      </c>
      <c r="R118" s="4" t="str">
        <f>IFERROR(__xludf.DUMMYFUNCTION("GOOGLETRANSLATE(B118,""en"",""gu"")"),"VirtualMaze SoftSys Private Limited (""VMSPL"") અમારી વેબસાઇટની તમારી મુલાકાત દરમિયાન અથવા અમારી મોબાઇલ એપ્લિકેશનનો ઉપયોગ કરતી વખતે તમારી પાસેથી મેળવેલી તમામ વ્યક્તિગત માહિતીની ગોપનીયતાને સુરક્ષિત રાખવા માટે પ્રતિબદ્ધ છે. અમારો ઉદ્દેશ્ય તમામ વપરાશકર્તાઓની"&amp;" સુરક્ષા અને ગોપનીયતાને સુરક્ષિત રાખવાનો છે. આ નીતિ અમારી માહિતી પ્રથાઓ અને VMSPL તમારી માહિતીને કઈ રીતે ભેગી કરે છે અને તેનો ઉપયોગ કરે છે તેના વિશે તમે જે પસંદગીઓ કરી શકો છો તે સમજાવે છે.")</f>
        <v>VirtualMaze SoftSys Private Limited ("VMSPL") અમારી વેબસાઇટની તમારી મુલાકાત દરમિયાન અથવા અમારી મોબાઇલ એપ્લિકેશનનો ઉપયોગ કરતી વખતે તમારી પાસેથી મેળવેલી તમામ વ્યક્તિગત માહિતીની ગોપનીયતાને સુરક્ષિત રાખવા માટે પ્રતિબદ્ધ છે. અમારો ઉદ્દેશ્ય તમામ વપરાશકર્તાઓની સુરક્ષા અને ગોપનીયતાને સુરક્ષિત રાખવાનો છે. આ નીતિ અમારી માહિતી પ્રથાઓ અને VMSPL તમારી માહિતીને કઈ રીતે ભેગી કરે છે અને તેનો ઉપયોગ કરે છે તેના વિશે તમે જે પસંદગીઓ કરી શકો છો તે સમજાવે છે.</v>
      </c>
      <c r="S118" s="4" t="str">
        <f>IFERROR(__xludf.DUMMYFUNCTION("GOOGLETRANSLATE(B118,""en"",""bn"")"),"VirtualMaze SoftSys Private Limited (""VMSPL"") আমাদের ওয়েবসাইট পরিদর্শন করার সময় বা আমাদের মোবাইল অ্যাপ্লিকেশন ব্যবহার করার সময় আপনার কাছ থেকে প্রাপ্ত সমস্ত ব্যক্তিগত তথ্যের গোপনীয়তা রক্ষা করতে প্রতিশ্রুতিবদ্ধ। আমাদের লক্ষ্য হল সমস্ত ব্যবহারকারীর নির"&amp;"াপত্তা এবং গোপনীয়তা রক্ষা করা। এই নীতিটি আমাদের তথ্য অনুশীলন এবং VMSPL আপনার তথ্য সংগ্রহ ও ব্যবহার করার উপায় সম্পর্কে আপনি যে পছন্দগুলি করতে পারেন তা ব্যাখ্যা করে।")</f>
        <v>VirtualMaze SoftSys Private Limited ("VMSPL") আমাদের ওয়েবসাইট পরিদর্শন করার সময় বা আমাদের মোবাইল অ্যাপ্লিকেশন ব্যবহার করার সময় আপনার কাছ থেকে প্রাপ্ত সমস্ত ব্যক্তিগত তথ্যের গোপনীয়তা রক্ষা করতে প্রতিশ্রুতিবদ্ধ। আমাদের লক্ষ্য হল সমস্ত ব্যবহারকারীর নিরাপত্তা এবং গোপনীয়তা রক্ষা করা। এই নীতিটি আমাদের তথ্য অনুশীলন এবং VMSPL আপনার তথ্য সংগ্রহ ও ব্যবহার করার উপায় সম্পর্কে আপনি যে পছন্দগুলি করতে পারেন তা ব্যাখ্যা করে।</v>
      </c>
      <c r="T118" s="4" t="str">
        <f>IFERROR(__xludf.DUMMYFUNCTION("GOOGLETRANSLATE(B118,""en"",""pa"")"),"VirtualMaze SoftSys Private Limited (""VMSPL"") ਸਾਡੀ ਵੈੱਬਸਾਈਟ 'ਤੇ ਤੁਹਾਡੇ ਦੌਰੇ ਦੌਰਾਨ ਜਾਂ ਸਾਡੀ ਮੋਬਾਈਲ ਐਪਲੀਕੇਸ਼ਨ ਦੀ ਵਰਤੋਂ ਕਰਦੇ ਸਮੇਂ ਤੁਹਾਡੇ ਤੋਂ ਪ੍ਰਾਪਤ ਕੀਤੀ ਗਈ ਸਾਰੀ ਨਿੱਜੀ ਜਾਣਕਾਰੀ ਦੀ ਗੋਪਨੀਯਤਾ ਦੀ ਰੱਖਿਆ ਕਰਨ ਲਈ ਵਚਨਬੱਧ ਹੈ। ਸਾਡਾ ਉਦੇਸ਼ ਸਾਰੇ ਉਪਭੋਗਤਾਵਾਂ ਦੀ ਸੁਰੱਖਿਆ ਅਤੇ "&amp;"ਗੋਪਨੀਯਤਾ ਦੀ ਰੱਖਿਆ ਕਰਨਾ ਹੈ। ਇਹ ਨੀਤੀ ਸਾਡੇ ਜਾਣਕਾਰੀ ਅਭਿਆਸਾਂ ਅਤੇ VMSPL ਤੁਹਾਡੀ ਜਾਣਕਾਰੀ ਨੂੰ ਇਕੱਠੀ ਕਰਨ ਅਤੇ ਇਸਦੀ ਵਰਤੋਂ ਕਰਨ ਦੇ ਤਰੀਕੇ ਬਾਰੇ ਤੁਹਾਡੇ ਦੁਆਰਾ ਕੀਤੇ ਗਏ ਵਿਕਲਪਾਂ ਦੀ ਵਿਆਖਿਆ ਕਰਦੀ ਹੈ।")</f>
        <v>VirtualMaze SoftSys Private Limited ("VMSPL") ਸਾਡੀ ਵੈੱਬਸਾਈਟ 'ਤੇ ਤੁਹਾਡੇ ਦੌਰੇ ਦੌਰਾਨ ਜਾਂ ਸਾਡੀ ਮੋਬਾਈਲ ਐਪਲੀਕੇਸ਼ਨ ਦੀ ਵਰਤੋਂ ਕਰਦੇ ਸਮੇਂ ਤੁਹਾਡੇ ਤੋਂ ਪ੍ਰਾਪਤ ਕੀਤੀ ਗਈ ਸਾਰੀ ਨਿੱਜੀ ਜਾਣਕਾਰੀ ਦੀ ਗੋਪਨੀਯਤਾ ਦੀ ਰੱਖਿਆ ਕਰਨ ਲਈ ਵਚਨਬੱਧ ਹੈ। ਸਾਡਾ ਉਦੇਸ਼ ਸਾਰੇ ਉਪਭੋਗਤਾਵਾਂ ਦੀ ਸੁਰੱਖਿਆ ਅਤੇ ਗੋਪਨੀਯਤਾ ਦੀ ਰੱਖਿਆ ਕਰਨਾ ਹੈ। ਇਹ ਨੀਤੀ ਸਾਡੇ ਜਾਣਕਾਰੀ ਅਭਿਆਸਾਂ ਅਤੇ VMSPL ਤੁਹਾਡੀ ਜਾਣਕਾਰੀ ਨੂੰ ਇਕੱਠੀ ਕਰਨ ਅਤੇ ਇਸਦੀ ਵਰਤੋਂ ਕਰਨ ਦੇ ਤਰੀਕੇ ਬਾਰੇ ਤੁਹਾਡੇ ਦੁਆਰਾ ਕੀਤੇ ਗਏ ਵਿਕਲਪਾਂ ਦੀ ਵਿਆਖਿਆ ਕਰਦੀ ਹੈ।</v>
      </c>
      <c r="U118" s="4" t="str">
        <f>IFERROR(__xludf.DUMMYFUNCTION("GOOGLETRANSLATE(B118,""en"",""te"")"),"VirtualMaze SoftSys Private Limited (""VMSPL"") మీరు మా వెబ్‌సైట్‌ను సందర్శించినప్పుడు లేదా మా మొబైల్ అప్లికేషన్‌ను ఉపయోగిస్తున్నప్పుడు మీ నుండి పొందిన మొత్తం వ్యక్తిగత సమాచారం యొక్క గోప్యతను రక్షించడానికి కట్టుబడి ఉంది. వినియోగదారులందరి భద్రత మరియు గోప్య"&amp;"తను కాపాడటమే మా లక్ష్యం. ఈ విధానం మా సమాచార అభ్యాసాలను మరియు VMSPL మీ సమాచారాన్ని సేకరించే మరియు ఉపయోగించే విధానం గురించి మీరు చేసే ఎంపికలను వివరిస్తుంది.")</f>
        <v>VirtualMaze SoftSys Private Limited ("VMSPL") మీరు మా వెబ్‌సైట్‌ను సందర్శించినప్పుడు లేదా మా మొబైల్ అప్లికేషన్‌ను ఉపయోగిస్తున్నప్పుడు మీ నుండి పొందిన మొత్తం వ్యక్తిగత సమాచారం యొక్క గోప్యతను రక్షించడానికి కట్టుబడి ఉంది. వినియోగదారులందరి భద్రత మరియు గోప్యతను కాపాడటమే మా లక్ష్యం. ఈ విధానం మా సమాచార అభ్యాసాలను మరియు VMSPL మీ సమాచారాన్ని సేకరించే మరియు ఉపయోగించే విధానం గురించి మీరు చేసే ఎంపికలను వివరిస్తుంది.</v>
      </c>
      <c r="V118" s="4" t="str">
        <f>IFERROR(__xludf.DUMMYFUNCTION("GOOGLETRANSLATE(B118,""en"",""kn"")"),"VirtualMaze SoftSys Private Limited (""VMSPL"") ನಮ್ಮ ವೆಬ್‌ಸೈಟ್‌ಗೆ ನಿಮ್ಮ ಭೇಟಿಯ ಸಮಯದಲ್ಲಿ ಅಥವಾ ನಮ್ಮ ಮೊಬೈಲ್ ಅಪ್ಲಿಕೇಶನ್ ಬಳಸುವಾಗ ನಿಮ್ಮಿಂದ ಪಡೆದ ಎಲ್ಲಾ ವೈಯಕ್ತಿಕ ಮಾಹಿತಿಯ ಗೌಪ್ಯತೆಯನ್ನು ರಕ್ಷಿಸಲು ಬದ್ಧವಾಗಿದೆ. ಎಲ್ಲಾ ಬಳಕೆದಾರರ ಸುರಕ್ಷತೆ ಮತ್ತು ಗೌಪ್ಯತೆಯನ್ನು ಕಾಪಾಡುವುದು ನಮ್ಮ ಗು"&amp;"ರಿಯಾಗಿದೆ. ಈ ನೀತಿಯು ನಮ್ಮ ಮಾಹಿತಿ ಅಭ್ಯಾಸಗಳು ಮತ್ತು VMSPL ನಿಮ್ಮ ಮಾಹಿತಿಯನ್ನು ಸಂಗ್ರಹಿಸುವ ಮತ್ತು ಬಳಸುವ ವಿಧಾನದ ಕುರಿತು ನೀವು ಮಾಡಬಹುದಾದ ಆಯ್ಕೆಗಳನ್ನು ವಿವರಿಸುತ್ತದೆ.")</f>
        <v>VirtualMaze SoftSys Private Limited ("VMSPL") ನಮ್ಮ ವೆಬ್‌ಸೈಟ್‌ಗೆ ನಿಮ್ಮ ಭೇಟಿಯ ಸಮಯದಲ್ಲಿ ಅಥವಾ ನಮ್ಮ ಮೊಬೈಲ್ ಅಪ್ಲಿಕೇಶನ್ ಬಳಸುವಾಗ ನಿಮ್ಮಿಂದ ಪಡೆದ ಎಲ್ಲಾ ವೈಯಕ್ತಿಕ ಮಾಹಿತಿಯ ಗೌಪ್ಯತೆಯನ್ನು ರಕ್ಷಿಸಲು ಬದ್ಧವಾಗಿದೆ. ಎಲ್ಲಾ ಬಳಕೆದಾರರ ಸುರಕ್ಷತೆ ಮತ್ತು ಗೌಪ್ಯತೆಯನ್ನು ಕಾಪಾಡುವುದು ನಮ್ಮ ಗುರಿಯಾಗಿದೆ. ಈ ನೀತಿಯು ನಮ್ಮ ಮಾಹಿತಿ ಅಭ್ಯಾಸಗಳು ಮತ್ತು VMSPL ನಿಮ್ಮ ಮಾಹಿತಿಯನ್ನು ಸಂಗ್ರಹಿಸುವ ಮತ್ತು ಬಳಸುವ ವಿಧಾನದ ಕುರಿತು ನೀವು ಮಾಡಬಹುದಾದ ಆಯ್ಕೆಗಳನ್ನು ವಿವರಿಸುತ್ತದೆ.</v>
      </c>
      <c r="W118" s="4" t="str">
        <f>IFERROR(__xludf.DUMMYFUNCTION("GOOGLETRANSLATE(B118,""en"",""ml"")"),"VirtualMaze SoftSys Private Limited (""VMSPL"") ഞങ്ങളുടെ വെബ്സൈറ്റ് സന്ദർശിക്കുമ്പോഴോ ഞങ്ങളുടെ മൊബൈൽ ആപ്ലിക്കേഷൻ ഉപയോഗിക്കുമ്പോഴോ നിങ്ങളിൽ നിന്ന് ലഭിച്ച എല്ലാ വ്യക്തിഗത വിവരങ്ങളുടെയും സ്വകാര്യത സംരക്ഷിക്കാൻ പ്രതിജ്ഞാബദ്ധമാണ്. എല്ലാ ഉപയോക്താക്കളുടെയും സുരക"&amp;"്ഷയും സ്വകാര്യതയും സംരക്ഷിക്കുക എന്നതാണ് ഞങ്ങളുടെ ലക്ഷ്യം. ഈ നയം ഞങ്ങളുടെ വിവര സമ്പ്രദായങ്ങളും VMSPL നിങ്ങളുടെ വിവരങ്ങൾ ശേഖരിക്കുകയും ഉപയോഗിക്കുകയും ചെയ്യുന്ന രീതിയെക്കുറിച്ച് നിങ്ങൾക്ക് ചെയ്യാവുന്ന തിരഞ്ഞെടുപ്പുകളും വിശദീകരിക്കുന്നു.")</f>
        <v>VirtualMaze SoftSys Private Limited ("VMSPL") ഞങ്ങളുടെ വെബ്സൈറ്റ് സന്ദർശിക്കുമ്പോഴോ ഞങ്ങളുടെ മൊബൈൽ ആപ്ലിക്കേഷൻ ഉപയോഗിക്കുമ്പോഴോ നിങ്ങളിൽ നിന്ന് ലഭിച്ച എല്ലാ വ്യക്തിഗത വിവരങ്ങളുടെയും സ്വകാര്യത സംരക്ഷിക്കാൻ പ്രതിജ്ഞാബദ്ധമാണ്. എല്ലാ ഉപയോക്താക്കളുടെയും സുരക്ഷയും സ്വകാര്യതയും സംരക്ഷിക്കുക എന്നതാണ് ഞങ്ങളുടെ ലക്ഷ്യം. ഈ നയം ഞങ്ങളുടെ വിവര സമ്പ്രദായങ്ങളും VMSPL നിങ്ങളുടെ വിവരങ്ങൾ ശേഖരിക്കുകയും ഉപയോഗിക്കുകയും ചെയ്യുന്ന രീതിയെക്കുറിച്ച് നിങ്ങൾക്ക് ചെയ്യാവുന്ന തിരഞ്ഞെടുപ്പുകളും വിശദീകരിക്കുന്നു.</v>
      </c>
      <c r="X118" s="4" t="str">
        <f>IFERROR(__xludf.DUMMYFUNCTION("GOOGLETRANSLATE(B118,""en"",""th"")"),"VirtualMaze SoftSys Private Limited (""VMSPL"") มุ่งมั่นที่จะปกป้องความเป็นส่วนตัวของข้อมูลส่วนบุคคลทั้งหมดที่ได้รับจากคุณระหว่างการเยี่ยมชมเว็บไซต์ของเราหรือขณะใช้แอปพลิเคชันมือถือของเรา เป้าหมายของเราคือการปกป้องความปลอดภัยและความเป็นส่วนตัวของผู้ใช้ทั้"&amp;"งหมด นโยบายนี้จะอธิบายแนวทางปฏิบัติเกี่ยวกับข้อมูลของเราและตัวเลือกที่คุณสามารถเลือกได้เกี่ยวกับวิธีที่ VMSPL รวบรวมและใช้ข้อมูลของคุณ")</f>
        <v>VirtualMaze SoftSys Private Limited ("VMSPL") มุ่งมั่นที่จะปกป้องความเป็นส่วนตัวของข้อมูลส่วนบุคคลทั้งหมดที่ได้รับจากคุณระหว่างการเยี่ยมชมเว็บไซต์ของเราหรือขณะใช้แอปพลิเคชันมือถือของเรา เป้าหมายของเราคือการปกป้องความปลอดภัยและความเป็นส่วนตัวของผู้ใช้ทั้งหมด นโยบายนี้จะอธิบายแนวทางปฏิบัติเกี่ยวกับข้อมูลของเราและตัวเลือกที่คุณสามารถเลือกได้เกี่ยวกับวิธีที่ VMSPL รวบรวมและใช้ข้อมูลของคุณ</v>
      </c>
      <c r="Y118" s="4" t="str">
        <f>IFERROR(__xludf.DUMMYFUNCTION("GOOGLETRANSLATE(B118,""en"",""ko"")"),"VirtualMaze SoftSys Private Limited(""VMSPL"")는 웹사이트 방문 또는 모바일 애플리케이션 사용 시 수집되는 모든 개인정보를 보호하기 위해 최선을 다하고 있습니다. 당사의 목표는 모든 사용자의 보안과 개인정보를 보호하는 것입니다. 본 정책은 당사의 정보 처리 방침과 VMSPL의 정보 수집 및 사용 방식에 대한 귀하의 선택 사항을 설명합니다.")</f>
        <v>VirtualMaze SoftSys Private Limited("VMSPL")는 웹사이트 방문 또는 모바일 애플리케이션 사용 시 수집되는 모든 개인정보를 보호하기 위해 최선을 다하고 있습니다. 당사의 목표는 모든 사용자의 보안과 개인정보를 보호하는 것입니다. 본 정책은 당사의 정보 처리 방침과 VMSPL의 정보 수집 및 사용 방식에 대한 귀하의 선택 사항을 설명합니다.</v>
      </c>
      <c r="Z118" s="4" t="str">
        <f>IFERROR(__xludf.DUMMYFUNCTION("GOOGLETRANSLATE(B118,""en"",""zh"")"),"VirtualMaze SoftSys Private Limited（“VMSPL”）致力于保护您在访问我们的网站或使用我们的移动应用程序期间获取的所有个人信息的隐私。我们的目标是保障所有用户的安全和隐私。本政策解释了我们的信息处理方式，以及您可以就 VMSPL 收集和使用您的信息的方式做出的选择。")</f>
        <v>VirtualMaze SoftSys Private Limited（“VMSPL”）致力于保护您在访问我们的网站或使用我们的移动应用程序期间获取的所有个人信息的隐私。我们的目标是保障所有用户的安全和隐私。本政策解释了我们的信息处理方式，以及您可以就 VMSPL 收集和使用您的信息的方式做出的选择。</v>
      </c>
      <c r="AA118" s="4" t="str">
        <f>IFERROR(__xludf.DUMMYFUNCTION("GOOGLETRANSLATE(B118,""en"",""zh-TW"")"),"VirtualMaze SoftSys Private Limited（「VMSPL」）致力於保護您在造訪我們的網站或使用我們的行動應用程式期間所取得的所有個人資訊的隱私。我們的目標是保障所有用戶的安全和隱私。本政策解釋了我們的資訊處理方式，以及您可以就 VMSPL 收集和使用您的資訊的方式做出的選擇。")</f>
        <v>VirtualMaze SoftSys Private Limited（「VMSPL」）致力於保護您在造訪我們的網站或使用我們的行動應用程式期間所取得的所有個人資訊的隱私。我們的目標是保障所有用戶的安全和隱私。本政策解釋了我們的資訊處理方式，以及您可以就 VMSPL 收集和使用您的資訊的方式做出的選擇。</v>
      </c>
      <c r="AB118" s="4" t="str">
        <f>IFERROR(__xludf.DUMMYFUNCTION("GOOGLETRANSLATE(B118,""en"",""ja"")"),"VirtualMaze SoftSys Private Limited（以下「VMSPL」）は、お客様が当社のウェブサイトにアクセスした際、またはモバイルアプリケーションをご利用になった際に取得したすべての個人情報のプライバシー保護に尽力いたします。当社の目標は、すべてのユーザーのセキュリティとプライバシーを保護することです。本ポリシーは、当社の情報取扱方針と、VMSPLがお客様の情報を収集および使用する方法に関するお客様の選択肢について説明しています。")</f>
        <v>VirtualMaze SoftSys Private Limited（以下「VMSPL」）は、お客様が当社のウェブサイトにアクセスした際、またはモバイルアプリケーションをご利用になった際に取得したすべての個人情報のプライバシー保護に尽力いたします。当社の目標は、すべてのユーザーのセキュリティとプライバシーを保護することです。本ポリシーは、当社の情報取扱方針と、VMSPLがお客様の情報を収集および使用する方法に関するお客様の選択肢について説明しています。</v>
      </c>
      <c r="AC118" s="4" t="str">
        <f>IFERROR(__xludf.DUMMYFUNCTION("GOOGLETRANSLATE(B118,""en"",""bg"")"),"VirtualMaze SoftSys Private Limited („VMSPL“) се ангажира да защитава поверителността на цялата лична информация, получена от вас по време на вашите посещения на нашия уебсайт или докато използвате нашето мобилно приложение. Нашата цел е да защитим сигурн"&amp;"остта и поверителността на всички потребители. Тази политика обяснява нашите информационни практики и изборите, които можете да направите относно начина, по който VMSPL събира и използва вашата информация.")</f>
        <v>VirtualMaze SoftSys Private Limited („VMSPL“) се ангажира да защитава поверителността на цялата лична информация, получена от вас по време на вашите посещения на нашия уебсайт или докато използвате нашето мобилно приложение. Нашата цел е да защитим сигурността и поверителността на всички потребители. Тази политика обяснява нашите информационни практики и изборите, които можете да направите относно начина, по който VMSPL събира и използва вашата информация.</v>
      </c>
      <c r="AD118" s="4" t="str">
        <f>IFERROR(__xludf.DUMMYFUNCTION("GOOGLETRANSLATE(B118,""en"",""cs"")"),"VirtualMaze SoftSys Private Limited (""VMSPL"") se zavazuje chránit soukromí všech osobních údajů získaných od vás během vašich návštěv na našich webových stránkách nebo při používání naší mobilní aplikace. Naším cílem je zajistit bezpečnost a soukromí vš"&amp;"ech uživatelů. Tyto zásady vysvětlují naše informační postupy a možnosti, které můžete učinit ohledně způsobu, jakým VMSPL shromažďuje a používá vaše informace.")</f>
        <v>VirtualMaze SoftSys Private Limited ("VMSPL") se zavazuje chránit soukromí všech osobních údajů získaných od vás během vašich návštěv na našich webových stránkách nebo při používání naší mobilní aplikace. Naším cílem je zajistit bezpečnost a soukromí všech uživatelů. Tyto zásady vysvětlují naše informační postupy a možnosti, které můžete učinit ohledně způsobu, jakým VMSPL shromažďuje a používá vaše informace.</v>
      </c>
      <c r="AE118" s="4" t="str">
        <f>IFERROR(__xludf.DUMMYFUNCTION("GOOGLETRANSLATE(B118,""en"",""da"")"),"VirtualMaze SoftSys Private Limited (""VMSPL"") er forpligtet til at beskytte privatlivets fred for alle personlige oplysninger modtaget fra dig under dine besøg på vores hjemmeside eller mens du bruger vores mobilapplikation. Vores mål er at beskytte all"&amp;"e brugeres sikkerhed og privatliv. Denne politik forklarer vores informationspraksis og de valg, du kan træffe om den måde, hvorpå VMSPL indsamler og bruger dine oplysninger.")</f>
        <v>VirtualMaze SoftSys Private Limited ("VMSPL") er forpligtet til at beskytte privatlivets fred for alle personlige oplysninger modtaget fra dig under dine besøg på vores hjemmeside eller mens du bruger vores mobilapplikation. Vores mål er at beskytte alle brugeres sikkerhed og privatliv. Denne politik forklarer vores informationspraksis og de valg, du kan træffe om den måde, hvorpå VMSPL indsamler og bruger dine oplysninger.</v>
      </c>
      <c r="AF118" s="4" t="str">
        <f>IFERROR(__xludf.DUMMYFUNCTION("GOOGLETRANSLATE(B118,""en"",""el"")"),"Η VirtualMaze SoftSys Private Limited (""VMSPL"") δεσμεύεται να προστατεύει το απόρρητο όλων των προσωπικών πληροφοριών που λαμβάνονται από εσάς κατά τις επισκέψεις σας στον ιστότοπό μας ή κατά τη χρήση της εφαρμογής μας για κινητά. Στόχος μας είναι να πρ"&amp;"οστατεύσουμε την ασφάλεια και το απόρρητο όλων των χρηστών. Αυτή η πολιτική εξηγεί τις πρακτικές πληροφοριών μας και τις επιλογές που μπορείτε να κάνετε σχετικά με τον τρόπο με τον οποίο το VMSPL συλλέγει και χρησιμοποιεί τις πληροφορίες σας.")</f>
        <v>Η VirtualMaze SoftSys Private Limited ("VMSPL") δεσμεύεται να προστατεύει το απόρρητο όλων των προσωπικών πληροφοριών που λαμβάνονται από εσάς κατά τις επισκέψεις σας στον ιστότοπό μας ή κατά τη χρήση της εφαρμογής μας για κινητά. Στόχος μας είναι να προστατεύσουμε την ασφάλεια και το απόρρητο όλων των χρηστών. Αυτή η πολιτική εξηγεί τις πρακτικές πληροφοριών μας και τις επιλογές που μπορείτε να κάνετε σχετικά με τον τρόπο με τον οποίο το VMSPL συλλέγει και χρησιμοποιεί τις πληροφορίες σας.</v>
      </c>
      <c r="AG118" s="4" t="str">
        <f>IFERROR(__xludf.DUMMYFUNCTION("GOOGLETRANSLATE(B118,""en"",""et"")"),"VirtualMaze SoftSys Private Limited (""VMSPL"") on pühendunud kogu teie käest meie veebisaidi külastamise või mobiilirakenduse kasutamise ajal saadud isikuandmete privaatsuse kaitsmisele. Meie eesmärk on kaitsta kõigi kasutajate turvalisust ja privaatsust"&amp;". See poliitika selgitab meie teabetavasid ja valikuid, mida saate teha selle kohta, kuidas VMSPL teie teavet kogub ja kasutab.")</f>
        <v>VirtualMaze SoftSys Private Limited ("VMSPL") on pühendunud kogu teie käest meie veebisaidi külastamise või mobiilirakenduse kasutamise ajal saadud isikuandmete privaatsuse kaitsmisele. Meie eesmärk on kaitsta kõigi kasutajate turvalisust ja privaatsust. See poliitika selgitab meie teabetavasid ja valikuid, mida saate teha selle kohta, kuidas VMSPL teie teavet kogub ja kasutab.</v>
      </c>
      <c r="AH118" s="4" t="str">
        <f>IFERROR(__xludf.DUMMYFUNCTION("GOOGLETRANSLATE(B118,""en"",""fi"")"),"VirtualMaze SoftSys Private Limited (""VMSPL"") on sitoutunut suojelemaan kaikkien sinulta saatujen henkilötietojen yksityisyyttä vieraillessasi verkkosivustollamme tai käyttäessäsi mobiilisovellustamme. Tavoitteemme on turvata kaikkien käyttäjien turvall"&amp;"isuus ja yksityisyys. Tämä käytäntö selittää tietokäytäntömme ja valinnat, joita voit tehdä tavassa, jolla VMSPL kerää ja käyttää tietojasi.")</f>
        <v>VirtualMaze SoftSys Private Limited ("VMSPL") on sitoutunut suojelemaan kaikkien sinulta saatujen henkilötietojen yksityisyyttä vieraillessasi verkkosivustollamme tai käyttäessäsi mobiilisovellustamme. Tavoitteemme on turvata kaikkien käyttäjien turvallisuus ja yksityisyys. Tämä käytäntö selittää tietokäytäntömme ja valinnat, joita voit tehdä tavassa, jolla VMSPL kerää ja käyttää tietojasi.</v>
      </c>
      <c r="AI118" s="4" t="str">
        <f>IFERROR(__xludf.DUMMYFUNCTION("GOOGLETRANSLATE(B118,""en"",""hr"")"),"VirtualMaze SoftSys Private Limited (""VMSPL"") obvezuje se na zaštitu privatnosti svih osobnih podataka dobivenih od vas tijekom vaših posjeta našoj web stranici ili tijekom korištenja naše mobilne aplikacije. Naš cilj je zaštititi sigurnost i privatnost"&amp;" svih korisnika. Ova pravila objašnjavaju naše prakse informiranja i odabire koje možete napraviti o načinu na koji VMSPL prikuplja i koristi vaše podatke.")</f>
        <v>VirtualMaze SoftSys Private Limited ("VMSPL") obvezuje se na zaštitu privatnosti svih osobnih podataka dobivenih od vas tijekom vaših posjeta našoj web stranici ili tijekom korištenja naše mobilne aplikacije. Naš cilj je zaštititi sigurnost i privatnost svih korisnika. Ova pravila objašnjavaju naše prakse informiranja i odabire koje možete napraviti o načinu na koji VMSPL prikuplja i koristi vaše podatke.</v>
      </c>
      <c r="AJ118" s="4" t="str">
        <f>IFERROR(__xludf.DUMMYFUNCTION("GOOGLETRANSLATE(B118,""en"",""hu"")"),"A VirtualMaze SoftSys Private Limited (""VMSPL"") elkötelezte magát amellett, hogy megvédje az Öntől a webhelyünk látogatása során vagy mobilalkalmazásunk használata során szerzett személyes adatok védelmét. Célunk az összes felhasználó biztonságának és m"&amp;"agánéletének védelme. Ez a szabályzat elmagyarázza az információs gyakorlatunkat, valamint az Ön által meghozható döntéseket azzal kapcsolatban, hogy a VMSPL hogyan gyűjti és használja fel az Ön adatait.")</f>
        <v>A VirtualMaze SoftSys Private Limited ("VMSPL") elkötelezte magát amellett, hogy megvédje az Öntől a webhelyünk látogatása során vagy mobilalkalmazásunk használata során szerzett személyes adatok védelmét. Célunk az összes felhasználó biztonságának és magánéletének védelme. Ez a szabályzat elmagyarázza az információs gyakorlatunkat, valamint az Ön által meghozható döntéseket azzal kapcsolatban, hogy a VMSPL hogyan gyűjti és használja fel az Ön adatait.</v>
      </c>
      <c r="AK118" s="4" t="str">
        <f>IFERROR(__xludf.DUMMYFUNCTION("GOOGLETRANSLATE(B118,""en"",""hy"")"),"VirtualMaze SoftSys Private Limited-ը («VMSPL») պարտավորվում է պաշտպանել ձեզանից ստացված բոլոր անձնական տեղեկատվության գաղտնիությունը մեր կայք այցելելու ընթացքում կամ մեր բջջային հավելվածն օգտագործելիս: Մեր նպատակն է պաշտպանել բոլոր օգտատերերի անվտանգությ"&amp;"ունն ու գաղտնիությունը: Այս քաղաքականությունը բացատրում է մեր տեղեկատվական պրակտիկան և այն ընտրությունները, որոնք դուք կարող եք կատարել այն մասին, թե ինչպես է VMSPL-ը հավաքում և օգտագործում ձեր տեղեկությունները:")</f>
        <v>VirtualMaze SoftSys Private Limited-ը («VMSPL») պարտավորվում է պաշտպանել ձեզանից ստացված բոլոր անձնական տեղեկատվության գաղտնիությունը մեր կայք այցելելու ընթացքում կամ մեր բջջային հավելվածն օգտագործելիս: Մեր նպատակն է պաշտպանել բոլոր օգտատերերի անվտանգությունն ու գաղտնիությունը: Այս քաղաքականությունը բացատրում է մեր տեղեկատվական պրակտիկան և այն ընտրությունները, որոնք դուք կարող եք կատարել այն մասին, թե ինչպես է VMSPL-ը հավաքում և օգտագործում ձեր տեղեկությունները:</v>
      </c>
      <c r="AL118" s="4" t="str">
        <f>IFERROR(__xludf.DUMMYFUNCTION("GOOGLETRANSLATE(B118,""en"",""ca"")"),"VirtualMaze SoftSys Private Limited (""VMSPL"") es compromet a protegir la privadesa de tota la informació personal obtinguda durant les vostres visites al nostre lloc web o mentre feu servir la nostra aplicació mòbil. El nostre objectiu és salvaguardar l"&amp;"a seguretat i la privadesa de tots els usuaris. Aquesta política explica les nostres pràctiques d'informació i les opcions que podeu fer sobre la manera com VMSPL recopila i utilitza la vostra informació.")</f>
        <v>VirtualMaze SoftSys Private Limited ("VMSPL") es compromet a protegir la privadesa de tota la informació personal obtinguda durant les vostres visites al nostre lloc web o mentre feu servir la nostra aplicació mòbil. El nostre objectiu és salvaguardar la seguretat i la privadesa de tots els usuaris. Aquesta política explica les nostres pràctiques d'informació i les opcions que podeu fer sobre la manera com VMSPL recopila i utilitza la vostra informació.</v>
      </c>
      <c r="AM118" s="4" t="str">
        <f>IFERROR(__xludf.DUMMYFUNCTION("GOOGLETRANSLATE(B118,""en"",""nl"")"),"VirtualMaze SoftSys Private Limited (""VMSPL"") zet zich in voor de bescherming van de privacy van alle persoonlijke informatie die van u wordt verkregen tijdens uw bezoeken aan onze website of tijdens het gebruik van onze mobiele applicatie. Ons doel is "&amp;"de veiligheid en privacy van alle gebruikers te waarborgen. Dit beleid beschrijft onze informatiepraktijken en de keuzes die u kunt maken over de manier waarop VMSPL uw gegevens verzamelt en gebruikt.")</f>
        <v>VirtualMaze SoftSys Private Limited ("VMSPL") zet zich in voor de bescherming van de privacy van alle persoonlijke informatie die van u wordt verkregen tijdens uw bezoeken aan onze website of tijdens het gebruik van onze mobiele applicatie. Ons doel is de veiligheid en privacy van alle gebruikers te waarborgen. Dit beleid beschrijft onze informatiepraktijken en de keuzes die u kunt maken over de manier waarop VMSPL uw gegevens verzamelt en gebruikt.</v>
      </c>
      <c r="AN118" s="4" t="str">
        <f>IFERROR(__xludf.DUMMYFUNCTION("GOOGLETRANSLATE(B118,""en"",""he"")"),"VirtualMaze SoftSys Private Limited (""VMSPL"") מחויבת להגן על הפרטיות של כל המידע האישי המתקבל ממך במהלך ביקוריך באתר האינטרנט שלנו או תוך כדי שימוש באפליקציה שלנו לנייד. המטרה שלנו היא להגן על האבטחה והפרטיות של כל המשתמשים. מדיניות זו מסבירה את נוהלי ה"&amp;"מידע שלנו ואת הבחירות שאתה יכול לעשות לגבי הדרך שבה VMSPL אוספת ומשתמשת במידע שלך.")</f>
        <v>VirtualMaze SoftSys Private Limited ("VMSPL") מחויבת להגן על הפרטיות של כל המידע האישי המתקבל ממך במהלך ביקוריך באתר האינטרנט שלנו או תוך כדי שימוש באפליקציה שלנו לנייד. המטרה שלנו היא להגן על האבטחה והפרטיות של כל המשתמשים. מדיניות זו מסבירה את נוהלי המידע שלנו ואת הבחירות שאתה יכול לעשות לגבי הדרך שבה VMSPL אוספת ומשתמשת במידע שלך.</v>
      </c>
      <c r="AO118" s="4" t="str">
        <f>IFERROR(__xludf.DUMMYFUNCTION("GOOGLETRANSLATE(B118,""en"",""is"")"),"VirtualMaze SoftSys Private Limited (""VMSPL"") skuldbindur sig til að vernda friðhelgi allra persónuupplýsinga sem fengnar eru frá þér meðan á heimsóknum þínum á vefsíðu okkar stendur eða meðan þú notar farsímaforritið okkar. Markmið okkar er að standa v"&amp;"örð um öryggi og friðhelgi einkalífs allra notenda. Þessi stefna útskýrir upplýsingavenjur okkar og þær ákvarðanir sem þú getur tekið um hvernig VMSPL safnar og notar upplýsingarnar þínar.")</f>
        <v>VirtualMaze SoftSys Private Limited ("VMSPL") skuldbindur sig til að vernda friðhelgi allra persónuupplýsinga sem fengnar eru frá þér meðan á heimsóknum þínum á vefsíðu okkar stendur eða meðan þú notar farsímaforritið okkar. Markmið okkar er að standa vörð um öryggi og friðhelgi einkalífs allra notenda. Þessi stefna útskýrir upplýsingavenjur okkar og þær ákvarðanir sem þú getur tekið um hvernig VMSPL safnar og notar upplýsingarnar þínar.</v>
      </c>
      <c r="AP118" s="4" t="str">
        <f>IFERROR(__xludf.DUMMYFUNCTION("GOOGLETRANSLATE(B118,""en"",""no"")"),"VirtualMaze SoftSys Private Limited (""VMSPL"") er forpliktet til å beskytte personvernet til all personlig informasjon innhentet fra deg under dine besøk på nettstedet vårt eller mens du bruker mobilapplikasjonen vår. Vårt mål er å ivareta sikkerheten og"&amp;" personvernet til alle brukere. Denne policyen forklarer informasjonspraksisen vår og valgene du kan ta om måten VMSPL samler inn og bruker informasjonen din på.")</f>
        <v>VirtualMaze SoftSys Private Limited ("VMSPL") er forpliktet til å beskytte personvernet til all personlig informasjon innhentet fra deg under dine besøk på nettstedet vårt eller mens du bruker mobilapplikasjonen vår. Vårt mål er å ivareta sikkerheten og personvernet til alle brukere. Denne policyen forklarer informasjonspraksisen vår og valgene du kan ta om måten VMSPL samler inn og bruker informasjonen din på.</v>
      </c>
      <c r="AQ118" s="4" t="str">
        <f>IFERROR(__xludf.DUMMYFUNCTION("GOOGLETRANSLATE(B118,""en"",""fa"")"),"VirtualMaze SoftSys Private Limited (""VMSPL"") متعهد است از حریم خصوصی تمام اطلاعات شخصی که در طول بازدید شما از وب سایت ما یا هنگام استفاده از برنامه تلفن همراه ما از شما به دست آمده است محافظت کند. هدف ما حفظ امنیت و حریم خصوصی همه کاربران است. این خط‌"&amp;"مشی روش‌های اطلاعاتی ما و انتخاب‌هایی را که می‌توانید در مورد روشی که VMSPL اطلاعات شما را جمع‌آوری و استفاده می‌کند، توضیح می‌دهد.")</f>
        <v>VirtualMaze SoftSys Private Limited ("VMSPL") متعهد است از حریم خصوصی تمام اطلاعات شخصی که در طول بازدید شما از وب سایت ما یا هنگام استفاده از برنامه تلفن همراه ما از شما به دست آمده است محافظت کند. هدف ما حفظ امنیت و حریم خصوصی همه کاربران است. این خط‌مشی روش‌های اطلاعاتی ما و انتخاب‌هایی را که می‌توانید در مورد روشی که VMSPL اطلاعات شما را جمع‌آوری و استفاده می‌کند، توضیح می‌دهد.</v>
      </c>
      <c r="AR118" s="4" t="str">
        <f>IFERROR(__xludf.DUMMYFUNCTION("GOOGLETRANSLATE(B118,""en"",""pl"")"),"VirtualMaze SoftSys Private Limited („VMSPL”) zobowiązuje się do ochrony prywatności wszystkich danych osobowych uzyskanych od Ciebie podczas wizyt na naszej stronie internetowej lub korzystania z naszej aplikacji mobilnej. Naszym celem jest ochrona bezpi"&amp;"eczeństwa i prywatności wszystkich użytkowników. Niniejsza polityka wyjaśnia nasze praktyki informacyjne i wybory, których możesz dokonać w zakresie sposobu, w jaki VMSPL zbiera i wykorzystuje Twoje dane.")</f>
        <v>VirtualMaze SoftSys Private Limited („VMSPL”) zobowiązuje się do ochrony prywatności wszystkich danych osobowych uzyskanych od Ciebie podczas wizyt na naszej stronie internetowej lub korzystania z naszej aplikacji mobilnej. Naszym celem jest ochrona bezpieczeństwa i prywatności wszystkich użytkowników. Niniejsza polityka wyjaśnia nasze praktyki informacyjne i wybory, których możesz dokonać w zakresie sposobu, w jaki VMSPL zbiera i wykorzystuje Twoje dane.</v>
      </c>
      <c r="AS118" s="4" t="str">
        <f>IFERROR(__xludf.DUMMYFUNCTION("GOOGLETRANSLATE(B118,""en"",""sv"")"),"VirtualMaze SoftSys Private Limited (""VMSPL"") har åtagit sig att skydda integriteten för all personlig information som erhålls från dig under dina besök på vår webbplats eller när du använder vår mobilapplikation. Vårt mål är att skydda alla användares "&amp;"säkerhet och integritet. Denna policy förklarar vår informationspraxis och de val du kan göra om hur VMSPL samlar in och använder din information.")</f>
        <v>VirtualMaze SoftSys Private Limited ("VMSPL") har åtagit sig att skydda integriteten för all personlig information som erhålls från dig under dina besök på vår webbplats eller när du använder vår mobilapplikation. Vårt mål är att skydda alla användares säkerhet och integritet. Denna policy förklarar vår informationspraxis och de val du kan göra om hur VMSPL samlar in och använder din information.</v>
      </c>
      <c r="AT118" s="4" t="str">
        <f>IFERROR(__xludf.DUMMYFUNCTION("GOOGLETRANSLATE(B118,""en"",""uk"")"),"VirtualMaze SoftSys Private Limited (""VMSPL"") зобов'язується захищати конфіденційність усієї особистої інформації, отриманої від вас під час відвідування нашого веб-сайту або під час використання нашої мобільної програми. Наша мета — захистити безпеку т"&amp;"а конфіденційність усіх користувачів. У цій політиці пояснюється наша інформаційна практика та вибір, який ви можете зробити щодо того, як VMSPL збирає та використовує вашу інформацію.")</f>
        <v>VirtualMaze SoftSys Private Limited ("VMSPL") зобов'язується захищати конфіденційність усієї особистої інформації, отриманої від вас під час відвідування нашого веб-сайту або під час використання нашої мобільної програми. Наша мета — захистити безпеку та конфіденційність усіх користувачів. У цій політиці пояснюється наша інформаційна практика та вибір, який ви можете зробити щодо того, як VMSPL збирає та використовує вашу інформацію.</v>
      </c>
      <c r="AU118" s="4" t="str">
        <f>IFERROR(__xludf.DUMMYFUNCTION("GOOGLETRANSLATE(B118,""en"",""zu"")"),"I-VirtualMaze SoftSys Private Limited (""VMSPL"") izimisele ukuvikela ubumfihlo bayo yonke imininingwane yomuntu etholwe kuwe ngesikhathi uvakashela iwebhusayithi yethu noma ngenkathi usebenzisa uhlelo lwethu lokusebenza lweselula. Inhloso yethu ukuvikela"&amp;" ukuphepha nobumfihlo babo bonke abasebenzisi. Le nqubomgomo ichaza izinqubo zethu zolwazi kanye nokukhetha ongakwenza mayelana nendlela i-VMSPL eqoqa futhi isebenzise ngayo ulwazi lwakho.")</f>
        <v>I-VirtualMaze SoftSys Private Limited ("VMSPL") izimisele ukuvikela ubumfihlo bayo yonke imininingwane yomuntu etholwe kuwe ngesikhathi uvakashela iwebhusayithi yethu noma ngenkathi usebenzisa uhlelo lwethu lokusebenza lweselula. Inhloso yethu ukuvikela ukuphepha nobumfihlo babo bonke abasebenzisi. Le nqubomgomo ichaza izinqubo zethu zolwazi kanye nokukhetha ongakwenza mayelana nendlela i-VMSPL eqoqa futhi isebenzise ngayo ulwazi lwakho.</v>
      </c>
      <c r="AV118" s="4" t="str">
        <f>IFERROR(__xludf.DUMMYFUNCTION("GOOGLETRANSLATE(B118,""en"",""sr"")"),"ВиртуалМазе СофтСис Привате Лимитед („ВМСПЛ“) је посвећен заштити приватности свих личних података добијених од вас током ваших посета нашој веб страници или током коришћења наше мобилне апликације. Наш циљ је да заштитимо безбедност и приватност свих кор"&amp;"исника. Ова политика објашњава наше праксе информисања и изборе које можете да донесете о начину на који ВМСПЛ прикупља и користи ваше податке.")</f>
        <v>ВиртуалМазе СофтСис Привате Лимитед („ВМСПЛ“) је посвећен заштити приватности свих личних података добијених од вас током ваших посета нашој веб страници или током коришћења наше мобилне апликације. Наш циљ је да заштитимо безбедност и приватност свих корисника. Ова политика објашњава наше праксе информисања и изборе које можете да донесете о начину на који ВМСПЛ прикупља и користи ваше податке.</v>
      </c>
    </row>
    <row r="119">
      <c r="A119" s="3" t="s">
        <v>273</v>
      </c>
      <c r="B119" s="3" t="s">
        <v>274</v>
      </c>
      <c r="C119" s="4" t="str">
        <f>IFERROR(__xludf.DUMMYFUNCTION("GOOGLETRANSLATE(B119,""en"",""ta"")"),"தனிப்பட்ட தரவைப் பயன்படுத்துதல்")</f>
        <v>தனிப்பட்ட தரவைப் பயன்படுத்துதல்</v>
      </c>
      <c r="D119" s="4" t="str">
        <f>IFERROR(__xludf.DUMMYFUNCTION("GOOGLETRANSLATE(B119,""en"",""hi"")"),"व्यक्तिगत डेटा का उपयोग")</f>
        <v>व्यक्तिगत डेटा का उपयोग</v>
      </c>
      <c r="E119" s="4" t="str">
        <f>IFERROR(__xludf.DUMMYFUNCTION("GOOGLETRANSLATE(B119,""en"",""id"")"),"Penggunaan Data Pribadi")</f>
        <v>Penggunaan Data Pribadi</v>
      </c>
      <c r="F119" s="4" t="str">
        <f>IFERROR(__xludf.DUMMYFUNCTION("GOOGLETRANSLATE(B119,""en"",""ms"")"),"Penggunaan Data Peribadi")</f>
        <v>Penggunaan Data Peribadi</v>
      </c>
      <c r="G119" s="4" t="str">
        <f>IFERROR(__xludf.DUMMYFUNCTION("GOOGLETRANSLATE(B119,""en"",""de"")"),"Verwendung personenbezogener Daten")</f>
        <v>Verwendung personenbezogener Daten</v>
      </c>
      <c r="H119" s="4" t="str">
        <f>IFERROR(__xludf.DUMMYFUNCTION("GOOGLETRANSLATE(B119,""en"",""es"")"),"Uso de datos personales")</f>
        <v>Uso de datos personales</v>
      </c>
      <c r="I119" s="4" t="str">
        <f>IFERROR(__xludf.DUMMYFUNCTION("GOOGLETRANSLATE(B119,""en"",""fr"")"),"Utilisation des données personnelles")</f>
        <v>Utilisation des données personnelles</v>
      </c>
      <c r="J119" s="4" t="str">
        <f>IFERROR(__xludf.DUMMYFUNCTION("GOOGLETRANSLATE(B119,""en"",""it"")"),"Utilizzo dei dati personali")</f>
        <v>Utilizzo dei dati personali</v>
      </c>
      <c r="K119" s="4" t="str">
        <f>IFERROR(__xludf.DUMMYFUNCTION("GOOGLETRANSLATE(B119,""en"",""pt"")"),"Uso de Dados Pessoais")</f>
        <v>Uso de Dados Pessoais</v>
      </c>
      <c r="L119" s="4" t="str">
        <f>IFERROR(__xludf.DUMMYFUNCTION("GOOGLETRANSLATE(B119,""en"",""ro"")"),"Utilizarea datelor cu caracter personal")</f>
        <v>Utilizarea datelor cu caracter personal</v>
      </c>
      <c r="M119" s="4" t="str">
        <f>IFERROR(__xludf.DUMMYFUNCTION("GOOGLETRANSLATE(B119,""en"",""vi"")"),"Sử dụng dữ liệu cá nhân")</f>
        <v>Sử dụng dữ liệu cá nhân</v>
      </c>
      <c r="N119" s="4" t="str">
        <f>IFERROR(__xludf.DUMMYFUNCTION("GOOGLETRANSLATE(B119,""en"",""ru"")"),"Использование персональных данных")</f>
        <v>Использование персональных данных</v>
      </c>
      <c r="O119" s="4" t="str">
        <f>IFERROR(__xludf.DUMMYFUNCTION("GOOGLETRANSLATE(B119,""en"",""tr"")"),"Kişisel Verilerin Kullanımı")</f>
        <v>Kişisel Verilerin Kullanımı</v>
      </c>
      <c r="P119" s="4" t="str">
        <f>IFERROR(__xludf.DUMMYFUNCTION("GOOGLETRANSLATE(B119,""en"",""ar"")"),"استخدام البيانات الشخصية")</f>
        <v>استخدام البيانات الشخصية</v>
      </c>
      <c r="Q119" s="4" t="str">
        <f>IFERROR(__xludf.DUMMYFUNCTION("GOOGLETRANSLATE(B119,""en"",""mr"")"),"वैयक्तिक डेटाचा वापर")</f>
        <v>वैयक्तिक डेटाचा वापर</v>
      </c>
      <c r="R119" s="4" t="str">
        <f>IFERROR(__xludf.DUMMYFUNCTION("GOOGLETRANSLATE(B119,""en"",""gu"")"),"વ્યક્તિગત ડેટાનો ઉપયોગ")</f>
        <v>વ્યક્તિગત ડેટાનો ઉપયોગ</v>
      </c>
      <c r="S119" s="4" t="str">
        <f>IFERROR(__xludf.DUMMYFUNCTION("GOOGLETRANSLATE(B119,""en"",""bn"")"),"ব্যক্তিগত তথ্য ব্যবহার")</f>
        <v>ব্যক্তিগত তথ্য ব্যবহার</v>
      </c>
      <c r="T119" s="4" t="str">
        <f>IFERROR(__xludf.DUMMYFUNCTION("GOOGLETRANSLATE(B119,""en"",""pa"")"),"ਨਿੱਜੀ ਡੇਟਾ ਦੀ ਵਰਤੋਂ")</f>
        <v>ਨਿੱਜੀ ਡੇਟਾ ਦੀ ਵਰਤੋਂ</v>
      </c>
      <c r="U119" s="4" t="str">
        <f>IFERROR(__xludf.DUMMYFUNCTION("GOOGLETRANSLATE(B119,""en"",""te"")"),"వ్యక్తిగత డేటా ఉపయోగం")</f>
        <v>వ్యక్తిగత డేటా ఉపయోగం</v>
      </c>
      <c r="V119" s="4" t="str">
        <f>IFERROR(__xludf.DUMMYFUNCTION("GOOGLETRANSLATE(B119,""en"",""kn"")"),"ವೈಯಕ್ತಿಕ ಡೇಟಾದ ಬಳಕೆ")</f>
        <v>ವೈಯಕ್ತಿಕ ಡೇಟಾದ ಬಳಕೆ</v>
      </c>
      <c r="W119" s="4" t="str">
        <f>IFERROR(__xludf.DUMMYFUNCTION("GOOGLETRANSLATE(B119,""en"",""ml"")"),"വ്യക്തിഗത ഡാറ്റയുടെ ഉപയോഗം")</f>
        <v>വ്യക്തിഗത ഡാറ്റയുടെ ഉപയോഗം</v>
      </c>
      <c r="X119" s="4" t="str">
        <f>IFERROR(__xludf.DUMMYFUNCTION("GOOGLETRANSLATE(B119,""en"",""th"")"),"การใช้ข้อมูลส่วนบุคคล")</f>
        <v>การใช้ข้อมูลส่วนบุคคล</v>
      </c>
      <c r="Y119" s="4" t="str">
        <f>IFERROR(__xludf.DUMMYFUNCTION("GOOGLETRANSLATE(B119,""en"",""ko"")"),"개인 정보 사용")</f>
        <v>개인 정보 사용</v>
      </c>
      <c r="Z119" s="4" t="str">
        <f>IFERROR(__xludf.DUMMYFUNCTION("GOOGLETRANSLATE(B119,""en"",""zh"")"),"个人信息的使用")</f>
        <v>个人信息的使用</v>
      </c>
      <c r="AA119" s="4" t="str">
        <f>IFERROR(__xludf.DUMMYFUNCTION("GOOGLETRANSLATE(B119,""en"",""zh-TW"")"),"個人資訊的使用")</f>
        <v>個人資訊的使用</v>
      </c>
      <c r="AB119" s="4" t="str">
        <f>IFERROR(__xludf.DUMMYFUNCTION("GOOGLETRANSLATE(B119,""en"",""ja"")"),"個人データの利用")</f>
        <v>個人データの利用</v>
      </c>
      <c r="AC119" s="4" t="str">
        <f>IFERROR(__xludf.DUMMYFUNCTION("GOOGLETRANSLATE(B119,""en"",""bg"")"),"Използване на лични данни")</f>
        <v>Използване на лични данни</v>
      </c>
      <c r="AD119" s="4" t="str">
        <f>IFERROR(__xludf.DUMMYFUNCTION("GOOGLETRANSLATE(B119,""en"",""cs"")"),"Použití osobních údajů")</f>
        <v>Použití osobních údajů</v>
      </c>
      <c r="AE119" s="4" t="str">
        <f>IFERROR(__xludf.DUMMYFUNCTION("GOOGLETRANSLATE(B119,""en"",""da"")"),"Brug af personlige data")</f>
        <v>Brug af personlige data</v>
      </c>
      <c r="AF119" s="4" t="str">
        <f>IFERROR(__xludf.DUMMYFUNCTION("GOOGLETRANSLATE(B119,""en"",""el"")"),"Χρήση Προσωπικών Δεδομένων")</f>
        <v>Χρήση Προσωπικών Δεδομένων</v>
      </c>
      <c r="AG119" s="4" t="str">
        <f>IFERROR(__xludf.DUMMYFUNCTION("GOOGLETRANSLATE(B119,""en"",""et"")"),"Isikuandmete kasutamine")</f>
        <v>Isikuandmete kasutamine</v>
      </c>
      <c r="AH119" s="4" t="str">
        <f>IFERROR(__xludf.DUMMYFUNCTION("GOOGLETRANSLATE(B119,""en"",""fi"")"),"Henkilötietojen käyttö")</f>
        <v>Henkilötietojen käyttö</v>
      </c>
      <c r="AI119" s="4" t="str">
        <f>IFERROR(__xludf.DUMMYFUNCTION("GOOGLETRANSLATE(B119,""en"",""hr"")"),"Korištenje osobnih podataka")</f>
        <v>Korištenje osobnih podataka</v>
      </c>
      <c r="AJ119" s="4" t="str">
        <f>IFERROR(__xludf.DUMMYFUNCTION("GOOGLETRANSLATE(B119,""en"",""hu"")"),"Személyes adatok felhasználása")</f>
        <v>Személyes adatok felhasználása</v>
      </c>
      <c r="AK119" s="4" t="str">
        <f>IFERROR(__xludf.DUMMYFUNCTION("GOOGLETRANSLATE(B119,""en"",""hy"")"),"Անձնական տվյալների օգտագործումը")</f>
        <v>Անձնական տվյալների օգտագործումը</v>
      </c>
      <c r="AL119" s="4" t="str">
        <f>IFERROR(__xludf.DUMMYFUNCTION("GOOGLETRANSLATE(B119,""en"",""ca"")"),"Ús de Dades Personals")</f>
        <v>Ús de Dades Personals</v>
      </c>
      <c r="AM119" s="4" t="str">
        <f>IFERROR(__xludf.DUMMYFUNCTION("GOOGLETRANSLATE(B119,""en"",""nl"")"),"Gebruik van persoonsgegevens")</f>
        <v>Gebruik van persoonsgegevens</v>
      </c>
      <c r="AN119" s="4" t="str">
        <f>IFERROR(__xludf.DUMMYFUNCTION("GOOGLETRANSLATE(B119,""en"",""he"")"),"שימוש בנתונים אישיים")</f>
        <v>שימוש בנתונים אישיים</v>
      </c>
      <c r="AO119" s="4" t="str">
        <f>IFERROR(__xludf.DUMMYFUNCTION("GOOGLETRANSLATE(B119,""en"",""is"")"),"Notkun persónuupplýsinga")</f>
        <v>Notkun persónuupplýsinga</v>
      </c>
      <c r="AP119" s="4" t="str">
        <f>IFERROR(__xludf.DUMMYFUNCTION("GOOGLETRANSLATE(B119,""en"",""no"")"),"Bruk av personopplysninger")</f>
        <v>Bruk av personopplysninger</v>
      </c>
      <c r="AQ119" s="4" t="str">
        <f>IFERROR(__xludf.DUMMYFUNCTION("GOOGLETRANSLATE(B119,""en"",""fa"")"),"استفاده از داده های شخصی")</f>
        <v>استفاده از داده های شخصی</v>
      </c>
      <c r="AR119" s="4" t="str">
        <f>IFERROR(__xludf.DUMMYFUNCTION("GOOGLETRANSLATE(B119,""en"",""pl"")"),"Wykorzystanie danych osobowych")</f>
        <v>Wykorzystanie danych osobowych</v>
      </c>
      <c r="AS119" s="4" t="str">
        <f>IFERROR(__xludf.DUMMYFUNCTION("GOOGLETRANSLATE(B119,""en"",""sv"")"),"Användning av personuppgifter")</f>
        <v>Användning av personuppgifter</v>
      </c>
      <c r="AT119" s="4" t="str">
        <f>IFERROR(__xludf.DUMMYFUNCTION("GOOGLETRANSLATE(B119,""en"",""uk"")"),"Використання персональних даних")</f>
        <v>Використання персональних даних</v>
      </c>
      <c r="AU119" s="4" t="str">
        <f>IFERROR(__xludf.DUMMYFUNCTION("GOOGLETRANSLATE(B119,""en"",""zu"")"),"Ukusetshenziswa Kwedatha yomuntu siqu")</f>
        <v>Ukusetshenziswa Kwedatha yomuntu siqu</v>
      </c>
      <c r="AV119" s="4" t="str">
        <f>IFERROR(__xludf.DUMMYFUNCTION("GOOGLETRANSLATE(B119,""en"",""sr"")"),"Коришћење личних података")</f>
        <v>Коришћење личних података</v>
      </c>
    </row>
    <row r="120">
      <c r="A120" s="3" t="s">
        <v>275</v>
      </c>
      <c r="B120" s="3" t="s">
        <v>276</v>
      </c>
      <c r="C120" s="4" t="str">
        <f>IFERROR(__xludf.DUMMYFUNCTION("GOOGLETRANSLATE(B120,""en"",""ta"")"),"GPS Tools® இணையதளம் ({{link}}) பயனர்களின் IP முகவரி மற்றும் ஹோஸ்ட் பெயர் மற்றும் வருகையின் காலம், பார்வையிட்ட பக்கங்கள் மற்றும் பயன்படுத்தப்பட்ட உலாவியின் தன்மை போன்ற அமர்வு விவரங்கள் ஆகியவற்றைப் பதிவு செய்வதைத் தவிர, தளத்திற்கு வருபவர்களிடமிருந்து தனிப்ப"&amp;"ட்ட தரவை தானாகவே கைப்பற்றவோ அல்லது சேமிக்கவோ இல்லை. இந்தத் தகவல் உங்களை தனிப்பட்ட முறையில் அடையாளம் காணவில்லை; எங்கள் தரவு சேவையகத்தில் உள்ள சிக்கல்களைக் கண்டறியவும், எங்கள் வலைத்தளத்தை நிர்வகிக்கவும், எங்கள் பார்வையாளர்கள் மற்றும் அவர்கள் தளத்தைப் பயன்பட"&amp;"ுத்துவதைப் பற்றிய புள்ளிவிவரங்களைத் தொகுக்கவும் இது பயன்படுகிறது. எடுத்துக்காட்டாக, எங்கள் பயனர்கள் எந்தப் பக்கங்களை அடிக்கடி பார்வையிடுகிறார்கள் என்பதைக் கண்காணிக்க அல்லது எங்கள் பார்வையாளர்கள் எந்த இணைய உலாவிகளைப் பயன்படுத்துகிறார்கள் என்பதைத் தீர்மானிக"&amp;"்க இந்தத் தரவைப் பயன்படுத்தலாம்.
எங்கள் இணையதளம் அல்லது மொபைல் ஆப் மூலம் சேகரிக்கப்படும் எந்தத் தரவும் எந்த மூன்றாம் தரப்பினருக்கும் பகிரப்படாது. அந்தத் தரவுகள் எங்கள் இணையதளம் அல்லது ஆப்ஸ் தொடர்பான செயல்பாடுகள் அல்லது சேவைகளுக்கு எங்கள் உள் செயல்பாடுகளி"&amp;"ல் பயன்படுத்தப்படும்.")</f>
        <v>GPS Tools® இணையதளம் ({{link}}) பயனர்களின் IP முகவரி மற்றும் ஹோஸ்ட் பெயர் மற்றும் வருகையின் காலம், பார்வையிட்ட பக்கங்கள் மற்றும் பயன்படுத்தப்பட்ட உலாவியின் தன்மை போன்ற அமர்வு விவரங்கள் ஆகியவற்றைப் பதிவு செய்வதைத் தவிர, தளத்திற்கு வருபவர்களிடமிருந்து தனிப்பட்ட தரவை தானாகவே கைப்பற்றவோ அல்லது சேமிக்கவோ இல்லை. இந்தத் தகவல் உங்களை தனிப்பட்ட முறையில் அடையாளம் காணவில்லை; எங்கள் தரவு சேவையகத்தில் உள்ள சிக்கல்களைக் கண்டறியவும், எங்கள் வலைத்தளத்தை நிர்வகிக்கவும், எங்கள் பார்வையாளர்கள் மற்றும் அவர்கள் தளத்தைப் பயன்படுத்துவதைப் பற்றிய புள்ளிவிவரங்களைத் தொகுக்கவும் இது பயன்படுகிறது. எடுத்துக்காட்டாக, எங்கள் பயனர்கள் எந்தப் பக்கங்களை அடிக்கடி பார்வையிடுகிறார்கள் என்பதைக் கண்காணிக்க அல்லது எங்கள் பார்வையாளர்கள் எந்த இணைய உலாவிகளைப் பயன்படுத்துகிறார்கள் என்பதைத் தீர்மானிக்க இந்தத் தரவைப் பயன்படுத்தலாம்.
எங்கள் இணையதளம் அல்லது மொபைல் ஆப் மூலம் சேகரிக்கப்படும் எந்தத் தரவும் எந்த மூன்றாம் தரப்பினருக்கும் பகிரப்படாது. அந்தத் தரவுகள் எங்கள் இணையதளம் அல்லது ஆப்ஸ் தொடர்பான செயல்பாடுகள் அல்லது சேவைகளுக்கு எங்கள் உள் செயல்பாடுகளில் பயன்படுத்தப்படும்.</v>
      </c>
      <c r="D120" s="4" t="str">
        <f>IFERROR(__xludf.DUMMYFUNCTION("GOOGLETRANSLATE(B120,""en"",""hi"")"),"GPS Tools® वेबसाइट ({{link}}) उपयोगकर्ताओं के IP पते और होस्टनाम, तथा सत्र विवरण जैसे कि विज़िट की अवधि, देखे गए पृष्ठ और उपयोग किए गए ब्राउज़र की प्रकृति को लॉग करने के अलावा साइट पर आने वाले विज़िटर से व्यक्तिगत डेटा को स्वचालित रूप से कैप्चर या संग्रही"&amp;"त नहीं करती है। यह जानकारी आपको व्यक्तिगत रूप से पहचान नहीं देती है; इसका उपयोग हमारे डेटा सर्वर के साथ समस्याओं का निदान करने, हमारी वेबसाइट को प्रशासित करने और हमारे विज़िटर और साइट के उनके उपयोग के बारे में आँकड़े संकलित करने में हमारी सहायता करने के ल"&amp;"िए किया जाता है। उदाहरण के लिए, हम इस डेटा का उपयोग यह ट्रैक करने के लिए कर सकते हैं कि हमारे उपयोगकर्ता सबसे अधिक बार किन पृष्ठों पर जा रहे हैं, या यह निर्धारित करने के लिए कि हमारे विज़िटर कौन से वेब ब्राउज़र का उपयोग करते हैं।
हमारी वेबसाइट या मोबाइल "&amp;"ऐप के माध्यम से एकत्र किया गया कोई भी डेटा किसी तीसरे पक्ष के साथ साझा नहीं किया जाएगा। उन डेटा का उपयोग हमारी वेबसाइट या ऐप से संबंधित कार्यक्षमताओं या सेवाओं के लिए हमारे आंतरिक संचालन में किया जाएगा।")</f>
        <v>GPS Tools® वेबसाइट ({{link}}) उपयोगकर्ताओं के IP पते और होस्टनाम, तथा सत्र विवरण जैसे कि विज़िट की अवधि, देखे गए पृष्ठ और उपयोग किए गए ब्राउज़र की प्रकृति को लॉग करने के अलावा साइट पर आने वाले विज़िटर से व्यक्तिगत डेटा को स्वचालित रूप से कैप्चर या संग्रहीत नहीं करती है। यह जानकारी आपको व्यक्तिगत रूप से पहचान नहीं देती है; इसका उपयोग हमारे डेटा सर्वर के साथ समस्याओं का निदान करने, हमारी वेबसाइट को प्रशासित करने और हमारे विज़िटर और साइट के उनके उपयोग के बारे में आँकड़े संकलित करने में हमारी सहायता करने के लिए किया जाता है। उदाहरण के लिए, हम इस डेटा का उपयोग यह ट्रैक करने के लिए कर सकते हैं कि हमारे उपयोगकर्ता सबसे अधिक बार किन पृष्ठों पर जा रहे हैं, या यह निर्धारित करने के लिए कि हमारे विज़िटर कौन से वेब ब्राउज़र का उपयोग करते हैं।
हमारी वेबसाइट या मोबाइल ऐप के माध्यम से एकत्र किया गया कोई भी डेटा किसी तीसरे पक्ष के साथ साझा नहीं किया जाएगा। उन डेटा का उपयोग हमारी वेबसाइट या ऐप से संबंधित कार्यक्षमताओं या सेवाओं के लिए हमारे आंतरिक संचालन में किया जाएगा।</v>
      </c>
      <c r="E120" s="4" t="str">
        <f>IFERROR(__xludf.DUMMYFUNCTION("GOOGLETRANSLATE(B120,""en"",""id"")"),"Situs web GPS Tools® ({{link}}) tidak secara otomatis mengambil atau menyimpan data pribadi dari pengunjung situs selain untuk mencatat alamat IP dan nama host pengguna, dan detail sesi seperti durasi kunjungan, halaman yang dikunjungi, dan jenis browser "&amp;"yang digunakan. Informasi ini tidak mengidentifikasi Anda secara pribadi; informasi ini digunakan untuk membantu kami mendiagnosis masalah dengan server data kami, untuk mengelola situs web kami, dan untuk menyusun statistik tentang pengunjung kami dan pe"&amp;"nggunaan situs mereka. Misalnya, kami dapat menggunakan data ini untuk melacak halaman mana yang paling sering dikunjungi pengguna kami, atau untuk menentukan browser web mana yang digunakan pengunjung kami.
Data apa pun yang dikumpulkan melalui situs we"&amp;"b atau aplikasi seluler kami tidak akan dibagikan kepada pihak ketiga mana pun. Data tersebut akan digunakan dalam operasi internal kami untuk fungsionalitas atau layanan terkait situs web atau aplikasi kami.")</f>
        <v>Situs web GPS Tools® ({{link}}) tidak secara otomatis mengambil atau menyimpan data pribadi dari pengunjung situs selain untuk mencatat alamat IP dan nama host pengguna, dan detail sesi seperti durasi kunjungan, halaman yang dikunjungi, dan jenis browser yang digunakan. Informasi ini tidak mengidentifikasi Anda secara pribadi; informasi ini digunakan untuk membantu kami mendiagnosis masalah dengan server data kami, untuk mengelola situs web kami, dan untuk menyusun statistik tentang pengunjung kami dan penggunaan situs mereka. Misalnya, kami dapat menggunakan data ini untuk melacak halaman mana yang paling sering dikunjungi pengguna kami, atau untuk menentukan browser web mana yang digunakan pengunjung kami.
Data apa pun yang dikumpulkan melalui situs web atau aplikasi seluler kami tidak akan dibagikan kepada pihak ketiga mana pun. Data tersebut akan digunakan dalam operasi internal kami untuk fungsionalitas atau layanan terkait situs web atau aplikasi kami.</v>
      </c>
      <c r="F120" s="4" t="str">
        <f>IFERROR(__xludf.DUMMYFUNCTION("GOOGLETRANSLATE(B120,""en"",""ms"")"),"Laman web GPS Tools® ({{link}}) tidak menangkap atau menyimpan data peribadi secara automatik daripada pelawat ke tapak selain daripada untuk log alamat IP pengguna dan nama hos, dan butiran sesi seperti tempoh lawatan, halaman yang dilawati dan sifat pen"&amp;"yemak imbas yang digunakan. Maklumat ini tidak mengenal pasti anda secara peribadi; ia digunakan untuk membantu kami mendiagnosis masalah dengan pelayan data kami, untuk mentadbir tapak web kami dan untuk menyusun statistik tentang pelawat kami dan penggu"&amp;"naan tapak tersebut. Sebagai contoh, kami mungkin menggunakan data ini untuk menjejak halaman yang paling kerap dilawati pengguna kami, atau untuk menentukan pelayar web yang digunakan pelawat kami.
Sebarang data yang dikumpul melalui tapak web atau apli"&amp;"kasi mudah alih kami tidak akan dikongsi kepada mana-mana pihak ketiga. Data tersebut akan digunakan dalam operasi dalaman kami untuk fungsi atau perkhidmatan berkaitan tapak web atau apl kami.")</f>
        <v>Laman web GPS Tools® ({{link}}) tidak menangkap atau menyimpan data peribadi secara automatik daripada pelawat ke tapak selain daripada untuk log alamat IP pengguna dan nama hos, dan butiran sesi seperti tempoh lawatan, halaman yang dilawati dan sifat penyemak imbas yang digunakan. Maklumat ini tidak mengenal pasti anda secara peribadi; ia digunakan untuk membantu kami mendiagnosis masalah dengan pelayan data kami, untuk mentadbir tapak web kami dan untuk menyusun statistik tentang pelawat kami dan penggunaan tapak tersebut. Sebagai contoh, kami mungkin menggunakan data ini untuk menjejak halaman yang paling kerap dilawati pengguna kami, atau untuk menentukan pelayar web yang digunakan pelawat kami.
Sebarang data yang dikumpul melalui tapak web atau aplikasi mudah alih kami tidak akan dikongsi kepada mana-mana pihak ketiga. Data tersebut akan digunakan dalam operasi dalaman kami untuk fungsi atau perkhidmatan berkaitan tapak web atau apl kami.</v>
      </c>
      <c r="G120" s="4" t="str">
        <f>IFERROR(__xludf.DUMMYFUNCTION("GOOGLETRANSLATE(B120,""en"",""de"")"),"Die GPS Tools®-Website ({{link}}) erfasst oder speichert keine personenbezogenen Daten von Besuchern der Website automatisch. Sie speichert lediglich die IP-Adresse und den Hostnamen des Benutzers sowie Sitzungsdetails wie Besuchsdauer, besuchte Seiten un"&amp;"d den verwendeten Browser. Diese Informationen identifizieren Sie nicht persönlich; sie helfen uns bei der Diagnose von Problemen mit unserem Datenserver, der Verwaltung unserer Website und der Erstellung von Statistiken über unsere Besucher und deren Nut"&amp;"zung der Website. Beispielsweise können wir diese Daten verwenden, um zu verfolgen, welche Seiten unsere Benutzer am häufigsten besuchen oder welche Webbrowser unsere Besucher verwenden.
Daten, die über unsere Website oder mobile App erfasst werden, werd"&amp;"en nicht an Dritte weitergegeben. Diese Daten werden in unserem internen Betrieb für unsere Website- oder App-bezogenen Funktionen oder Dienste verwendet.")</f>
        <v>Die GPS Tools®-Website ({{link}}) erfasst oder speichert keine personenbezogenen Daten von Besuchern der Website automatisch. Sie speichert lediglich die IP-Adresse und den Hostnamen des Benutzers sowie Sitzungsdetails wie Besuchsdauer, besuchte Seiten und den verwendeten Browser. Diese Informationen identifizieren Sie nicht persönlich; sie helfen uns bei der Diagnose von Problemen mit unserem Datenserver, der Verwaltung unserer Website und der Erstellung von Statistiken über unsere Besucher und deren Nutzung der Website. Beispielsweise können wir diese Daten verwenden, um zu verfolgen, welche Seiten unsere Benutzer am häufigsten besuchen oder welche Webbrowser unsere Besucher verwenden.
Daten, die über unsere Website oder mobile App erfasst werden, werden nicht an Dritte weitergegeben. Diese Daten werden in unserem internen Betrieb für unsere Website- oder App-bezogenen Funktionen oder Dienste verwendet.</v>
      </c>
      <c r="H120" s="4" t="str">
        <f>IFERROR(__xludf.DUMMYFUNCTION("GOOGLETRANSLATE(B120,""en"",""es"")"),"El sitio web de GPS Tools® ({{link}}) no captura ni almacena automáticamente datos personales de los visitantes, salvo para registrar la dirección IP y el nombre de host del usuario, así como detalles de la sesión, como la duración de la visita, las págin"&amp;"as visitadas y el tipo de navegador utilizado. Esta información no lo identifica personalmente; se utiliza para ayudarnos a diagnosticar problemas con nuestro servidor de datos, administrar nuestro sitio web y recopilar estadísticas sobre nuestros visitan"&amp;"tes y su uso del sitio. Por ejemplo, podemos utilizar estos datos para rastrear las páginas que nuestros usuarios visitan con más frecuencia o para determinar qué navegadores web utilizan.
Los datos recopilados a través de nuestro sitio web o aplicación "&amp;"móvil no se compartirán con terceros. Dichos datos se utilizarán en nuestras operaciones internas para las funcionalidades o servicios relacionados con nuestro sitio web o aplicación.")</f>
        <v>El sitio web de GPS Tools® ({{link}}) no captura ni almacena automáticamente datos personales de los visitantes, salvo para registrar la dirección IP y el nombre de host del usuario, así como detalles de la sesión, como la duración de la visita, las páginas visitadas y el tipo de navegador utilizado. Esta información no lo identifica personalmente; se utiliza para ayudarnos a diagnosticar problemas con nuestro servidor de datos, administrar nuestro sitio web y recopilar estadísticas sobre nuestros visitantes y su uso del sitio. Por ejemplo, podemos utilizar estos datos para rastrear las páginas que nuestros usuarios visitan con más frecuencia o para determinar qué navegadores web utilizan.
Los datos recopilados a través de nuestro sitio web o aplicación móvil no se compartirán con terceros. Dichos datos se utilizarán en nuestras operaciones internas para las funcionalidades o servicios relacionados con nuestro sitio web o aplicación.</v>
      </c>
      <c r="I120" s="4" t="str">
        <f>IFERROR(__xludf.DUMMYFUNCTION("GOOGLETRANSLATE(B120,""en"",""fr"")"),"Le site web GPS Tools® ({{link}}) ne collecte ni ne stocke automatiquement les données personnelles des visiteurs, à l'exception de l'adresse IP et du nom d'hôte des utilisateurs, ainsi que des détails de session tels que la durée de la visite, les pages "&amp;"consultées et le type de navigateur utilisé. Ces informations ne permettent pas de vous identifier personnellement ; elles nous aident à diagnostiquer les problèmes avec notre serveur de données, à administrer notre site web et à compiler des statistiques"&amp;" sur nos visiteurs et leur utilisation du site. Par exemple, nous pouvons utiliser ces données pour suivre les pages les plus consultées par nos utilisateurs ou pour déterminer les navigateurs web qu'ils utilisent.
Les données collectées via notre site w"&amp;"eb ou notre application mobile ne seront pas partagées avec des tiers. Ces données seront utilisées dans le cadre de nos opérations internes pour les fonctionnalités ou services liés à notre site web ou à notre application.")</f>
        <v>Le site web GPS Tools® ({{link}}) ne collecte ni ne stocke automatiquement les données personnelles des visiteurs, à l'exception de l'adresse IP et du nom d'hôte des utilisateurs, ainsi que des détails de session tels que la durée de la visite, les pages consultées et le type de navigateur utilisé. Ces informations ne permettent pas de vous identifier personnellement ; elles nous aident à diagnostiquer les problèmes avec notre serveur de données, à administrer notre site web et à compiler des statistiques sur nos visiteurs et leur utilisation du site. Par exemple, nous pouvons utiliser ces données pour suivre les pages les plus consultées par nos utilisateurs ou pour déterminer les navigateurs web qu'ils utilisent.
Les données collectées via notre site web ou notre application mobile ne seront pas partagées avec des tiers. Ces données seront utilisées dans le cadre de nos opérations internes pour les fonctionnalités ou services liés à notre site web ou à notre application.</v>
      </c>
      <c r="J120" s="4" t="str">
        <f>IFERROR(__xludf.DUMMYFUNCTION("GOOGLETRANSLATE(B120,""en"",""it"")"),"Il sito web GPS Tools® ({{link}}) non acquisisce né memorizza automaticamente i dati personali dei visitatori del sito, se non per registrare l'indirizzo IP e il nome host degli utenti, nonché i dettagli della sessione come la durata della visita, le pagi"&amp;"ne visitate e il tipo di browser utilizzato. Queste informazioni non ti identificano personalmente; vengono utilizzate per aiutarci a diagnosticare problemi con il nostro server dati, per amministrare il nostro sito web e per compilare statistiche sui nos"&amp;"tri visitatori e sul loro utilizzo del sito. Ad esempio, potremmo utilizzare questi dati per monitorare quali pagine i nostri utenti visitano più spesso o per determinare quali browser web utilizzano.
Tutti i dati raccolti tramite il nostro sito web o la"&amp;" nostra app mobile non saranno condivisi con terze parti. Tali dati saranno utilizzati nelle nostre operazioni interne per le funzionalità o i servizi correlati al nostro sito web o alla nostra app.")</f>
        <v>Il sito web GPS Tools® ({{link}}) non acquisisce né memorizza automaticamente i dati personali dei visitatori del sito, se non per registrare l'indirizzo IP e il nome host degli utenti, nonché i dettagli della sessione come la durata della visita, le pagine visitate e il tipo di browser utilizzato. Queste informazioni non ti identificano personalmente; vengono utilizzate per aiutarci a diagnosticare problemi con il nostro server dati, per amministrare il nostro sito web e per compilare statistiche sui nostri visitatori e sul loro utilizzo del sito. Ad esempio, potremmo utilizzare questi dati per monitorare quali pagine i nostri utenti visitano più spesso o per determinare quali browser web utilizzano.
Tutti i dati raccolti tramite il nostro sito web o la nostra app mobile non saranno condivisi con terze parti. Tali dati saranno utilizzati nelle nostre operazioni interne per le funzionalità o i servizi correlati al nostro sito web o alla nostra app.</v>
      </c>
      <c r="K120" s="4" t="str">
        <f>IFERROR(__xludf.DUMMYFUNCTION("GOOGLETRANSLATE(B120,""en"",""pt"")"),"O site GPS Tools® ({{link}}) não captura nem armazena automaticamente dados pessoais dos visitantes do site, exceto para registrar o endereço IP e o nome do host dos usuários, além de detalhes da sessão, como a duração da visita, as páginas visitadas e a "&amp;"natureza do navegador utilizado. Essas informações não o identificam pessoalmente; elas são usadas para nos ajudar a diagnosticar problemas com nosso servidor de dados, administrar nosso site e compilar estatísticas sobre nossos visitantes e seu uso do si"&amp;"te. Por exemplo, podemos usar esses dados para rastrear quais páginas nossos usuários visitam com mais frequência ou para determinar quais navegadores da web nossos visitantes usam.
Quaisquer dados coletados por meio de nosso site ou aplicativo móvel não"&amp;" serão compartilhados com terceiros. Esses dados serão usados ​​em nossas operações internas para funcionalidades ou serviços relacionados ao nosso site ou aplicativo.")</f>
        <v>O site GPS Tools® ({{link}}) não captura nem armazena automaticamente dados pessoais dos visitantes do site, exceto para registrar o endereço IP e o nome do host dos usuários, além de detalhes da sessão, como a duração da visita, as páginas visitadas e a natureza do navegador utilizado. Essas informações não o identificam pessoalmente; elas são usadas para nos ajudar a diagnosticar problemas com nosso servidor de dados, administrar nosso site e compilar estatísticas sobre nossos visitantes e seu uso do site. Por exemplo, podemos usar esses dados para rastrear quais páginas nossos usuários visitam com mais frequência ou para determinar quais navegadores da web nossos visitantes usam.
Quaisquer dados coletados por meio de nosso site ou aplicativo móvel não serão compartilhados com terceiros. Esses dados serão usados ​​em nossas operações internas para funcionalidades ou serviços relacionados ao nosso site ou aplicativo.</v>
      </c>
      <c r="L120" s="4" t="str">
        <f>IFERROR(__xludf.DUMMYFUNCTION("GOOGLETRANSLATE(B120,""en"",""ro"")"),"Site-ul web GPS Tools® ({{link}}) nu captează sau stochează automat date personale de la vizitatorii site-ului, altfel decât pentru a înregistra adresa IP și numele de gazdă a utilizatorilor și detaliile sesiunii, cum ar fi durata vizitei, paginile vizita"&amp;"te și natura browserului utilizat. Aceste informații nu vă identifică personal; este folosit pentru a ne ajuta să diagnosticăm problemele cu serverul nostru de date, pentru a ne administra site-ul web și pentru a compila statistici despre vizitatorii noșt"&amp;"ri și despre utilizarea site-ului. De exemplu, putem folosi aceste date pentru a urmări ce pagini vizitează cel mai des utilizatorii noștri sau pentru a determina ce browsere web folosesc vizitatorii noștri.
Orice date care sunt colectate prin intermediu"&amp;"l site-ului nostru web sau al aplicației noastre mobile nu vor fi partajate unor terțe părți. Aceste date vor fi utilizate în operațiunile noastre interne pentru funcționalitățile sau serviciile legate de site-ul nostru web sau de aplicație.")</f>
        <v>Site-ul web GPS Tools® ({{link}}) nu captează sau stochează automat date personale de la vizitatorii site-ului, altfel decât pentru a înregistra adresa IP și numele de gazdă a utilizatorilor și detaliile sesiunii, cum ar fi durata vizitei, paginile vizitate și natura browserului utilizat. Aceste informații nu vă identifică personal; este folosit pentru a ne ajuta să diagnosticăm problemele cu serverul nostru de date, pentru a ne administra site-ul web și pentru a compila statistici despre vizitatorii noștri și despre utilizarea site-ului. De exemplu, putem folosi aceste date pentru a urmări ce pagini vizitează cel mai des utilizatorii noștri sau pentru a determina ce browsere web folosesc vizitatorii noștri.
Orice date care sunt colectate prin intermediul site-ului nostru web sau al aplicației noastre mobile nu vor fi partajate unor terțe părți. Aceste date vor fi utilizate în operațiunile noastre interne pentru funcționalitățile sau serviciile legate de site-ul nostru web sau de aplicație.</v>
      </c>
      <c r="M120" s="4" t="str">
        <f>IFERROR(__xludf.DUMMYFUNCTION("GOOGLETRANSLATE(B120,""en"",""vi"")"),"Trang web GPS Tools® ({{link}}) không tự động thu thập hoặc lưu trữ dữ liệu cá nhân từ khách truy cập vào trang web ngoài việc ghi lại địa chỉ IP và tên máy chủ của người dùng và thông tin chi tiết về phiên như thời lượng truy cập, các trang đã truy cập v"&amp;"à bản chất của trình duyệt được sử dụng. Thông tin này không xác định danh tính cá nhân của bạn; thông tin này được sử dụng để giúp chúng tôi chẩn đoán sự cố với máy chủ dữ liệu của mình, quản lý trang web của chúng tôi và biên soạn số liệu thống kê về kh"&amp;"ách truy cập và cách họ sử dụng trang web. Ví dụ: chúng tôi có thể sử dụng dữ liệu này để theo dõi những trang nào người dùng của chúng tôi truy cập thường xuyên nhất hoặc để xác định trình duyệt web nào mà khách truy cập của chúng tôi sử dụng.
Bất kỳ dữ"&amp;" liệu nào được thu thập thông qua trang web hoặc ứng dụng di động của chúng tôi sẽ không được chia sẻ cho bất kỳ bên thứ ba nào. Những dữ liệu đó sẽ được sử dụng trong các hoạt động nội bộ của chúng tôi cho các chức năng hoặc dịch vụ liên quan đến trang w"&amp;"eb hoặc ứng dụng của chúng tôi.")</f>
        <v>Trang web GPS Tools® ({{link}}) không tự động thu thập hoặc lưu trữ dữ liệu cá nhân từ khách truy cập vào trang web ngoài việc ghi lại địa chỉ IP và tên máy chủ của người dùng và thông tin chi tiết về phiên như thời lượng truy cập, các trang đã truy cập và bản chất của trình duyệt được sử dụng. Thông tin này không xác định danh tính cá nhân của bạn; thông tin này được sử dụng để giúp chúng tôi chẩn đoán sự cố với máy chủ dữ liệu của mình, quản lý trang web của chúng tôi và biên soạn số liệu thống kê về khách truy cập và cách họ sử dụng trang web. Ví dụ: chúng tôi có thể sử dụng dữ liệu này để theo dõi những trang nào người dùng của chúng tôi truy cập thường xuyên nhất hoặc để xác định trình duyệt web nào mà khách truy cập của chúng tôi sử dụng.
Bất kỳ dữ liệu nào được thu thập thông qua trang web hoặc ứng dụng di động của chúng tôi sẽ không được chia sẻ cho bất kỳ bên thứ ba nào. Những dữ liệu đó sẽ được sử dụng trong các hoạt động nội bộ của chúng tôi cho các chức năng hoặc dịch vụ liên quan đến trang web hoặc ứng dụng của chúng tôi.</v>
      </c>
      <c r="N120" s="4" t="str">
        <f>IFERROR(__xludf.DUMMYFUNCTION("GOOGLETRANSLATE(B120,""en"",""ru"")"),"Веб-сайт GPS Tools® ({{link}}) не собирает и не хранит автоматически персональные данные посетителей сайта, за исключением регистрации IP-адреса и имени хоста пользователя, а также сведений о сеансе, таких как продолжительность посещения, посещенные стран"&amp;"ицы и тип используемого браузера. Эта информация не идентифицирует вас лично; она используется для диагностики проблем с нашим сервером данных, для администрирования нашего веб-сайта и для сбора статистики о наших посетителях и их использовании сайта. Нап"&amp;"ример, мы можем использовать эти данные для отслеживания того, какие страницы наши пользователи посещают чаще всего, или для определения того, какие веб-браузеры используют наши посетители.
Любые данные, собранные через наш веб-сайт или мобильное приложе"&amp;"ние, не будут переданы третьим лицам. Эти данные будут использоваться в наших внутренних операциях для функций или услуг, связанных с нашим веб-сайтом или приложением.")</f>
        <v>Веб-сайт GPS Tools® ({{link}}) не собирает и не хранит автоматически персональные данные посетителей сайта, за исключением регистрации IP-адреса и имени хоста пользователя, а также сведений о сеансе, таких как продолжительность посещения, посещенные страницы и тип используемого браузера. Эта информация не идентифицирует вас лично; она используется для диагностики проблем с нашим сервером данных, для администрирования нашего веб-сайта и для сбора статистики о наших посетителях и их использовании сайта. Например, мы можем использовать эти данные для отслеживания того, какие страницы наши пользователи посещают чаще всего, или для определения того, какие веб-браузеры используют наши посетители.
Любые данные, собранные через наш веб-сайт или мобильное приложение, не будут переданы третьим лицам. Эти данные будут использоваться в наших внутренних операциях для функций или услуг, связанных с нашим веб-сайтом или приложением.</v>
      </c>
      <c r="O120" s="4" t="str">
        <f>IFERROR(__xludf.DUMMYFUNCTION("GOOGLETRANSLATE(B120,""en"",""tr"")"),"GPS Tools® web sitesi ({{link}}), kullanıcıların IP adresini ve ana bilgisayar adını ve ziyaret süresi, ziyaret edilen sayfalar ve kullanılan tarayıcının niteliği gibi oturum ayrıntılarını kaydetmek dışında, siteye gelen ziyaretçilerden kişisel verileri o"&amp;"tomatik olarak yakalamaz veya depolamaz. Bu bilgiler sizi kişisel olarak tanımlamaz; veri sunucumuzdaki sorunları teşhis etmemize, web sitemizi yönetmemize ve ziyaretçilerimiz ve siteyi kullanımları hakkında istatistikler derlememize yardımcı olmak için k"&amp;"ullanılır. Örneğin, bu verileri kullanıcılarımızın en sık hangi sayfaları ziyaret ettiğini izlemek veya ziyaretçilerimizin hangi web tarayıcılarını kullandığını belirlemek için kullanabiliriz.
Web sitemiz veya mobil uygulamamız aracılığıyla toplanan veri"&amp;"ler hiçbir üçüncü tarafla paylaşılmayacaktır. Bu veriler, web sitemiz veya uygulamamızla ilgili işlevler veya hizmetler için dahili operasyonlarımızda kullanılacaktır.")</f>
        <v>GPS Tools® web sitesi ({{link}}), kullanıcıların IP adresini ve ana bilgisayar adını ve ziyaret süresi, ziyaret edilen sayfalar ve kullanılan tarayıcının niteliği gibi oturum ayrıntılarını kaydetmek dışında, siteye gelen ziyaretçilerden kişisel verileri otomatik olarak yakalamaz veya depolamaz. Bu bilgiler sizi kişisel olarak tanımlamaz; veri sunucumuzdaki sorunları teşhis etmemize, web sitemizi yönetmemize ve ziyaretçilerimiz ve siteyi kullanımları hakkında istatistikler derlememize yardımcı olmak için kullanılır. Örneğin, bu verileri kullanıcılarımızın en sık hangi sayfaları ziyaret ettiğini izlemek veya ziyaretçilerimizin hangi web tarayıcılarını kullandığını belirlemek için kullanabiliriz.
Web sitemiz veya mobil uygulamamız aracılığıyla toplanan veriler hiçbir üçüncü tarafla paylaşılmayacaktır. Bu veriler, web sitemiz veya uygulamamızla ilgili işlevler veya hizmetler için dahili operasyonlarımızda kullanılacaktır.</v>
      </c>
      <c r="P120" s="4" t="str">
        <f>IFERROR(__xludf.DUMMYFUNCTION("GOOGLETRANSLATE(B120,""en"",""ar"")"),"لا يقوم موقع GPS Tools® ({{link}}) تلقائيًا بجمع أو تخزين البيانات الشخصية من زوار الموقع، باستثناء تسجيل عنوان IP واسم المضيف للمستخدمين، وتفاصيل الجلسة، مثل مدة الزيارة والصفحات التي تمت زيارتها وطبيعة المتصفح المستخدم. هذه المعلومات لا تُعرّف عنك شخصيً"&amp;"ا؛ بل تُستخدم لمساعدتنا في تشخيص مشاكل خادم البيانات لدينا، وإدارة موقعنا، وجمع إحصاءات حول زوارنا واستخدامهم للموقع. على سبيل المثال، قد نستخدم هذه البيانات لتتبع الصفحات الأكثر زيارة لمستخدمينا، أو لتحديد متصفحات الويب التي يستخدمونها.
لن تتم مشاركة أي"&amp;" بيانات يتم جمعها من خلال موقعنا أو تطبيقنا للجوال مع أي جهات خارجية. سيتم استخدام هذه البيانات في عملياتنا الداخلية المتعلقة بالوظائف أو الخدمات المتعلقة بموقعنا أو تطبيقنا.")</f>
        <v>لا يقوم موقع GPS Tools® ({{link}}) تلقائيًا بجمع أو تخزين البيانات الشخصية من زوار الموقع، باستثناء تسجيل عنوان IP واسم المضيف للمستخدمين، وتفاصيل الجلسة، مثل مدة الزيارة والصفحات التي تمت زيارتها وطبيعة المتصفح المستخدم. هذه المعلومات لا تُعرّف عنك شخصيًا؛ بل تُستخدم لمساعدتنا في تشخيص مشاكل خادم البيانات لدينا، وإدارة موقعنا، وجمع إحصاءات حول زوارنا واستخدامهم للموقع. على سبيل المثال، قد نستخدم هذه البيانات لتتبع الصفحات الأكثر زيارة لمستخدمينا، أو لتحديد متصفحات الويب التي يستخدمونها.
لن تتم مشاركة أي بيانات يتم جمعها من خلال موقعنا أو تطبيقنا للجوال مع أي جهات خارجية. سيتم استخدام هذه البيانات في عملياتنا الداخلية المتعلقة بالوظائف أو الخدمات المتعلقة بموقعنا أو تطبيقنا.</v>
      </c>
      <c r="Q120" s="4" t="str">
        <f>IFERROR(__xludf.DUMMYFUNCTION("GOOGLETRANSLATE(B120,""en"",""mr"")"),"GPS Tools® वेबसाइट ({{link}}) साइटवरील अभ्यागतांकडून वापरकर्त्यांचा IP पत्ता आणि होस्टनाव आणि सत्र तपशील जसे की भेटीचा कालावधी, भेट दिलेली पृष्ठे आणि वापरलेल्या ब्राउझरचे स्वरूप लॉग करण्याशिवाय वैयक्तिक डेटा आपोआप कॅप्चर किंवा संग्रहित करत नाही. ही माहिती"&amp;" तुम्हाला वैयक्तिकरित्या ओळखत नाही; आमच्या डेटा सर्व्हरमधील समस्यांचे निदान करण्यात, आमच्या वेबसाइटचे व्यवस्थापन करण्यासाठी आणि आमच्या अभ्यागतांबद्दल आणि त्यांच्या साइटच्या वापराबद्दल आकडेवारी संकलित करण्यासाठी याचा वापर केला जातो. उदाहरणार्थ, आमचे वापरकर"&amp;"्ते कोणत्या पृष्ठांना सर्वाधिक भेट देत आहेत याचा मागोवा घेण्यासाठी किंवा आमचे अभ्यागत कोणते वेब ब्राउझर वापरतात हे निर्धारित करण्यासाठी आम्ही हा डेटा वापरू शकतो.
आमच्या वेबसाइट किंवा मोबाइल ॲपद्वारे संकलित केलेला कोणताही डेटा कोणत्याही तृतीय पक्षांना साम"&amp;"ायिक केला जाणार नाही. तो डेटा आमच्या वेबसाइट किंवा ॲपशी संबंधित कार्यक्षमता किंवा सेवांसाठी आमच्या अंतर्गत ऑपरेशन्समध्ये वापरला जाईल.")</f>
        <v>GPS Tools® वेबसाइट ({{link}}) साइटवरील अभ्यागतांकडून वापरकर्त्यांचा IP पत्ता आणि होस्टनाव आणि सत्र तपशील जसे की भेटीचा कालावधी, भेट दिलेली पृष्ठे आणि वापरलेल्या ब्राउझरचे स्वरूप लॉग करण्याशिवाय वैयक्तिक डेटा आपोआप कॅप्चर किंवा संग्रहित करत नाही. ही माहिती तुम्हाला वैयक्तिकरित्या ओळखत नाही; आमच्या डेटा सर्व्हरमधील समस्यांचे निदान करण्यात, आमच्या वेबसाइटचे व्यवस्थापन करण्यासाठी आणि आमच्या अभ्यागतांबद्दल आणि त्यांच्या साइटच्या वापराबद्दल आकडेवारी संकलित करण्यासाठी याचा वापर केला जातो. उदाहरणार्थ, आमचे वापरकर्ते कोणत्या पृष्ठांना सर्वाधिक भेट देत आहेत याचा मागोवा घेण्यासाठी किंवा आमचे अभ्यागत कोणते वेब ब्राउझर वापरतात हे निर्धारित करण्यासाठी आम्ही हा डेटा वापरू शकतो.
आमच्या वेबसाइट किंवा मोबाइल ॲपद्वारे संकलित केलेला कोणताही डेटा कोणत्याही तृतीय पक्षांना सामायिक केला जाणार नाही. तो डेटा आमच्या वेबसाइट किंवा ॲपशी संबंधित कार्यक्षमता किंवा सेवांसाठी आमच्या अंतर्गत ऑपरेशन्समध्ये वापरला जाईल.</v>
      </c>
      <c r="R120" s="4" t="str">
        <f>IFERROR(__xludf.DUMMYFUNCTION("GOOGLETRANSLATE(B120,""en"",""gu"")"),"GPS Tools® વેબસાઈટ ({{link}}) વપરાશકર્તાઓનું IP સરનામું અને હોસ્ટનામ, અને મુલાકાતનો સમયગાળો, મુલાકાત લીધેલ પૃષ્ઠો અને ઉપયોગમાં લેવાયેલ બ્રાઉઝરની પ્રકૃતિ જેવી સત્ર વિગતોને લૉગ કરવા સિવાય સાઇટના મુલાકાતીઓનો વ્યક્તિગત ડેટા આપમેળે કેપ્ચર અથવા સ્ટોર કરતી નથી. "&amp;"આ માહિતી તમને વ્યક્તિગત રીતે ઓળખતી નથી; તેનો ઉપયોગ અમારા ડેટા સર્વર સાથેની સમસ્યાઓનું નિદાન કરવામાં, અમારી વેબસાઇટનું સંચાલન કરવા અને અમારા મુલાકાતીઓ અને સાઇટના તેમના ઉપયોગ વિશેના આંકડા કમ્પાઇલ કરવા માટે થાય છે. ઉદાહરણ તરીકે, અમે આ ડેટાનો ઉપયોગ અમારા વપરા"&amp;"શકર્તાઓ મોટાભાગે કયા પૃષ્ઠોની મુલાકાત લે છે તે ટ્રૅક કરવા માટે અથવા અમારા મુલાકાતીઓ કયા વેબ બ્રાઉઝરનો ઉપયોગ કરે છે તે નિર્ધારિત કરવા માટે કરી શકીએ છીએ.
અમારી વેબસાઇટ અથવા મોબાઇલ એપ્લિકેશન દ્વારા એકત્રિત કરવામાં આવેલ કોઈપણ ડેટા કોઈપણ તૃતીય પક્ષોને શેર કરવ"&amp;"ામાં આવશે નહીં. તે ડેટાનો ઉપયોગ અમારી વેબસાઇટ અથવા એપ્લિકેશન સંબંધિત કાર્યો અથવા સેવાઓ માટે અમારી આંતરિક કામગીરીમાં કરવામાં આવશે.")</f>
        <v>GPS Tools® વેબસાઈટ ({{link}}) વપરાશકર્તાઓનું IP સરનામું અને હોસ્ટનામ, અને મુલાકાતનો સમયગાળો, મુલાકાત લીધેલ પૃષ્ઠો અને ઉપયોગમાં લેવાયેલ બ્રાઉઝરની પ્રકૃતિ જેવી સત્ર વિગતોને લૉગ કરવા સિવાય સાઇટના મુલાકાતીઓનો વ્યક્તિગત ડેટા આપમેળે કેપ્ચર અથવા સ્ટોર કરતી નથી. આ માહિતી તમને વ્યક્તિગત રીતે ઓળખતી નથી; તેનો ઉપયોગ અમારા ડેટા સર્વર સાથેની સમસ્યાઓનું નિદાન કરવામાં, અમારી વેબસાઇટનું સંચાલન કરવા અને અમારા મુલાકાતીઓ અને સાઇટના તેમના ઉપયોગ વિશેના આંકડા કમ્પાઇલ કરવા માટે થાય છે. ઉદાહરણ તરીકે, અમે આ ડેટાનો ઉપયોગ અમારા વપરાશકર્તાઓ મોટાભાગે કયા પૃષ્ઠોની મુલાકાત લે છે તે ટ્રૅક કરવા માટે અથવા અમારા મુલાકાતીઓ કયા વેબ બ્રાઉઝરનો ઉપયોગ કરે છે તે નિર્ધારિત કરવા માટે કરી શકીએ છીએ.
અમારી વેબસાઇટ અથવા મોબાઇલ એપ્લિકેશન દ્વારા એકત્રિત કરવામાં આવેલ કોઈપણ ડેટા કોઈપણ તૃતીય પક્ષોને શેર કરવામાં આવશે નહીં. તે ડેટાનો ઉપયોગ અમારી વેબસાઇટ અથવા એપ્લિકેશન સંબંધિત કાર્યો અથવા સેવાઓ માટે અમારી આંતરિક કામગીરીમાં કરવામાં આવશે.</v>
      </c>
      <c r="S120" s="4" t="str">
        <f>IFERROR(__xludf.DUMMYFUNCTION("GOOGLETRANSLATE(B120,""en"",""bn"")"),"GPS Tools® ওয়েবসাইট ({{link}}) ব্যবহারকারীদের IP ঠিকানা এবং হোস্টনাম, এবং সেশনের বিশদ যেমন ভিজিটের সময়কাল, পৃষ্ঠাগুলি পরিদর্শন করা এবং ব্যবহৃত ব্রাউজারের প্রকৃতি লগ করা ছাড়া সাইটের দর্শকদের কাছ থেকে ব্যক্তিগত ডেটা স্বয়ংক্রিয়ভাবে ক্যাপচার বা সঞ্চয় কর"&amp;"ে না। এই তথ্য আপনাকে ব্যক্তিগতভাবে সনাক্ত করে না; এটি আমাদের ডেটা সার্ভারের সমস্যাগুলি নির্ণয় করতে, আমাদের ওয়েবসাইট পরিচালনা করতে এবং আমাদের দর্শকদের এবং তাদের সাইটের ব্যবহার সম্পর্কে পরিসংখ্যান কম্পাইল করতে সাহায্য করতে ব্যবহৃত হয়। উদাহরণ স্বরূপ, আমাদ"&amp;"ের ব্যবহারকারীরা কোন পৃষ্ঠাগুলি প্রায়শই পরিদর্শন করছেন তা ট্র্যাক করতে বা আমাদের দর্শকরা কোন ওয়েব ব্রাউজারগুলি ব্যবহার করেন তা নির্ধারণ করতে আমরা এই ডেটা ব্যবহার করতে পারি।
আমাদের ওয়েবসাইট বা মোবাইল অ্যাপের মাধ্যমে সংগ্রহ করা কোনো ডেটা কোনো তৃতীয় পক্"&amp;"ষের সাথে শেয়ার করা হবে না। সেই ডেটাগুলি আমাদের ওয়েবসাইট বা অ্যাপ সম্পর্কিত কার্যকারিতা বা পরিষেবাগুলির জন্য আমাদের অভ্যন্তরীণ ক্রিয়াকলাপে ব্যবহার করা হবে।")</f>
        <v>GPS Tools® ওয়েবসাইট ({{link}}) ব্যবহারকারীদের IP ঠিকানা এবং হোস্টনাম, এবং সেশনের বিশদ যেমন ভিজিটের সময়কাল, পৃষ্ঠাগুলি পরিদর্শন করা এবং ব্যবহৃত ব্রাউজারের প্রকৃতি লগ করা ছাড়া সাইটের দর্শকদের কাছ থেকে ব্যক্তিগত ডেটা স্বয়ংক্রিয়ভাবে ক্যাপচার বা সঞ্চয় করে না। এই তথ্য আপনাকে ব্যক্তিগতভাবে সনাক্ত করে না; এটি আমাদের ডেটা সার্ভারের সমস্যাগুলি নির্ণয় করতে, আমাদের ওয়েবসাইট পরিচালনা করতে এবং আমাদের দর্শকদের এবং তাদের সাইটের ব্যবহার সম্পর্কে পরিসংখ্যান কম্পাইল করতে সাহায্য করতে ব্যবহৃত হয়। উদাহরণ স্বরূপ, আমাদের ব্যবহারকারীরা কোন পৃষ্ঠাগুলি প্রায়শই পরিদর্শন করছেন তা ট্র্যাক করতে বা আমাদের দর্শকরা কোন ওয়েব ব্রাউজারগুলি ব্যবহার করেন তা নির্ধারণ করতে আমরা এই ডেটা ব্যবহার করতে পারি।
আমাদের ওয়েবসাইট বা মোবাইল অ্যাপের মাধ্যমে সংগ্রহ করা কোনো ডেটা কোনো তৃতীয় পক্ষের সাথে শেয়ার করা হবে না। সেই ডেটাগুলি আমাদের ওয়েবসাইট বা অ্যাপ সম্পর্কিত কার্যকারিতা বা পরিষেবাগুলির জন্য আমাদের অভ্যন্তরীণ ক্রিয়াকলাপে ব্যবহার করা হবে।</v>
      </c>
      <c r="T120" s="4" t="str">
        <f>IFERROR(__xludf.DUMMYFUNCTION("GOOGLETRANSLATE(B120,""en"",""pa"")"),"GPS Tools® ਵੈੱਬਸਾਈਟ ({{link}}) ਉਪਭੋਗਤਾਵਾਂ ਦੇ IP ਐਡਰੈੱਸ ਅਤੇ ਹੋਸਟਨਾਮ ਨੂੰ ਲੌਗ ਕਰਨ ਤੋਂ ਇਲਾਵਾ ਸਾਈਟ 'ਤੇ ਆਉਣ ਵਾਲੇ ਵਿਜ਼ਿਟਰਾਂ ਤੋਂ ਨਿੱਜੀ ਡੇਟਾ ਨੂੰ ਸਵੈਚਲਿਤ ਤੌਰ 'ਤੇ ਕੈਪਚਰ ਜਾਂ ਸਟੋਰ ਨਹੀਂ ਕਰਦੀ ਹੈ, ਅਤੇ ਸੈਸ਼ਨ ਦੇ ਵੇਰਵੇ ਜਿਵੇਂ ਕਿ ਵਿਜ਼ਿਟ ਦੀ ਮਿਆਦ, ਵਿਜ਼ਿਟ ਕੀਤੇ ਗਏ ਪੰਨਿਆਂ ਅਤੇ ਵਰਤੇ"&amp;" ਗਏ ਬ੍ਰਾਊਜ਼ਰ ਦੀ ਪ੍ਰਕਿਰਤੀ। ਇਹ ਜਾਣਕਾਰੀ ਤੁਹਾਡੀ ਨਿੱਜੀ ਤੌਰ 'ਤੇ ਪਛਾਣ ਨਹੀਂ ਕਰਦੀ; ਇਸਦੀ ਵਰਤੋਂ ਸਾਡੇ ਡੇਟਾ ਸਰਵਰ ਨਾਲ ਸਮੱਸਿਆਵਾਂ ਦਾ ਨਿਦਾਨ ਕਰਨ, ਸਾਡੀ ਵੈਬਸਾਈਟ ਦਾ ਪ੍ਰਬੰਧਨ ਕਰਨ, ਅਤੇ ਸਾਡੇ ਵਿਜ਼ਿਟਰਾਂ ਅਤੇ ਸਾਈਟ ਦੀ ਉਹਨਾਂ ਦੀ ਵਰਤੋਂ ਬਾਰੇ ਅੰਕੜੇ ਸੰਕਲਿਤ ਕਰਨ ਲਈ ਕੀਤੀ ਜਾਂਦੀ ਹੈ। ਉਦਾਹਰਨ ਲਈ, ਅ"&amp;"ਸੀਂ ਇਸ ਡੇਟਾ ਦੀ ਵਰਤੋਂ ਇਹ ਪਤਾ ਲਗਾਉਣ ਲਈ ਕਰ ਸਕਦੇ ਹਾਂ ਕਿ ਸਾਡੇ ਉਪਭੋਗਤਾ ਕਿਹੜੇ ਪੰਨਿਆਂ 'ਤੇ ਅਕਸਰ ਵਿਜ਼ਿਟ ਕਰਦੇ ਹਨ, ਜਾਂ ਇਹ ਨਿਰਧਾਰਤ ਕਰਨ ਲਈ ਕਿ ਸਾਡੇ ਵਿਜ਼ਟਰ ਕਿਹੜੇ ਵੈੱਬ ਬ੍ਰਾਊਜ਼ਰਾਂ ਦੀ ਵਰਤੋਂ ਕਰਦੇ ਹਨ।
ਸਾਡੀ ਵੈੱਬਸਾਈਟ ਜਾਂ ਮੋਬਾਈਲ ਐਪ ਰਾਹੀਂ ਇਕੱਠਾ ਕੀਤਾ ਗਿਆ ਕੋਈ ਵੀ ਡੇਟਾ ਕਿਸੇ ਤੀਜੀ ਧਿਰ"&amp;" ਨਾਲ ਸਾਂਝਾ ਨਹੀਂ ਕੀਤਾ ਜਾਵੇਗਾ। ਉਹ ਡੇਟਾ ਸਾਡੀ ਵੈਬਸਾਈਟ ਜਾਂ ਐਪ ਨਾਲ ਸਬੰਧਤ ਕਾਰਜਕੁਸ਼ਲਤਾਵਾਂ ਜਾਂ ਸੇਵਾਵਾਂ ਲਈ ਸਾਡੇ ਅੰਦਰੂਨੀ ਕਾਰਜਾਂ ਵਿੱਚ ਵਰਤਿਆ ਜਾਵੇਗਾ।")</f>
        <v>GPS Tools® ਵੈੱਬਸਾਈਟ ({{link}}) ਉਪਭੋਗਤਾਵਾਂ ਦੇ IP ਐਡਰੈੱਸ ਅਤੇ ਹੋਸਟਨਾਮ ਨੂੰ ਲੌਗ ਕਰਨ ਤੋਂ ਇਲਾਵਾ ਸਾਈਟ 'ਤੇ ਆਉਣ ਵਾਲੇ ਵਿਜ਼ਿਟਰਾਂ ਤੋਂ ਨਿੱਜੀ ਡੇਟਾ ਨੂੰ ਸਵੈਚਲਿਤ ਤੌਰ 'ਤੇ ਕੈਪਚਰ ਜਾਂ ਸਟੋਰ ਨਹੀਂ ਕਰਦੀ ਹੈ, ਅਤੇ ਸੈਸ਼ਨ ਦੇ ਵੇਰਵੇ ਜਿਵੇਂ ਕਿ ਵਿਜ਼ਿਟ ਦੀ ਮਿਆਦ, ਵਿਜ਼ਿਟ ਕੀਤੇ ਗਏ ਪੰਨਿਆਂ ਅਤੇ ਵਰਤੇ ਗਏ ਬ੍ਰਾਊਜ਼ਰ ਦੀ ਪ੍ਰਕਿਰਤੀ। ਇਹ ਜਾਣਕਾਰੀ ਤੁਹਾਡੀ ਨਿੱਜੀ ਤੌਰ 'ਤੇ ਪਛਾਣ ਨਹੀਂ ਕਰਦੀ; ਇਸਦੀ ਵਰਤੋਂ ਸਾਡੇ ਡੇਟਾ ਸਰਵਰ ਨਾਲ ਸਮੱਸਿਆਵਾਂ ਦਾ ਨਿਦਾਨ ਕਰਨ, ਸਾਡੀ ਵੈਬਸਾਈਟ ਦਾ ਪ੍ਰਬੰਧਨ ਕਰਨ, ਅਤੇ ਸਾਡੇ ਵਿਜ਼ਿਟਰਾਂ ਅਤੇ ਸਾਈਟ ਦੀ ਉਹਨਾਂ ਦੀ ਵਰਤੋਂ ਬਾਰੇ ਅੰਕੜੇ ਸੰਕਲਿਤ ਕਰਨ ਲਈ ਕੀਤੀ ਜਾਂਦੀ ਹੈ। ਉਦਾਹਰਨ ਲਈ, ਅਸੀਂ ਇਸ ਡੇਟਾ ਦੀ ਵਰਤੋਂ ਇਹ ਪਤਾ ਲਗਾਉਣ ਲਈ ਕਰ ਸਕਦੇ ਹਾਂ ਕਿ ਸਾਡੇ ਉਪਭੋਗਤਾ ਕਿਹੜੇ ਪੰਨਿਆਂ 'ਤੇ ਅਕਸਰ ਵਿਜ਼ਿਟ ਕਰਦੇ ਹਨ, ਜਾਂ ਇਹ ਨਿਰਧਾਰਤ ਕਰਨ ਲਈ ਕਿ ਸਾਡੇ ਵਿਜ਼ਟਰ ਕਿਹੜੇ ਵੈੱਬ ਬ੍ਰਾਊਜ਼ਰਾਂ ਦੀ ਵਰਤੋਂ ਕਰਦੇ ਹਨ।
ਸਾਡੀ ਵੈੱਬਸਾਈਟ ਜਾਂ ਮੋਬਾਈਲ ਐਪ ਰਾਹੀਂ ਇਕੱਠਾ ਕੀਤਾ ਗਿਆ ਕੋਈ ਵੀ ਡੇਟਾ ਕਿਸੇ ਤੀਜੀ ਧਿਰ ਨਾਲ ਸਾਂਝਾ ਨਹੀਂ ਕੀਤਾ ਜਾਵੇਗਾ। ਉਹ ਡੇਟਾ ਸਾਡੀ ਵੈਬਸਾਈਟ ਜਾਂ ਐਪ ਨਾਲ ਸਬੰਧਤ ਕਾਰਜਕੁਸ਼ਲਤਾਵਾਂ ਜਾਂ ਸੇਵਾਵਾਂ ਲਈ ਸਾਡੇ ਅੰਦਰੂਨੀ ਕਾਰਜਾਂ ਵਿੱਚ ਵਰਤਿਆ ਜਾਵੇਗਾ।</v>
      </c>
      <c r="U120" s="4" t="str">
        <f>IFERROR(__xludf.DUMMYFUNCTION("GOOGLETRANSLATE(B120,""en"",""te"")"),"GPS Tools® వెబ్‌సైట్ ({{link}}) వినియోగదారుల IP చిరునామా మరియు హోస్ట్ పేరు మరియు సందర్శన వ్యవధి, సందర్శించిన పేజీలు మరియు ఉపయోగించిన బ్రౌజర్ యొక్క స్వభావం వంటి సెషన్ వివరాలను లాగిన్ చేయడం మినహా సైట్‌కు సందర్శకుల నుండి వ్యక్తిగత డేటాను స్వయంచాలకంగా సంగ్రహి"&amp;"ంచదు లేదా నిల్వ చేయదు. ఈ సమాచారం మిమ్మల్ని వ్యక్తిగతంగా గుర్తించదు; ఇది మా డేటా సర్వర్‌తో సమస్యలను గుర్తించడంలో మాకు సహాయపడటానికి, మా వెబ్‌సైట్‌ను నిర్వహించడానికి మరియు మా సందర్శకులు మరియు వారి సైట్‌ను ఉపయోగించడం గురించి గణాంకాలను కంపైల్ చేయడానికి ఉపయోగిం"&amp;"చబడుతుంది. ఉదాహరణకు, మా వినియోగదారులు ఏ పేజీలను ఎక్కువగా సందర్శిస్తున్నారో ట్రాక్ చేయడానికి లేదా మా సందర్శకులు ఏ వెబ్ బ్రౌజర్‌లను ఉపయోగిస్తున్నారో గుర్తించడానికి మేము ఈ డేటాను ఉపయోగించవచ్చు.
మా వెబ్‌సైట్ లేదా మొబైల్ యాప్ ద్వారా సేకరించిన ఏదైనా డేటా ఏ థర్"&amp;"డ్ పార్టీలకు షేర్ చేయబడదు. ఆ డేటా మా వెబ్‌సైట్ లేదా యాప్ సంబంధిత కార్యాచరణలు లేదా సేవల కోసం మా అంతర్గత కార్యకలాపాలలో ఉపయోగించబడుతుంది.")</f>
        <v>GPS Tools® వెబ్‌సైట్ ({{link}}) వినియోగదారుల IP చిరునామా మరియు హోస్ట్ పేరు మరియు సందర్శన వ్యవధి, సందర్శించిన పేజీలు మరియు ఉపయోగించిన బ్రౌజర్ యొక్క స్వభావం వంటి సెషన్ వివరాలను లాగిన్ చేయడం మినహా సైట్‌కు సందర్శకుల నుండి వ్యక్తిగత డేటాను స్వయంచాలకంగా సంగ్రహించదు లేదా నిల్వ చేయదు. ఈ సమాచారం మిమ్మల్ని వ్యక్తిగతంగా గుర్తించదు; ఇది మా డేటా సర్వర్‌తో సమస్యలను గుర్తించడంలో మాకు సహాయపడటానికి, మా వెబ్‌సైట్‌ను నిర్వహించడానికి మరియు మా సందర్శకులు మరియు వారి సైట్‌ను ఉపయోగించడం గురించి గణాంకాలను కంపైల్ చేయడానికి ఉపయోగించబడుతుంది. ఉదాహరణకు, మా వినియోగదారులు ఏ పేజీలను ఎక్కువగా సందర్శిస్తున్నారో ట్రాక్ చేయడానికి లేదా మా సందర్శకులు ఏ వెబ్ బ్రౌజర్‌లను ఉపయోగిస్తున్నారో గుర్తించడానికి మేము ఈ డేటాను ఉపయోగించవచ్చు.
మా వెబ్‌సైట్ లేదా మొబైల్ యాప్ ద్వారా సేకరించిన ఏదైనా డేటా ఏ థర్డ్ పార్టీలకు షేర్ చేయబడదు. ఆ డేటా మా వెబ్‌సైట్ లేదా యాప్ సంబంధిత కార్యాచరణలు లేదా సేవల కోసం మా అంతర్గత కార్యకలాపాలలో ఉపయోగించబడుతుంది.</v>
      </c>
      <c r="V120" s="4" t="str">
        <f>IFERROR(__xludf.DUMMYFUNCTION("GOOGLETRANSLATE(B120,""en"",""kn"")"),"GPS Tools® ವೆಬ್‌ಸೈಟ್ ({{link}}) ಬಳಕೆದಾರರ IP ವಿಳಾಸ ಮತ್ತು ಹೋಸ್ಟ್‌ಹೆಸರನ್ನು ಲಾಗ್ ಮಾಡುವುದನ್ನು ಹೊರತುಪಡಿಸಿ ಸೈಟ್‌ಗೆ ಭೇಟಿ ನೀಡುವವರಿಂದ ವೈಯಕ್ತಿಕ ಡೇಟಾವನ್ನು ಸ್ವಯಂಚಾಲಿತವಾಗಿ ಸೆರೆಹಿಡಿಯುವುದಿಲ್ಲ ಅಥವಾ ಸಂಗ್ರಹಿಸುವುದಿಲ್ಲ, ಮತ್ತು ಭೇಟಿಯ ಅವಧಿ, ಭೇಟಿ ನೀಡಿದ ಪುಟಗಳು ಮತ್ತು ಬಳಸಿದ ಬ್ರೌಸರ್‌"&amp;"ನ ಸ್ವರೂಪ. ಈ ಮಾಹಿತಿಯು ನಿಮ್ಮನ್ನು ವೈಯಕ್ತಿಕವಾಗಿ ಗುರುತಿಸುವುದಿಲ್ಲ; ನಮ್ಮ ಡೇಟಾ ಸರ್ವರ್‌ನೊಂದಿಗಿನ ಸಮಸ್ಯೆಗಳನ್ನು ಪತ್ತೆಹಚ್ಚಲು, ನಮ್ಮ ವೆಬ್‌ಸೈಟ್ ಅನ್ನು ನಿರ್ವಹಿಸಲು ಮತ್ತು ನಮ್ಮ ಸಂದರ್ಶಕರು ಮತ್ತು ಅವರ ಸೈಟ್‌ನ ಬಳಕೆಯ ಕುರಿತು ಅಂಕಿಅಂಶಗಳನ್ನು ಕಂಪೈಲ್ ಮಾಡಲು ನಮಗೆ ಸಹಾಯ ಮಾಡಲು ಇದನ್ನು ಬಳಸಲಾಗುತ್"&amp;"ತದೆ. ಉದಾಹರಣೆಗೆ, ನಮ್ಮ ಬಳಕೆದಾರರು ಯಾವ ಪುಟಗಳನ್ನು ಹೆಚ್ಚಾಗಿ ಭೇಟಿ ಮಾಡುತ್ತಿದ್ದಾರೆ ಎಂಬುದನ್ನು ಟ್ರ್ಯಾಕ್ ಮಾಡಲು ಅಥವಾ ನಮ್ಮ ಸಂದರ್ಶಕರು ಯಾವ ವೆಬ್ ಬ್ರೌಸರ್‌ಗಳನ್ನು ಬಳಸುತ್ತಾರೆ ಎಂಬುದನ್ನು ನಿರ್ಧರಿಸಲು ನಾವು ಈ ಡೇಟಾವನ್ನು ಬಳಸಬಹುದು.
ನಮ್ಮ ವೆಬ್‌ಸೈಟ್ ಅಥವಾ ಮೊಬೈಲ್ ಅಪ್ಲಿಕೇಶನ್ ಮೂಲಕ ಸಂಗ್ರಹಿಸಲ"&amp;"ಾದ ಯಾವುದೇ ಡೇಟಾವನ್ನು ಯಾವುದೇ ಮೂರನೇ ವ್ಯಕ್ತಿಗಳಿಗೆ ಹಂಚಿಕೊಳ್ಳಲಾಗುವುದಿಲ್ಲ. ಆ ಡೇಟಾವನ್ನು ನಮ್ಮ ವೆಬ್‌ಸೈಟ್ ಅಥವಾ ಅಪ್ಲಿಕೇಶನ್ ಸಂಬಂಧಿತ ಕಾರ್ಯಗಳು ಅಥವಾ ಸೇವೆಗಳಿಗಾಗಿ ನಮ್ಮ ಆಂತರಿಕ ಕಾರ್ಯಾಚರಣೆಗಳಲ್ಲಿ ಬಳಸಲಾಗುತ್ತದೆ.")</f>
        <v>GPS Tools® ವೆಬ್‌ಸೈಟ್ ({{link}}) ಬಳಕೆದಾರರ IP ವಿಳಾಸ ಮತ್ತು ಹೋಸ್ಟ್‌ಹೆಸರನ್ನು ಲಾಗ್ ಮಾಡುವುದನ್ನು ಹೊರತುಪಡಿಸಿ ಸೈಟ್‌ಗೆ ಭೇಟಿ ನೀಡುವವರಿಂದ ವೈಯಕ್ತಿಕ ಡೇಟಾವನ್ನು ಸ್ವಯಂಚಾಲಿತವಾಗಿ ಸೆರೆಹಿಡಿಯುವುದಿಲ್ಲ ಅಥವಾ ಸಂಗ್ರಹಿಸುವುದಿಲ್ಲ, ಮತ್ತು ಭೇಟಿಯ ಅವಧಿ, ಭೇಟಿ ನೀಡಿದ ಪುಟಗಳು ಮತ್ತು ಬಳಸಿದ ಬ್ರೌಸರ್‌ನ ಸ್ವರೂಪ. ಈ ಮಾಹಿತಿಯು ನಿಮ್ಮನ್ನು ವೈಯಕ್ತಿಕವಾಗಿ ಗುರುತಿಸುವುದಿಲ್ಲ; ನಮ್ಮ ಡೇಟಾ ಸರ್ವರ್‌ನೊಂದಿಗಿನ ಸಮಸ್ಯೆಗಳನ್ನು ಪತ್ತೆಹಚ್ಚಲು, ನಮ್ಮ ವೆಬ್‌ಸೈಟ್ ಅನ್ನು ನಿರ್ವಹಿಸಲು ಮತ್ತು ನಮ್ಮ ಸಂದರ್ಶಕರು ಮತ್ತು ಅವರ ಸೈಟ್‌ನ ಬಳಕೆಯ ಕುರಿತು ಅಂಕಿಅಂಶಗಳನ್ನು ಕಂಪೈಲ್ ಮಾಡಲು ನಮಗೆ ಸಹಾಯ ಮಾಡಲು ಇದನ್ನು ಬಳಸಲಾಗುತ್ತದೆ. ಉದಾಹರಣೆಗೆ, ನಮ್ಮ ಬಳಕೆದಾರರು ಯಾವ ಪುಟಗಳನ್ನು ಹೆಚ್ಚಾಗಿ ಭೇಟಿ ಮಾಡುತ್ತಿದ್ದಾರೆ ಎಂಬುದನ್ನು ಟ್ರ್ಯಾಕ್ ಮಾಡಲು ಅಥವಾ ನಮ್ಮ ಸಂದರ್ಶಕರು ಯಾವ ವೆಬ್ ಬ್ರೌಸರ್‌ಗಳನ್ನು ಬಳಸುತ್ತಾರೆ ಎಂಬುದನ್ನು ನಿರ್ಧರಿಸಲು ನಾವು ಈ ಡೇಟಾವನ್ನು ಬಳಸಬಹುದು.
ನಮ್ಮ ವೆಬ್‌ಸೈಟ್ ಅಥವಾ ಮೊಬೈಲ್ ಅಪ್ಲಿಕೇಶನ್ ಮೂಲಕ ಸಂಗ್ರಹಿಸಲಾದ ಯಾವುದೇ ಡೇಟಾವನ್ನು ಯಾವುದೇ ಮೂರನೇ ವ್ಯಕ್ತಿಗಳಿಗೆ ಹಂಚಿಕೊಳ್ಳಲಾಗುವುದಿಲ್ಲ. ಆ ಡೇಟಾವನ್ನು ನಮ್ಮ ವೆಬ್‌ಸೈಟ್ ಅಥವಾ ಅಪ್ಲಿಕೇಶನ್ ಸಂಬಂಧಿತ ಕಾರ್ಯಗಳು ಅಥವಾ ಸೇವೆಗಳಿಗಾಗಿ ನಮ್ಮ ಆಂತರಿಕ ಕಾರ್ಯಾಚರಣೆಗಳಲ್ಲಿ ಬಳಸಲಾಗುತ್ತದೆ.</v>
      </c>
      <c r="W120" s="4" t="str">
        <f>IFERROR(__xludf.DUMMYFUNCTION("GOOGLETRANSLATE(B120,""en"",""ml"")"),"GPS Tools® വെബ്‌സൈറ്റ് ({{link}}) ഉപയോക്താക്കളുടെ IP വിലാസവും ഹോസ്റ്റ്നാമവും, സന്ദർശന കാലയളവ്, സന്ദർശിച്ച പേജുകൾ, ഉപയോഗിച്ച ബ്രൗസറിൻ്റെ സ്വഭാവം തുടങ്ങിയ സെഷൻ വിശദാംശങ്ങളും ലോഗ് ചെയ്യുന്നതല്ലാതെ സൈറ്റിലേക്കുള്ള സന്ദർശകരിൽ നിന്നുള്ള വ്യക്തിഗത ഡാറ്റ സ്വയമേവ "&amp;"ക്യാപ്‌ചർ ചെയ്യുകയോ സംഭരിക്കുകയോ ചെയ്യുന്നില്ല. ഈ വിവരം നിങ്ങളെ വ്യക്തിപരമായി തിരിച്ചറിയുന്നില്ല; ഞങ്ങളുടെ ഡാറ്റാ സെർവറിലെ പ്രശ്‌നങ്ങൾ കണ്ടെത്താനും ഞങ്ങളുടെ വെബ്‌സൈറ്റ് നിയന്ത്രിക്കാനും ഞങ്ങളുടെ സന്ദർശകരെക്കുറിച്ചും അവരുടെ സൈറ്റിൻ്റെ ഉപയോഗത്തെക്കുറിച്ചും "&amp;"സ്ഥിതിവിവരക്കണക്കുകൾ സമാഹരിക്കുന്നതിനും ഇത് ഉപയോഗിക്കുന്നു. ഉദാഹരണത്തിന്, ഞങ്ങളുടെ ഉപയോക്താക്കൾ ഏറ്റവും കൂടുതൽ സന്ദർശിക്കുന്ന പേജുകൾ ട്രാക്ക് ചെയ്യുന്നതിനോ അല്ലെങ്കിൽ ഞങ്ങളുടെ സന്ദർശകർ ഉപയോഗിക്കുന്ന വെബ് ബ്രൗസറുകൾ നിർണ്ണയിക്കുന്നതിനോ ഞങ്ങൾ ഈ ഡാറ്റ ഉപയോഗിച"&amp;"്ചേക്കാം.
ഞങ്ങളുടെ വെബ്‌സൈറ്റ് വഴിയോ മൊബൈൽ ആപ്പ് വഴിയോ ശേഖരിക്കുന്ന ഒരു ഡാറ്റയും ഏതെങ്കിലും മൂന്നാം കക്ഷികളുമായി പങ്കിടില്ല. ഞങ്ങളുടെ വെബ്‌സൈറ്റിനോ ആപ്പുമായി ബന്ധപ്പെട്ട പ്രവർത്തനങ്ങൾക്കോ ​​സേവനങ്ങൾക്കോ ​​വേണ്ടിയുള്ള ഞങ്ങളുടെ ആന്തരിക പ്രവർത്തനങ്ങളിൽ ആ ഡാ"&amp;"റ്റ ഉപയോഗിക്കും.")</f>
        <v>GPS Tools® വെബ്‌സൈറ്റ് ({{link}}) ഉപയോക്താക്കളുടെ IP വിലാസവും ഹോസ്റ്റ്നാമവും, സന്ദർശന കാലയളവ്, സന്ദർശിച്ച പേജുകൾ, ഉപയോഗിച്ച ബ്രൗസറിൻ്റെ സ്വഭാവം തുടങ്ങിയ സെഷൻ വിശദാംശങ്ങളും ലോഗ് ചെയ്യുന്നതല്ലാതെ സൈറ്റിലേക്കുള്ള സന്ദർശകരിൽ നിന്നുള്ള വ്യക്തിഗത ഡാറ്റ സ്വയമേവ ക്യാപ്‌ചർ ചെയ്യുകയോ സംഭരിക്കുകയോ ചെയ്യുന്നില്ല. ഈ വിവരം നിങ്ങളെ വ്യക്തിപരമായി തിരിച്ചറിയുന്നില്ല; ഞങ്ങളുടെ ഡാറ്റാ സെർവറിലെ പ്രശ്‌നങ്ങൾ കണ്ടെത്താനും ഞങ്ങളുടെ വെബ്‌സൈറ്റ് നിയന്ത്രിക്കാനും ഞങ്ങളുടെ സന്ദർശകരെക്കുറിച്ചും അവരുടെ സൈറ്റിൻ്റെ ഉപയോഗത്തെക്കുറിച്ചും സ്ഥിതിവിവരക്കണക്കുകൾ സമാഹരിക്കുന്നതിനും ഇത് ഉപയോഗിക്കുന്നു. ഉദാഹരണത്തിന്, ഞങ്ങളുടെ ഉപയോക്താക്കൾ ഏറ്റവും കൂടുതൽ സന്ദർശിക്കുന്ന പേജുകൾ ട്രാക്ക് ചെയ്യുന്നതിനോ അല്ലെങ്കിൽ ഞങ്ങളുടെ സന്ദർശകർ ഉപയോഗിക്കുന്ന വെബ് ബ്രൗസറുകൾ നിർണ്ണയിക്കുന്നതിനോ ഞങ്ങൾ ഈ ഡാറ്റ ഉപയോഗിച്ചേക്കാം.
ഞങ്ങളുടെ വെബ്‌സൈറ്റ് വഴിയോ മൊബൈൽ ആപ്പ് വഴിയോ ശേഖരിക്കുന്ന ഒരു ഡാറ്റയും ഏതെങ്കിലും മൂന്നാം കക്ഷികളുമായി പങ്കിടില്ല. ഞങ്ങളുടെ വെബ്‌സൈറ്റിനോ ആപ്പുമായി ബന്ധപ്പെട്ട പ്രവർത്തനങ്ങൾക്കോ ​​സേവനങ്ങൾക്കോ ​​വേണ്ടിയുള്ള ഞങ്ങളുടെ ആന്തരിക പ്രവർത്തനങ്ങളിൽ ആ ഡാറ്റ ഉപയോഗിക്കും.</v>
      </c>
      <c r="X120" s="4" t="str">
        <f>IFERROR(__xludf.DUMMYFUNCTION("GOOGLETRANSLATE(B120,""en"",""th"")"),"เว็บไซต์ GPS Tools® ({{link}}) จะไม่รวบรวมข้อมูลส่วนตัวของผู้เยี่ยมชมเว็บไซต์โดยอัตโนมัติ นอกจากจะบันทึกที่อยู่ IP และชื่อโฮสต์ของผู้ใช้ และรายละเอียดเซสชัน เช่น ระยะเวลาในการเยี่ยมชม หน้าที่เข้าชม และลักษณะของเบราว์เซอร์ที่ใช้ ข้อมูลนี้จะไม่ระบุตัวตนของค"&amp;"ุณ แต่จะใช้เพื่อช่วยให้เราวินิจฉัยปัญหาของเซิร์ฟเวอร์ข้อมูลของเรา เพื่อดูแลเว็บไซต์ของเรา และเพื่อรวบรวมสถิติเกี่ยวกับผู้เยี่ยมชมและการใช้งานเว็บไซต์ของพวกเขา ตัวอย่างเช่น เราอาจใช้ข้อมูลนี้เพื่อติดตามว่าผู้ใช้ของเราเข้าชมหน้าใดบ่อยที่สุด หรือเพื่อระบุว่า"&amp;"ผู้เยี่ยมชมของเราใช้เว็บเบราว์เซอร์ใด
ข้อมูลใดๆ ที่รวบรวมผ่านเว็บไซต์หรือแอปมือถือของเราจะไม่ถูกแชร์กับบุคคลที่สาม ข้อมูลดังกล่าวจะถูกใช้ในการดำเนินงานภายในของเราสำหรับฟังก์ชันหรือบริการที่เกี่ยวข้องกับเว็บไซต์หรือแอปของเรา")</f>
        <v>เว็บไซต์ GPS Tools® ({{link}}) จะไม่รวบรวมข้อมูลส่วนตัวของผู้เยี่ยมชมเว็บไซต์โดยอัตโนมัติ นอกจากจะบันทึกที่อยู่ IP และชื่อโฮสต์ของผู้ใช้ และรายละเอียดเซสชัน เช่น ระยะเวลาในการเยี่ยมชม หน้าที่เข้าชม และลักษณะของเบราว์เซอร์ที่ใช้ ข้อมูลนี้จะไม่ระบุตัวตนของคุณ แต่จะใช้เพื่อช่วยให้เราวินิจฉัยปัญหาของเซิร์ฟเวอร์ข้อมูลของเรา เพื่อดูแลเว็บไซต์ของเรา และเพื่อรวบรวมสถิติเกี่ยวกับผู้เยี่ยมชมและการใช้งานเว็บไซต์ของพวกเขา ตัวอย่างเช่น เราอาจใช้ข้อมูลนี้เพื่อติดตามว่าผู้ใช้ของเราเข้าชมหน้าใดบ่อยที่สุด หรือเพื่อระบุว่าผู้เยี่ยมชมของเราใช้เว็บเบราว์เซอร์ใด
ข้อมูลใดๆ ที่รวบรวมผ่านเว็บไซต์หรือแอปมือถือของเราจะไม่ถูกแชร์กับบุคคลที่สาม ข้อมูลดังกล่าวจะถูกใช้ในการดำเนินงานภายในของเราสำหรับฟังก์ชันหรือบริการที่เกี่ยวข้องกับเว็บไซต์หรือแอปของเรา</v>
      </c>
      <c r="Y120" s="4" t="str">
        <f>IFERROR(__xludf.DUMMYFUNCTION("GOOGLETRANSLATE(B120,""en"",""ko"")"),"GPS Tools® 웹사이트({{link}})는 사이트 방문자의 개인 정보를 자동으로 수집하거나 저장하지 않습니다. 단, 사용자의 IP 주소와 호스트 이름, 방문 시간, 방문 페이지, 사용 브라우저 종류 등의 세션 정보를 기록하는 용도로만 사용됩니다. 이 정보는 사용자를 개인적으로 식별하는 것이 아니며, 데이터 서버 문제 진단, 웹사이트 관리, 방문자 및 사이트 이용 통계 수집에 사용됩니다. 예를 들어, 이 데이터를 사용하여 사용자가 가장 자주 방문하는"&amp;" 페이지를 추적하거나 방문자가 사용하는 웹 브라우저를 파악할 수 있습니다.
당사 웹사이트 또는 모바일 앱을 통해 수집된 모든 데이터는 제3자와 공유되지 않습니다. 이러한 데이터는 웹사이트 또는 앱 관련 기능이나 서비스를 위한 내부 운영에 사용됩니다.")</f>
        <v>GPS Tools® 웹사이트({{link}})는 사이트 방문자의 개인 정보를 자동으로 수집하거나 저장하지 않습니다. 단, 사용자의 IP 주소와 호스트 이름, 방문 시간, 방문 페이지, 사용 브라우저 종류 등의 세션 정보를 기록하는 용도로만 사용됩니다. 이 정보는 사용자를 개인적으로 식별하는 것이 아니며, 데이터 서버 문제 진단, 웹사이트 관리, 방문자 및 사이트 이용 통계 수집에 사용됩니다. 예를 들어, 이 데이터를 사용하여 사용자가 가장 자주 방문하는 페이지를 추적하거나 방문자가 사용하는 웹 브라우저를 파악할 수 있습니다.
당사 웹사이트 또는 모바일 앱을 통해 수집된 모든 데이터는 제3자와 공유되지 않습니다. 이러한 데이터는 웹사이트 또는 앱 관련 기능이나 서비스를 위한 내부 운영에 사용됩니다.</v>
      </c>
      <c r="Z120" s="4" t="str">
        <f>IFERROR(__xludf.DUMMYFUNCTION("GOOGLETRANSLATE(B120,""en"",""zh"")"),"GPS Tools® 网站 ({{link}}) 不会自动捕获或存储网站访问者的个人数据，但会记录用户的 IP 地址和主机名以及会话详细信息（例如访问时长、访问的页面和所用浏览器的类型）。这些信息不会识别您的个人身份；它用于帮助我们诊断数据服务器的问题、管理我们的网站以及汇编有关访问者及其网站使用情况的统计数据。例如，我们可能会使用这些数据来追踪用户最常访问的页面，或确定访问者使用的网络浏览器。
通过我们的网站或移动应用程序收集的任何数据都不会与任何第三方共享。这些数据将用于我们内部运营，以实现网站或应"&amp;"用程序相关的功能或服务。")</f>
        <v>GPS Tools® 网站 ({{link}}) 不会自动捕获或存储网站访问者的个人数据，但会记录用户的 IP 地址和主机名以及会话详细信息（例如访问时长、访问的页面和所用浏览器的类型）。这些信息不会识别您的个人身份；它用于帮助我们诊断数据服务器的问题、管理我们的网站以及汇编有关访问者及其网站使用情况的统计数据。例如，我们可能会使用这些数据来追踪用户最常访问的页面，或确定访问者使用的网络浏览器。
通过我们的网站或移动应用程序收集的任何数据都不会与任何第三方共享。这些数据将用于我们内部运营，以实现网站或应用程序相关的功能或服务。</v>
      </c>
      <c r="AA120" s="4" t="str">
        <f>IFERROR(__xludf.DUMMYFUNCTION("GOOGLETRANSLATE(B120,""en"",""zh-TW"")"),"GPS Tools® 網站 ({{link}}) 不會自動擷取或儲存網站訪客的個人數據，但會記錄使用者的 IP 位址和主機名稱以及會話詳細資訊（例如造訪時間長度、造訪的頁面和所使用瀏覽器的類型）。這些資訊不會識別您的個人身分；它用於幫助我們診斷資料伺服器的問題、管理我們的網站以及彙編有關訪客及其網站使用情況的統計資料。例如，我們可能會使用這些資料來追蹤使用者最常造訪的頁面，或確定訪客使用的網頁瀏覽器。
透過我們的網站或行動應用程式收集的任何資料都不會與任何第三方共用。這些數據將用於我們內部運營，以實現與"&amp;"網站或應用程式相關的功能或服務。")</f>
        <v>GPS Tools® 網站 ({{link}}) 不會自動擷取或儲存網站訪客的個人數據，但會記錄使用者的 IP 位址和主機名稱以及會話詳細資訊（例如造訪時間長度、造訪的頁面和所使用瀏覽器的類型）。這些資訊不會識別您的個人身分；它用於幫助我們診斷資料伺服器的問題、管理我們的網站以及彙編有關訪客及其網站使用情況的統計資料。例如，我們可能會使用這些資料來追蹤使用者最常造訪的頁面，或確定訪客使用的網頁瀏覽器。
透過我們的網站或行動應用程式收集的任何資料都不會與任何第三方共用。這些數據將用於我們內部運營，以實現與網站或應用程式相關的功能或服務。</v>
      </c>
      <c r="AB120" s="4" t="str">
        <f>IFERROR(__xludf.DUMMYFUNCTION("GOOGLETRANSLATE(B120,""en"",""ja"")"),"GPS Tools®ウェブサイト（{{link}}）は、ユーザーのIPアドレスとホスト名、セッションの詳細（訪問時間、訪問ページ、使用ブラウザの種類など）を記録することを除き、サイト訪問者の個人データを自動的に取得または保存することはありません。この情報は個人を特定するものではなく、データサーバーの問題の診断、ウェブサイトの管理、訪問者およびサイトの使用状況に関する統計情報の収集に使用されます。例えば、ユーザーが最も頻繁に訪問するページを追跡したり、訪問者が使用するウェブブラウザを特定したりするために、こ"&amp;"のデータを使用する場合があります。
当社のウェブサイトまたはモバイルアプリを通じて収集されたデータは、第三者と共有されることはありません。これらのデータは、当社のウェブサイトまたはアプリに関連する機能またはサービスのための社内業務に使用されます。")</f>
        <v>GPS Tools®ウェブサイト（{{link}}）は、ユーザーのIPアドレスとホスト名、セッションの詳細（訪問時間、訪問ページ、使用ブラウザの種類など）を記録することを除き、サイト訪問者の個人データを自動的に取得または保存することはありません。この情報は個人を特定するものではなく、データサーバーの問題の診断、ウェブサイトの管理、訪問者およびサイトの使用状況に関する統計情報の収集に使用されます。例えば、ユーザーが最も頻繁に訪問するページを追跡したり、訪問者が使用するウェブブラウザを特定したりするために、このデータを使用する場合があります。
当社のウェブサイトまたはモバイルアプリを通じて収集されたデータは、第三者と共有されることはありません。これらのデータは、当社のウェブサイトまたはアプリに関連する機能またはサービスのための社内業務に使用されます。</v>
      </c>
      <c r="AC120" s="4" t="str">
        <f>IFERROR(__xludf.DUMMYFUNCTION("GOOGLETRANSLATE(B120,""en"",""bg"")"),"Уебсайтът GPS Tools® ({{link}}) не улавя или съхранява автоматично лични данни от посетителите на сайта, освен за регистриране на потребителския IP адрес и име на хост, както и подробности за сесията като продължителност на посещението, посетени страници "&amp;"и естеството на използвания браузър. Тази информация не ви идентифицира лично; използва се, за да ни помогне да диагностицираме проблеми с нашия сървър за данни, да администрираме нашия уебсайт и да съставим статистически данни за нашите посетители и тяхн"&amp;"ото използване на сайта. Например, можем да използваме тези данни, за да проследим кои страници посещават най-често нашите потребители или да определим кои уеб браузъри използват нашите посетители.
Всички данни, които се събират чрез нашия уебсайт или мо"&amp;"билно приложение, няма да бъдат споделяни с трети страни. Тези данни ще бъдат използвани в нашите вътрешни операции за функционалности или услуги, свързани с нашия уебсайт или приложение.")</f>
        <v>Уебсайтът GPS Tools® ({{link}}) не улавя или съхранява автоматично лични данни от посетителите на сайта, освен за регистриране на потребителския IP адрес и име на хост, както и подробности за сесията като продължителност на посещението, посетени страници и естеството на използвания браузър. Тази информация не ви идентифицира лично; използва се, за да ни помогне да диагностицираме проблеми с нашия сървър за данни, да администрираме нашия уебсайт и да съставим статистически данни за нашите посетители и тяхното използване на сайта. Например, можем да използваме тези данни, за да проследим кои страници посещават най-често нашите потребители или да определим кои уеб браузъри използват нашите посетители.
Всички данни, които се събират чрез нашия уебсайт или мобилно приложение, няма да бъдат споделяни с трети страни. Тези данни ще бъдат използвани в нашите вътрешни операции за функционалности или услуги, свързани с нашия уебсайт или приложение.</v>
      </c>
      <c r="AD120" s="4" t="str">
        <f>IFERROR(__xludf.DUMMYFUNCTION("GOOGLETRANSLATE(B120,""en"",""cs"")"),"Webové stránky GPS Tools® ({{link}}) automaticky nezachycují ani neukládají osobní údaje návštěvníků webu, kromě přihlášení IP adresy a názvu hostitele uživatelů a podrobností o relaci, jako je doba trvání návštěvy, navštívené stránky a povaha použitého p"&amp;"rohlížeče. Tyto informace vás osobně neidentifikují; používá se k tomu, aby nám pomohl diagnostikovat problémy s naším datovým serverem, spravovat naše webové stránky a sestavovat statistiky o našich návštěvnících a jejich používání stránek. Tyto údaje mů"&amp;"žeme použít například ke sledování, které stránky naši uživatelé nejčastěji navštěvují, nebo k určení, které webové prohlížeče naši návštěvníci používají.
Žádná data shromážděná prostřednictvím našich webových stránek nebo mobilní aplikace nebudou sdílen"&amp;"a s žádnými třetími stranami. Tyto údaje budou použity v našich interních operacích pro naše webové stránky nebo funkce nebo služby související s aplikací.")</f>
        <v>Webové stránky GPS Tools® ({{link}}) automaticky nezachycují ani neukládají osobní údaje návštěvníků webu, kromě přihlášení IP adresy a názvu hostitele uživatelů a podrobností o relaci, jako je doba trvání návštěvy, navštívené stránky a povaha použitého prohlížeče. Tyto informace vás osobně neidentifikují; používá se k tomu, aby nám pomohl diagnostikovat problémy s naším datovým serverem, spravovat naše webové stránky a sestavovat statistiky o našich návštěvnících a jejich používání stránek. Tyto údaje můžeme použít například ke sledování, které stránky naši uživatelé nejčastěji navštěvují, nebo k určení, které webové prohlížeče naši návštěvníci používají.
Žádná data shromážděná prostřednictvím našich webových stránek nebo mobilní aplikace nebudou sdílena s žádnými třetími stranami. Tyto údaje budou použity v našich interních operacích pro naše webové stránky nebo funkce nebo služby související s aplikací.</v>
      </c>
      <c r="AE120" s="4" t="str">
        <f>IFERROR(__xludf.DUMMYFUNCTION("GOOGLETRANSLATE(B120,""en"",""da"")"),"GPS Tools®-webstedet ({{link}}) registrerer eller gemmer ikke automatisk personlige data fra besøgende på webstedet udover at logge brugerens IP-adresse og værtsnavn, og sessionsdetaljer såsom besøgets varighed, besøgte sider og arten af ​​den anvendte br"&amp;"owser. Disse oplysninger identificerer dig ikke personligt; den bruges til at hjælpe os med at diagnosticere problemer med vores dataserver, til at administrere vores hjemmeside og til at udarbejde statistik om vores besøgende og deres brug af siden. For "&amp;"eksempel kan vi bruge disse data til at spore, hvilke sider vores brugere besøger oftest, eller til at bestemme, hvilke webbrowsere vores besøgende bruger.
Eventuelle data, der indsamles via vores hjemmeside eller mobilapp, vil ikke blive delt til nogen "&amp;"tredjepart. Disse data vil blive brugt i vores interne drift til vores hjemmeside eller app-relaterede funktioner eller tjenester.")</f>
        <v>GPS Tools®-webstedet ({{link}}) registrerer eller gemmer ikke automatisk personlige data fra besøgende på webstedet udover at logge brugerens IP-adresse og værtsnavn, og sessionsdetaljer såsom besøgets varighed, besøgte sider og arten af ​​den anvendte browser. Disse oplysninger identificerer dig ikke personligt; den bruges til at hjælpe os med at diagnosticere problemer med vores dataserver, til at administrere vores hjemmeside og til at udarbejde statistik om vores besøgende og deres brug af siden. For eksempel kan vi bruge disse data til at spore, hvilke sider vores brugere besøger oftest, eller til at bestemme, hvilke webbrowsere vores besøgende bruger.
Eventuelle data, der indsamles via vores hjemmeside eller mobilapp, vil ikke blive delt til nogen tredjepart. Disse data vil blive brugt i vores interne drift til vores hjemmeside eller app-relaterede funktioner eller tjenester.</v>
      </c>
      <c r="AF120" s="4" t="str">
        <f>IFERROR(__xludf.DUMMYFUNCTION("GOOGLETRANSLATE(B120,""en"",""el"")"),"Ο ιστότοπος GPS Tools® ({{link}}) δεν καταγράφει ή αποθηκεύει αυτόματα προσωπικά δεδομένα από επισκέπτες του ιστότοπου, εκτός από την καταγραφή της διεύθυνσης IP των χρηστών και του ονόματος κεντρικού υπολογιστή, καθώς και των λεπτομερειών περιόδου σύνδεσ"&amp;"ης, όπως η διάρκεια της επίσκεψης, οι σελίδες που επισκέφθηκαν και η φύση του προγράμματος περιήγησης που χρησιμοποιείται. Αυτές οι πληροφορίες δεν σας προσδιορίζουν προσωπικά. χρησιμοποιείται για να μας βοηθήσει να διαγνώσουμε προβλήματα με τον διακομιστ"&amp;"ή δεδομένων μας, να διαχειριστούμε τον ιστότοπό μας και να συγκεντρώσουμε στατιστικά στοιχεία σχετικά με τους επισκέπτες μας και τη χρήση του ιστότοπου από μέρους τους. Για παράδειγμα, μπορεί να χρησιμοποιήσουμε αυτά τα δεδομένα για να παρακολουθήσουμε πο"&amp;"ιες σελίδες επισκέπτονται συχνότερα οι χρήστες μας ή για να καθορίσουμε ποια προγράμματα περιήγησης ιστού χρησιμοποιούν οι επισκέπτες μας.
Τυχόν δεδομένα που συλλέγονται μέσω του ιστότοπού μας ή της εφαρμογής για κινητά δεν θα κοινοποιηθούν σε τρίτους. Α"&amp;"υτά τα δεδομένα θα χρησιμοποιηθούν στις εσωτερικές μας λειτουργίες για λειτουργίες ή υπηρεσίες που σχετίζονται με τον ιστότοπο ή την εφαρμογή μας.")</f>
        <v>Ο ιστότοπος GPS Tools® ({{link}}) δεν καταγράφει ή αποθηκεύει αυτόματα προσωπικά δεδομένα από επισκέπτες του ιστότοπου, εκτός από την καταγραφή της διεύθυνσης IP των χρηστών και του ονόματος κεντρικού υπολογιστή, καθώς και των λεπτομερειών περιόδου σύνδεσης, όπως η διάρκεια της επίσκεψης, οι σελίδες που επισκέφθηκαν και η φύση του προγράμματος περιήγησης που χρησιμοποιείται. Αυτές οι πληροφορίες δεν σας προσδιορίζουν προσωπικά. χρησιμοποιείται για να μας βοηθήσει να διαγνώσουμε προβλήματα με τον διακομιστή δεδομένων μας, να διαχειριστούμε τον ιστότοπό μας και να συγκεντρώσουμε στατιστικά στοιχεία σχετικά με τους επισκέπτες μας και τη χρήση του ιστότοπου από μέρους τους. Για παράδειγμα, μπορεί να χρησιμοποιήσουμε αυτά τα δεδομένα για να παρακολουθήσουμε ποιες σελίδες επισκέπτονται συχνότερα οι χρήστες μας ή για να καθορίσουμε ποια προγράμματα περιήγησης ιστού χρησιμοποιούν οι επισκέπτες μας.
Τυχόν δεδομένα που συλλέγονται μέσω του ιστότοπού μας ή της εφαρμογής για κινητά δεν θα κοινοποιηθούν σε τρίτους. Αυτά τα δεδομένα θα χρησιμοποιηθούν στις εσωτερικές μας λειτουργίες για λειτουργίες ή υπηρεσίες που σχετίζονται με τον ιστότοπο ή την εφαρμογή μας.</v>
      </c>
      <c r="AG120" s="4" t="str">
        <f>IFERROR(__xludf.DUMMYFUNCTION("GOOGLETRANSLATE(B120,""en"",""et"")"),"GPS Toolsi® veebisait ({{link}}) ei jäädvusta ega salvesta automaatselt saidi külastajate isikuandmeid, välja arvatud kasutaja IP-aadressi ja hostinime ning seansi üksikasjade (nt külastuse kestus, külastatud lehed ja kasutatava brauseri olemus) logimisek"&amp;"s. See teave ei tuvasta teid isiklikult; seda kasutatakse selleks, et aidata meil diagnoosida probleeme meie andmeserveriga, hallata meie veebisaiti ning koostada statistikat meie külastajate ja nende saidi kasutamise kohta. Näiteks võime neid andmeid kas"&amp;"utada selleks, et jälgida, milliseid lehti meie kasutajad kõige sagedamini külastavad, või selleks, et teha kindlaks, milliseid veebibrausereid meie külastajad kasutavad.
Meie veebisaidi või mobiilirakenduse kaudu kogutud andmeid ei jagata kolmandatele i"&amp;"sikutele. Neid andmeid kasutatakse meie veebisaidi või rakendusega seotud funktsioonide või teenuste sisetoimingutes.")</f>
        <v>GPS Toolsi® veebisait ({{link}}) ei jäädvusta ega salvesta automaatselt saidi külastajate isikuandmeid, välja arvatud kasutaja IP-aadressi ja hostinime ning seansi üksikasjade (nt külastuse kestus, külastatud lehed ja kasutatava brauseri olemus) logimiseks. See teave ei tuvasta teid isiklikult; seda kasutatakse selleks, et aidata meil diagnoosida probleeme meie andmeserveriga, hallata meie veebisaiti ning koostada statistikat meie külastajate ja nende saidi kasutamise kohta. Näiteks võime neid andmeid kasutada selleks, et jälgida, milliseid lehti meie kasutajad kõige sagedamini külastavad, või selleks, et teha kindlaks, milliseid veebibrausereid meie külastajad kasutavad.
Meie veebisaidi või mobiilirakenduse kaudu kogutud andmeid ei jagata kolmandatele isikutele. Neid andmeid kasutatakse meie veebisaidi või rakendusega seotud funktsioonide või teenuste sisetoimingutes.</v>
      </c>
      <c r="AH120" s="4" t="str">
        <f>IFERROR(__xludf.DUMMYFUNCTION("GOOGLETRANSLATE(B120,""en"",""fi"")"),"GPS Tools® -sivusto ({{link}}) ei automaattisesti kaappaa tai tallenna sivuston vierailijoiden henkilökohtaisia ​​tietoja muutoin kuin kirjatakseen käyttäjien IP-osoitteen ja isäntänimen sekä istunnon tiedot, kuten käynnin keston, vieraillut sivut ja käyt"&amp;"etyn selaimen luonteen. Nämä tiedot eivät tunnista sinua henkilökohtaisesti; sitä käytetään auttamaan meitä diagnosoimaan tietopalvelimemme ongelmia, hallinnoimaan verkkosivustoamme ja keräämään tilastoja kävijöistämme ja heidän sivuston käytöstämme. Saat"&amp;"amme käyttää näitä tietoja esimerkiksi seuraamaan, millä sivuilla käyttäjämme vierailevat useimmin, tai määrittääksemme, mitä verkkoselaimia vierailijamme käyttävät.
Verkkosivustomme tai mobiilisovelluksemme kautta kerättyjä tietoja ei jaeta kolmansille "&amp;"osapuolille. Näitä tietoja käytetään sisäisessä toiminnassamme verkkosivustomme tai sovelluksiin liittyvien toimintojen tai palveluiden osalta.")</f>
        <v>GPS Tools® -sivusto ({{link}}) ei automaattisesti kaappaa tai tallenna sivuston vierailijoiden henkilökohtaisia ​​tietoja muutoin kuin kirjatakseen käyttäjien IP-osoitteen ja isäntänimen sekä istunnon tiedot, kuten käynnin keston, vieraillut sivut ja käytetyn selaimen luonteen. Nämä tiedot eivät tunnista sinua henkilökohtaisesti; sitä käytetään auttamaan meitä diagnosoimaan tietopalvelimemme ongelmia, hallinnoimaan verkkosivustoamme ja keräämään tilastoja kävijöistämme ja heidän sivuston käytöstämme. Saatamme käyttää näitä tietoja esimerkiksi seuraamaan, millä sivuilla käyttäjämme vierailevat useimmin, tai määrittääksemme, mitä verkkoselaimia vierailijamme käyttävät.
Verkkosivustomme tai mobiilisovelluksemme kautta kerättyjä tietoja ei jaeta kolmansille osapuolille. Näitä tietoja käytetään sisäisessä toiminnassamme verkkosivustomme tai sovelluksiin liittyvien toimintojen tai palveluiden osalta.</v>
      </c>
      <c r="AI120" s="4" t="str">
        <f>IFERROR(__xludf.DUMMYFUNCTION("GOOGLETRANSLATE(B120,""en"",""hr"")"),"Web-mjesto GPS Tools® ({{link}}) ne bilježi automatski niti pohranjuje osobne podatke posjetitelja web-mjesta, osim za zapisivanje korisničke IP adrese i naziva hosta te pojedinosti o sesiji kao što su trajanje posjeta, posjećene stranice i priroda korišt"&amp;"enog preglednika. Ove vas informacije ne identificiraju osobno; koristi se da nam pomogne u dijagnosticiranju problema s našim poslužiteljem podataka, za administriranje naše web stranice i prikupljanje statistike o našim posjetiteljima i njihovoj upotreb"&amp;"i stranice. Na primjer, te podatke možemo koristiti kako bismo pratili koje stranice naši korisnici najčešće posjećuju ili kako bismo odredili koje web preglednike naši posjetitelji koriste.
Podaci koji se prikupljaju putem naše web stranice ili mobilne "&amp;"aplikacije neće se dijeliti s trećim stranama. Ti će se podaci koristiti u našim internim operacijama za funkcionalnosti ili usluge povezane s našim web-mjestom ili aplikacijom.")</f>
        <v>Web-mjesto GPS Tools® ({{link}}) ne bilježi automatski niti pohranjuje osobne podatke posjetitelja web-mjesta, osim za zapisivanje korisničke IP adrese i naziva hosta te pojedinosti o sesiji kao što su trajanje posjeta, posjećene stranice i priroda korištenog preglednika. Ove vas informacije ne identificiraju osobno; koristi se da nam pomogne u dijagnosticiranju problema s našim poslužiteljem podataka, za administriranje naše web stranice i prikupljanje statistike o našim posjetiteljima i njihovoj upotrebi stranice. Na primjer, te podatke možemo koristiti kako bismo pratili koje stranice naši korisnici najčešće posjećuju ili kako bismo odredili koje web preglednike naši posjetitelji koriste.
Podaci koji se prikupljaju putem naše web stranice ili mobilne aplikacije neće se dijeliti s trećim stranama. Ti će se podaci koristiti u našim internim operacijama za funkcionalnosti ili usluge povezane s našim web-mjestom ili aplikacijom.</v>
      </c>
      <c r="AJ120" s="4" t="str">
        <f>IFERROR(__xludf.DUMMYFUNCTION("GOOGLETRANSLATE(B120,""en"",""hu"")"),"A GPS Tools® webhely ({{link}}) nem rögzít és tárol automatikusan személyes adatokat a webhely látogatóiról, kivéve a felhasználó IP-címének és gazdagépnevének naplózását, valamint a munkamenet részleteit, például a látogatás időtartamát, a meglátogatott "&amp;"oldalakat és a használt böngésző jellegét. Ez az információ nem azonosítja Önt személyesen; adatszerverünkkel kapcsolatos problémák diagnosztizálására, weboldalunk adminisztrálására, valamint látogatóinkról és az oldalhasználatukról statisztikák készítésé"&amp;"re szolgál. Ezeket az adatokat felhasználhatjuk például arra, hogy nyomon kövessük, mely oldalakat keresik fel a leggyakrabban felhasználóink, vagy meghatározzuk, hogy látogatóink mely webböngészőket használják.
A weboldalunkon vagy mobilalkalmazásunkon "&amp;"keresztül gyűjtött adatokat nem osztjuk meg harmadik féllel. Ezeket az adatokat belső műveleteink során használjuk fel webhelyünkhöz vagy alkalmazásunkhoz kapcsolódó funkciókhoz vagy szolgáltatásokhoz.")</f>
        <v>A GPS Tools® webhely ({{link}}) nem rögzít és tárol automatikusan személyes adatokat a webhely látogatóiról, kivéve a felhasználó IP-címének és gazdagépnevének naplózását, valamint a munkamenet részleteit, például a látogatás időtartamát, a meglátogatott oldalakat és a használt böngésző jellegét. Ez az információ nem azonosítja Önt személyesen; adatszerverünkkel kapcsolatos problémák diagnosztizálására, weboldalunk adminisztrálására, valamint látogatóinkról és az oldalhasználatukról statisztikák készítésére szolgál. Ezeket az adatokat felhasználhatjuk például arra, hogy nyomon kövessük, mely oldalakat keresik fel a leggyakrabban felhasználóink, vagy meghatározzuk, hogy látogatóink mely webböngészőket használják.
A weboldalunkon vagy mobilalkalmazásunkon keresztül gyűjtött adatokat nem osztjuk meg harmadik féllel. Ezeket az adatokat belső műveleteink során használjuk fel webhelyünkhöz vagy alkalmazásunkhoz kapcsolódó funkciókhoz vagy szolgáltatásokhoz.</v>
      </c>
      <c r="AK120" s="4" t="str">
        <f>IFERROR(__xludf.DUMMYFUNCTION("GOOGLETRANSLATE(B120,""en"",""hy"")"),"GPS Tools® կայքը ({{link}}) ավտոմատ կերպով չի հավաքում կամ պահում կայքի այցելուների անձնական տվյալները, բացառությամբ օգտատերերի IP հասցեն և հյուրընկալողի անունը գրանցելու, ինչպես նաև աշխատաշրջանի մանրամասները, ինչպիսիք են այցելության տևողությունը, այցելած"&amp;" էջերը և օգտագործվող դիտարկիչի բնույթը: Այս տեղեկատվությունը չի բացահայտում ձեր անձը. այն օգտագործվում է մեզ օգնելու ախտորոշել մեր տվյալների սերվերի հետ կապված խնդիրները, կառավարել մեր կայքը և կազմել վիճակագրություն մեր այցելուների և նրանց կողմից կայքի օգ"&amp;"տագործման վերաբերյալ: Օրինակ՝ մենք կարող ենք օգտագործել այս տվյալները՝ հետևելու, թե որ էջերն են մեր օգտատերերն առավել հաճախ այցելում, կամ որոշելու, թե որ վեբ բրաուզերներն են օգտագործում մեր այցելուները:
Ցանկացած տվյալ, որը հավաքագրվում է մեր կայքի կամ բջ"&amp;"ջային հավելվածի միջոցով, չի փոխանցվի որևէ երրորդ կողմի: Այդ տվյալները կօգտագործվեն մեր ներքին գործառնություններում՝ մեր կայքի կամ հավելվածի հետ կապված գործառույթների կամ ծառայությունների համար:")</f>
        <v>GPS Tools® կայքը ({{link}}) ավտոմատ կերպով չի հավաքում կամ պահում կայքի այցելուների անձնական տվյալները, բացառությամբ օգտատերերի IP հասցեն և հյուրընկալողի անունը գրանցելու, ինչպես նաև աշխատաշրջանի մանրամասները, ինչպիսիք են այցելության տևողությունը, այցելած էջերը և օգտագործվող դիտարկիչի բնույթը: Այս տեղեկատվությունը չի բացահայտում ձեր անձը. այն օգտագործվում է մեզ օգնելու ախտորոշել մեր տվյալների սերվերի հետ կապված խնդիրները, կառավարել մեր կայքը և կազմել վիճակագրություն մեր այցելուների և նրանց կողմից կայքի օգտագործման վերաբերյալ: Օրինակ՝ մենք կարող ենք օգտագործել այս տվյալները՝ հետևելու, թե որ էջերն են մեր օգտատերերն առավել հաճախ այցելում, կամ որոշելու, թե որ վեբ բրաուզերներն են օգտագործում մեր այցելուները:
Ցանկացած տվյալ, որը հավաքագրվում է մեր կայքի կամ բջջային հավելվածի միջոցով, չի փոխանցվի որևէ երրորդ կողմի: Այդ տվյալները կօգտագործվեն մեր ներքին գործառնություններում՝ մեր կայքի կամ հավելվածի հետ կապված գործառույթների կամ ծառայությունների համար:</v>
      </c>
      <c r="AL120" s="4" t="str">
        <f>IFERROR(__xludf.DUMMYFUNCTION("GOOGLETRANSLATE(B120,""en"",""ca"")"),"El lloc web de GPS Tools® ({{link}}) no captura ni emmagatzema automàticament dades personals dels visitants del lloc que no sigui per registrar l'adreça IP i el nom d'amfitrió dels usuaris, i els detalls de la sessió, com ara la durada de la visita, les "&amp;"pàgines visitades i la naturalesa del navegador utilitzat. Aquesta informació no t'identifica personalment; s'utilitza per ajudar-nos a diagnosticar problemes amb el nostre servidor de dades, per administrar el nostre lloc web i per recopilar estadístique"&amp;"s sobre els nostres visitants i el seu ús del lloc. Per exemple, podem utilitzar aquestes dades per fer un seguiment de quines pàgines visiten més sovint els nostres usuaris o per determinar quins navegadors web fan servir els nostres visitants.
Les dade"&amp;"s que es recullin a través del nostre lloc web o aplicació mòbil no es compartiran amb tercers. Aquestes dades s'utilitzaran en les nostres operacions internes per a les funcionalitats o serveis relacionats amb el nostre lloc web o aplicació.")</f>
        <v>El lloc web de GPS Tools® ({{link}}) no captura ni emmagatzema automàticament dades personals dels visitants del lloc que no sigui per registrar l'adreça IP i el nom d'amfitrió dels usuaris, i els detalls de la sessió, com ara la durada de la visita, les pàgines visitades i la naturalesa del navegador utilitzat. Aquesta informació no t'identifica personalment; s'utilitza per ajudar-nos a diagnosticar problemes amb el nostre servidor de dades, per administrar el nostre lloc web i per recopilar estadístiques sobre els nostres visitants i el seu ús del lloc. Per exemple, podem utilitzar aquestes dades per fer un seguiment de quines pàgines visiten més sovint els nostres usuaris o per determinar quins navegadors web fan servir els nostres visitants.
Les dades que es recullin a través del nostre lloc web o aplicació mòbil no es compartiran amb tercers. Aquestes dades s'utilitzaran en les nostres operacions internes per a les funcionalitats o serveis relacionats amb el nostre lloc web o aplicació.</v>
      </c>
      <c r="AM120" s="4" t="str">
        <f>IFERROR(__xludf.DUMMYFUNCTION("GOOGLETRANSLATE(B120,""en"",""nl"")"),"De website van GPS Tools® ({{link}}) verzamelt of bewaart niet automatisch persoonsgegevens van bezoekers van de site, behalve om het IP-adres en de hostnaam van de gebruiker en sessiegegevens zoals de duur van het bezoek, de bezochte pagina's en de aard "&amp;"van de gebruikte browser te registreren. Deze informatie identificeert u niet persoonlijk; het wordt gebruikt om ons te helpen problemen met onze dataserver te diagnosticeren, onze website te beheren en statistieken samen te stellen over onze bezoekers en"&amp;" hun gebruik van de site. We kunnen deze gegevens bijvoorbeeld gebruiken om bij te houden welke pagina's onze gebruikers het vaakst bezoeken of om te bepalen welke webbrowsers onze bezoekers gebruiken.
Gegevens die via onze website of mobiele app worden "&amp;"verzameld, worden niet met derden gedeeld. Deze gegevens worden gebruikt voor onze interne bedrijfsvoering voor onze website- of app-gerelateerde functionaliteiten of diensten.")</f>
        <v>De website van GPS Tools® ({{link}}) verzamelt of bewaart niet automatisch persoonsgegevens van bezoekers van de site, behalve om het IP-adres en de hostnaam van de gebruiker en sessiegegevens zoals de duur van het bezoek, de bezochte pagina's en de aard van de gebruikte browser te registreren. Deze informatie identificeert u niet persoonlijk; het wordt gebruikt om ons te helpen problemen met onze dataserver te diagnosticeren, onze website te beheren en statistieken samen te stellen over onze bezoekers en hun gebruik van de site. We kunnen deze gegevens bijvoorbeeld gebruiken om bij te houden welke pagina's onze gebruikers het vaakst bezoeken of om te bepalen welke webbrowsers onze bezoekers gebruiken.
Gegevens die via onze website of mobiele app worden verzameld, worden niet met derden gedeeld. Deze gegevens worden gebruikt voor onze interne bedrijfsvoering voor onze website- of app-gerelateerde functionaliteiten of diensten.</v>
      </c>
      <c r="AN120" s="4" t="str">
        <f>IFERROR(__xludf.DUMMYFUNCTION("GOOGLETRANSLATE(B120,""en"",""he"")"),"אתר GPS Tools® ({{קישור}}) אינו לוכד או מאחסן באופן אוטומטי נתונים אישיים מהמבקרים באתר מלבד רישום כתובת ה-IP ושם המארח של המשתמש, ופרטי הפעלה כגון משך הביקור, הדפים שבהם ביקרו ואופי הדפדפן בו נעשה שימוש. מידע זה אינו מזהה אותך אישית; הוא משמש כדי לעזור ל"&amp;"נו לאבחן בעיות עם שרת הנתונים שלנו, לניהול האתר שלנו, וכדי לאסוף נתונים סטטיסטיים על המבקרים שלנו והשימוש שלהם באתר. לדוגמה, אנו עשויים להשתמש בנתונים אלה כדי לעקוב באילו דפים המשתמשים שלנו מבקרים בתדירות הגבוהה ביותר, או כדי לקבוע באילו דפדפני אינטרנט מש"&amp;"תמשים המבקרים שלנו.
כל מידע שייאסף דרך האתר או האפליקציה הסלולרית שלנו לא ישותפו לצדדים שלישיים כלשהם. נתונים אלה ישמשו בפעולות הפנימיות שלנו עבור פונקציות או שירותים הקשורים לאתר או לאפליקציה שלנו.")</f>
        <v>אתר GPS Tools® ({{קישור}}) אינו לוכד או מאחסן באופן אוטומטי נתונים אישיים מהמבקרים באתר מלבד רישום כתובת ה-IP ושם המארח של המשתמש, ופרטי הפעלה כגון משך הביקור, הדפים שבהם ביקרו ואופי הדפדפן בו נעשה שימוש. מידע זה אינו מזהה אותך אישית; הוא משמש כדי לעזור לנו לאבחן בעיות עם שרת הנתונים שלנו, לניהול האתר שלנו, וכדי לאסוף נתונים סטטיסטיים על המבקרים שלנו והשימוש שלהם באתר. לדוגמה, אנו עשויים להשתמש בנתונים אלה כדי לעקוב באילו דפים המשתמשים שלנו מבקרים בתדירות הגבוהה ביותר, או כדי לקבוע באילו דפדפני אינטרנט משתמשים המבקרים שלנו.
כל מידע שייאסף דרך האתר או האפליקציה הסלולרית שלנו לא ישותפו לצדדים שלישיים כלשהם. נתונים אלה ישמשו בפעולות הפנימיות שלנו עבור פונקציות או שירותים הקשורים לאתר או לאפליקציה שלנו.</v>
      </c>
      <c r="AO120" s="4" t="str">
        <f>IFERROR(__xludf.DUMMYFUNCTION("GOOGLETRANSLATE(B120,""en"",""is"")"),"GPS Tools® vefsíða ({{hlekkur}}) fangar ekki sjálfkrafa eða geymir persónuleg gögn frá gestum síðunnar að öðru leyti en því að skrá IP-tölu notenda og hýsingarnafn, og upplýsingar um lotu eins og lengd heimsóknarinnar, heimsóttar síður og eðli vafrans sem"&amp;" notaður er. Þessar upplýsingar auðkenna þig ekki persónulega; það er notað til að hjálpa okkur að greina vandamál með gagnaþjóninn okkar, stjórna vefsíðunni okkar og safna saman tölfræði um gesti okkar og notkun þeirra á síðunni. Til dæmis gætum við nota"&amp;"ð þessi gögn til að rekja hvaða síður notendur okkar heimsækja oftast, eða til að ákvarða hvaða vafra gestir okkar nota.
Öllum gögnum sem er safnað í gegnum vefsíðu okkar eða farsímaforritið verður ekki deilt með þriðja aðila. Þessi gögn verða notuð í in"&amp;"nri starfsemi okkar fyrir vefsíðu okkar eða app tengda virkni eða þjónustu.")</f>
        <v>GPS Tools® vefsíða ({{hlekkur}}) fangar ekki sjálfkrafa eða geymir persónuleg gögn frá gestum síðunnar að öðru leyti en því að skrá IP-tölu notenda og hýsingarnafn, og upplýsingar um lotu eins og lengd heimsóknarinnar, heimsóttar síður og eðli vafrans sem notaður er. Þessar upplýsingar auðkenna þig ekki persónulega; það er notað til að hjálpa okkur að greina vandamál með gagnaþjóninn okkar, stjórna vefsíðunni okkar og safna saman tölfræði um gesti okkar og notkun þeirra á síðunni. Til dæmis gætum við notað þessi gögn til að rekja hvaða síður notendur okkar heimsækja oftast, eða til að ákvarða hvaða vafra gestir okkar nota.
Öllum gögnum sem er safnað í gegnum vefsíðu okkar eða farsímaforritið verður ekki deilt með þriðja aðila. Þessi gögn verða notuð í innri starfsemi okkar fyrir vefsíðu okkar eða app tengda virkni eða þjónustu.</v>
      </c>
      <c r="AP120" s="4" t="str">
        <f>IFERROR(__xludf.DUMMYFUNCTION("GOOGLETRANSLATE(B120,""en"",""no"")"),"GPS Tools®-nettstedet ({{link}}) fanger eller lagrer ikke automatisk personlige data fra besøkende på nettstedet annet enn å logge brukerens IP-adresse og vertsnavn, og øktdetaljer som varigheten av besøket, besøkte sider og typen nettleser som brukes. De"&amp;"nne informasjonen identifiserer deg ikke personlig; den brukes til å hjelpe oss med å diagnostisere problemer med dataserveren vår, for å administrere nettstedet vårt, og for å kompilere statistikk om våre besøkende og deres bruk av nettstedet. For eksemp"&amp;"el kan vi bruke disse dataene til å spore hvilke sider brukerne våre besøker oftest, eller for å finne ut hvilke nettlesere våre besøkende bruker.
Eventuelle data som samles inn gjennom vår nettside eller mobilapp vil ikke bli delt til noen tredjeparter."&amp;" Disse dataene vil bli brukt i vår interne drift for nettstedet eller apprelaterte funksjoner eller tjenester.")</f>
        <v>GPS Tools®-nettstedet ({{link}}) fanger eller lagrer ikke automatisk personlige data fra besøkende på nettstedet annet enn å logge brukerens IP-adresse og vertsnavn, og øktdetaljer som varigheten av besøket, besøkte sider og typen nettleser som brukes. Denne informasjonen identifiserer deg ikke personlig; den brukes til å hjelpe oss med å diagnostisere problemer med dataserveren vår, for å administrere nettstedet vårt, og for å kompilere statistikk om våre besøkende og deres bruk av nettstedet. For eksempel kan vi bruke disse dataene til å spore hvilke sider brukerne våre besøker oftest, eller for å finne ut hvilke nettlesere våre besøkende bruker.
Eventuelle data som samles inn gjennom vår nettside eller mobilapp vil ikke bli delt til noen tredjeparter. Disse dataene vil bli brukt i vår interne drift for nettstedet eller apprelaterte funksjoner eller tjenester.</v>
      </c>
      <c r="AQ120" s="4" t="str">
        <f>IFERROR(__xludf.DUMMYFUNCTION("GOOGLETRANSLATE(B120,""en"",""fa"")"),"وب‌سایت GPS Tools® ({{link}}) به‌جز ثبت آدرس IP کاربران و نام میزبان، و جزئیات جلسه مانند مدت زمان بازدید، صفحات بازدید شده و ماهیت مرورگر مورد استفاده، به‌طور خودکار اطلاعات شخصی بازدیدکنندگان سایت را ضبط یا ذخیره نمی‌کند. این اطلاعات شما را شناسایی نمی "&amp;"کند. برای کمک به ما در تشخیص مشکلات سرور داده، مدیریت وب سایت و جمع آوری آمار بازدیدکنندگان و استفاده آنها از سایت استفاده می شود. برای مثال، ممکن است از این داده‌ها برای ردیابی صفحاتی که کاربران ما اغلب بازدید می‌کنند یا برای تعیین اینکه بازدیدکنندگان ما"&amp;" از کدام مرورگرهای وب استفاده می‌کنند استفاده کنیم.
هر گونه داده ای که از طریق وب سایت یا برنامه تلفن همراه ما جمع آوری شود با هیچ شخص ثالثی به اشتراک گذاشته نخواهد شد. این داده‌ها در عملیات داخلی ما برای عملکردها یا خدمات مرتبط با وب‌سایت یا برنامه ما ا"&amp;"ستفاده می‌شوند.")</f>
        <v>وب‌سایت GPS Tools® ({{link}}) به‌جز ثبت آدرس IP کاربران و نام میزبان، و جزئیات جلسه مانند مدت زمان بازدید، صفحات بازدید شده و ماهیت مرورگر مورد استفاده، به‌طور خودکار اطلاعات شخصی بازدیدکنندگان سایت را ضبط یا ذخیره نمی‌کند. این اطلاعات شما را شناسایی نمی کند. برای کمک به ما در تشخیص مشکلات سرور داده، مدیریت وب سایت و جمع آوری آمار بازدیدکنندگان و استفاده آنها از سایت استفاده می شود. برای مثال، ممکن است از این داده‌ها برای ردیابی صفحاتی که کاربران ما اغلب بازدید می‌کنند یا برای تعیین اینکه بازدیدکنندگان ما از کدام مرورگرهای وب استفاده می‌کنند استفاده کنیم.
هر گونه داده ای که از طریق وب سایت یا برنامه تلفن همراه ما جمع آوری شود با هیچ شخص ثالثی به اشتراک گذاشته نخواهد شد. این داده‌ها در عملیات داخلی ما برای عملکردها یا خدمات مرتبط با وب‌سایت یا برنامه ما استفاده می‌شوند.</v>
      </c>
      <c r="AR120" s="4" t="str">
        <f>IFERROR(__xludf.DUMMYFUNCTION("GOOGLETRANSLATE(B120,""en"",""pl"")"),"Witryna internetowa GPS Tools® ({{link}}) nie przechwytuje ani nie przechowuje automatycznie danych osobowych odwiedzających witrynę, poza rejestrowaniem adresu IP i nazwy hosta użytkownika oraz szczegółów sesji, takich jak czas trwania wizyty, odwiedzane"&amp;" strony i rodzaj używanej przeglądarki. Informacje te nie identyfikują Cię osobiście; są wykorzystywane do diagnozowania problemów z naszym serwerem danych, administrowania naszą witryną i kompilowania statystyk dotyczących naszych odwiedzających i ich ko"&amp;"rzystania z witryny. Na przykład możemy używać tych danych do śledzenia, które strony nasi użytkownicy odwiedzają najczęściej lub do określania, z których przeglądarek internetowych korzystają nasi odwiedzający.
Wszelkie dane gromadzone za pośrednictwem "&amp;"naszej witryny lub aplikacji mobilnej nie będą udostępniane żadnym stronom trzecim. Dane te będą wykorzystywane w naszych wewnętrznych operacjach w związku z funkcjonalnościami lub usługami związanymi z naszą witryną lub aplikacją.")</f>
        <v>Witryna internetowa GPS Tools® ({{link}}) nie przechwytuje ani nie przechowuje automatycznie danych osobowych odwiedzających witrynę, poza rejestrowaniem adresu IP i nazwy hosta użytkownika oraz szczegółów sesji, takich jak czas trwania wizyty, odwiedzane strony i rodzaj używanej przeglądarki. Informacje te nie identyfikują Cię osobiście; są wykorzystywane do diagnozowania problemów z naszym serwerem danych, administrowania naszą witryną i kompilowania statystyk dotyczących naszych odwiedzających i ich korzystania z witryny. Na przykład możemy używać tych danych do śledzenia, które strony nasi użytkownicy odwiedzają najczęściej lub do określania, z których przeglądarek internetowych korzystają nasi odwiedzający.
Wszelkie dane gromadzone za pośrednictwem naszej witryny lub aplikacji mobilnej nie będą udostępniane żadnym stronom trzecim. Dane te będą wykorzystywane w naszych wewnętrznych operacjach w związku z funkcjonalnościami lub usługami związanymi z naszą witryną lub aplikacją.</v>
      </c>
      <c r="AS120" s="4" t="str">
        <f>IFERROR(__xludf.DUMMYFUNCTION("GOOGLETRANSLATE(B120,""en"",""sv"")"),"GPS Tools®-webbplatsen ({{link}}) fångar eller lagrar inte automatiskt personlig information från besökare på webbplatsen annat än för att logga användarens IP-adress och värdnamn, och sessionsdetaljer såsom besökets längd, besökta sidor och vilken typ av"&amp;" webbläsare som används. Denna information identifierar dig inte personligen; den används för att hjälpa oss att diagnostisera problem med vår dataserver, för att administrera vår webbplats och för att sammanställa statistik om våra besökare och deras anv"&amp;"ändning av webbplatsen. Till exempel kan vi använda denna data för att spåra vilka sidor våra användare besöker oftast, eller för att avgöra vilka webbläsare våra besökare använder.
All data som samlas in via vår webbplats eller mobilapp kommer inte att "&amp;"delas till någon tredje part. Dessa data kommer att användas i vår interna verksamhet för vår webbplats eller app-relaterade funktioner eller tjänster.")</f>
        <v>GPS Tools®-webbplatsen ({{link}}) fångar eller lagrar inte automatiskt personlig information från besökare på webbplatsen annat än för att logga användarens IP-adress och värdnamn, och sessionsdetaljer såsom besökets längd, besökta sidor och vilken typ av webbläsare som används. Denna information identifierar dig inte personligen; den används för att hjälpa oss att diagnostisera problem med vår dataserver, för att administrera vår webbplats och för att sammanställa statistik om våra besökare och deras användning av webbplatsen. Till exempel kan vi använda denna data för att spåra vilka sidor våra användare besöker oftast, eller för att avgöra vilka webbläsare våra besökare använder.
All data som samlas in via vår webbplats eller mobilapp kommer inte att delas till någon tredje part. Dessa data kommer att användas i vår interna verksamhet för vår webbplats eller app-relaterade funktioner eller tjänster.</v>
      </c>
      <c r="AT120" s="4" t="str">
        <f>IFERROR(__xludf.DUMMYFUNCTION("GOOGLETRANSLATE(B120,""en"",""uk"")"),"Веб-сайт GPS Tools® ({{link}}) не збирає та не зберігає автоматично особисті дані відвідувачів сайту, окрім реєстрації IP-адреси та імені хоста користувача, а також деталей сеансу, таких як тривалість відвідування, відвідані сторінки та характер використо"&amp;"вуваного браузера. Ця інформація не ідентифікує вашу особу; він використовується, щоб допомогти нам діагностувати проблеми з нашим сервером даних, адмініструвати наш веб-сайт і збирати статистичні дані про наших відвідувачів і використання ними сайту. Нап"&amp;"риклад, ми можемо використовувати ці дані, щоб відстежувати, які сторінки наші користувачі відвідують найчастіше, або щоб визначити, які веб-переглядачі використовують наші відвідувачі.
Будь-які дані, зібрані через наш веб-сайт або мобільний додаток, не "&amp;"будуть передані третім особам. Ці дані використовуватимуться в наших внутрішніх операціях для функцій або послуг, пов’язаних із нашим веб-сайтом або програмою.")</f>
        <v>Веб-сайт GPS Tools® ({{link}}) не збирає та не зберігає автоматично особисті дані відвідувачів сайту, окрім реєстрації IP-адреси та імені хоста користувача, а також деталей сеансу, таких як тривалість відвідування, відвідані сторінки та характер використовуваного браузера. Ця інформація не ідентифікує вашу особу; він використовується, щоб допомогти нам діагностувати проблеми з нашим сервером даних, адмініструвати наш веб-сайт і збирати статистичні дані про наших відвідувачів і використання ними сайту. Наприклад, ми можемо використовувати ці дані, щоб відстежувати, які сторінки наші користувачі відвідують найчастіше, або щоб визначити, які веб-переглядачі використовують наші відвідувачі.
Будь-які дані, зібрані через наш веб-сайт або мобільний додаток, не будуть передані третім особам. Ці дані використовуватимуться в наших внутрішніх операціях для функцій або послуг, пов’язаних із нашим веб-сайтом або програмою.</v>
      </c>
      <c r="AU120" s="4" t="str">
        <f>IFERROR(__xludf.DUMMYFUNCTION("GOOGLETRANSLATE(B120,""en"",""zu"")"),"Iwebhusayithi ye-GPS Tools® ({{link}}) ayithathi ngokuzenzakalelayo noma igcine idatha yomuntu siqu evela kubavakashi abaya kusayithi ngaphandle kokungena ikheli le-IP labasebenzisi negama lomethuleli, kanye nemininingwane yeseshini efana nobude besikhath"&amp;"i sokuvakasha, amakhasi avakashelwe kanye nesimo sesiphequluli esisetshenzisiwe. Lolu lwazi alukukhombi wena siqu; isetshenziselwa ukusisiza ukuthi sihlole izinkinga ngeseva yethu yedatha, ukuphatha iwebhusayithi yethu, kanye nokuhlanganisa izibalo mayela"&amp;"na nezivakashi zethu kanye nokusebenzisa kwazo isayithi. Isibonelo, singase sisebenzise le datha ukulandelela ukuthi yimaphi amakhasi abasebenzisi bethu abawavakashela kakhulu, noma ukuthola ukuthi yiziphi iziphequluli zewebhu ezisetshenziswa izivakashi z"&amp;"ethu.
Noma iyiphi idatha eqoqwe ngewebhusayithi yethu noma ngohlelo lokusebenza lweselula ngeke kwabelwane ngayo nanoma yiziphi izinkampani zangaphandle. Leyo datha izosetshenziswa ekusebenzeni kwethu kwangaphakathi kuwebhusayithi yethu noma imisebenzi e"&amp;"hlobene nohlelo lokusebenza noma amasevisi.")</f>
        <v>Iwebhusayithi ye-GPS Tools® ({{link}}) ayithathi ngokuzenzakalelayo noma igcine idatha yomuntu siqu evela kubavakashi abaya kusayithi ngaphandle kokungena ikheli le-IP labasebenzisi negama lomethuleli, kanye nemininingwane yeseshini efana nobude besikhathi sokuvakasha, amakhasi avakashelwe kanye nesimo sesiphequluli esisetshenzisiwe. Lolu lwazi alukukhombi wena siqu; isetshenziselwa ukusisiza ukuthi sihlole izinkinga ngeseva yethu yedatha, ukuphatha iwebhusayithi yethu, kanye nokuhlanganisa izibalo mayelana nezivakashi zethu kanye nokusebenzisa kwazo isayithi. Isibonelo, singase sisebenzise le datha ukulandelela ukuthi yimaphi amakhasi abasebenzisi bethu abawavakashela kakhulu, noma ukuthola ukuthi yiziphi iziphequluli zewebhu ezisetshenziswa izivakashi zethu.
Noma iyiphi idatha eqoqwe ngewebhusayithi yethu noma ngohlelo lokusebenza lweselula ngeke kwabelwane ngayo nanoma yiziphi izinkampani zangaphandle. Leyo datha izosetshenziswa ekusebenzeni kwethu kwangaphakathi kuwebhusayithi yethu noma imisebenzi ehlobene nohlelo lokusebenza noma amasevisi.</v>
      </c>
      <c r="AV120" s="4" t="str">
        <f>IFERROR(__xludf.DUMMYFUNCTION("GOOGLETRANSLATE(B120,""en"",""sr"")"),"Веб локација ГПС Тоолс® ({{линк}}) не снима аутоматски или складишти личне податке посетилаца сајта, осим за евидентирање ИП адресе корисника и имена хоста, као и детаље сесије као што су трајање посете, посећене странице и природа коришћеног претраживача"&amp;". Ове информације вас лично не идентификују; користи се да нам помогне да дијагностикујемо проблеме са нашим сервером података, да администрирамо нашу веб страницу и да прикупимо статистику о нашим посетиоцима и њиховом коришћењу сајта. На пример, можемо "&amp;"да користимо ове податке да бисмо пратили које странице наши корисници најчешће посећују или да бисмо утврдили које веб прегледаче наши посетиоци користе.
Сви подаци који се прикупљају преко наше веб странице или мобилне апликације неће се делити са трећ"&amp;"им лицима. Ти подаци ће се користити у нашим интерним операцијама за наше функционалности или услуге везане за нашу веб локацију или апликацију.")</f>
        <v>Веб локација ГПС Тоолс® ({{линк}}) не снима аутоматски или складишти личне податке посетилаца сајта, осим за евидентирање ИП адресе корисника и имена хоста, као и детаље сесије као што су трајање посете, посећене странице и природа коришћеног претраживача. Ове информације вас лично не идентификују; користи се да нам помогне да дијагностикујемо проблеме са нашим сервером података, да администрирамо нашу веб страницу и да прикупимо статистику о нашим посетиоцима и њиховом коришћењу сајта. На пример, можемо да користимо ове податке да бисмо пратили које странице наши корисници најчешће посећују или да бисмо утврдили које веб прегледаче наши посетиоци користе.
Сви подаци који се прикупљају преко наше веб странице или мобилне апликације неће се делити са трећим лицима. Ти подаци ће се користити у нашим интерним операцијама за наше функционалности или услуге везане за нашу веб локацију или апликацију.</v>
      </c>
    </row>
    <row r="121">
      <c r="A121" s="3" t="s">
        <v>277</v>
      </c>
      <c r="B121" s="3" t="s">
        <v>278</v>
      </c>
      <c r="C121" s="4" t="str">
        <f>IFERROR(__xludf.DUMMYFUNCTION("GOOGLETRANSLATE(B121,""en"",""ta"")"),"இருப்பிடத் தரவைப் பயன்படுத்துதல்")</f>
        <v>இருப்பிடத் தரவைப் பயன்படுத்துதல்</v>
      </c>
      <c r="D121" s="4" t="str">
        <f>IFERROR(__xludf.DUMMYFUNCTION("GOOGLETRANSLATE(B121,""en"",""hi"")"),"स्थान डेटा का उपयोग")</f>
        <v>स्थान डेटा का उपयोग</v>
      </c>
      <c r="E121" s="4" t="str">
        <f>IFERROR(__xludf.DUMMYFUNCTION("GOOGLETRANSLATE(B121,""en"",""id"")"),"Penggunaan Data Lokasi")</f>
        <v>Penggunaan Data Lokasi</v>
      </c>
      <c r="F121" s="4" t="str">
        <f>IFERROR(__xludf.DUMMYFUNCTION("GOOGLETRANSLATE(B121,""en"",""ms"")"),"Penggunaan Data Lokasi")</f>
        <v>Penggunaan Data Lokasi</v>
      </c>
      <c r="G121" s="4" t="str">
        <f>IFERROR(__xludf.DUMMYFUNCTION("GOOGLETRANSLATE(B121,""en"",""de"")"),"Verwendung von Standortdaten")</f>
        <v>Verwendung von Standortdaten</v>
      </c>
      <c r="H121" s="4" t="str">
        <f>IFERROR(__xludf.DUMMYFUNCTION("GOOGLETRANSLATE(B121,""en"",""es"")"),"Uso de datos de ubicación")</f>
        <v>Uso de datos de ubicación</v>
      </c>
      <c r="I121" s="4" t="str">
        <f>IFERROR(__xludf.DUMMYFUNCTION("GOOGLETRANSLATE(B121,""en"",""fr"")"),"Utilisation des données de localisation")</f>
        <v>Utilisation des données de localisation</v>
      </c>
      <c r="J121" s="4" t="str">
        <f>IFERROR(__xludf.DUMMYFUNCTION("GOOGLETRANSLATE(B121,""en"",""it"")"),"Utilizzo dei dati sulla posizione")</f>
        <v>Utilizzo dei dati sulla posizione</v>
      </c>
      <c r="K121" s="4" t="str">
        <f>IFERROR(__xludf.DUMMYFUNCTION("GOOGLETRANSLATE(B121,""en"",""pt"")"),"Uso de dados de localização")</f>
        <v>Uso de dados de localização</v>
      </c>
      <c r="L121" s="4" t="str">
        <f>IFERROR(__xludf.DUMMYFUNCTION("GOOGLETRANSLATE(B121,""en"",""ro"")"),"Utilizarea datelor de locație")</f>
        <v>Utilizarea datelor de locație</v>
      </c>
      <c r="M121" s="4" t="str">
        <f>IFERROR(__xludf.DUMMYFUNCTION("GOOGLETRANSLATE(B121,""en"",""vi"")"),"Sử dụng dữ liệu vị trí")</f>
        <v>Sử dụng dữ liệu vị trí</v>
      </c>
      <c r="N121" s="4" t="str">
        <f>IFERROR(__xludf.DUMMYFUNCTION("GOOGLETRANSLATE(B121,""en"",""ru"")"),"Использование данных о местоположении")</f>
        <v>Использование данных о местоположении</v>
      </c>
      <c r="O121" s="4" t="str">
        <f>IFERROR(__xludf.DUMMYFUNCTION("GOOGLETRANSLATE(B121,""en"",""tr"")"),"Konum Verilerinin Kullanımı")</f>
        <v>Konum Verilerinin Kullanımı</v>
      </c>
      <c r="P121" s="4" t="str">
        <f>IFERROR(__xludf.DUMMYFUNCTION("GOOGLETRANSLATE(B121,""en"",""ar"")"),"استخدام بيانات الموقع")</f>
        <v>استخدام بيانات الموقع</v>
      </c>
      <c r="Q121" s="4" t="str">
        <f>IFERROR(__xludf.DUMMYFUNCTION("GOOGLETRANSLATE(B121,""en"",""mr"")"),"स्थान डेटाचा वापर")</f>
        <v>स्थान डेटाचा वापर</v>
      </c>
      <c r="R121" s="4" t="str">
        <f>IFERROR(__xludf.DUMMYFUNCTION("GOOGLETRANSLATE(B121,""en"",""gu"")"),"સ્થાન ડેટાનો ઉપયોગ")</f>
        <v>સ્થાન ડેટાનો ઉપયોગ</v>
      </c>
      <c r="S121" s="4" t="str">
        <f>IFERROR(__xludf.DUMMYFUNCTION("GOOGLETRANSLATE(B121,""en"",""bn"")"),"অবস্থান তথ্য ব্যবহার")</f>
        <v>অবস্থান তথ্য ব্যবহার</v>
      </c>
      <c r="T121" s="4" t="str">
        <f>IFERROR(__xludf.DUMMYFUNCTION("GOOGLETRANSLATE(B121,""en"",""pa"")"),"ਸਥਾਨ ਡੇਟਾ ਦੀ ਵਰਤੋਂ")</f>
        <v>ਸਥਾਨ ਡੇਟਾ ਦੀ ਵਰਤੋਂ</v>
      </c>
      <c r="U121" s="4" t="str">
        <f>IFERROR(__xludf.DUMMYFUNCTION("GOOGLETRANSLATE(B121,""en"",""te"")"),"స్థాన డేటా ఉపయోగం")</f>
        <v>స్థాన డేటా ఉపయోగం</v>
      </c>
      <c r="V121" s="4" t="str">
        <f>IFERROR(__xludf.DUMMYFUNCTION("GOOGLETRANSLATE(B121,""en"",""kn"")"),"ಸ್ಥಳ ಡೇಟಾದ ಬಳಕೆ")</f>
        <v>ಸ್ಥಳ ಡೇಟಾದ ಬಳಕೆ</v>
      </c>
      <c r="W121" s="4" t="str">
        <f>IFERROR(__xludf.DUMMYFUNCTION("GOOGLETRANSLATE(B121,""en"",""ml"")"),"ലൊക്കേഷൻ ഡാറ്റയുടെ ഉപയോഗം")</f>
        <v>ലൊക്കേഷൻ ഡാറ്റയുടെ ഉപയോഗം</v>
      </c>
      <c r="X121" s="4" t="str">
        <f>IFERROR(__xludf.DUMMYFUNCTION("GOOGLETRANSLATE(B121,""en"",""th"")"),"การใช้ข้อมูลตำแหน่ง")</f>
        <v>การใช้ข้อมูลตำแหน่ง</v>
      </c>
      <c r="Y121" s="4" t="str">
        <f>IFERROR(__xludf.DUMMYFUNCTION("GOOGLETRANSLATE(B121,""en"",""ko"")"),"위치 데이터 사용")</f>
        <v>위치 데이터 사용</v>
      </c>
      <c r="Z121" s="4" t="str">
        <f>IFERROR(__xludf.DUMMYFUNCTION("GOOGLETRANSLATE(B121,""en"",""zh"")"),"位置数据的使用")</f>
        <v>位置数据的使用</v>
      </c>
      <c r="AA121" s="4" t="str">
        <f>IFERROR(__xludf.DUMMYFUNCTION("GOOGLETRANSLATE(B121,""en"",""zh-TW"")"),"位置資料的使用")</f>
        <v>位置資料的使用</v>
      </c>
      <c r="AB121" s="4" t="str">
        <f>IFERROR(__xludf.DUMMYFUNCTION("GOOGLETRANSLATE(B121,""en"",""ja"")"),"位置データの使用")</f>
        <v>位置データの使用</v>
      </c>
      <c r="AC121" s="4" t="str">
        <f>IFERROR(__xludf.DUMMYFUNCTION("GOOGLETRANSLATE(B121,""en"",""bg"")"),"Използване на данни за местоположение")</f>
        <v>Използване на данни за местоположение</v>
      </c>
      <c r="AD121" s="4" t="str">
        <f>IFERROR(__xludf.DUMMYFUNCTION("GOOGLETRANSLATE(B121,""en"",""cs"")"),"Použití údajů o poloze")</f>
        <v>Použití údajů o poloze</v>
      </c>
      <c r="AE121" s="4" t="str">
        <f>IFERROR(__xludf.DUMMYFUNCTION("GOOGLETRANSLATE(B121,""en"",""da"")"),"Brug af lokalitetsdata")</f>
        <v>Brug af lokalitetsdata</v>
      </c>
      <c r="AF121" s="4" t="str">
        <f>IFERROR(__xludf.DUMMYFUNCTION("GOOGLETRANSLATE(B121,""en"",""el"")"),"Χρήση Δεδομένων Τοποθεσίας")</f>
        <v>Χρήση Δεδομένων Τοποθεσίας</v>
      </c>
      <c r="AG121" s="4" t="str">
        <f>IFERROR(__xludf.DUMMYFUNCTION("GOOGLETRANSLATE(B121,""en"",""et"")"),"Asukohaandmete kasutamine")</f>
        <v>Asukohaandmete kasutamine</v>
      </c>
      <c r="AH121" s="4" t="str">
        <f>IFERROR(__xludf.DUMMYFUNCTION("GOOGLETRANSLATE(B121,""en"",""fi"")"),"Sijaintitietojen käyttö")</f>
        <v>Sijaintitietojen käyttö</v>
      </c>
      <c r="AI121" s="4" t="str">
        <f>IFERROR(__xludf.DUMMYFUNCTION("GOOGLETRANSLATE(B121,""en"",""hr"")"),"Korištenje podataka o lokaciji")</f>
        <v>Korištenje podataka o lokaciji</v>
      </c>
      <c r="AJ121" s="4" t="str">
        <f>IFERROR(__xludf.DUMMYFUNCTION("GOOGLETRANSLATE(B121,""en"",""hu"")"),"Helyadatok használata")</f>
        <v>Helyadatok használata</v>
      </c>
      <c r="AK121" s="4" t="str">
        <f>IFERROR(__xludf.DUMMYFUNCTION("GOOGLETRANSLATE(B121,""en"",""hy"")"),"Տեղադրության տվյալների օգտագործումը")</f>
        <v>Տեղադրության տվյալների օգտագործումը</v>
      </c>
      <c r="AL121" s="4" t="str">
        <f>IFERROR(__xludf.DUMMYFUNCTION("GOOGLETRANSLATE(B121,""en"",""ca"")"),"Ús de les dades d'ubicació")</f>
        <v>Ús de les dades d'ubicació</v>
      </c>
      <c r="AM121" s="4" t="str">
        <f>IFERROR(__xludf.DUMMYFUNCTION("GOOGLETRANSLATE(B121,""en"",""nl"")"),"Gebruik van locatiegegevens")</f>
        <v>Gebruik van locatiegegevens</v>
      </c>
      <c r="AN121" s="4" t="str">
        <f>IFERROR(__xludf.DUMMYFUNCTION("GOOGLETRANSLATE(B121,""en"",""he"")"),"שימוש בנתוני מיקום")</f>
        <v>שימוש בנתוני מיקום</v>
      </c>
      <c r="AO121" s="4" t="str">
        <f>IFERROR(__xludf.DUMMYFUNCTION("GOOGLETRANSLATE(B121,""en"",""is"")"),"Notkun staðsetningargagna")</f>
        <v>Notkun staðsetningargagna</v>
      </c>
      <c r="AP121" s="4" t="str">
        <f>IFERROR(__xludf.DUMMYFUNCTION("GOOGLETRANSLATE(B121,""en"",""no"")"),"Bruk av stedsdata")</f>
        <v>Bruk av stedsdata</v>
      </c>
      <c r="AQ121" s="4" t="str">
        <f>IFERROR(__xludf.DUMMYFUNCTION("GOOGLETRANSLATE(B121,""en"",""fa"")"),"استفاده از داده های موقعیت مکانی")</f>
        <v>استفاده از داده های موقعیت مکانی</v>
      </c>
      <c r="AR121" s="4" t="str">
        <f>IFERROR(__xludf.DUMMYFUNCTION("GOOGLETRANSLATE(B121,""en"",""pl"")"),"Wykorzystanie danych o lokalizacji")</f>
        <v>Wykorzystanie danych o lokalizacji</v>
      </c>
      <c r="AS121" s="4" t="str">
        <f>IFERROR(__xludf.DUMMYFUNCTION("GOOGLETRANSLATE(B121,""en"",""sv"")"),"Användning av platsdata")</f>
        <v>Användning av platsdata</v>
      </c>
      <c r="AT121" s="4" t="str">
        <f>IFERROR(__xludf.DUMMYFUNCTION("GOOGLETRANSLATE(B121,""en"",""uk"")"),"Використання даних про місцезнаходження")</f>
        <v>Використання даних про місцезнаходження</v>
      </c>
      <c r="AU121" s="4" t="str">
        <f>IFERROR(__xludf.DUMMYFUNCTION("GOOGLETRANSLATE(B121,""en"",""zu"")"),"Ukusetshenziswa Kwedatha Yendawo")</f>
        <v>Ukusetshenziswa Kwedatha Yendawo</v>
      </c>
      <c r="AV121" s="4" t="str">
        <f>IFERROR(__xludf.DUMMYFUNCTION("GOOGLETRANSLATE(B121,""en"",""sr"")"),"Коришћење података о локацији")</f>
        <v>Коришћење података о локацији</v>
      </c>
    </row>
    <row r="122">
      <c r="A122" s="3" t="s">
        <v>279</v>
      </c>
      <c r="B122" s="3" t="s">
        <v>280</v>
      </c>
      <c r="C122" s="4" t="str">
        <f>IFERROR(__xludf.DUMMYFUNCTION("GOOGLETRANSLATE(B122,""en"",""ta"")"),"எங்களின் இலவச மொபைல் ஜிபிஎஸ் பயன்பாடுகளை நீங்கள் பயன்படுத்தும்போது, ​​நீங்கள் இருக்கும் நகரத்தைத் தீர்மானிப்பதற்கும், இருப்பிட வரைபடத்தைக் காண்பிப்பதற்கும், உங்கள் தற்போதைய இருப்பிடத்தைத் தீர்மானிக்க, ஜிபிஎஸ் தொழில்நுட்பத்தை (அல்லது இதேபோன்ற பிற தொழில்நுட"&amp;"்பம்) நாங்கள் பயன்படுத்தலாம். உங்கள் அனுமதியின்றி உங்கள் தற்போதைய இருப்பிடம் அல்லது வேறு எந்த இருப்பிடத் தரவையும் பிற பயனர்கள் அல்லது கூட்டாளர்களுடன் நாங்கள் பகிர மாட்டோம்.
GPS Tools® பயன்பாடானது GPS அடிப்படையிலான பயன்பாடாகும், மேலும் இது உங்கள் இருப்பிட"&amp;"த்தை {{while_using}} அல்லது {{all_time}} (பின்னணியிலும் கூட) பயன்படுத்தும் பல கருவிகள்/பயன்பாடுகளைக் கொண்டுள்ளது.
பின்வரும் கருவிகள் அல்லது நோக்கங்களுக்காக இது உங்கள் இருப்பிடத்தை {{while_using}} பயன்படுத்துகிறது:
- பயண வேகத்தைக் காட்டு (ஸ்பீடோமீட்டர்)
-"&amp;" நீங்கள் இருக்கும் இடத்தில் வானிலை மற்றும் முன்னறிவிப்பைக் காட்டு
- தற்போதைய இடம் மற்றும் முகவரியைக் காட்டு
- நீங்கள் இருக்கும் இடத்தில் காற்றின் தரம் மற்றும் uv குறியீட்டைக் காட்டு
- திசைகாட்டியில் திசையைக் காட்டு
- நீங்கள் இருக்கும் இடத்தில் செயற்கைக்கோ"&amp;"ள் சமிக்ஞையைக் காட்டு
- வானிலை வரைபடத்தைக் காட்டு
பின்வரும் கருவிகள் அல்லது நோக்கங்களுக்காக இது உங்கள் இருப்பிடத்தை {{all_time}} (பயன்பாடு மூடப்பட்டிருந்தாலும் அல்லது பயன்பாட்டில் இல்லாவிட்டாலும்) பயன்படுத்துகிறது:
- ஜிபிஎஸ் அலாரத்தைத் தூண்டுவதற்கு (ஜிபி"&amp;"எஸ் அலாரம்)
- உங்கள் சாதனத்தின் இருப்பிடத்தைப் பதிவு செய்ய (கண்காணித்து சாதனத்தைக் கண்டுபிடி)
- நீங்கள் பயணித்த பாதையைக் காட்ட (ட்ரெக்கிங் ப்ரோ)
ஓட்டும் பாதை மற்றும் பிற இடங்கள் தொடர்பான தகவல்களைப் பெற, நாங்கள் Google API சேவைகளைப் பயன்படுத்துகிறோம். அவர"&amp;"்களின் கொள்கைகள் பற்றிய கூடுதல் தகவலுக்கு, நீங்கள் {{google_privacy}} ஐப் பார்வையிடலாம்.")</f>
        <v>எங்களின் இலவச மொபைல் ஜிபிஎஸ் பயன்பாடுகளை நீங்கள் பயன்படுத்தும்போது, ​​நீங்கள் இருக்கும் நகரத்தைத் தீர்மானிப்பதற்கும், இருப்பிட வரைபடத்தைக் காண்பிப்பதற்கும், உங்கள் தற்போதைய இருப்பிடத்தைத் தீர்மானிக்க, ஜிபிஎஸ் தொழில்நுட்பத்தை (அல்லது இதேபோன்ற பிற தொழில்நுட்பம்) நாங்கள் பயன்படுத்தலாம். உங்கள் அனுமதியின்றி உங்கள் தற்போதைய இருப்பிடம் அல்லது வேறு எந்த இருப்பிடத் தரவையும் பிற பயனர்கள் அல்லது கூட்டாளர்களுடன் நாங்கள் பகிர மாட்டோம்.
GPS Tools® பயன்பாடானது GPS அடிப்படையிலான பயன்பாடாகும், மேலும் இது உங்கள் இருப்பிடத்தை {{while_using}} அல்லது {{all_time}} (பின்னணியிலும் கூட) பயன்படுத்தும் பல கருவிகள்/பயன்பாடுகளைக் கொண்டுள்ளது.
பின்வரும் கருவிகள் அல்லது நோக்கங்களுக்காக இது உங்கள் இருப்பிடத்தை {{while_using}} பயன்படுத்துகிறது:
- பயண வேகத்தைக் காட்டு (ஸ்பீடோமீட்டர்)
- நீங்கள் இருக்கும் இடத்தில் வானிலை மற்றும் முன்னறிவிப்பைக் காட்டு
- தற்போதைய இடம் மற்றும் முகவரியைக் காட்டு
- நீங்கள் இருக்கும் இடத்தில் காற்றின் தரம் மற்றும் uv குறியீட்டைக் காட்டு
- திசைகாட்டியில் திசையைக் காட்டு
- நீங்கள் இருக்கும் இடத்தில் செயற்கைக்கோள் சமிக்ஞையைக் காட்டு
- வானிலை வரைபடத்தைக் காட்டு
பின்வரும் கருவிகள் அல்லது நோக்கங்களுக்காக இது உங்கள் இருப்பிடத்தை {{all_time}} (பயன்பாடு மூடப்பட்டிருந்தாலும் அல்லது பயன்பாட்டில் இல்லாவிட்டாலும்) பயன்படுத்துகிறது:
- ஜிபிஎஸ் அலாரத்தைத் தூண்டுவதற்கு (ஜிபிஎஸ் அலாரம்)
- உங்கள் சாதனத்தின் இருப்பிடத்தைப் பதிவு செய்ய (கண்காணித்து சாதனத்தைக் கண்டுபிடி)
- நீங்கள் பயணித்த பாதையைக் காட்ட (ட்ரெக்கிங் ப்ரோ)
ஓட்டும் பாதை மற்றும் பிற இடங்கள் தொடர்பான தகவல்களைப் பெற, நாங்கள் Google API சேவைகளைப் பயன்படுத்துகிறோம். அவர்களின் கொள்கைகள் பற்றிய கூடுதல் தகவலுக்கு, நீங்கள் {{google_privacy}} ஐப் பார்வையிடலாம்.</v>
      </c>
      <c r="D122" s="4" t="str">
        <f>IFERROR(__xludf.DUMMYFUNCTION("GOOGLETRANSLATE(B122,""en"",""hi"")"),"जब आप हमारे निःशुल्क मोबाइल GPS एप्लिकेशन का उपयोग करते हैं, तो हम आपके वर्तमान स्थान को निर्धारित करने के लिए GPS तकनीक (या अन्य समान तकनीक) का उपयोग कर सकते हैं ताकि आप जिस शहर में स्थित हैं उसे निर्धारित किया जा सके और एक स्थान मानचित्र प्रदर्शित किया "&amp;"जा सके। हम आपकी अनुमति के बिना आपके वर्तमान स्थान या किसी अन्य स्थान डेटा को अन्य उपयोगकर्ताओं या भागीदारों के साथ साझा नहीं करेंगे।
चूँकि GPS Tools® ऐप एक GPS आधारित एप्लिकेशन है और इसमें कई उपकरण/उपयोगिताएँ हैं जो आपके स्थान का {{while_using}} या {{all"&amp;"_time}} (यहाँ तक कि पृष्ठभूमि में भी) उपयोग करते हैं।
यह आपके स्थान का उपयोग {{जबकि_उपयोग}} निम्न उपकरणों या उद्देश्यों के लिए करता है:
- यात्रा की गति दिखाना (स्पीडोमीटर)
- आप जहां हैं वहां मौसम और पूर्वानुमान दिखाना
- वर्तमान स्थान और पता दिखाना
- आप ज"&amp;"हां हैं वहां वायु गुणवत्ता और यूवी इंडेक्स दिखाना
- कम्पास में दिशा दिखाना
- आप जहां हैं वहां उपग्रह संकेत दिखाना
- मौसम का नक्शा दिखाना
यह आपके स्थान का उपयोग {{सभी_समय}} (यहां तक ​​कि जब ऐप बंद हो या उपयोग में न हो) निम्न उपकरणों या उद्देश्यों के लिए क"&amp;"रता है:
- GPS अलार्म ट्रिगर करने के लिए (GPS अलार्म)
- आपके डिवाइस का स्थान लॉग करने के लिए (ट्रैक और डिवाइस ढूँढें)
- आपके द्वारा यात्रा किए गए मार्ग को दिखाने के लिए (ट्रेकिंग प्रो)
ड्राइविंग मार्ग और अन्य स्थानों से संबंधित जानकारी प्राप्त करने के लिए"&amp;", हम Google API सेवाओं का उपयोग कर रहे हैं। उनकी नीतियों के बारे में अधिक जानकारी के लिए, आप {{google_privacy}} पर जा सकते हैं।")</f>
        <v>जब आप हमारे निःशुल्क मोबाइल GPS एप्लिकेशन का उपयोग करते हैं, तो हम आपके वर्तमान स्थान को निर्धारित करने के लिए GPS तकनीक (या अन्य समान तकनीक) का उपयोग कर सकते हैं ताकि आप जिस शहर में स्थित हैं उसे निर्धारित किया जा सके और एक स्थान मानचित्र प्रदर्शित किया जा सके। हम आपकी अनुमति के बिना आपके वर्तमान स्थान या किसी अन्य स्थान डेटा को अन्य उपयोगकर्ताओं या भागीदारों के साथ साझा नहीं करेंगे।
चूँकि GPS Tools® ऐप एक GPS आधारित एप्लिकेशन है और इसमें कई उपकरण/उपयोगिताएँ हैं जो आपके स्थान का {{while_using}} या {{all_time}} (यहाँ तक कि पृष्ठभूमि में भी) उपयोग करते हैं।
यह आपके स्थान का उपयोग {{जबकि_उपयोग}} निम्न उपकरणों या उद्देश्यों के लिए करता है:
- यात्रा की गति दिखाना (स्पीडोमीटर)
- आप जहां हैं वहां मौसम और पूर्वानुमान दिखाना
- वर्तमान स्थान और पता दिखाना
- आप जहां हैं वहां वायु गुणवत्ता और यूवी इंडेक्स दिखाना
- कम्पास में दिशा दिखाना
- आप जहां हैं वहां उपग्रह संकेत दिखाना
- मौसम का नक्शा दिखाना
यह आपके स्थान का उपयोग {{सभी_समय}} (यहां तक ​​कि जब ऐप बंद हो या उपयोग में न हो) निम्न उपकरणों या उद्देश्यों के लिए करता है:
- GPS अलार्म ट्रिगर करने के लिए (GPS अलार्म)
- आपके डिवाइस का स्थान लॉग करने के लिए (ट्रैक और डिवाइस ढूँढें)
- आपके द्वारा यात्रा किए गए मार्ग को दिखाने के लिए (ट्रेकिंग प्रो)
ड्राइविंग मार्ग और अन्य स्थानों से संबंधित जानकारी प्राप्त करने के लिए, हम Google API सेवाओं का उपयोग कर रहे हैं। उनकी नीतियों के बारे में अधिक जानकारी के लिए, आप {{google_privacy}} पर जा सकते हैं।</v>
      </c>
      <c r="E122" s="4" t="str">
        <f>IFERROR(__xludf.DUMMYFUNCTION("GOOGLETRANSLATE(B122,""en"",""id"")"),"Saat Anda menggunakan aplikasi GPS seluler gratis kami, kami dapat menggunakan teknologi GPS (atau teknologi serupa lainnya) untuk menentukan lokasi Anda saat ini guna menentukan kota tempat Anda berada dan menampilkan peta lokasi. Kami tidak akan membagi"&amp;"kan lokasi Anda saat ini atau data lokasi lainnya dengan pengguna atau mitra lain tanpa izin Anda.
Karena aplikasi GPS Tools® adalah aplikasi berbasis GPS dan berisi banyak alat/utilitas yang menggunakan lokasi Anda {{while_using}} atau {{all_time}} (bah"&amp;"kan di latar belakang juga).
Aplikasi ini menggunakan lokasi Anda {{while_using}} untuk alat atau tujuan berikut:
- menunjukkan kecepatan perjalanan (Speedometer)
- menunjukkan cuaca dan prakiraan cuaca di tempat Anda berada
- menunjukkan lokasi dan alam"&amp;"at saat ini
- menunjukkan kualitas udara dan indeks uv di tempat Anda berada
- menunjukkan arah kompas
- menunjukkan sinyal satelit di tempat Anda berada
- menunjukkan peta cuaca
Aplikasi ini menggunakan lokasi Anda {{all_time}} (bahkan saat aplikasi dit"&amp;"utup atau tidak digunakan) untuk alat atau tujuan berikut:
- untuk memicu Alarm GPS (Alarm GPS)
- untuk mencatat lokasi perangkat Anda (Track &amp; Find Device)
- untuk menunjukkan jalur yang Anda lalui (Trekking Pro)
Untuk mendapatkan rute berkendara dan in"&amp;"formasi terkait tempat lain, kami menggunakan layanan Google API. Untuk informasi lebih lanjut tentang kebijakan mereka, Anda dapat mengunjungi {{google_privacy}}.")</f>
        <v>Saat Anda menggunakan aplikasi GPS seluler gratis kami, kami dapat menggunakan teknologi GPS (atau teknologi serupa lainnya) untuk menentukan lokasi Anda saat ini guna menentukan kota tempat Anda berada dan menampilkan peta lokasi. Kami tidak akan membagikan lokasi Anda saat ini atau data lokasi lainnya dengan pengguna atau mitra lain tanpa izin Anda.
Karena aplikasi GPS Tools® adalah aplikasi berbasis GPS dan berisi banyak alat/utilitas yang menggunakan lokasi Anda {{while_using}} atau {{all_time}} (bahkan di latar belakang juga).
Aplikasi ini menggunakan lokasi Anda {{while_using}} untuk alat atau tujuan berikut:
- menunjukkan kecepatan perjalanan (Speedometer)
- menunjukkan cuaca dan prakiraan cuaca di tempat Anda berada
- menunjukkan lokasi dan alamat saat ini
- menunjukkan kualitas udara dan indeks uv di tempat Anda berada
- menunjukkan arah kompas
- menunjukkan sinyal satelit di tempat Anda berada
- menunjukkan peta cuaca
Aplikasi ini menggunakan lokasi Anda {{all_time}} (bahkan saat aplikasi ditutup atau tidak digunakan) untuk alat atau tujuan berikut:
- untuk memicu Alarm GPS (Alarm GPS)
- untuk mencatat lokasi perangkat Anda (Track &amp; Find Device)
- untuk menunjukkan jalur yang Anda lalui (Trekking Pro)
Untuk mendapatkan rute berkendara dan informasi terkait tempat lain, kami menggunakan layanan Google API. Untuk informasi lebih lanjut tentang kebijakan mereka, Anda dapat mengunjungi {{google_privacy}}.</v>
      </c>
      <c r="F122" s="4" t="str">
        <f>IFERROR(__xludf.DUMMYFUNCTION("GOOGLETRANSLATE(B122,""en"",""ms"")"),"Apabila anda menggunakan aplikasi GPS mudah alih percuma kami, kami mungkin menggunakan teknologi GPS (atau teknologi lain yang serupa) untuk menentukan lokasi semasa anda untuk menentukan bandar anda berada di dalamnya dan memaparkan peta lokasi. Kami ti"&amp;"dak akan berkongsi lokasi semasa anda atau mana-mana data lokasi lain dengan pengguna atau rakan kongsi lain tanpa kebenaran anda.
Memandangkan apl GPS Tools® ialah aplikasi berasaskan GPS dan ia mengandungi banyak alatan/utiliti yang menggunakan lokasi "&amp;"anda {{while_using}} atau {{all_time}} (walaupun di latar belakang juga).
Ia menggunakan lokasi anda {{while_using}} untuk alatan atau tujuan berikut:
- tunjukkan kelajuan perjalanan (Speedometer)
- tunjukkan cuaca dan ramalan di tempat anda berada
- tun"&amp;"jukkan lokasi dan alamat semasa
- tunjukkan kualiti udara dan indeks uv di tempat anda berada
- tunjukkan arah dalam kompas
- tunjukkan isyarat satelit di tempat anda berada
- tunjukkan peta cuaca
Ia menggunakan lokasi anda {{all_time}} (walaupun semasa "&amp;"apl ditutup atau tidak digunakan) untuk alatan atau tujuan berikut:
- untuk mencetuskan Penggera GPS (Penggera GPS)
- untuk log lokasi peranti anda (Jejak &amp; Cari Peranti)
- untuk menunjukkan laluan yang anda lalui (Trekking Pro)
Untuk mendapatkan makluma"&amp;"t berkaitan laluan pemanduan dan tempat lain, kami menggunakan perkhidmatan API Google. Untuk mendapatkan maklumat lanjut tentang dasar mereka, anda boleh melawati {{google_privacy}}.")</f>
        <v>Apabila anda menggunakan aplikasi GPS mudah alih percuma kami, kami mungkin menggunakan teknologi GPS (atau teknologi lain yang serupa) untuk menentukan lokasi semasa anda untuk menentukan bandar anda berada di dalamnya dan memaparkan peta lokasi. Kami tidak akan berkongsi lokasi semasa anda atau mana-mana data lokasi lain dengan pengguna atau rakan kongsi lain tanpa kebenaran anda.
Memandangkan apl GPS Tools® ialah aplikasi berasaskan GPS dan ia mengandungi banyak alatan/utiliti yang menggunakan lokasi anda {{while_using}} atau {{all_time}} (walaupun di latar belakang juga).
Ia menggunakan lokasi anda {{while_using}} untuk alatan atau tujuan berikut:
- tunjukkan kelajuan perjalanan (Speedometer)
- tunjukkan cuaca dan ramalan di tempat anda berada
- tunjukkan lokasi dan alamat semasa
- tunjukkan kualiti udara dan indeks uv di tempat anda berada
- tunjukkan arah dalam kompas
- tunjukkan isyarat satelit di tempat anda berada
- tunjukkan peta cuaca
Ia menggunakan lokasi anda {{all_time}} (walaupun semasa apl ditutup atau tidak digunakan) untuk alatan atau tujuan berikut:
- untuk mencetuskan Penggera GPS (Penggera GPS)
- untuk log lokasi peranti anda (Jejak &amp; Cari Peranti)
- untuk menunjukkan laluan yang anda lalui (Trekking Pro)
Untuk mendapatkan maklumat berkaitan laluan pemanduan dan tempat lain, kami menggunakan perkhidmatan API Google. Untuk mendapatkan maklumat lanjut tentang dasar mereka, anda boleh melawati {{google_privacy}}.</v>
      </c>
      <c r="G122" s="4" t="str">
        <f>IFERROR(__xludf.DUMMYFUNCTION("GOOGLETRANSLATE(B122,""en"",""de"")"),"Wenn Sie unsere kostenlosen mobilen GPS-Anwendungen nutzen, können wir Ihren aktuellen Standort mithilfe von GPS-Technologie (oder ähnlichen Technologien) bestimmen, um die Stadt zu ermitteln, in der Sie sich befinden, und Ihnen eine Standortkarte anzeige"&amp;"n. Wir geben Ihren aktuellen Standort oder andere Standortdaten nicht ohne Ihre Zustimmung an andere Nutzer oder Partner weiter.
Die GPS Tools® App ist eine GPS-basierte Anwendung und enthält zahlreiche Tools/Dienstprogramme, die Ihren Standort {{while_u"&amp;"sing}} oder {{all_time}} (auch im Hintergrund) verwenden.
Die App nutzt Ihren Standort {{while_using}} für folgende Zwecke:
– Anzeige der Fahrgeschwindigkeit (Tachometer)
– Anzeige von Wetter und Wettervorhersage für Ihren Standort
– Anzeige des aktuelle"&amp;"n Standorts und der Adresse
– Anzeige der Luftqualität und des UV-Index für Ihren Standort
– Anzeige der Kompassrichtung
– Anzeige des Satellitensignals für Ihren Standort
– Anzeige der Wetterkarte
Ihr Standort wird {{all_time}} (auch wenn die App geschl"&amp;"ossen oder nicht verwendet wird) für folgende Zwecke genutzt:
– Auslösen eines GPS-Alarms (GPS-Alarm)
– Protokollieren des Gerätestandorts (Gerät verfolgen und finden)
– Anzeigen Ihrer zurückgelegten Route (Trekking Pro)
Um Ihre Fahrroute und andere orts"&amp;"bezogene Informationen abzurufen, nutzen wir die Google API. Weitere Informationen zu deren Richtlinien finden Sie unter {{google_privacy}}.")</f>
        <v>Wenn Sie unsere kostenlosen mobilen GPS-Anwendungen nutzen, können wir Ihren aktuellen Standort mithilfe von GPS-Technologie (oder ähnlichen Technologien) bestimmen, um die Stadt zu ermitteln, in der Sie sich befinden, und Ihnen eine Standortkarte anzeigen. Wir geben Ihren aktuellen Standort oder andere Standortdaten nicht ohne Ihre Zustimmung an andere Nutzer oder Partner weiter.
Die GPS Tools® App ist eine GPS-basierte Anwendung und enthält zahlreiche Tools/Dienstprogramme, die Ihren Standort {{while_using}} oder {{all_time}} (auch im Hintergrund) verwenden.
Die App nutzt Ihren Standort {{while_using}} für folgende Zwecke:
– Anzeige der Fahrgeschwindigkeit (Tachometer)
– Anzeige von Wetter und Wettervorhersage für Ihren Standort
– Anzeige des aktuellen Standorts und der Adresse
– Anzeige der Luftqualität und des UV-Index für Ihren Standort
– Anzeige der Kompassrichtung
– Anzeige des Satellitensignals für Ihren Standort
– Anzeige der Wetterkarte
Ihr Standort wird {{all_time}} (auch wenn die App geschlossen oder nicht verwendet wird) für folgende Zwecke genutzt:
– Auslösen eines GPS-Alarms (GPS-Alarm)
– Protokollieren des Gerätestandorts (Gerät verfolgen und finden)
– Anzeigen Ihrer zurückgelegten Route (Trekking Pro)
Um Ihre Fahrroute und andere ortsbezogene Informationen abzurufen, nutzen wir die Google API. Weitere Informationen zu deren Richtlinien finden Sie unter {{google_privacy}}.</v>
      </c>
      <c r="H122" s="4" t="str">
        <f>IFERROR(__xludf.DUMMYFUNCTION("GOOGLETRANSLATE(B122,""en"",""es"")"),"Al usar nuestras aplicaciones gratuitas de GPS para móviles, podemos usar tecnología GPS (u otra tecnología similar) para determinar su ubicación actual, determinar su ciudad y mostrar un mapa de ubicación. No compartiremos su ubicación actual ni ningún o"&amp;"tro dato de ubicación con otros usuarios o socios sin su permiso.
La aplicación GPS Tools® es una aplicación basada en GPS y contiene numerosas herramientas/utilidades que utilizan su ubicación {{while_using}} o {{all_time}} (incluso en segundo plano).
"&amp;"Utiliza tu ubicación {{while_using}} para las siguientes herramientas o fines:
- Mostrar la velocidad de viaje (Velocímetro)
- Mostrar el tiempo y el pronóstico del tiempo en tu ubicación
- Mostrar la ubicación y dirección actuales
- Mostrar la calidad de"&amp;"l aire y el índice UV en tu ubicación
- Mostrar la dirección en la brújula
- Mostrar la señal del satélite en tu ubicación
- Mostrar el mapa del tiempo
Utiliza tu ubicación {{all_time}} (incluso cuando la aplicación está cerrada o no se usa) para las sig"&amp;"uientes herramientas o fines:
- Activar la alarma GPS (Alarma GPS)
- Registrar la ubicación de tu dispositivo (Rastrear y encontrar dispositivo)
- Mostrar la ruta recorrida (Trekking Pro)
Para obtener información sobre rutas de conducción y otros lugares"&amp;", utilizamos los servicios de la API de Google. Para obtener más información sobre sus políticas, puedes visitar {{google_privacy}}.")</f>
        <v>Al usar nuestras aplicaciones gratuitas de GPS para móviles, podemos usar tecnología GPS (u otra tecnología similar) para determinar su ubicación actual, determinar su ciudad y mostrar un mapa de ubicación. No compartiremos su ubicación actual ni ningún otro dato de ubicación con otros usuarios o socios sin su permiso.
La aplicación GPS Tools® es una aplicación basada en GPS y contiene numerosas herramientas/utilidades que utilizan su ubicación {{while_using}} o {{all_time}} (incluso en segundo plano).
Utiliza tu ubicación {{while_using}} para las siguientes herramientas o fines:
- Mostrar la velocidad de viaje (Velocímetro)
- Mostrar el tiempo y el pronóstico del tiempo en tu ubicación
- Mostrar la ubicación y dirección actuales
- Mostrar la calidad del aire y el índice UV en tu ubicación
- Mostrar la dirección en la brújula
- Mostrar la señal del satélite en tu ubicación
- Mostrar el mapa del tiempo
Utiliza tu ubicación {{all_time}} (incluso cuando la aplicación está cerrada o no se usa) para las siguientes herramientas o fines:
- Activar la alarma GPS (Alarma GPS)
- Registrar la ubicación de tu dispositivo (Rastrear y encontrar dispositivo)
- Mostrar la ruta recorrida (Trekking Pro)
Para obtener información sobre rutas de conducción y otros lugares, utilizamos los servicios de la API de Google. Para obtener más información sobre sus políticas, puedes visitar {{google_privacy}}.</v>
      </c>
      <c r="I122" s="4" t="str">
        <f>IFERROR(__xludf.DUMMYFUNCTION("GOOGLETRANSLATE(B122,""en"",""fr"")"),"Lorsque vous utilisez nos applications GPS mobiles gratuites, nous pouvons utiliser la technologie GPS (ou une technologie similaire) pour déterminer votre position actuelle afin de déterminer la ville dans laquelle vous vous trouvez et d'afficher une car"&amp;"te. Nous ne partagerons pas votre position actuelle ni aucune autre donnée de localisation avec d'autres utilisateurs ou partenaires sans votre autorisation.
L'application GPS Tools® est une application GPS et contient de nombreux outils/utilitaires qui "&amp;"utilisent votre position {{while_using}} ou {{all_time}} (même en arrière-plan).
L'application utilise votre position {{while_using}} pour les outils et fins suivants :
- Afficher la vitesse de déplacement (compteur de vitesse)
- Afficher la météo et les"&amp;" prévisions pour votre position actuelle
- Afficher la position et l'adresse actuelles
- Afficher la qualité de l'air et l'indice UV pour votre position actuelle
- Afficher la direction à l'aide de la boussole
- Afficher le signal satellite pour votre pos"&amp;"ition actuelle
- Afficher la carte météo
L'application utilise votre position {{all_time}} (même lorsque l'application est fermée ou inutilisée) pour les outils et fins suivants :
- Déclencher l'alarme GPS (alarme GPS)
- Enregistrer la position de votre "&amp;"appareil (appareil de localisation)
- Afficher le chemin parcouru (Trekking Pro)
Pour obtenir des informations sur les itinéraires et autres lieux, nous utilisons les services API de Google. Pour plus d'informations sur leurs politiques, consultez la pag"&amp;"e {{google_privacy}}.")</f>
        <v>Lorsque vous utilisez nos applications GPS mobiles gratuites, nous pouvons utiliser la technologie GPS (ou une technologie similaire) pour déterminer votre position actuelle afin de déterminer la ville dans laquelle vous vous trouvez et d'afficher une carte. Nous ne partagerons pas votre position actuelle ni aucune autre donnée de localisation avec d'autres utilisateurs ou partenaires sans votre autorisation.
L'application GPS Tools® est une application GPS et contient de nombreux outils/utilitaires qui utilisent votre position {{while_using}} ou {{all_time}} (même en arrière-plan).
L'application utilise votre position {{while_using}} pour les outils et fins suivants :
- Afficher la vitesse de déplacement (compteur de vitesse)
- Afficher la météo et les prévisions pour votre position actuelle
- Afficher la position et l'adresse actuelles
- Afficher la qualité de l'air et l'indice UV pour votre position actuelle
- Afficher la direction à l'aide de la boussole
- Afficher le signal satellite pour votre position actuelle
- Afficher la carte météo
L'application utilise votre position {{all_time}} (même lorsque l'application est fermée ou inutilisée) pour les outils et fins suivants :
- Déclencher l'alarme GPS (alarme GPS)
- Enregistrer la position de votre appareil (appareil de localisation)
- Afficher le chemin parcouru (Trekking Pro)
Pour obtenir des informations sur les itinéraires et autres lieux, nous utilisons les services API de Google. Pour plus d'informations sur leurs politiques, consultez la page {{google_privacy}}.</v>
      </c>
      <c r="J122" s="4" t="str">
        <f>IFERROR(__xludf.DUMMYFUNCTION("GOOGLETRANSLATE(B122,""en"",""it"")"),"Quando utilizzi le nostre applicazioni GPS mobili gratuite, potremmo utilizzare la tecnologia GPS (o altre tecnologie simili) per determinare la tua posizione attuale, al fine di determinare la città in cui ti trovi e visualizzare una mappa della posizion"&amp;"e. Non condivideremo la tua posizione attuale o altri dati sulla posizione con altri utenti o partner senza la tua autorizzazione.
Poiché l'app GPS Tools® è un'applicazione basata su GPS, contiene numerosi strumenti/utilità che utilizzano la tua posizion"&amp;"e {{while_using}} o {{all_time}} (anche in background).
Utilizza la tua posizione {{while_using}} per i seguenti strumenti o scopi:
- mostra la velocità di viaggio (tachimetro)
- mostra il meteo e le previsioni del tempo nel luogo in cui ti trovi
- mostr"&amp;"a la posizione e l'indirizzo attuali
- mostra la qualità dell'aria e l'indice UV nel luogo in cui ti trovi
- mostra la direzione sulla bussola
- mostra il segnale satellitare nel luogo in cui ti trovi
- mostra la mappa meteo
Utilizza la tua posizione {{a"&amp;"ll_time}} (anche quando l'app è chiusa o non in uso) per i seguenti strumenti o scopi:
- per attivare l'allarme GPS (allarme GPS)
- per registrare la posizione del tuo dispositivo (Track &amp; Find Device)
- per mostrare il percorso effettuato (Trekking Pro)
"&amp;"
Per ottenere informazioni sul percorso in auto e altri luoghi, utilizziamo i servizi API di Google. Per ulteriori informazioni sulle loro policy, puoi visitare {{google_privacy}}.")</f>
        <v>Quando utilizzi le nostre applicazioni GPS mobili gratuite, potremmo utilizzare la tecnologia GPS (o altre tecnologie simili) per determinare la tua posizione attuale, al fine di determinare la città in cui ti trovi e visualizzare una mappa della posizione. Non condivideremo la tua posizione attuale o altri dati sulla posizione con altri utenti o partner senza la tua autorizzazione.
Poiché l'app GPS Tools® è un'applicazione basata su GPS, contiene numerosi strumenti/utilità che utilizzano la tua posizione {{while_using}} o {{all_time}} (anche in background).
Utilizza la tua posizione {{while_using}} per i seguenti strumenti o scopi:
- mostra la velocità di viaggio (tachimetro)
- mostra il meteo e le previsioni del tempo nel luogo in cui ti trovi
- mostra la posizione e l'indirizzo attuali
- mostra la qualità dell'aria e l'indice UV nel luogo in cui ti trovi
- mostra la direzione sulla bussola
- mostra il segnale satellitare nel luogo in cui ti trovi
- mostra la mappa meteo
Utilizza la tua posizione {{all_time}} (anche quando l'app è chiusa o non in uso) per i seguenti strumenti o scopi:
- per attivare l'allarme GPS (allarme GPS)
- per registrare la posizione del tuo dispositivo (Track &amp; Find Device)
- per mostrare il percorso effettuato (Trekking Pro)
Per ottenere informazioni sul percorso in auto e altri luoghi, utilizziamo i servizi API di Google. Per ulteriori informazioni sulle loro policy, puoi visitare {{google_privacy}}.</v>
      </c>
      <c r="K122" s="4" t="str">
        <f>IFERROR(__xludf.DUMMYFUNCTION("GOOGLETRANSLATE(B122,""en"",""pt"")"),"Ao utilizar nossos aplicativos gratuitos de GPS para dispositivos móveis, podemos utilizar a tecnologia GPS (ou outra tecnologia similar) para determinar sua localização atual, a fim de determinar a cidade em que você está localizado e exibir um mapa de l"&amp;"ocalização. Não compartilharemos sua localização atual ou quaisquer outros dados de localização com outros usuários ou parceiros sem a sua permissão.
Como o aplicativo GPS Tools® é um aplicativo baseado em GPS, ele contém diversas ferramentas/utilitários"&amp;" que utilizam sua localização {{while_using}} ou {{all_time}} (mesmo em segundo plano).
Ele usa sua localização {{while_using}} para as seguintes ferramentas ou propósitos:
- mostrar a velocidade de viagem (Velocímetro)
- mostrar o clima e a previsão do "&amp;"tempo onde você está
- mostrar a localização e o endereço atuais
- mostrar a qualidade do ar e o índice UV onde você está
- mostrar a direção na bússola
- mostrar o sinal de satélite onde você está
- mostrar o mapa meteorológico
Ele usa sua localização {"&amp;"{all_time}} (mesmo quando o aplicativo está fechado ou não está em uso) para as seguintes ferramentas ou propósitos:
- acionar o Alarme de GPS (Alarme de GPS)
- registrar a localização do seu dispositivo (Dispositivo de Rastreamento e Localização)
- mostr"&amp;"ar o caminho percorrido (Trekking Pro)
Para obter informações sobre rotas de direção e outros locais, usamos os serviços da API do Google. Para obter mais informações sobre suas políticas, visite {{google_privacy}}.")</f>
        <v>Ao utilizar nossos aplicativos gratuitos de GPS para dispositivos móveis, podemos utilizar a tecnologia GPS (ou outra tecnologia similar) para determinar sua localização atual, a fim de determinar a cidade em que você está localizado e exibir um mapa de localização. Não compartilharemos sua localização atual ou quaisquer outros dados de localização com outros usuários ou parceiros sem a sua permissão.
Como o aplicativo GPS Tools® é um aplicativo baseado em GPS, ele contém diversas ferramentas/utilitários que utilizam sua localização {{while_using}} ou {{all_time}} (mesmo em segundo plano).
Ele usa sua localização {{while_using}} para as seguintes ferramentas ou propósitos:
- mostrar a velocidade de viagem (Velocímetro)
- mostrar o clima e a previsão do tempo onde você está
- mostrar a localização e o endereço atuais
- mostrar a qualidade do ar e o índice UV onde você está
- mostrar a direção na bússola
- mostrar o sinal de satélite onde você está
- mostrar o mapa meteorológico
Ele usa sua localização {{all_time}} (mesmo quando o aplicativo está fechado ou não está em uso) para as seguintes ferramentas ou propósitos:
- acionar o Alarme de GPS (Alarme de GPS)
- registrar a localização do seu dispositivo (Dispositivo de Rastreamento e Localização)
- mostrar o caminho percorrido (Trekking Pro)
Para obter informações sobre rotas de direção e outros locais, usamos os serviços da API do Google. Para obter mais informações sobre suas políticas, visite {{google_privacy}}.</v>
      </c>
      <c r="L122" s="4" t="str">
        <f>IFERROR(__xludf.DUMMYFUNCTION("GOOGLETRANSLATE(B122,""en"",""ro"")"),"Când utilizați aplicațiile noastre gratuite de GPS mobil, este posibil să folosim tehnologia GPS (sau altă tehnologie similară) pentru a vă determina locația curentă, pentru a determina orașul în care vă aflați și pentru a afișa o hartă a locației. Nu vom"&amp;" partaja locația dvs. actuală sau alte date despre locație cu alți utilizatori sau parteneri fără permisiunea dvs.
Deoarece aplicația GPS Tools® este o aplicație bazată pe GPS și conține multe instrumente/utilități care vă folosesc locația {{while_using}"&amp;"} sau {{all_time}} (chiar și în fundal).
Utilizează locația dvs. {{while_using}} pentru următoarele instrumente sau scopuri:
- arată viteza de deplasare (vitezometru)
- arată vremea și prognoza unde vă aflați
- arată locația și adresa curente
- arată cal"&amp;"itatea aerului și indicele UV la locul în care vă aflați
- arată direcția în busolă
- arată semnalul satelitului unde vă aflați
- arată harta vremii
Utilizează locația dvs. {{all_time}} (chiar și atunci când aplicația este închisă sau nu este utilizată) "&amp;"pentru următoarele instrumente sau scopuri:
- pentru a declanșa alarma GPS (alarma GPS)
- pentru a înregistra locația dispozitivului dvs. (Urmăriți și găsiți dispozitivul)
- pentru a arăta calea pe care ați călătorit (Trekking Pro)
Pentru a obține inform"&amp;"ații despre traseul de conducere și alte locații, folosim serviciile Google API. Pentru mai multe informații despre politicile lor, puteți accesa {{google_privacy}}.")</f>
        <v>Când utilizați aplicațiile noastre gratuite de GPS mobil, este posibil să folosim tehnologia GPS (sau altă tehnologie similară) pentru a vă determina locația curentă, pentru a determina orașul în care vă aflați și pentru a afișa o hartă a locației. Nu vom partaja locația dvs. actuală sau alte date despre locație cu alți utilizatori sau parteneri fără permisiunea dvs.
Deoarece aplicația GPS Tools® este o aplicație bazată pe GPS și conține multe instrumente/utilități care vă folosesc locația {{while_using}} sau {{all_time}} (chiar și în fundal).
Utilizează locația dvs. {{while_using}} pentru următoarele instrumente sau scopuri:
- arată viteza de deplasare (vitezometru)
- arată vremea și prognoza unde vă aflați
- arată locația și adresa curente
- arată calitatea aerului și indicele UV la locul în care vă aflați
- arată direcția în busolă
- arată semnalul satelitului unde vă aflați
- arată harta vremii
Utilizează locația dvs. {{all_time}} (chiar și atunci când aplicația este închisă sau nu este utilizată) pentru următoarele instrumente sau scopuri:
- pentru a declanșa alarma GPS (alarma GPS)
- pentru a înregistra locația dispozitivului dvs. (Urmăriți și găsiți dispozitivul)
- pentru a arăta calea pe care ați călătorit (Trekking Pro)
Pentru a obține informații despre traseul de conducere și alte locații, folosim serviciile Google API. Pentru mai multe informații despre politicile lor, puteți accesa {{google_privacy}}.</v>
      </c>
      <c r="M122" s="4" t="str">
        <f>IFERROR(__xludf.DUMMYFUNCTION("GOOGLETRANSLATE(B122,""en"",""vi"")"),"Khi bạn sử dụng ứng dụng GPS di động miễn phí của chúng tôi, chúng tôi có thể sử dụng công nghệ GPS (hoặc công nghệ tương tự khác) để xác định vị trí hiện tại của bạn nhằm xác định thành phố bạn đang ở và hiển thị bản đồ vị trí. Chúng tôi sẽ không chia sẻ"&amp;" vị trí hiện tại của bạn hoặc bất kỳ dữ liệu vị trí nào khác với người dùng hoặc đối tác khác mà không có sự cho phép của bạn.
Vì ứng dụng GPS Tools® là ứng dụng dựa trên GPS và chứa nhiều công cụ/tiện ích sử dụng vị trí của bạn {{while_using}} hoặc {{al"&amp;"l_time}} (kể cả ở chế độ nền).
Nó sử dụng vị trí của bạn {{while_using}} cho các công cụ hoặc mục đích sau:
- hiển thị tốc độ di chuyển (Đồng hồ tốc độ)
- hiển thị thời tiết và dự báo tại nơi bạn đang ở
- hiển thị vị trí và địa chỉ hiện tại
- hiển thị ch"&amp;"ất lượng không khí và chỉ số tia cực tím tại nơi bạn đang ở
- hiển thị hướng trong la bàn
- hiển thị tín hiệu vệ tinh tại nơi bạn đang ở
- hiển thị bản đồ thời tiết
Nó sử dụng vị trí của bạn {{all_time}} (kể cả khi ứng dụng đã đóng hoặc không sử dụng) ch"&amp;"o các công cụ hoặc mục đích sau:
- để kích hoạt Báo động GPS (Báo động GPS)
- để ghi lại vị trí thiết bị của bạn (Theo dõi &amp; Tìm thiết bị)
- để hiển thị đường đi bạn đã đi (Trekking Pro)
Để có được thông tin liên quan đến lộ trình lái xe và các địa điểm "&amp;"khác, chúng tôi đang sử dụng dịch vụ Google API. Để biết thêm thông tin về chính sách của họ, bạn có thể truy cập {{google_privacy}}.")</f>
        <v>Khi bạn sử dụng ứng dụng GPS di động miễn phí của chúng tôi, chúng tôi có thể sử dụng công nghệ GPS (hoặc công nghệ tương tự khác) để xác định vị trí hiện tại của bạn nhằm xác định thành phố bạn đang ở và hiển thị bản đồ vị trí. Chúng tôi sẽ không chia sẻ vị trí hiện tại của bạn hoặc bất kỳ dữ liệu vị trí nào khác với người dùng hoặc đối tác khác mà không có sự cho phép của bạn.
Vì ứng dụng GPS Tools® là ứng dụng dựa trên GPS và chứa nhiều công cụ/tiện ích sử dụng vị trí của bạn {{while_using}} hoặc {{all_time}} (kể cả ở chế độ nền).
Nó sử dụng vị trí của bạn {{while_using}} cho các công cụ hoặc mục đích sau:
- hiển thị tốc độ di chuyển (Đồng hồ tốc độ)
- hiển thị thời tiết và dự báo tại nơi bạn đang ở
- hiển thị vị trí và địa chỉ hiện tại
- hiển thị chất lượng không khí và chỉ số tia cực tím tại nơi bạn đang ở
- hiển thị hướng trong la bàn
- hiển thị tín hiệu vệ tinh tại nơi bạn đang ở
- hiển thị bản đồ thời tiết
Nó sử dụng vị trí của bạn {{all_time}} (kể cả khi ứng dụng đã đóng hoặc không sử dụng) cho các công cụ hoặc mục đích sau:
- để kích hoạt Báo động GPS (Báo động GPS)
- để ghi lại vị trí thiết bị của bạn (Theo dõi &amp; Tìm thiết bị)
- để hiển thị đường đi bạn đã đi (Trekking Pro)
Để có được thông tin liên quan đến lộ trình lái xe và các địa điểm khác, chúng tôi đang sử dụng dịch vụ Google API. Để biết thêm thông tin về chính sách của họ, bạn có thể truy cập {{google_privacy}}.</v>
      </c>
      <c r="N122" s="4" t="str">
        <f>IFERROR(__xludf.DUMMYFUNCTION("GOOGLETRANSLATE(B122,""en"",""ru"")"),"Когда вы используете наши бесплатные мобильные приложения GPS, мы можем использовать технологию GPS (или другую подобную технологию) для определения вашего текущего местоположения, чтобы определить город, в котором вы находитесь, и отобразить карту местоп"&amp;"оложения. Мы не будем делиться вашим текущим местоположением или любыми другими данными о местоположении с другими пользователями или партнерами без вашего разрешения.
Поскольку приложение GPS Tools® является приложением на основе GPS, оно содержит множе"&amp;"ство инструментов/утилит, которые используют ваше местоположение {{while_using}} или {{all_time}} (даже в фоновом режиме).
Он использует ваше местоположение {{while_using}} для следующих инструментов или целей:
- показывать скорость движения (спидометр)
"&amp;"- показывать погоду и прогноз там, где вы находитесь
- показывать текущее местоположение и адрес
- показывать качество воздуха и УФ-индекс там, где вы находитесь
- показывать направление на компасе
- показывать спутниковый сигнал там, где вы находитесь
- "&amp;"показывать карту погоды
Он использует ваше местоположение {{all_time}} (даже когда приложение закрыто или не используется) для следующих инструментов или целей:
- для активации GPS-сигнализации (GPS-сигнализация)
- для регистрации местоположения вашего у"&amp;"стройства (Track &amp; Find Device)
- для отображения пройденного вами пути (Trekking Pro)
Для получения маршрута движения и другой информации о местах мы используем службы API Google. Для получения дополнительной информации об их политиках вы можете посетит"&amp;"ь {{google_privacy}}.")</f>
        <v>Когда вы используете наши бесплатные мобильные приложения GPS, мы можем использовать технологию GPS (или другую подобную технологию) для определения вашего текущего местоположения, чтобы определить город, в котором вы находитесь, и отобразить карту местоположения. Мы не будем делиться вашим текущим местоположением или любыми другими данными о местоположении с другими пользователями или партнерами без вашего разрешения.
Поскольку приложение GPS Tools® является приложением на основе GPS, оно содержит множество инструментов/утилит, которые используют ваше местоположение {{while_using}} или {{all_time}} (даже в фоновом режиме).
Он использует ваше местоположение {{while_using}} для следующих инструментов или целей:
- показывать скорость движения (спидометр)
- показывать погоду и прогноз там, где вы находитесь
- показывать текущее местоположение и адрес
- показывать качество воздуха и УФ-индекс там, где вы находитесь
- показывать направление на компасе
- показывать спутниковый сигнал там, где вы находитесь
- показывать карту погоды
Он использует ваше местоположение {{all_time}} (даже когда приложение закрыто или не используется) для следующих инструментов или целей:
- для активации GPS-сигнализации (GPS-сигнализация)
- для регистрации местоположения вашего устройства (Track &amp; Find Device)
- для отображения пройденного вами пути (Trekking Pro)
Для получения маршрута движения и другой информации о местах мы используем службы API Google. Для получения дополнительной информации об их политиках вы можете посетить {{google_privacy}}.</v>
      </c>
      <c r="O122" s="4" t="str">
        <f>IFERROR(__xludf.DUMMYFUNCTION("GOOGLETRANSLATE(B122,""en"",""tr"")"),"Ücretsiz mobil GPS uygulamalarımızı kullandığınızda, bulunduğunuz şehri belirlemek ve bir konum haritası görüntülemek için mevcut konumunuzu belirlemek amacıyla GPS teknolojisini (veya diğer benzer teknolojileri) kullanabiliriz. Mevcut konumunuzu veya diğ"&amp;"er konum verilerinizi izniniz olmadan diğer kullanıcılar veya ortaklarla paylaşmayacağız.
GPS Tools® uygulaması GPS tabanlı bir uygulama olduğundan ve konumunuzu {{while_using}} veya {{all_time}} (arka planda bile) kullanan birçok araç/yardımcı program i"&amp;"çerdiğinden.
Konumunuzu {{while_using}} şu araçlar veya amaçlar için kullanır:
- seyahat hızını göster (Hızölçer)
- bulunduğunuz yerin hava durumunu ve tahmini göster
- mevcut konumu ve adresi göster
- bulunduğunuz yerin hava kalitesini ve uv indeksini g"&amp;"öster
- pusulada yönü göster
- bulunduğunuz yerin uydu sinyalini göster
- hava durumu haritasını göster
Konumunuzu {{all_time}} (uygulama kapalı veya kullanımda olmasa bile) şu araçlar veya amaçlar için kullanır:
- GPS Alarmını tetiklemek için (GPS Alarm"&amp;"ı)
- cihazınızın konumunu kaydetmek için (Cihazı Takip Et ve Bul)
- seyahat ettiğiniz yolu göstermek için (Trekking Pro)
Sürüş rotası ve diğer yerlerle ilgili bilgileri almak için Google API hizmetlerini kullanıyoruz. Politikaları hakkında daha fazla bil"&amp;"gi için {{google_privacy}} adresini ziyaret edebilirsiniz.")</f>
        <v>Ücretsiz mobil GPS uygulamalarımızı kullandığınızda, bulunduğunuz şehri belirlemek ve bir konum haritası görüntülemek için mevcut konumunuzu belirlemek amacıyla GPS teknolojisini (veya diğer benzer teknolojileri) kullanabiliriz. Mevcut konumunuzu veya diğer konum verilerinizi izniniz olmadan diğer kullanıcılar veya ortaklarla paylaşmayacağız.
GPS Tools® uygulaması GPS tabanlı bir uygulama olduğundan ve konumunuzu {{while_using}} veya {{all_time}} (arka planda bile) kullanan birçok araç/yardımcı program içerdiğinden.
Konumunuzu {{while_using}} şu araçlar veya amaçlar için kullanır:
- seyahat hızını göster (Hızölçer)
- bulunduğunuz yerin hava durumunu ve tahmini göster
- mevcut konumu ve adresi göster
- bulunduğunuz yerin hava kalitesini ve uv indeksini göster
- pusulada yönü göster
- bulunduğunuz yerin uydu sinyalini göster
- hava durumu haritasını göster
Konumunuzu {{all_time}} (uygulama kapalı veya kullanımda olmasa bile) şu araçlar veya amaçlar için kullanır:
- GPS Alarmını tetiklemek için (GPS Alarmı)
- cihazınızın konumunu kaydetmek için (Cihazı Takip Et ve Bul)
- seyahat ettiğiniz yolu göstermek için (Trekking Pro)
Sürüş rotası ve diğer yerlerle ilgili bilgileri almak için Google API hizmetlerini kullanıyoruz. Politikaları hakkında daha fazla bilgi için {{google_privacy}} adresini ziyaret edebilirsiniz.</v>
      </c>
      <c r="P122" s="4" t="str">
        <f>IFERROR(__xludf.DUMMYFUNCTION("GOOGLETRANSLATE(B122,""en"",""ar"")"),"عند استخدامك لتطبيقات GPS المجانية للهواتف المحمولة، قد نستخدم تقنية GPS (أو أي تقنية مشابهة) لتحديد موقعك الحالي، وذلك لتحديد مدينتك وعرض خريطة موقعك. لن نشارك موقعك الحالي أو أي بيانات أخرى تتعلق به مع مستخدمين أو شركاء آخرين دون إذنك.
تطبيق GPS Tools®"&amp;" هو تطبيق قائم على نظام تحديد المواقع العالمي (GPS)، ويحتوي على العديد من الأدوات/الخدمات التي تستخدم موقعك {{while_using}} أو {{all_time}} (حتى في الخلفية).
يستخدم موقعك {{while_using}} للأدوات أو الأغراض التالية:
- عرض سرعة السفر (عداد السرعة)
- عرض حا"&amp;"لة الطقس وتوقعاتها في موقعك
- عرض موقعك الحالي وعنوانك
- عرض جودة الهواء ومؤشر الأشعة فوق البنفسجية في موقعك
- عرض اتجاه البوصلة
- عرض إشارة القمر الصناعي في موقعك
- عرض خريطة الطقس
يستخدم موقعك {{all_time}} (حتى عندما يكون التطبيق مغلقًا أو غير مستخدم) "&amp;"للأدوات أو الأغراض التالية:
- لتشغيل إنذار GPS (إنذار GPS)
- لتسجيل موقع جهازك (التتبع والعثور على الجهاز)
- لعرض المسار الذي سلكته (Trekking Pro)
للحصول على معلومات حول مسار القيادة والأماكن الأخرى، نستخدم خدمات Google API. لمزيد من المعلومات حول سياسات"&amp;"هم، يمكنك زيارة {{google_privacy}}.")</f>
        <v>عند استخدامك لتطبيقات GPS المجانية للهواتف المحمولة، قد نستخدم تقنية GPS (أو أي تقنية مشابهة) لتحديد موقعك الحالي، وذلك لتحديد مدينتك وعرض خريطة موقعك. لن نشارك موقعك الحالي أو أي بيانات أخرى تتعلق به مع مستخدمين أو شركاء آخرين دون إذنك.
تطبيق GPS Tools® هو تطبيق قائم على نظام تحديد المواقع العالمي (GPS)، ويحتوي على العديد من الأدوات/الخدمات التي تستخدم موقعك {{while_using}} أو {{all_time}} (حتى في الخلفية).
يستخدم موقعك {{while_using}} للأدوات أو الأغراض التالية:
- عرض سرعة السفر (عداد السرعة)
- عرض حالة الطقس وتوقعاتها في موقعك
- عرض موقعك الحالي وعنوانك
- عرض جودة الهواء ومؤشر الأشعة فوق البنفسجية في موقعك
- عرض اتجاه البوصلة
- عرض إشارة القمر الصناعي في موقعك
- عرض خريطة الطقس
يستخدم موقعك {{all_time}} (حتى عندما يكون التطبيق مغلقًا أو غير مستخدم) للأدوات أو الأغراض التالية:
- لتشغيل إنذار GPS (إنذار GPS)
- لتسجيل موقع جهازك (التتبع والعثور على الجهاز)
- لعرض المسار الذي سلكته (Trekking Pro)
للحصول على معلومات حول مسار القيادة والأماكن الأخرى، نستخدم خدمات Google API. لمزيد من المعلومات حول سياساتهم، يمكنك زيارة {{google_privacy}}.</v>
      </c>
      <c r="Q122" s="4" t="str">
        <f>IFERROR(__xludf.DUMMYFUNCTION("GOOGLETRANSLATE(B122,""en"",""mr"")"),"जेव्हा तुम्ही आमचे मोफत मोबाइल GPS ऍप्लिकेशन वापरता, तेव्हा आम्ही तुमचे वर्तमान स्थान निर्धारित करण्यासाठी GPS तंत्रज्ञान (किंवा इतर तत्सम तंत्रज्ञान) वापरू शकतो जेणेकरुन तुम्ही ज्या शहरामध्ये आहात ते निर्धारित करण्यासाठी आणि स्थान नकाशा प्रदर्शित करण्यास"&amp;"ाठी. तुमच्या परवानगीशिवाय आम्ही तुमचे वर्तमान स्थान किंवा इतर कोणतेही स्थान डेटा इतर वापरकर्ते किंवा भागीदारांसह सामायिक करणार नाही.
GPS Tools® ॲप एक GPS आधारित ऍप्लिकेशन आहे आणि त्यात अनेक टूल्स/युटिलिटीज आहेत जे तुमचे स्थान {{while_using}} किंवा {{all_"&amp;"time}} (अगदी पार्श्वभूमीत देखील) वापरतात.
हे खालील साधने किंवा उद्देशांसाठी तुमचे स्थान {{while_using}} वापरते:
- प्रवासाचा वेग दाखवा (स्पीडोमीटर)
- आपण जेथे आहात तेथे हवामान आणि अंदाज दर्शवा
- वर्तमान स्थान आणि पत्ता दर्शवा
- तुम्ही जिथे आहात तिथे हवेची"&amp;" गुणवत्ता आणि अतिनील निर्देशांक दाखवा
- होकायंत्रात दिशा दाखवा
- तुम्ही जेथे आहात तेथे उपग्रह सिग्नल दाखवा
- हवामान नकाशा दर्शवा
हे तुमचे स्थान {{all_time}} (ॲप बंद असताना किंवा वापरात नसतानाही) खालील साधनांसाठी किंवा उद्देशांसाठी वापरते:
- जीपीएस अलार्म"&amp;" ट्रिगर करण्यासाठी (जीपीएस अलार्म)
- तुमच्या डिव्हाइसचे स्थान लॉग करण्यासाठी (डिव्हाइसचा मागोवा घ्या आणि शोधा)
- तुम्ही प्रवास केलेला मार्ग दाखवण्यासाठी (ट्रेकिंग प्रो)
ड्रायव्हिंग मार्ग आणि इतर ठिकाणांशी संबंधित माहिती मिळविण्यासाठी, आम्ही Google API से"&amp;"वा वापरत आहोत. त्यांच्या धोरणांबद्दल अधिक माहितीसाठी, तुम्ही {{google_privacy}} ला भेट देऊ शकता.")</f>
        <v>जेव्हा तुम्ही आमचे मोफत मोबाइल GPS ऍप्लिकेशन वापरता, तेव्हा आम्ही तुमचे वर्तमान स्थान निर्धारित करण्यासाठी GPS तंत्रज्ञान (किंवा इतर तत्सम तंत्रज्ञान) वापरू शकतो जेणेकरुन तुम्ही ज्या शहरामध्ये आहात ते निर्धारित करण्यासाठी आणि स्थान नकाशा प्रदर्शित करण्यासाठी. तुमच्या परवानगीशिवाय आम्ही तुमचे वर्तमान स्थान किंवा इतर कोणतेही स्थान डेटा इतर वापरकर्ते किंवा भागीदारांसह सामायिक करणार नाही.
GPS Tools® ॲप एक GPS आधारित ऍप्लिकेशन आहे आणि त्यात अनेक टूल्स/युटिलिटीज आहेत जे तुमचे स्थान {{while_using}} किंवा {{all_time}} (अगदी पार्श्वभूमीत देखील) वापरतात.
हे खालील साधने किंवा उद्देशांसाठी तुमचे स्थान {{while_using}} वापरते:
- प्रवासाचा वेग दाखवा (स्पीडोमीटर)
- आपण जेथे आहात तेथे हवामान आणि अंदाज दर्शवा
- वर्तमान स्थान आणि पत्ता दर्शवा
- तुम्ही जिथे आहात तिथे हवेची गुणवत्ता आणि अतिनील निर्देशांक दाखवा
- होकायंत्रात दिशा दाखवा
- तुम्ही जेथे आहात तेथे उपग्रह सिग्नल दाखवा
- हवामान नकाशा दर्शवा
हे तुमचे स्थान {{all_time}} (ॲप बंद असताना किंवा वापरात नसतानाही) खालील साधनांसाठी किंवा उद्देशांसाठी वापरते:
- जीपीएस अलार्म ट्रिगर करण्यासाठी (जीपीएस अलार्म)
- तुमच्या डिव्हाइसचे स्थान लॉग करण्यासाठी (डिव्हाइसचा मागोवा घ्या आणि शोधा)
- तुम्ही प्रवास केलेला मार्ग दाखवण्यासाठी (ट्रेकिंग प्रो)
ड्रायव्हिंग मार्ग आणि इतर ठिकाणांशी संबंधित माहिती मिळविण्यासाठी, आम्ही Google API सेवा वापरत आहोत. त्यांच्या धोरणांबद्दल अधिक माहितीसाठी, तुम्ही {{google_privacy}} ला भेट देऊ शकता.</v>
      </c>
      <c r="R122" s="4" t="str">
        <f>IFERROR(__xludf.DUMMYFUNCTION("GOOGLETRANSLATE(B122,""en"",""gu"")"),"જ્યારે તમે અમારી મફત મોબાઇલ GPS એપ્લિકેશનનો ઉપયોગ કરો છો, ત્યારે અમે તમારા વર્તમાન સ્થાનને નિર્ધારિત કરવા માટે GPS તકનીક (અથવા અન્ય સમાન તકનીક) નો ઉપયોગ કરી શકીએ છીએ જેથી તમે જે શહેરમાં સ્થિત હોવ તે નક્કી કરવા અને સ્થાનનો નકશો દર્શાવવા માટે. અમે તમારી પરવ"&amp;"ાનગી વિના અન્ય વપરાશકર્તાઓ અથવા ભાગીદારો સાથે તમારું વર્તમાન સ્થાન અથવા કોઈપણ અન્ય સ્થાન ડેટા શેર કરીશું નહીં.
જેમ કે GPS Tools® એપ એ GPS આધારિત એપ્લિકેશન છે અને તેમાં ઘણા બધા સાધનો/ઉપયોગિતાઓ છે જે તમારા સ્થાનનો ઉપયોગ કરે છે {{while_using}} અથવા {{all_ti"&amp;"me}} (પૃષ્ઠભૂમિમાં પણ).
તે નીચેના સાધનો અથવા હેતુઓ માટે તમારા સ્થાનનો {{while_using}} ઉપયોગ કરે છે:
- મુસાફરીની ઝડપ બતાવો (સ્પીડોમીટર)
- તમે જ્યાં છો ત્યાં હવામાન અને આગાહી બતાવો
- વર્તમાન સ્થાન અને સરનામું બતાવો
- તમે જ્યાં છો ત્યાં હવાની ગુણવત્તા અને ય"&amp;"ુવી ઇન્ડેક્સ બતાવો
- હોકાયંત્રમાં દિશા બતાવો
- તમે જ્યાં છો ત્યાં સેટેલાઇટ સિગ્નલ બતાવો
- હવામાન નકશો બતાવો
તે નીચેના સાધનો અથવા હેતુઓ માટે તમારા સ્થાનનો {{all_time}} ઉપયોગ કરે છે (એપ્લિકેશન બંધ હોય અથવા ઉપયોગમાં ન હોય ત્યારે પણ)
- જીપીએસ એલાર્મ (જીપીએસ "&amp;"એલાર્મ) ટ્રિગર કરવા માટે
- તમારા ઉપકરણના સ્થાનને લોગ કરવા માટે (ઉપકરણને ટ્રૅક કરો અને શોધો)
- તમે મુસાફરી કરેલ રસ્તો બતાવવા માટે (ટ્રેકિંગ પ્રો)
ડ્રાઇવિંગ રૂટ અને અન્ય સ્થળો સંબંધિત માહિતી મેળવવા માટે, અમે Google API સેવાઓનો ઉપયોગ કરી રહ્યા છીએ. તેમની ની"&amp;"તિઓ વિશે વધુ માહિતી માટે, તમે {{google_privacy}}ની મુલાકાત લઈ શકો છો.")</f>
        <v>જ્યારે તમે અમારી મફત મોબાઇલ GPS એપ્લિકેશનનો ઉપયોગ કરો છો, ત્યારે અમે તમારા વર્તમાન સ્થાનને નિર્ધારિત કરવા માટે GPS તકનીક (અથવા અન્ય સમાન તકનીક) નો ઉપયોગ કરી શકીએ છીએ જેથી તમે જે શહેરમાં સ્થિત હોવ તે નક્કી કરવા અને સ્થાનનો નકશો દર્શાવવા માટે. અમે તમારી પરવાનગી વિના અન્ય વપરાશકર્તાઓ અથવા ભાગીદારો સાથે તમારું વર્તમાન સ્થાન અથવા કોઈપણ અન્ય સ્થાન ડેટા શેર કરીશું નહીં.
જેમ કે GPS Tools® એપ એ GPS આધારિત એપ્લિકેશન છે અને તેમાં ઘણા બધા સાધનો/ઉપયોગિતાઓ છે જે તમારા સ્થાનનો ઉપયોગ કરે છે {{while_using}} અથવા {{all_time}} (પૃષ્ઠભૂમિમાં પણ).
તે નીચેના સાધનો અથવા હેતુઓ માટે તમારા સ્થાનનો {{while_using}} ઉપયોગ કરે છે:
- મુસાફરીની ઝડપ બતાવો (સ્પીડોમીટર)
- તમે જ્યાં છો ત્યાં હવામાન અને આગાહી બતાવો
- વર્તમાન સ્થાન અને સરનામું બતાવો
- તમે જ્યાં છો ત્યાં હવાની ગુણવત્તા અને યુવી ઇન્ડેક્સ બતાવો
- હોકાયંત્રમાં દિશા બતાવો
- તમે જ્યાં છો ત્યાં સેટેલાઇટ સિગ્નલ બતાવો
- હવામાન નકશો બતાવો
તે નીચેના સાધનો અથવા હેતુઓ માટે તમારા સ્થાનનો {{all_time}} ઉપયોગ કરે છે (એપ્લિકેશન બંધ હોય અથવા ઉપયોગમાં ન હોય ત્યારે પણ)
- જીપીએસ એલાર્મ (જીપીએસ એલાર્મ) ટ્રિગર કરવા માટે
- તમારા ઉપકરણના સ્થાનને લોગ કરવા માટે (ઉપકરણને ટ્રૅક કરો અને શોધો)
- તમે મુસાફરી કરેલ રસ્તો બતાવવા માટે (ટ્રેકિંગ પ્રો)
ડ્રાઇવિંગ રૂટ અને અન્ય સ્થળો સંબંધિત માહિતી મેળવવા માટે, અમે Google API સેવાઓનો ઉપયોગ કરી રહ્યા છીએ. તેમની નીતિઓ વિશે વધુ માહિતી માટે, તમે {{google_privacy}}ની મુલાકાત લઈ શકો છો.</v>
      </c>
      <c r="S122" s="4" t="str">
        <f>IFERROR(__xludf.DUMMYFUNCTION("GOOGLETRANSLATE(B122,""en"",""bn"")"),"আপনি যখন আমাদের বিনামূল্যের মোবাইল জিপিএস অ্যাপ্লিকেশন ব্যবহার করেন, তখন আমরা আপনার বর্তমান অবস্থান নির্ধারণ করতে জিপিএস প্রযুক্তি (বা অন্যান্য অনুরূপ প্রযুক্তি) ব্যবহার করতে পারি যাতে আপনি যে শহরের মধ্যে অবস্থিত তা নির্ধারণ করতে এবং একটি অবস্থান মানচিত্র"&amp;" প্রদর্শন করতে পারি। আমরা আপনার অনুমতি ছাড়া অন্য ব্যবহারকারী বা অংশীদারদের সাথে আপনার বর্তমান অবস্থান বা অন্য কোনো অবস্থানের ডেটা শেয়ার করব না।
যেহেতু GPS Tools® অ্যাপ হল একটি GPS ভিত্তিক অ্যাপ্লিকেশন এবং এতে অনেক টুল/ইউটিলিটি রয়েছে যা আপনার অবস্থান ব"&amp;"্যবহার করে {{while_using}} বা {{all_time}} (এমনকি ব্যাকগ্রাউন্ডেও)।
এটি নিম্নলিখিত সরঞ্জাম বা উদ্দেশ্যে আপনার অবস্থান {{while_using}} ব্যবহার করে:
- ভ্রমণের গতি দেখান (স্পিডোমিটার)
- আপনি যেখানে আছেন সেখানে আবহাওয়া এবং পূর্বাভাস দেখান
- বর্তমান অবস্থান "&amp;"এবং ঠিকানা দেখান
- আপনি যেখানে আছেন সেখানে বাতাসের গুণমান এবং ইউভি সূচক দেখান
- কম্পাসে দিক দেখান
- আপনি যেখানে আছেন সেখানে স্যাটেলাইট সংকেত দেখান
- আবহাওয়া মানচিত্র দেখান
এটি নিম্নলিখিত সরঞ্জাম বা উদ্দেশ্যে আপনার অবস্থান {{all_time}} ব্যবহার করে (এমনকি"&amp;" যখন অ্যাপটি বন্ধ থাকে বা ব্যবহার না হয়)
- জিপিএস অ্যালার্ম ট্রিগার করতে (জিপিএস অ্যালার্ম)
- আপনার ডিভাইসের অবস্থান লগ করতে (ডিভাইস ট্র্যাক এবং খুঁজুন)
- আপনার ভ্রমণের পথ দেখানোর জন্য (ট্র্যাকিং প্রো)
ড্রাইভিং রুট এবং অন্যান্য স্থান সম্পর্কিত তথ্য পাওয"&amp;"়ার জন্য, আমরা Google API পরিষেবাগুলি ব্যবহার করছি। তাদের নীতি সম্পর্কে আরও তথ্যের জন্য, আপনি {{google_privacy}} এ ​​যেতে পারেন৷")</f>
        <v>আপনি যখন আমাদের বিনামূল্যের মোবাইল জিপিএস অ্যাপ্লিকেশন ব্যবহার করেন, তখন আমরা আপনার বর্তমান অবস্থান নির্ধারণ করতে জিপিএস প্রযুক্তি (বা অন্যান্য অনুরূপ প্রযুক্তি) ব্যবহার করতে পারি যাতে আপনি যে শহরের মধ্যে অবস্থিত তা নির্ধারণ করতে এবং একটি অবস্থান মানচিত্র প্রদর্শন করতে পারি। আমরা আপনার অনুমতি ছাড়া অন্য ব্যবহারকারী বা অংশীদারদের সাথে আপনার বর্তমান অবস্থান বা অন্য কোনো অবস্থানের ডেটা শেয়ার করব না।
যেহেতু GPS Tools® অ্যাপ হল একটি GPS ভিত্তিক অ্যাপ্লিকেশন এবং এতে অনেক টুল/ইউটিলিটি রয়েছে যা আপনার অবস্থান ব্যবহার করে {{while_using}} বা {{all_time}} (এমনকি ব্যাকগ্রাউন্ডেও)।
এটি নিম্নলিখিত সরঞ্জাম বা উদ্দেশ্যে আপনার অবস্থান {{while_using}} ব্যবহার করে:
- ভ্রমণের গতি দেখান (স্পিডোমিটার)
- আপনি যেখানে আছেন সেখানে আবহাওয়া এবং পূর্বাভাস দেখান
- বর্তমান অবস্থান এবং ঠিকানা দেখান
- আপনি যেখানে আছেন সেখানে বাতাসের গুণমান এবং ইউভি সূচক দেখান
- কম্পাসে দিক দেখান
- আপনি যেখানে আছেন সেখানে স্যাটেলাইট সংকেত দেখান
- আবহাওয়া মানচিত্র দেখান
এটি নিম্নলিখিত সরঞ্জাম বা উদ্দেশ্যে আপনার অবস্থান {{all_time}} ব্যবহার করে (এমনকি যখন অ্যাপটি বন্ধ থাকে বা ব্যবহার না হয়)
- জিপিএস অ্যালার্ম ট্রিগার করতে (জিপিএস অ্যালার্ম)
- আপনার ডিভাইসের অবস্থান লগ করতে (ডিভাইস ট্র্যাক এবং খুঁজুন)
- আপনার ভ্রমণের পথ দেখানোর জন্য (ট্র্যাকিং প্রো)
ড্রাইভিং রুট এবং অন্যান্য স্থান সম্পর্কিত তথ্য পাওয়ার জন্য, আমরা Google API পরিষেবাগুলি ব্যবহার করছি। তাদের নীতি সম্পর্কে আরও তথ্যের জন্য, আপনি {{google_privacy}} এ ​​যেতে পারেন৷</v>
      </c>
      <c r="T122" s="4" t="str">
        <f>IFERROR(__xludf.DUMMYFUNCTION("GOOGLETRANSLATE(B122,""en"",""pa"")"),"ਜਦੋਂ ਤੁਸੀਂ ਸਾਡੀਆਂ ਮੁਫ਼ਤ ਮੋਬਾਈਲ GPS ਐਪਲੀਕੇਸ਼ਨਾਂ ਦੀ ਵਰਤੋਂ ਕਰਦੇ ਹੋ, ਤਾਂ ਅਸੀਂ ਤੁਹਾਡੇ ਮੌਜੂਦਾ ਟਿਕਾਣੇ ਨੂੰ ਨਿਰਧਾਰਤ ਕਰਨ ਲਈ GPS ਤਕਨਾਲੋਜੀ (ਜਾਂ ਹੋਰ ਸਮਾਨ ਤਕਨਾਲੋਜੀ) ਦੀ ਵਰਤੋਂ ਕਰ ਸਕਦੇ ਹਾਂ ਤਾਂ ਕਿ ਤੁਸੀਂ ਕਿਸ ਸ਼ਹਿਰ ਵਿੱਚ ਸਥਿਤ ਹੋ ਅਤੇ ਇੱਕ ਸਥਾਨ ਦਾ ਨਕਸ਼ਾ ਪ੍ਰਦਰਸ਼ਿਤ ਕਰਨ ਲਈ। ਅਸੀਂ ਤੁ"&amp;"ਹਾਡੀ ਇਜਾਜ਼ਤ ਤੋਂ ਬਿਨਾਂ ਤੁਹਾਡੇ ਮੌਜੂਦਾ ਟਿਕਾਣੇ ਜਾਂ ਕੋਈ ਹੋਰ ਟਿਕਾਣਾ ਡਾਟਾ ਦੂਜੇ ਉਪਭੋਗਤਾਵਾਂ ਜਾਂ ਭਾਈਵਾਲਾਂ ਨਾਲ ਸਾਂਝਾ ਨਹੀਂ ਕਰਾਂਗੇ।
ਜਿਵੇਂ ਕਿ GPS Tools® ਐਪ ਇੱਕ GPS ਆਧਾਰਿਤ ਐਪਲੀਕੇਸ਼ਨ ਹੈ ਅਤੇ ਇਸ ਵਿੱਚ ਬਹੁਤ ਸਾਰੇ ਟੂਲ/ਉਪਯੋਗਤਾਵਾਂ ਹਨ ਜੋ ਤੁਹਾਡੇ ਟਿਕਾਣੇ ਦੀ ਵਰਤੋਂ ਕਰਦੇ ਹਨ {{while_us"&amp;"ing}} ਜਾਂ {{all_time}} (ਭਾਵੇਂ ਬੈਕਗ੍ਰਾਊਂਡ ਵਿੱਚ ਵੀ)।
ਇਹ ਹੇਠਾਂ ਦਿੱਤੇ ਸਾਧਨਾਂ ਜਾਂ ਉਦੇਸ਼ਾਂ ਲਈ ਤੁਹਾਡੇ ਟਿਕਾਣੇ {{while_using}} ਦੀ ਵਰਤੋਂ ਕਰਦਾ ਹੈ:
- ਯਾਤਰਾ ਦੀ ਗਤੀ ਦਿਖਾਓ (ਸਪੀਡੋਮੀਟਰ)
- ਤੁਸੀਂ ਜਿੱਥੇ ਹੋ ਉੱਥੇ ਮੌਸਮ ਅਤੇ ਭਵਿੱਖਬਾਣੀ ਦਿਖਾਓ
- ਮੌਜੂਦਾ ਸਥਾਨ ਅਤੇ ਪਤਾ ਦਿਖਾਓ
- ਜਿੱਥੇ ਤੁ"&amp;"ਸੀਂ ਹੋ ਉੱਥੇ ਹਵਾ ਦੀ ਗੁਣਵੱਤਾ ਅਤੇ ਯੂਵੀ ਇੰਡੈਕਸ ਦਿਖਾਓ
- ਕੰਪਾਸ ਵਿੱਚ ਦਿਸ਼ਾ ਦਿਖਾਓ
- ਤੁਸੀਂ ਜਿੱਥੇ ਹੋ ਉੱਥੇ ਸੈਟੇਲਾਈਟ ਸਿਗਨਲ ਦਿਖਾਓ
- ਮੌਸਮ ਦਾ ਨਕਸ਼ਾ ਦਿਖਾਓ
ਇਹ ਹੇਠਾਂ ਦਿੱਤੇ ਟੂਲਸ ਜਾਂ ਉਦੇਸ਼ਾਂ ਲਈ ਤੁਹਾਡੇ ਟਿਕਾਣੇ {{all_time}} ਦੀ ਵਰਤੋਂ ਕਰਦਾ ਹੈ (ਭਾਵੇਂ ਐਪ ਬੰਦ ਹੋਵੇ ਜਾਂ ਵਰਤੋਂ ਵਿੱਚ ਨਾ"&amp;" ਹੋਵੇ)
- GPS ਅਲਾਰਮ (GPS ਅਲਾਰਮ) ਨੂੰ ਚਾਲੂ ਕਰਨ ਲਈ
- ਤੁਹਾਡੀ ਡਿਵਾਈਸ ਦੇ ਟਿਕਾਣੇ ਨੂੰ ਲੌਗ ਕਰਨ ਲਈ (ਡਿਵਾਈਸ ਨੂੰ ਟਰੈਕ ਅਤੇ ਲੱਭੋ)
- ਤੁਹਾਡੇ ਦੁਆਰਾ ਯਾਤਰਾ ਕੀਤੀ ਮਾਰਗ ਦਿਖਾਉਣ ਲਈ (ਟਰੈਕਿੰਗ ਪ੍ਰੋ)
ਡਰਾਈਵਿੰਗ ਰੂਟ ਅਤੇ ਹੋਰ ਸਥਾਨਾਂ ਨਾਲ ਸਬੰਧਤ ਜਾਣਕਾਰੀ ਪ੍ਰਾਪਤ ਕਰਨ ਲਈ, ਅਸੀਂ Google API ਸੇਵਾਵਾ"&amp;"ਂ ਦੀ ਵਰਤੋਂ ਕਰ ਰਹੇ ਹਾਂ। ਉਹਨਾਂ ਦੀਆਂ ਨੀਤੀਆਂ ਬਾਰੇ ਹੋਰ ਜਾਣਕਾਰੀ ਲਈ, ਤੁਸੀਂ {{google_privacy}} 'ਤੇ ਜਾ ਸਕਦੇ ਹੋ।")</f>
        <v>ਜਦੋਂ ਤੁਸੀਂ ਸਾਡੀਆਂ ਮੁਫ਼ਤ ਮੋਬਾਈਲ GPS ਐਪਲੀਕੇਸ਼ਨਾਂ ਦੀ ਵਰਤੋਂ ਕਰਦੇ ਹੋ, ਤਾਂ ਅਸੀਂ ਤੁਹਾਡੇ ਮੌਜੂਦਾ ਟਿਕਾਣੇ ਨੂੰ ਨਿਰਧਾਰਤ ਕਰਨ ਲਈ GPS ਤਕਨਾਲੋਜੀ (ਜਾਂ ਹੋਰ ਸਮਾਨ ਤਕਨਾਲੋਜੀ) ਦੀ ਵਰਤੋਂ ਕਰ ਸਕਦੇ ਹਾਂ ਤਾਂ ਕਿ ਤੁਸੀਂ ਕਿਸ ਸ਼ਹਿਰ ਵਿੱਚ ਸਥਿਤ ਹੋ ਅਤੇ ਇੱਕ ਸਥਾਨ ਦਾ ਨਕਸ਼ਾ ਪ੍ਰਦਰਸ਼ਿਤ ਕਰਨ ਲਈ। ਅਸੀਂ ਤੁਹਾਡੀ ਇਜਾਜ਼ਤ ਤੋਂ ਬਿਨਾਂ ਤੁਹਾਡੇ ਮੌਜੂਦਾ ਟਿਕਾਣੇ ਜਾਂ ਕੋਈ ਹੋਰ ਟਿਕਾਣਾ ਡਾਟਾ ਦੂਜੇ ਉਪਭੋਗਤਾਵਾਂ ਜਾਂ ਭਾਈਵਾਲਾਂ ਨਾਲ ਸਾਂਝਾ ਨਹੀਂ ਕਰਾਂਗੇ।
ਜਿਵੇਂ ਕਿ GPS Tools® ਐਪ ਇੱਕ GPS ਆਧਾਰਿਤ ਐਪਲੀਕੇਸ਼ਨ ਹੈ ਅਤੇ ਇਸ ਵਿੱਚ ਬਹੁਤ ਸਾਰੇ ਟੂਲ/ਉਪਯੋਗਤਾਵਾਂ ਹਨ ਜੋ ਤੁਹਾਡੇ ਟਿਕਾਣੇ ਦੀ ਵਰਤੋਂ ਕਰਦੇ ਹਨ {{while_using}} ਜਾਂ {{all_time}} (ਭਾਵੇਂ ਬੈਕਗ੍ਰਾਊਂਡ ਵਿੱਚ ਵੀ)।
ਇਹ ਹੇਠਾਂ ਦਿੱਤੇ ਸਾਧਨਾਂ ਜਾਂ ਉਦੇਸ਼ਾਂ ਲਈ ਤੁਹਾਡੇ ਟਿਕਾਣੇ {{while_using}} ਦੀ ਵਰਤੋਂ ਕਰਦਾ ਹੈ:
- ਯਾਤਰਾ ਦੀ ਗਤੀ ਦਿਖਾਓ (ਸਪੀਡੋਮੀਟਰ)
- ਤੁਸੀਂ ਜਿੱਥੇ ਹੋ ਉੱਥੇ ਮੌਸਮ ਅਤੇ ਭਵਿੱਖਬਾਣੀ ਦਿਖਾਓ
- ਮੌਜੂਦਾ ਸਥਾਨ ਅਤੇ ਪਤਾ ਦਿਖਾਓ
- ਜਿੱਥੇ ਤੁਸੀਂ ਹੋ ਉੱਥੇ ਹਵਾ ਦੀ ਗੁਣਵੱਤਾ ਅਤੇ ਯੂਵੀ ਇੰਡੈਕਸ ਦਿਖਾਓ
- ਕੰਪਾਸ ਵਿੱਚ ਦਿਸ਼ਾ ਦਿਖਾਓ
- ਤੁਸੀਂ ਜਿੱਥੇ ਹੋ ਉੱਥੇ ਸੈਟੇਲਾਈਟ ਸਿਗਨਲ ਦਿਖਾਓ
- ਮੌਸਮ ਦਾ ਨਕਸ਼ਾ ਦਿਖਾਓ
ਇਹ ਹੇਠਾਂ ਦਿੱਤੇ ਟੂਲਸ ਜਾਂ ਉਦੇਸ਼ਾਂ ਲਈ ਤੁਹਾਡੇ ਟਿਕਾਣੇ {{all_time}} ਦੀ ਵਰਤੋਂ ਕਰਦਾ ਹੈ (ਭਾਵੇਂ ਐਪ ਬੰਦ ਹੋਵੇ ਜਾਂ ਵਰਤੋਂ ਵਿੱਚ ਨਾ ਹੋਵੇ)
- GPS ਅਲਾਰਮ (GPS ਅਲਾਰਮ) ਨੂੰ ਚਾਲੂ ਕਰਨ ਲਈ
- ਤੁਹਾਡੀ ਡਿਵਾਈਸ ਦੇ ਟਿਕਾਣੇ ਨੂੰ ਲੌਗ ਕਰਨ ਲਈ (ਡਿਵਾਈਸ ਨੂੰ ਟਰੈਕ ਅਤੇ ਲੱਭੋ)
- ਤੁਹਾਡੇ ਦੁਆਰਾ ਯਾਤਰਾ ਕੀਤੀ ਮਾਰਗ ਦਿਖਾਉਣ ਲਈ (ਟਰੈਕਿੰਗ ਪ੍ਰੋ)
ਡਰਾਈਵਿੰਗ ਰੂਟ ਅਤੇ ਹੋਰ ਸਥਾਨਾਂ ਨਾਲ ਸਬੰਧਤ ਜਾਣਕਾਰੀ ਪ੍ਰਾਪਤ ਕਰਨ ਲਈ, ਅਸੀਂ Google API ਸੇਵਾਵਾਂ ਦੀ ਵਰਤੋਂ ਕਰ ਰਹੇ ਹਾਂ। ਉਹਨਾਂ ਦੀਆਂ ਨੀਤੀਆਂ ਬਾਰੇ ਹੋਰ ਜਾਣਕਾਰੀ ਲਈ, ਤੁਸੀਂ {{google_privacy}} 'ਤੇ ਜਾ ਸਕਦੇ ਹੋ।</v>
      </c>
      <c r="U122" s="4" t="str">
        <f>IFERROR(__xludf.DUMMYFUNCTION("GOOGLETRANSLATE(B122,""en"",""te"")"),"మీరు మా ఉచిత మొబైల్ GPS అప్లికేషన్‌లను ఉపయోగించినప్పుడు, మీరు ఉన్న నగరాన్ని గుర్తించడానికి మరియు స్థాన మ్యాప్‌ను ప్రదర్శించడానికి మీ ప్రస్తుత స్థానాన్ని గుర్తించడానికి మేము GPS సాంకేతికతను (లేదా ఇతర సారూప్య సాంకేతికత) ఉపయోగించవచ్చు. మేము మీ అనుమతి లేకుండా"&amp;" మీ ప్రస్తుత స్థానం లేదా ఏదైనా ఇతర స్థాన డేటాను ఇతర వినియోగదారులు లేదా భాగస్వాములతో భాగస్వామ్యం చేయము.
GPS Tools® యాప్ GPS ఆధారిత అప్లికేషన్ మరియు ఇది మీ స్థానాన్ని {{while_using}} లేదా {{all_time}} (నేపథ్యంలో కూడా) ఉపయోగించే అనేక సాధనాలు/ఉపయోగాలను కలిగి"&amp;" ఉంటుంది.
ఇది క్రింది సాధనాలు లేదా ప్రయోజనాల కోసం మీ స్థానాన్ని {{while_using}} ఉపయోగిస్తుంది:
- ప్రయాణ వేగాన్ని చూపించు (స్పీడోమీటర్)
- మీరు ఎక్కడ ఉన్నారో వాతావరణం మరియు సూచనను చూపండి
- ప్రస్తుత స్థానం మరియు చిరునామాను చూపించు
- మీరు ఉన్న ప్రదేశంలో గాలి"&amp;" నాణ్యత మరియు uv సూచికను చూపండి
- దిక్సూచిలో దిశను చూపించు
- మీరు ఉన్న ప్రదేశంలో శాటిలైట్ సిగ్నల్ చూపించండి
- వాతావరణ మ్యాప్‌ను చూపించు
ఇది క్రింది సాధనాలు లేదా ప్రయోజనాల కోసం మీ స్థానాన్ని {{all_time}} (యాప్ మూసివేయబడినప్పటికీ లేదా ఉపయోగంలో లేనప్పటికీ) "&amp;"ఉపయోగిస్తుంది:
- GPS అలారం (GPS అలారం) ట్రిగ్గర్ చేయడానికి
- మీ పరికరం యొక్క స్థానాన్ని లాగ్ చేయడానికి (ట్రాక్ &amp; పరికరాన్ని కనుగొనండి)
- మీరు ప్రయాణించిన మార్గాన్ని చూపించడానికి (ట్రెక్కింగ్ ప్రో)
డ్రైవింగ్ మార్గం మరియు ఇతర స్థలాలకు సంబంధించిన సమాచారాన్న"&amp;"ి పొందడానికి, మేము Google API సేవలను ఉపయోగిస్తున్నాము. వారి విధానాల గురించి మరింత సమాచారం కోసం, మీరు {{google_privacy}}ని సందర్శించవచ్చు.")</f>
        <v>మీరు మా ఉచిత మొబైల్ GPS అప్లికేషన్‌లను ఉపయోగించినప్పుడు, మీరు ఉన్న నగరాన్ని గుర్తించడానికి మరియు స్థాన మ్యాప్‌ను ప్రదర్శించడానికి మీ ప్రస్తుత స్థానాన్ని గుర్తించడానికి మేము GPS సాంకేతికతను (లేదా ఇతర సారూప్య సాంకేతికత) ఉపయోగించవచ్చు. మేము మీ అనుమతి లేకుండా మీ ప్రస్తుత స్థానం లేదా ఏదైనా ఇతర స్థాన డేటాను ఇతర వినియోగదారులు లేదా భాగస్వాములతో భాగస్వామ్యం చేయము.
GPS Tools® యాప్ GPS ఆధారిత అప్లికేషన్ మరియు ఇది మీ స్థానాన్ని {{while_using}} లేదా {{all_time}} (నేపథ్యంలో కూడా) ఉపయోగించే అనేక సాధనాలు/ఉపయోగాలను కలిగి ఉంటుంది.
ఇది క్రింది సాధనాలు లేదా ప్రయోజనాల కోసం మీ స్థానాన్ని {{while_using}} ఉపయోగిస్తుంది:
- ప్రయాణ వేగాన్ని చూపించు (స్పీడోమీటర్)
- మీరు ఎక్కడ ఉన్నారో వాతావరణం మరియు సూచనను చూపండి
- ప్రస్తుత స్థానం మరియు చిరునామాను చూపించు
- మీరు ఉన్న ప్రదేశంలో గాలి నాణ్యత మరియు uv సూచికను చూపండి
- దిక్సూచిలో దిశను చూపించు
- మీరు ఉన్న ప్రదేశంలో శాటిలైట్ సిగ్నల్ చూపించండి
- వాతావరణ మ్యాప్‌ను చూపించు
ఇది క్రింది సాధనాలు లేదా ప్రయోజనాల కోసం మీ స్థానాన్ని {{all_time}} (యాప్ మూసివేయబడినప్పటికీ లేదా ఉపయోగంలో లేనప్పటికీ) ఉపయోగిస్తుంది:
- GPS అలారం (GPS అలారం) ట్రిగ్గర్ చేయడానికి
- మీ పరికరం యొక్క స్థానాన్ని లాగ్ చేయడానికి (ట్రాక్ &amp; పరికరాన్ని కనుగొనండి)
- మీరు ప్రయాణించిన మార్గాన్ని చూపించడానికి (ట్రెక్కింగ్ ప్రో)
డ్రైవింగ్ మార్గం మరియు ఇతర స్థలాలకు సంబంధించిన సమాచారాన్ని పొందడానికి, మేము Google API సేవలను ఉపయోగిస్తున్నాము. వారి విధానాల గురించి మరింత సమాచారం కోసం, మీరు {{google_privacy}}ని సందర్శించవచ్చు.</v>
      </c>
      <c r="V122" s="4" t="str">
        <f>IFERROR(__xludf.DUMMYFUNCTION("GOOGLETRANSLATE(B122,""en"",""kn"")"),"ನೀವು ನಮ್ಮ ಉಚಿತ ಮೊಬೈಲ್ GPS ಅಪ್ಲಿಕೇಶನ್‌ಗಳನ್ನು ಬಳಸಿದಾಗ, ನೀವು ಇರುವ ನಗರವನ್ನು ನಿರ್ಧರಿಸಲು ಮತ್ತು ಸ್ಥಳ ನಕ್ಷೆಯನ್ನು ಪ್ರದರ್ಶಿಸಲು ನಿಮ್ಮ ಪ್ರಸ್ತುತ ಸ್ಥಳವನ್ನು ನಿರ್ಧರಿಸಲು ನಾವು GPS ತಂತ್ರಜ್ಞಾನವನ್ನು (ಅಥವಾ ಇತರ ರೀತಿಯ ತಂತ್ರಜ್ಞಾನ) ಬಳಸಬಹುದು. ನಿಮ್ಮ ಅನುಮತಿಯಿಲ್ಲದೆ ನಾವು ನಿಮ್ಮ ಪ್ರಸ್ತುತ"&amp;" ಸ್ಥಳ ಅಥವಾ ಇತರ ಯಾವುದೇ ಸ್ಥಳ ಡೇಟಾವನ್ನು ಇತರ ಬಳಕೆದಾರರು ಅಥವಾ ಪಾಲುದಾರರೊಂದಿಗೆ ಹಂಚಿಕೊಳ್ಳುವುದಿಲ್ಲ.
GPS Tools® ಅಪ್ಲಿಕೇಶನ್ GPS ಆಧಾರಿತ ಅಪ್ಲಿಕೇಶನ್‌ ಆಗಿರುವುದರಿಂದ ನಿಮ್ಮ ಸ್ಥಳವನ್ನು {{while_using}} ಅಥವಾ {{all_time}} (ಹಿನ್ನೆಲೆಯಲ್ಲಿಯೂ ಸಹ) ಬಳಸುವ ಹಲವು ಉಪಕರಣಗಳು/ಉಪಯುಕ್ತತೆಗಳನ್ನು"&amp;" ಇದು ಒಳಗೊಂಡಿದೆ.
ಇದು ಕೆಳಗಿನ ಉಪಕರಣಗಳು ಅಥವಾ ಉದ್ದೇಶಗಳಿಗಾಗಿ ನಿಮ್ಮ ಸ್ಥಳವನ್ನು {{while_using}} ಬಳಸುತ್ತದೆ:
- ಪ್ರಯಾಣದ ವೇಗವನ್ನು ತೋರಿಸು (ಸ್ಪೀಡೋಮೀಟರ್)
- ನೀವು ಇರುವ ಸ್ಥಳದಲ್ಲಿ ಹವಾಮಾನ ಮತ್ತು ಮುನ್ಸೂಚನೆಯನ್ನು ತೋರಿಸಿ
- ಪ್ರಸ್ತುತ ಸ್ಥಳ ಮತ್ತು ವಿಳಾಸವನ್ನು ತೋರಿಸಿ
- ನೀವು ಇರುವ ಸ್ಥಳದಲ್"&amp;"ಲಿ ಗಾಳಿಯ ಗುಣಮಟ್ಟ ಮತ್ತು ಯುವಿ ಸೂಚ್ಯಂಕವನ್ನು ತೋರಿಸಿ
- ದಿಕ್ಸೂಚಿಯಲ್ಲಿ ದಿಕ್ಕನ್ನು ತೋರಿಸಿ
- ನೀವು ಇರುವ ಸ್ಥಳದಲ್ಲಿ ಉಪಗ್ರಹ ಸಂಕೇತವನ್ನು ತೋರಿಸಿ
- ಹವಾಮಾನ ನಕ್ಷೆಯನ್ನು ತೋರಿಸಿ
ಇದು ನಿಮ್ಮ ಸ್ಥಳವನ್ನು {{all_time}} (ಅಪ್ಲಿಕೇಶನ್ ಮುಚ್ಚಿರುವಾಗ ಅಥವಾ ಬಳಕೆಯಲ್ಲಿಲ್ಲದಿದ್ದರೂ) ಈ ಕೆಳಗಿನ ಪರಿಕರಗಳ"&amp;"ು ಅಥವಾ ಉದ್ದೇಶಗಳಿಗಾಗಿ ಬಳಸುತ್ತದೆ:
- ಜಿಪಿಎಸ್ ಅಲಾರ್ಮ್ (ಜಿಪಿಎಸ್ ಅಲಾರ್ಮ್) ಅನ್ನು ಪ್ರಚೋದಿಸಲು
- ನಿಮ್ಮ ಸಾಧನದ ಸ್ಥಳವನ್ನು ಲಾಗ್ ಮಾಡಲು (ಟ್ರ್ಯಾಕ್ ಮತ್ತು ಸಾಧನವನ್ನು ಹುಡುಕಿ)
- ನೀವು ಪ್ರಯಾಣಿಸಿದ ಮಾರ್ಗವನ್ನು ತೋರಿಸಲು (ಟ್ರೆಕ್ಕಿಂಗ್ ಪ್ರೊ)
ಡ್ರೈವಿಂಗ್ ಮಾರ್ಗ ಮತ್ತು ಇತರ ಸ್ಥಳಗಳಿಗೆ ಸಂಬಂಧಿಸಿ"&amp;"ದ ಮಾಹಿತಿಯನ್ನು ಪಡೆಯಲು, ನಾವು Google API ಸೇವೆಗಳನ್ನು ಬಳಸುತ್ತಿದ್ದೇವೆ. ಅವರ ನೀತಿಗಳ ಕುರಿತು ಹೆಚ್ಚಿನ ಮಾಹಿತಿಗಾಗಿ, ನೀವು {{google_privacy}} ಗೆ ಭೇಟಿ ನೀಡಬಹುದು.")</f>
        <v>ನೀವು ನಮ್ಮ ಉಚಿತ ಮೊಬೈಲ್ GPS ಅಪ್ಲಿಕೇಶನ್‌ಗಳನ್ನು ಬಳಸಿದಾಗ, ನೀವು ಇರುವ ನಗರವನ್ನು ನಿರ್ಧರಿಸಲು ಮತ್ತು ಸ್ಥಳ ನಕ್ಷೆಯನ್ನು ಪ್ರದರ್ಶಿಸಲು ನಿಮ್ಮ ಪ್ರಸ್ತುತ ಸ್ಥಳವನ್ನು ನಿರ್ಧರಿಸಲು ನಾವು GPS ತಂತ್ರಜ್ಞಾನವನ್ನು (ಅಥವಾ ಇತರ ರೀತಿಯ ತಂತ್ರಜ್ಞಾನ) ಬಳಸಬಹುದು. ನಿಮ್ಮ ಅನುಮತಿಯಿಲ್ಲದೆ ನಾವು ನಿಮ್ಮ ಪ್ರಸ್ತುತ ಸ್ಥಳ ಅಥವಾ ಇತರ ಯಾವುದೇ ಸ್ಥಳ ಡೇಟಾವನ್ನು ಇತರ ಬಳಕೆದಾರರು ಅಥವಾ ಪಾಲುದಾರರೊಂದಿಗೆ ಹಂಚಿಕೊಳ್ಳುವುದಿಲ್ಲ.
GPS Tools® ಅಪ್ಲಿಕೇಶನ್ GPS ಆಧಾರಿತ ಅಪ್ಲಿಕೇಶನ್‌ ಆಗಿರುವುದರಿಂದ ನಿಮ್ಮ ಸ್ಥಳವನ್ನು {{while_using}} ಅಥವಾ {{all_time}} (ಹಿನ್ನೆಲೆಯಲ್ಲಿಯೂ ಸಹ) ಬಳಸುವ ಹಲವು ಉಪಕರಣಗಳು/ಉಪಯುಕ್ತತೆಗಳನ್ನು ಇದು ಒಳಗೊಂಡಿದೆ.
ಇದು ಕೆಳಗಿನ ಉಪಕರಣಗಳು ಅಥವಾ ಉದ್ದೇಶಗಳಿಗಾಗಿ ನಿಮ್ಮ ಸ್ಥಳವನ್ನು {{while_using}} ಬಳಸುತ್ತದೆ:
- ಪ್ರಯಾಣದ ವೇಗವನ್ನು ತೋರಿಸು (ಸ್ಪೀಡೋಮೀಟರ್)
- ನೀವು ಇರುವ ಸ್ಥಳದಲ್ಲಿ ಹವಾಮಾನ ಮತ್ತು ಮುನ್ಸೂಚನೆಯನ್ನು ತೋರಿಸಿ
- ಪ್ರಸ್ತುತ ಸ್ಥಳ ಮತ್ತು ವಿಳಾಸವನ್ನು ತೋರಿಸಿ
- ನೀವು ಇರುವ ಸ್ಥಳದಲ್ಲಿ ಗಾಳಿಯ ಗುಣಮಟ್ಟ ಮತ್ತು ಯುವಿ ಸೂಚ್ಯಂಕವನ್ನು ತೋರಿಸಿ
- ದಿಕ್ಸೂಚಿಯಲ್ಲಿ ದಿಕ್ಕನ್ನು ತೋರಿಸಿ
- ನೀವು ಇರುವ ಸ್ಥಳದಲ್ಲಿ ಉಪಗ್ರಹ ಸಂಕೇತವನ್ನು ತೋರಿಸಿ
- ಹವಾಮಾನ ನಕ್ಷೆಯನ್ನು ತೋರಿಸಿ
ಇದು ನಿಮ್ಮ ಸ್ಥಳವನ್ನು {{all_time}} (ಅಪ್ಲಿಕೇಶನ್ ಮುಚ್ಚಿರುವಾಗ ಅಥವಾ ಬಳಕೆಯಲ್ಲಿಲ್ಲದಿದ್ದರೂ) ಈ ಕೆಳಗಿನ ಪರಿಕರಗಳು ಅಥವಾ ಉದ್ದೇಶಗಳಿಗಾಗಿ ಬಳಸುತ್ತದೆ:
- ಜಿಪಿಎಸ್ ಅಲಾರ್ಮ್ (ಜಿಪಿಎಸ್ ಅಲಾರ್ಮ್) ಅನ್ನು ಪ್ರಚೋದಿಸಲು
- ನಿಮ್ಮ ಸಾಧನದ ಸ್ಥಳವನ್ನು ಲಾಗ್ ಮಾಡಲು (ಟ್ರ್ಯಾಕ್ ಮತ್ತು ಸಾಧನವನ್ನು ಹುಡುಕಿ)
- ನೀವು ಪ್ರಯಾಣಿಸಿದ ಮಾರ್ಗವನ್ನು ತೋರಿಸಲು (ಟ್ರೆಕ್ಕಿಂಗ್ ಪ್ರೊ)
ಡ್ರೈವಿಂಗ್ ಮಾರ್ಗ ಮತ್ತು ಇತರ ಸ್ಥಳಗಳಿಗೆ ಸಂಬಂಧಿಸಿದ ಮಾಹಿತಿಯನ್ನು ಪಡೆಯಲು, ನಾವು Google API ಸೇವೆಗಳನ್ನು ಬಳಸುತ್ತಿದ್ದೇವೆ. ಅವರ ನೀತಿಗಳ ಕುರಿತು ಹೆಚ್ಚಿನ ಮಾಹಿತಿಗಾಗಿ, ನೀವು {{google_privacy}} ಗೆ ಭೇಟಿ ನೀಡಬಹುದು.</v>
      </c>
      <c r="W122" s="4" t="str">
        <f>IFERROR(__xludf.DUMMYFUNCTION("GOOGLETRANSLATE(B122,""en"",""ml"")"),"നിങ്ങൾ ഞങ്ങളുടെ സൗജന്യ മൊബൈൽ GPS ആപ്ലിക്കേഷനുകൾ ഉപയോഗിക്കുമ്പോൾ, നിങ്ങൾ സ്ഥിതിചെയ്യുന്ന നഗരം നിർണ്ണയിക്കുന്നതിനും ഒരു ലൊക്കേഷൻ മാപ്പ് പ്രദർശിപ്പിക്കുന്നതിനും നിങ്ങളുടെ നിലവിലെ സ്ഥാനം നിർണ്ണയിക്കാൻ ഞങ്ങൾ GPS സാങ്കേതികവിദ്യ (അല്ലെങ്കിൽ സമാനമായ മറ്റ് സാങ്കേത"&amp;"ികവിദ്യ) ഉപയോഗിച്ചേക്കാം. നിങ്ങളുടെ അനുമതിയില്ലാതെ ഞങ്ങൾ നിങ്ങളുടെ നിലവിലെ ലൊക്കേഷനോ മറ്റേതെങ്കിലും ലൊക്കേഷൻ ഡാറ്റയോ മറ്റ് ഉപയോക്താക്കളുമായോ പങ്കാളികളുമായോ പങ്കിടില്ല.
GPS Tools® ആപ്പ് ഒരു GPS അധിഷ്‌ഠിത ആപ്ലിക്കേഷനായതിനാൽ നിങ്ങളുടെ {{while_using}} അല്ലെങ"&amp;"്കിൽ {{all_time}} (പശ്ചാത്തലത്തിൽ പോലും) ഉപയോഗിക്കുന്ന നിരവധി ടൂളുകൾ/യൂട്ടിലിറ്റികൾ ഇതിൽ അടങ്ങിയിരിക്കുന്നു.
ഇനിപ്പറയുന്ന ഉപകരണങ്ങൾക്കോ ​​ഉദ്ദേശ്യങ്ങൾക്കോ ​​ഇത് നിങ്ങളുടെ സ്ഥാനം {{while_using}} ഉപയോഗിക്കുന്നു:
- യാത്രാ വേഗത കാണിക്കുക (സ്പീഡോമീറ്റർ)
- നിങ"&amp;"്ങൾ എവിടെയാണെന്ന് കാലാവസ്ഥയും പ്രവചനവും കാണിക്കുക
- നിലവിലെ സ്ഥാനവും വിലാസവും കാണിക്കുക
- നിങ്ങൾ എവിടെയാണെന്ന് എയർ നിലവാരവും യുവി സൂചികയും കാണിക്കുക
- കോമ്പസിൽ ദിശ കാണിക്കുക
- നിങ്ങൾ എവിടെയാണെന്ന് സാറ്റലൈറ്റ് സിഗ്നൽ കാണിക്കുക
- കാലാവസ്ഥാ മാപ്പ് കാണിക്കുക
"&amp;"
ഇനിപ്പറയുന്ന ഉപകരണങ്ങൾക്കും ഉദ്ദേശ്യങ്ങൾക്കുമായി ഇത് നിങ്ങളുടെ {{all_time}} ലൊക്കേഷൻ ഉപയോഗിക്കുന്നു (ആപ്പ് അടച്ചിരിക്കുമ്പോഴോ ഉപയോഗത്തിലില്ലെങ്കിലും)
- GPS അലാറം (GPS അലാറം) പ്രവർത്തനക്ഷമമാക്കാൻ
- നിങ്ങളുടെ ഉപകരണത്തിൻ്റെ സ്ഥാനം ലോഗ് ചെയ്യാൻ (ട്രാക്ക് &amp; ഉ"&amp;"പകരണം കണ്ടെത്തുക)
- നിങ്ങൾ സഞ്ചരിച്ച പാത കാണിക്കാൻ (ട്രെക്കിംഗ് പ്രോ)
ഡ്രൈവിംഗ് റൂട്ടും മറ്റ് സ്ഥലങ്ങളുമായി ബന്ധപ്പെട്ട വിവരങ്ങളും ലഭിക്കുന്നതിന്, ഞങ്ങൾ Google API സേവനങ്ങൾ ഉപയോഗിക്കുന്നു. അവരുടെ നയങ്ങളെക്കുറിച്ചുള്ള കൂടുതൽ വിവരങ്ങൾക്ക്, നിങ്ങൾക്ക് {{goo"&amp;"gle_privacy}} സന്ദർശിക്കാവുന്നതാണ്.")</f>
        <v>നിങ്ങൾ ഞങ്ങളുടെ സൗജന്യ മൊബൈൽ GPS ആപ്ലിക്കേഷനുകൾ ഉപയോഗിക്കുമ്പോൾ, നിങ്ങൾ സ്ഥിതിചെയ്യുന്ന നഗരം നിർണ്ണയിക്കുന്നതിനും ഒരു ലൊക്കേഷൻ മാപ്പ് പ്രദർശിപ്പിക്കുന്നതിനും നിങ്ങളുടെ നിലവിലെ സ്ഥാനം നിർണ്ണയിക്കാൻ ഞങ്ങൾ GPS സാങ്കേതികവിദ്യ (അല്ലെങ്കിൽ സമാനമായ മറ്റ് സാങ്കേതികവിദ്യ) ഉപയോഗിച്ചേക്കാം. നിങ്ങളുടെ അനുമതിയില്ലാതെ ഞങ്ങൾ നിങ്ങളുടെ നിലവിലെ ലൊക്കേഷനോ മറ്റേതെങ്കിലും ലൊക്കേഷൻ ഡാറ്റയോ മറ്റ് ഉപയോക്താക്കളുമായോ പങ്കാളികളുമായോ പങ്കിടില്ല.
GPS Tools® ആപ്പ് ഒരു GPS അധിഷ്‌ഠിത ആപ്ലിക്കേഷനായതിനാൽ നിങ്ങളുടെ {{while_using}} അല്ലെങ്കിൽ {{all_time}} (പശ്ചാത്തലത്തിൽ പോലും) ഉപയോഗിക്കുന്ന നിരവധി ടൂളുകൾ/യൂട്ടിലിറ്റികൾ ഇതിൽ അടങ്ങിയിരിക്കുന്നു.
ഇനിപ്പറയുന്ന ഉപകരണങ്ങൾക്കോ ​​ഉദ്ദേശ്യങ്ങൾക്കോ ​​ഇത് നിങ്ങളുടെ സ്ഥാനം {{while_using}} ഉപയോഗിക്കുന്നു:
- യാത്രാ വേഗത കാണിക്കുക (സ്പീഡോമീറ്റർ)
- നിങ്ങൾ എവിടെയാണെന്ന് കാലാവസ്ഥയും പ്രവചനവും കാണിക്കുക
- നിലവിലെ സ്ഥാനവും വിലാസവും കാണിക്കുക
- നിങ്ങൾ എവിടെയാണെന്ന് എയർ നിലവാരവും യുവി സൂചികയും കാണിക്കുക
- കോമ്പസിൽ ദിശ കാണിക്കുക
- നിങ്ങൾ എവിടെയാണെന്ന് സാറ്റലൈറ്റ് സിഗ്നൽ കാണിക്കുക
- കാലാവസ്ഥാ മാപ്പ് കാണിക്കുക
ഇനിപ്പറയുന്ന ഉപകരണങ്ങൾക്കും ഉദ്ദേശ്യങ്ങൾക്കുമായി ഇത് നിങ്ങളുടെ {{all_time}} ലൊക്കേഷൻ ഉപയോഗിക്കുന്നു (ആപ്പ് അടച്ചിരിക്കുമ്പോഴോ ഉപയോഗത്തിലില്ലെങ്കിലും)
- GPS അലാറം (GPS അലാറം) പ്രവർത്തനക്ഷമമാക്കാൻ
- നിങ്ങളുടെ ഉപകരണത്തിൻ്റെ സ്ഥാനം ലോഗ് ചെയ്യാൻ (ട്രാക്ക് &amp; ഉപകരണം കണ്ടെത്തുക)
- നിങ്ങൾ സഞ്ചരിച്ച പാത കാണിക്കാൻ (ട്രെക്കിംഗ് പ്രോ)
ഡ്രൈവിംഗ് റൂട്ടും മറ്റ് സ്ഥലങ്ങളുമായി ബന്ധപ്പെട്ട വിവരങ്ങളും ലഭിക്കുന്നതിന്, ഞങ്ങൾ Google API സേവനങ്ങൾ ഉപയോഗിക്കുന്നു. അവരുടെ നയങ്ങളെക്കുറിച്ചുള്ള കൂടുതൽ വിവരങ്ങൾക്ക്, നിങ്ങൾക്ക് {{google_privacy}} സന്ദർശിക്കാവുന്നതാണ്.</v>
      </c>
      <c r="X122" s="4" t="str">
        <f>IFERROR(__xludf.DUMMYFUNCTION("GOOGLETRANSLATE(B122,""en"",""th"")"),"เมื่อคุณใช้แอปพลิเคชัน GPS บนมือถือฟรีของเรา เราอาจใช้เทคโนโลยี GPS (หรือเทคโนโลยีที่คล้ายคลึงกัน) เพื่อระบุตำแหน่งปัจจุบันของคุณ เพื่อระบุเมืองที่คุณอยู่ภายในและแสดงแผนที่ตำแหน่ง เราจะไม่แบ่งปันตำแหน่งปัจจุบันของคุณหรือข้อมูลตำแหน่งอื่นใดกับผู้ใช้หรือพัน"&amp;"ธมิตรรายอื่นโดยไม่ได้รับอนุญาตจากคุณ
เนื่องจากแอป GPS Tools® เป็นแอปพลิเคชันที่ใช้ GPS และมีเครื่องมือ/ยูทิลิตี้จำนวนมากที่ใช้ตำแหน่งของคุณ {{while_using}} หรือ {{all_time}} (แม้กระทั่งในพื้นหลังด้วย)
จะใช้ตำแหน่งของคุณ {{while_using}} เพื่อเครื่องมือหร"&amp;"ือวัตถุประสงค์ต่อไปนี้:
- แสดงความเร็วในการเดินทาง (มาตรวัดความเร็ว)
- แสดงสภาพอากาศและพยากรณ์อากาศที่ตำแหน่งที่คุณอยู่
- แสดงตำแหน่งและที่อยู่ปัจจุบัน
- แสดงคุณภาพอากาศและดัชนี UV ที่ตำแหน่งที่คุณอยู่
- แสดงทิศทางในเข็มทิศ
- แสดงสัญญาณดาวเทียมที่ตำแหน่งท"&amp;"ี่คุณอยู่
- แสดงแผนที่สภาพอากาศ
จะใช้ตำแหน่งของคุณ {{all_time}} (แม้ว่าแอปจะปิดอยู่หรือไม่ได้ใช้งาน) เพื่อเครื่องมือหรือวัตถุประสงค์ต่อไปนี้:
- เพื่อเปิดใช้งานการแจ้งเตือน GPS (การแจ้งเตือน GPS)
- เพื่อบันทึกตำแหน่งของอุปกรณ์ของคุณ (ติดตามและค้นหาอุปกรณ์"&amp;")
- เพื่อแสดงเส้นทางที่คุณเดินทาง (Trekking Pro)
เราใช้บริการ Google API เพื่อรับข้อมูลเส้นทางการขับรถและสถานที่อื่นๆ สำหรับข้อมูลเพิ่มเติมเกี่ยวกับนโยบายของเรา คุณสามารถไปที่ {{google_privacy}}")</f>
        <v>เมื่อคุณใช้แอปพลิเคชัน GPS บนมือถือฟรีของเรา เราอาจใช้เทคโนโลยี GPS (หรือเทคโนโลยีที่คล้ายคลึงกัน) เพื่อระบุตำแหน่งปัจจุบันของคุณ เพื่อระบุเมืองที่คุณอยู่ภายในและแสดงแผนที่ตำแหน่ง เราจะไม่แบ่งปันตำแหน่งปัจจุบันของคุณหรือข้อมูลตำแหน่งอื่นใดกับผู้ใช้หรือพันธมิตรรายอื่นโดยไม่ได้รับอนุญาตจากคุณ
เนื่องจากแอป GPS Tools® เป็นแอปพลิเคชันที่ใช้ GPS และมีเครื่องมือ/ยูทิลิตี้จำนวนมากที่ใช้ตำแหน่งของคุณ {{while_using}} หรือ {{all_time}} (แม้กระทั่งในพื้นหลังด้วย)
จะใช้ตำแหน่งของคุณ {{while_using}} เพื่อเครื่องมือหรือวัตถุประสงค์ต่อไปนี้:
- แสดงความเร็วในการเดินทาง (มาตรวัดความเร็ว)
- แสดงสภาพอากาศและพยากรณ์อากาศที่ตำแหน่งที่คุณอยู่
- แสดงตำแหน่งและที่อยู่ปัจจุบัน
- แสดงคุณภาพอากาศและดัชนี UV ที่ตำแหน่งที่คุณอยู่
- แสดงทิศทางในเข็มทิศ
- แสดงสัญญาณดาวเทียมที่ตำแหน่งที่คุณอยู่
- แสดงแผนที่สภาพอากาศ
จะใช้ตำแหน่งของคุณ {{all_time}} (แม้ว่าแอปจะปิดอยู่หรือไม่ได้ใช้งาน) เพื่อเครื่องมือหรือวัตถุประสงค์ต่อไปนี้:
- เพื่อเปิดใช้งานการแจ้งเตือน GPS (การแจ้งเตือน GPS)
- เพื่อบันทึกตำแหน่งของอุปกรณ์ของคุณ (ติดตามและค้นหาอุปกรณ์)
- เพื่อแสดงเส้นทางที่คุณเดินทาง (Trekking Pro)
เราใช้บริการ Google API เพื่อรับข้อมูลเส้นทางการขับรถและสถานที่อื่นๆ สำหรับข้อมูลเพิ่มเติมเกี่ยวกับนโยบายของเรา คุณสามารถไปที่ {{google_privacy}}</v>
      </c>
      <c r="Y122" s="4" t="str">
        <f>IFERROR(__xludf.DUMMYFUNCTION("GOOGLETRANSLATE(B122,""en"",""ko"")"),"무료 모바일 GPS 애플리케이션을 사용하시는 경우, 당사는 GPS 기술(또는 기타 유사 기술)을 사용하여 현재 위치를 파악하고, 귀하가 위치한 도시를 파악하여 위치 지도를 표시할 수 있습니다. 당사는 귀하의 동의 없이 귀하의 현재 위치 또는 기타 위치 데이터를 다른 사용자 또는 파트너와 공유하지 않습니다.
GPS Tools® 앱은 GPS 기반 애플리케이션으로, {{while_using}} 또는 {{all_time}} 동안(백그라운드에서도) 귀하의 위치"&amp;"를 ​​사용하는 다양한 도구/유틸리티를 포함하고 있습니다.
다음 도구 또는 목적을 위해 {{while_using}} 동안 사용자의 위치 정보를 사용합니다.
- 이동 속도 표시(속도계)
- 현재 위치의 날씨 및 예보 표시
- 현재 위치 및 주소 표시
- 현재 위치의 대기질 및 자외선 지수 표시
- 나침반 방향 표시
- 현재 위치의 위성 신호 표시
- 날씨 지도 표시
다음 도구 또는 목적을 위해 {{all_time}} 동안 사용자의 위치 정보를 사용합니"&amp;"다(앱이 닫혀 있거나 사용 중이 아닐 때에도).
- GPS 알람 작동(GPS 알람)
- 기기 위치 기록(기기 추적 및 찾기)
- 이동 경로 표시(트레킹 프로)
운전 경로 및 기타 장소 관련 정보를 얻기 위해 Google API 서비스를 사용하고 있습니다. Google API 정책에 대한 자세한 내용은 {{google_privacy}} 페이지를 참조하세요.")</f>
        <v>무료 모바일 GPS 애플리케이션을 사용하시는 경우, 당사는 GPS 기술(또는 기타 유사 기술)을 사용하여 현재 위치를 파악하고, 귀하가 위치한 도시를 파악하여 위치 지도를 표시할 수 있습니다. 당사는 귀하의 동의 없이 귀하의 현재 위치 또는 기타 위치 데이터를 다른 사용자 또는 파트너와 공유하지 않습니다.
GPS Tools® 앱은 GPS 기반 애플리케이션으로, {{while_using}} 또는 {{all_time}} 동안(백그라운드에서도) 귀하의 위치를 ​​사용하는 다양한 도구/유틸리티를 포함하고 있습니다.
다음 도구 또는 목적을 위해 {{while_using}} 동안 사용자의 위치 정보를 사용합니다.
- 이동 속도 표시(속도계)
- 현재 위치의 날씨 및 예보 표시
- 현재 위치 및 주소 표시
- 현재 위치의 대기질 및 자외선 지수 표시
- 나침반 방향 표시
- 현재 위치의 위성 신호 표시
- 날씨 지도 표시
다음 도구 또는 목적을 위해 {{all_time}} 동안 사용자의 위치 정보를 사용합니다(앱이 닫혀 있거나 사용 중이 아닐 때에도).
- GPS 알람 작동(GPS 알람)
- 기기 위치 기록(기기 추적 및 찾기)
- 이동 경로 표시(트레킹 프로)
운전 경로 및 기타 장소 관련 정보를 얻기 위해 Google API 서비스를 사용하고 있습니다. Google API 정책에 대한 자세한 내용은 {{google_privacy}} 페이지를 참조하세요.</v>
      </c>
      <c r="Z122" s="4" t="str">
        <f>IFERROR(__xludf.DUMMYFUNCTION("GOOGLETRANSLATE(B122,""en"",""zh"")"),"当您使用我们的免费移动 GPS 应用时，我们可能会使用 GPS 技术（或其他类似技术）确定您的当前位置，以便确定您所在的城市并显示位置地图。未经您的许可，我们不会与其他用户或合作伙伴共享您的当前位置或任何其他位置数据。
由于 GPS Tools® 应用是一款基于 GPS 的应用，它包含许多工具/实用程序，会在 {{while_using}} 或 {{all_time}} （甚至在后台）使用您的位置信息。
它会将您的位置信息 {{while_using}} 用于以下用途：
- 显示行驶速度（车速表）
-"&amp;" 显示您所在位置的天气和预报
- 显示当前位置和地址
- 显示您所在位置的空气质量和紫外线指数
- 显示指南针方向
- 显示您所在位置的卫星信号
- 显示天气图
它会将您的位置信息 {{all_time}}（即使应用已关闭或未使用）用于以下用途：
- 触发 GPS 闹钟（GPS 闹钟）
- 记录您的设备位置（追踪和查找设备）
- 显示您的行驶路径（Trekking Pro）
为了获取行车路线和其他地点相关信息，我们使用 Google API 服务。有关其政策的更多信息，请访问 {{google_pri"&amp;"vacy}}。")</f>
        <v>当您使用我们的免费移动 GPS 应用时，我们可能会使用 GPS 技术（或其他类似技术）确定您的当前位置，以便确定您所在的城市并显示位置地图。未经您的许可，我们不会与其他用户或合作伙伴共享您的当前位置或任何其他位置数据。
由于 GPS Tools® 应用是一款基于 GPS 的应用，它包含许多工具/实用程序，会在 {{while_using}} 或 {{all_time}} （甚至在后台）使用您的位置信息。
它会将您的位置信息 {{while_using}} 用于以下用途：
- 显示行驶速度（车速表）
- 显示您所在位置的天气和预报
- 显示当前位置和地址
- 显示您所在位置的空气质量和紫外线指数
- 显示指南针方向
- 显示您所在位置的卫星信号
- 显示天气图
它会将您的位置信息 {{all_time}}（即使应用已关闭或未使用）用于以下用途：
- 触发 GPS 闹钟（GPS 闹钟）
- 记录您的设备位置（追踪和查找设备）
- 显示您的行驶路径（Trekking Pro）
为了获取行车路线和其他地点相关信息，我们使用 Google API 服务。有关其政策的更多信息，请访问 {{google_privacy}}。</v>
      </c>
      <c r="AA122" s="4" t="str">
        <f>IFERROR(__xludf.DUMMYFUNCTION("GOOGLETRANSLATE(B122,""en"",""zh-TW"")"),"當您使用我們的免費行動 GPS 應用程式時，我們可能會使用 GPS 技術（或其他類似技術）來確定您目前的位置，以便確定您所在的城市並顯示位置地圖。未經您的許可，我們不會與其他使用者或合作夥伴分享您的目前位置或任何其他位置資料。
由於 GPS Tools® 應用是一款基於 GPS 的應用，它包含許多工具/實用程序，會在 {{while_using}} 或 {{all_time}} （甚至在背景）使用您的位置資訊。
它會將您的位置資訊 {{while_using}} 用於以下用途：
- 顯示行駛速度（車速"&amp;"表）
- 顯示您所在位置的天氣和預報
- 顯示目前位置和位址
- 顯示您所在位置的空氣品質和紫外線指數
- 顯示指南針方向
- 顯示您所在位置的衛星訊號
- 顯示天氣圖
它會將您的位置資訊 {{all_time}}（即使應用程式已關閉或未使用）用於以下用途：
- 觸發 GPS 鬧鐘（GPS 鬧鐘）
- 記錄您的設備位置（追蹤並尋找設備）
- 顯示您的行駛路徑（Trekking Pro）
為了獲取行車路線和其他地點相關信息，我們使用 Google API 服務。有關其政策的更多信息，請訪問 {{goog"&amp;"le_privacy}}。")</f>
        <v>當您使用我們的免費行動 GPS 應用程式時，我們可能會使用 GPS 技術（或其他類似技術）來確定您目前的位置，以便確定您所在的城市並顯示位置地圖。未經您的許可，我們不會與其他使用者或合作夥伴分享您的目前位置或任何其他位置資料。
由於 GPS Tools® 應用是一款基於 GPS 的應用，它包含許多工具/實用程序，會在 {{while_using}} 或 {{all_time}} （甚至在背景）使用您的位置資訊。
它會將您的位置資訊 {{while_using}} 用於以下用途：
- 顯示行駛速度（車速表）
- 顯示您所在位置的天氣和預報
- 顯示目前位置和位址
- 顯示您所在位置的空氣品質和紫外線指數
- 顯示指南針方向
- 顯示您所在位置的衛星訊號
- 顯示天氣圖
它會將您的位置資訊 {{all_time}}（即使應用程式已關閉或未使用）用於以下用途：
- 觸發 GPS 鬧鐘（GPS 鬧鐘）
- 記錄您的設備位置（追蹤並尋找設備）
- 顯示您的行駛路徑（Trekking Pro）
為了獲取行車路線和其他地點相關信息，我們使用 Google API 服務。有關其政策的更多信息，請訪問 {{google_privacy}}。</v>
      </c>
      <c r="AB122" s="4" t="str">
        <f>IFERROR(__xludf.DUMMYFUNCTION("GOOGLETRANSLATE(B122,""en"",""ja"")"),"当社の無料モバイルGPSアプリケーションをご利用いただく際、お客様の現在位置を特定し、現在地の都市を特定して地図を表示するため、GPS技術（または類似の技術）を使用する場合があります。お客様の許可なく、お客様の現在位置やその他の位置情報を他のユーザーやパートナーと共有することはありません。
GPS Tools®アプリはGPSベースのアプリケーションであり、お客様の位置情報を{{使用中}}または{{常時}}（バックグラウンドでも）使用する多くのツール/ユーティリティが含まれています。
あなたの位置情報は"&amp;"、以下のツールまたは目的で{{while_using}}使用しています。
- 移動速度の表示（スピードメーター）
- 現在地の天気と予報の表示
- 現在地と住所の表示
- 現在地の空気質と紫外線指数の表示
- コンパスで方角の表示
- 現在地の衛星信号の表示
- 天気図の表示
あなたの位置情報は、以下のツールまたは目的で{{all_time}}（アプリが閉じられているときや使用されていないときも含む）使用しています。
- GPSアラームの起動（GPSアラーム）
- デバイスの位置情報の記録（デバイス追跡"&amp;"・検索）
- 移動経路の表示（Trekking Pro）
運転ルートやその他の場所関連情報の取得には、Google APIサービスを使用しています。Googleのポリシーに関する詳細は、{{google_privacy}}をご覧ください。")</f>
        <v>当社の無料モバイルGPSアプリケーションをご利用いただく際、お客様の現在位置を特定し、現在地の都市を特定して地図を表示するため、GPS技術（または類似の技術）を使用する場合があります。お客様の許可なく、お客様の現在位置やその他の位置情報を他のユーザーやパートナーと共有することはありません。
GPS Tools®アプリはGPSベースのアプリケーションであり、お客様の位置情報を{{使用中}}または{{常時}}（バックグラウンドでも）使用する多くのツール/ユーティリティが含まれています。
あなたの位置情報は、以下のツールまたは目的で{{while_using}}使用しています。
- 移動速度の表示（スピードメーター）
- 現在地の天気と予報の表示
- 現在地と住所の表示
- 現在地の空気質と紫外線指数の表示
- コンパスで方角の表示
- 現在地の衛星信号の表示
- 天気図の表示
あなたの位置情報は、以下のツールまたは目的で{{all_time}}（アプリが閉じられているときや使用されていないときも含む）使用しています。
- GPSアラームの起動（GPSアラーム）
- デバイスの位置情報の記録（デバイス追跡・検索）
- 移動経路の表示（Trekking Pro）
運転ルートやその他の場所関連情報の取得には、Google APIサービスを使用しています。Googleのポリシーに関する詳細は、{{google_privacy}}をご覧ください。</v>
      </c>
      <c r="AC122" s="4" t="str">
        <f>IFERROR(__xludf.DUMMYFUNCTION("GOOGLETRANSLATE(B122,""en"",""bg"")"),"Когато използвате нашите безплатни мобилни GPS приложения, може да използваме GPS технология (или друга подобна технология), за да определим вашето текущо местоположение, за да определим града, в който се намирате, и да покажем карта на местоположението. "&amp;"Няма да споделяме вашето текущо местоположение или каквито и да било други данни за местоположение с други потребители или партньори без ваше разрешение.
Тъй като приложението GPS Tools® е базирано на GPS приложение и съдържа много инструменти/помощни пр"&amp;"ограми, които използват вашето местоположение {{while_using}} или {{all_time}} (дори и във фонов режим).
Той използва вашето местоположение {{while_using}} за следните инструменти или цели:
- показване на скоростта на движение (скоростомер)
- показвайте "&amp;"времето и прогнозата къде се намирате
- показва текущото местоположение и адрес
- покажете качеството на въздуха и uv индекса там, където се намирате
- показва посоката в компаса
- показване на сателитен сигнал там, където се намирате
- показва карта на в"&amp;"ремето
То използва вашето местоположение {{all_time}} (дори когато приложението е затворено или не се използва) за следните инструменти или цели:
- за задействане на GPS аларма (GPS аларма)
- за регистриране на местоположението на вашето устройство (Прос"&amp;"ледяване и намиране на устройство)
- за показване на пътя, който сте изминали (Trekking Pro)
За получаване на информация за маршрута и други места, ние използваме услугите на Google API. За повече информация относно техните правила можете да посетите {{g"&amp;"oogle_privacy}}.")</f>
        <v>Когато използвате нашите безплатни мобилни GPS приложения, може да използваме GPS технология (или друга подобна технология), за да определим вашето текущо местоположение, за да определим града, в който се намирате, и да покажем карта на местоположението. Няма да споделяме вашето текущо местоположение или каквито и да било други данни за местоположение с други потребители или партньори без ваше разрешение.
Тъй като приложението GPS Tools® е базирано на GPS приложение и съдържа много инструменти/помощни програми, които използват вашето местоположение {{while_using}} или {{all_time}} (дори и във фонов режим).
Той използва вашето местоположение {{while_using}} за следните инструменти или цели:
- показване на скоростта на движение (скоростомер)
- показвайте времето и прогнозата къде се намирате
- показва текущото местоположение и адрес
- покажете качеството на въздуха и uv индекса там, където се намирате
- показва посоката в компаса
- показване на сателитен сигнал там, където се намирате
- показва карта на времето
То използва вашето местоположение {{all_time}} (дори когато приложението е затворено или не се използва) за следните инструменти или цели:
- за задействане на GPS аларма (GPS аларма)
- за регистриране на местоположението на вашето устройство (Проследяване и намиране на устройство)
- за показване на пътя, който сте изминали (Trekking Pro)
За получаване на информация за маршрута и други места, ние използваме услугите на Google API. За повече информация относно техните правила можете да посетите {{google_privacy}}.</v>
      </c>
      <c r="AD122" s="4" t="str">
        <f>IFERROR(__xludf.DUMMYFUNCTION("GOOGLETRANSLATE(B122,""en"",""cs"")"),"Když používáte naše bezplatné mobilní GPS aplikace, můžeme použít technologii GPS (nebo jinou podobnou technologii) k určení vaší aktuální polohy, abychom mohli určit město, ve kterém se nacházíte, a zobrazit mapu polohy. Bez vašeho svolení nebudeme sdíle"&amp;"t vaši aktuální polohu ani žádné jiné údaje o poloze s jinými uživateli nebo partnery.
Protože aplikace GPS Tools® je aplikace založená na GPS a obsahuje mnoho nástrojů/utilit, které využívají vaši polohu {{while_using}} nebo {{all_time}} (i na pozadí).
"&amp;"
Používá vaši polohu {{while_using}} pro následující nástroje nebo účely:
- zobrazit rychlost jízdy (rychloměr)
- zobrazit počasí a předpověď tam, kde se nacházíte
- zobrazit aktuální polohu a adresu
- Ukažte kvalitu vzduchu a UV index tam, kde se nachází"&amp;"te
- ukázat směr v kompasu
- zobrazit satelitní signál v místě, kde se nacházíte
- zobrazit mapu počasí
Využívá vaši polohu {{all_time}} (i když je aplikace zavřená nebo se nepoužívá) pro následující nástroje nebo účely:
- pro spuštění GPS Alarm (GPS Ala"&amp;"rm)
- k protokolování polohy vašeho zařízení (Track &amp; Find Device)
- ukázat cestu, kterou jste cestovali (Trekking Pro)
K získávání informací o trase jízdy a dalších informací o místech používáme služby Google API. Další informace o jejich zásadách nalez"&amp;"nete na stránce {{google_privacy}}.")</f>
        <v>Když používáte naše bezplatné mobilní GPS aplikace, můžeme použít technologii GPS (nebo jinou podobnou technologii) k určení vaší aktuální polohy, abychom mohli určit město, ve kterém se nacházíte, a zobrazit mapu polohy. Bez vašeho svolení nebudeme sdílet vaši aktuální polohu ani žádné jiné údaje o poloze s jinými uživateli nebo partnery.
Protože aplikace GPS Tools® je aplikace založená na GPS a obsahuje mnoho nástrojů/utilit, které využívají vaši polohu {{while_using}} nebo {{all_time}} (i na pozadí).
Používá vaši polohu {{while_using}} pro následující nástroje nebo účely:
- zobrazit rychlost jízdy (rychloměr)
- zobrazit počasí a předpověď tam, kde se nacházíte
- zobrazit aktuální polohu a adresu
- Ukažte kvalitu vzduchu a UV index tam, kde se nacházíte
- ukázat směr v kompasu
- zobrazit satelitní signál v místě, kde se nacházíte
- zobrazit mapu počasí
Využívá vaši polohu {{all_time}} (i když je aplikace zavřená nebo se nepoužívá) pro následující nástroje nebo účely:
- pro spuštění GPS Alarm (GPS Alarm)
- k protokolování polohy vašeho zařízení (Track &amp; Find Device)
- ukázat cestu, kterou jste cestovali (Trekking Pro)
K získávání informací o trase jízdy a dalších informací o místech používáme služby Google API. Další informace o jejich zásadách naleznete na stránce {{google_privacy}}.</v>
      </c>
      <c r="AE122" s="4" t="str">
        <f>IFERROR(__xludf.DUMMYFUNCTION("GOOGLETRANSLATE(B122,""en"",""da"")"),"Når du bruger vores gratis mobile GPS-applikationer, kan vi bruge GPS-teknologi (eller anden lignende teknologi) til at bestemme din aktuelle placering for at bestemme den by, du befinder dig i, og vise et lokalitetskort. Vi deler ikke din nuværende place"&amp;"ring eller andre placeringsdata med andre brugere eller partnere uden din tilladelse.
Da GPS Tools®-appen er en GPS-baseret applikation, og den indeholder mange værktøjer/værktøjer, som bruger din placering {{while_using}} eller {{all_time}} (også i bagg"&amp;"runden).
Den bruger din placering {{while_using}} til følgende værktøjer eller formål:
- vis rejsehastighed (Speedometer)
- Vis vejr og vejrudsigt, hvor du er
- Vis nuværende placering og adresse
- vis luftkvalitet og uv-indeks, hvor du er
- vis retning "&amp;"i kompas
- vis satellitsignal, hvor du er
- vis vejrkort
Den bruger din placering {{all_time}} (selv når appen er lukket eller ikke er i brug) til følgende værktøjer eller formål:
- for at udløse GPS-alarm (GPS-alarm)
- for at logge din enheds placering "&amp;"(Spor og find enhed)
- for at vise stien, du rejste (Trekking Pro)
For at få oplysninger om køreruter og andre steder, bruger vi Google API-tjenester. For mere information om deres politikker kan du besøge {{google_privacy}}.")</f>
        <v>Når du bruger vores gratis mobile GPS-applikationer, kan vi bruge GPS-teknologi (eller anden lignende teknologi) til at bestemme din aktuelle placering for at bestemme den by, du befinder dig i, og vise et lokalitetskort. Vi deler ikke din nuværende placering eller andre placeringsdata med andre brugere eller partnere uden din tilladelse.
Da GPS Tools®-appen er en GPS-baseret applikation, og den indeholder mange værktøjer/værktøjer, som bruger din placering {{while_using}} eller {{all_time}} (også i baggrunden).
Den bruger din placering {{while_using}} til følgende værktøjer eller formål:
- vis rejsehastighed (Speedometer)
- Vis vejr og vejrudsigt, hvor du er
- Vis nuværende placering og adresse
- vis luftkvalitet og uv-indeks, hvor du er
- vis retning i kompas
- vis satellitsignal, hvor du er
- vis vejrkort
Den bruger din placering {{all_time}} (selv når appen er lukket eller ikke er i brug) til følgende værktøjer eller formål:
- for at udløse GPS-alarm (GPS-alarm)
- for at logge din enheds placering (Spor og find enhed)
- for at vise stien, du rejste (Trekking Pro)
For at få oplysninger om køreruter og andre steder, bruger vi Google API-tjenester. For mere information om deres politikker kan du besøge {{google_privacy}}.</v>
      </c>
      <c r="AF122" s="4" t="str">
        <f>IFERROR(__xludf.DUMMYFUNCTION("GOOGLETRANSLATE(B122,""en"",""el"")"),"Όταν χρησιμοποιείτε τις δωρεάν εφαρμογές GPS για κινητά, ενδέχεται να χρησιμοποιήσουμε τεχνολογία GPS (ή άλλη παρόμοια τεχνολογία) για να προσδιορίσουμε την τρέχουσα τοποθεσία σας, προκειμένου να προσδιορίσουμε την πόλη στην οποία βρίσκεστε και να εμφανίσ"&amp;"ουμε έναν χάρτη τοποθεσίας. Δεν θα κοινοποιήσουμε την τρέχουσα τοποθεσία σας ή άλλα δεδομένα τοποθεσίας με άλλους χρήστες ή συνεργάτες χωρίς την άδειά σας.
Καθώς η εφαρμογή GPS Tools® είναι μια εφαρμογή που βασίζεται στο GPS και περιέχει πολλά εργαλεία/ "&amp;"βοηθητικά προγράμματα που χρησιμοποιούν την τοποθεσία σας {{while_using}} ή {{all_time}} (ακόμα και στο παρασκήνιο).
Χρησιμοποιεί την τοποθεσία σας {{while_using}} για τα ακόλουθα εργαλεία ή σκοπούς:
- Εμφάνιση ταχύτητας ταξιδιού (ταχύμετρο)
- Δείξτε τον"&amp;" καιρό και την πρόγνωση στο σημείο που βρίσκεστε
- εμφάνιση της τρέχουσας τοποθεσίας και διεύθυνσης
- Δείξτε την ποιότητα του αέρα και τον δείκτη UV στο σημείο που βρίσκεστε
- Δείξτε κατεύθυνση στην πυξίδα
- Δείξτε δορυφορικό σήμα στο σημείο που βρίσκεστε"&amp;"
- εμφάνιση χάρτη καιρού
Χρησιμοποιεί την τοποθεσία σας {{all_time}} (ακόμα και όταν η εφαρμογή είναι κλειστή ή δεν χρησιμοποιείται) για τα ακόλουθα εργαλεία ή σκοπούς:
- για ενεργοποίηση συναγερμού GPS (Συναγερμός GPS)
- για να καταγράψετε τη θέση της σ"&amp;"υσκευής σας (Παρακολούθηση και εύρεση συσκευής)
- για εμφάνιση της διαδρομής που διανύσατε (Trekking Pro)
Για να λάβουμε πληροφορίες σχετικά με τη διαδρομή οδήγησης και άλλα μέρη, χρησιμοποιούμε υπηρεσίες Google API. Για περισσότερες πληροφορίες σχετικά "&amp;"με τις πολιτικές τους, μπορείτε να επισκεφτείτε τη διεύθυνση {{google_privacy}}.")</f>
        <v>Όταν χρησιμοποιείτε τις δωρεάν εφαρμογές GPS για κινητά, ενδέχεται να χρησιμοποιήσουμε τεχνολογία GPS (ή άλλη παρόμοια τεχνολογία) για να προσδιορίσουμε την τρέχουσα τοποθεσία σας, προκειμένου να προσδιορίσουμε την πόλη στην οποία βρίσκεστε και να εμφανίσουμε έναν χάρτη τοποθεσίας. Δεν θα κοινοποιήσουμε την τρέχουσα τοποθεσία σας ή άλλα δεδομένα τοποθεσίας με άλλους χρήστες ή συνεργάτες χωρίς την άδειά σας.
Καθώς η εφαρμογή GPS Tools® είναι μια εφαρμογή που βασίζεται στο GPS και περιέχει πολλά εργαλεία/ βοηθητικά προγράμματα που χρησιμοποιούν την τοποθεσία σας {{while_using}} ή {{all_time}} (ακόμα και στο παρασκήνιο).
Χρησιμοποιεί την τοποθεσία σας {{while_using}} για τα ακόλουθα εργαλεία ή σκοπούς:
- Εμφάνιση ταχύτητας ταξιδιού (ταχύμετρο)
- Δείξτε τον καιρό και την πρόγνωση στο σημείο που βρίσκεστε
- εμφάνιση της τρέχουσας τοποθεσίας και διεύθυνσης
- Δείξτε την ποιότητα του αέρα και τον δείκτη UV στο σημείο που βρίσκεστε
- Δείξτε κατεύθυνση στην πυξίδα
- Δείξτε δορυφορικό σήμα στο σημείο που βρίσκεστε
- εμφάνιση χάρτη καιρού
Χρησιμοποιεί την τοποθεσία σας {{all_time}} (ακόμα και όταν η εφαρμογή είναι κλειστή ή δεν χρησιμοποιείται) για τα ακόλουθα εργαλεία ή σκοπούς:
- για ενεργοποίηση συναγερμού GPS (Συναγερμός GPS)
- για να καταγράψετε τη θέση της συσκευής σας (Παρακολούθηση και εύρεση συσκευής)
- για εμφάνιση της διαδρομής που διανύσατε (Trekking Pro)
Για να λάβουμε πληροφορίες σχετικά με τη διαδρομή οδήγησης και άλλα μέρη, χρησιμοποιούμε υπηρεσίες Google API. Για περισσότερες πληροφορίες σχετικά με τις πολιτικές τους, μπορείτε να επισκεφτείτε τη διεύθυνση {{google_privacy}}.</v>
      </c>
      <c r="AG122" s="4" t="str">
        <f>IFERROR(__xludf.DUMMYFUNCTION("GOOGLETRANSLATE(B122,""en"",""et"")"),"Kui kasutate meie tasuta mobiilseid GPS-i rakendusi, võime kasutada GPS-tehnoloogiat (või muud sarnast tehnoloogiat) teie praeguse asukoha määramiseks, et määrata kindlaks linn, kus te asute, ja kuvada asukohakaart. Me ei jaga teie praegust asukohta ega m"&amp;"uid asukohaandmeid teiste kasutajate või partneritega ilma teie loata.
Kuna rakendus GPS Tools® on GPS-põhine rakendus ja sisaldab palju tööriistu/utiliite, mis kasutavad teie asukohta {{while_using}} või {{all_time}} (isegi taustal).
See kasutab teie a"&amp;"sukohta {{while_using}} järgmistel tööriistadel või eesmärkidel:
- näita sõidukiirust (spidomeeter)
- näita ilmateadet ja ilmateadet oma asukohas
- näita praegust asukohta ja aadressi
- näita õhukvaliteeti ja UV-indeksit oma asukohas
- näidata suunda komp"&amp;"assis
- näita satelliidi signaali oma asukohas
- näita ilmakaarti
See kasutab teie asukohta {{all_time}} (isegi kui rakendus on suletud või seda ei kasutata) järgmistel tööriistadel või eesmärkidel.
- GPS-häire (GPS-häire) käivitamiseks
- oma seadme asuk"&amp;"oha logimiseks (seadme jälgimine ja otsimine)
- teie läbitud tee näitamiseks (Trekking Pro)
Sõidumarsruudi ja muude kohtadega seotud teabe hankimiseks kasutame Google API teenuseid. Nende eeskirjade kohta lisateabe saamiseks külastage aadressi {{google_p"&amp;"rivacy}}.")</f>
        <v>Kui kasutate meie tasuta mobiilseid GPS-i rakendusi, võime kasutada GPS-tehnoloogiat (või muud sarnast tehnoloogiat) teie praeguse asukoha määramiseks, et määrata kindlaks linn, kus te asute, ja kuvada asukohakaart. Me ei jaga teie praegust asukohta ega muid asukohaandmeid teiste kasutajate või partneritega ilma teie loata.
Kuna rakendus GPS Tools® on GPS-põhine rakendus ja sisaldab palju tööriistu/utiliite, mis kasutavad teie asukohta {{while_using}} või {{all_time}} (isegi taustal).
See kasutab teie asukohta {{while_using}} järgmistel tööriistadel või eesmärkidel:
- näita sõidukiirust (spidomeeter)
- näita ilmateadet ja ilmateadet oma asukohas
- näita praegust asukohta ja aadressi
- näita õhukvaliteeti ja UV-indeksit oma asukohas
- näidata suunda kompassis
- näita satelliidi signaali oma asukohas
- näita ilmakaarti
See kasutab teie asukohta {{all_time}} (isegi kui rakendus on suletud või seda ei kasutata) järgmistel tööriistadel või eesmärkidel.
- GPS-häire (GPS-häire) käivitamiseks
- oma seadme asukoha logimiseks (seadme jälgimine ja otsimine)
- teie läbitud tee näitamiseks (Trekking Pro)
Sõidumarsruudi ja muude kohtadega seotud teabe hankimiseks kasutame Google API teenuseid. Nende eeskirjade kohta lisateabe saamiseks külastage aadressi {{google_privacy}}.</v>
      </c>
      <c r="AH122" s="4" t="str">
        <f>IFERROR(__xludf.DUMMYFUNCTION("GOOGLETRANSLATE(B122,""en"",""fi"")"),"Kun käytät ilmaisia ​​mobiili-GPS-sovelluksiamme, voimme käyttää GPS-tekniikkaa (tai muuta vastaavaa tekniikkaa) nykyisen sijaintisi määrittämiseen, jotta voimme määrittää sijaintisi kaupungin ja näyttää sijaintikartan. Emme jaa nykyistä sijaintiasi tai m"&amp;"uita sijaintitietojasi muiden käyttäjien tai kumppaneiden kanssa ilman lupaasi.
Koska GPS Tools® -sovellus on GPS-pohjainen sovellus ja se sisältää monia työkaluja/apuohjelmia, jotka käyttävät sijaintiasi {{while_using}} tai {{all_time}} (myös taustalla)"&amp;".
Se käyttää sijaintiasi {{while_using}} seuraaviin työkaluihin tai tarkoituksiin:
- näytä ajonopeus (nopeusmittari)
- näytä sää ja ennuste missä olet
- näytä nykyinen sijainti ja osoite
- näytä ilmanlaatu ja uv-indeksi paikassa, jossa olet
- näyttää suu"&amp;"nta kompassissa
- näytä satelliittisignaali missä olet
- näytä sääkartta
Se käyttää sijaintiasi {{all_time}} (vaikka sovellus on suljettu tai ei ole käytössä) seuraaviin työkaluihin tai tarkoituksiin:
- laukaista GPS-hälytys (GPS-hälytys)
- kirjata laitt"&amp;"eesi sijainti (Track &amp; Find Device)
- näyttää polun, jonka kuljesit (Trekking Pro)
Ajoreitti- ja muihin paikkoihin liittyvien tietojen saamiseksi käytämme Google API -palveluita. Lisätietoja heidän käytännöistään on osoitteessa {{google_privacy}}.")</f>
        <v>Kun käytät ilmaisia ​​mobiili-GPS-sovelluksiamme, voimme käyttää GPS-tekniikkaa (tai muuta vastaavaa tekniikkaa) nykyisen sijaintisi määrittämiseen, jotta voimme määrittää sijaintisi kaupungin ja näyttää sijaintikartan. Emme jaa nykyistä sijaintiasi tai muita sijaintitietojasi muiden käyttäjien tai kumppaneiden kanssa ilman lupaasi.
Koska GPS Tools® -sovellus on GPS-pohjainen sovellus ja se sisältää monia työkaluja/apuohjelmia, jotka käyttävät sijaintiasi {{while_using}} tai {{all_time}} (myös taustalla).
Se käyttää sijaintiasi {{while_using}} seuraaviin työkaluihin tai tarkoituksiin:
- näytä ajonopeus (nopeusmittari)
- näytä sää ja ennuste missä olet
- näytä nykyinen sijainti ja osoite
- näytä ilmanlaatu ja uv-indeksi paikassa, jossa olet
- näyttää suunta kompassissa
- näytä satelliittisignaali missä olet
- näytä sääkartta
Se käyttää sijaintiasi {{all_time}} (vaikka sovellus on suljettu tai ei ole käytössä) seuraaviin työkaluihin tai tarkoituksiin:
- laukaista GPS-hälytys (GPS-hälytys)
- kirjata laitteesi sijainti (Track &amp; Find Device)
- näyttää polun, jonka kuljesit (Trekking Pro)
Ajoreitti- ja muihin paikkoihin liittyvien tietojen saamiseksi käytämme Google API -palveluita. Lisätietoja heidän käytännöistään on osoitteessa {{google_privacy}}.</v>
      </c>
      <c r="AI122" s="4" t="str">
        <f>IFERROR(__xludf.DUMMYFUNCTION("GOOGLETRANSLATE(B122,""en"",""hr"")"),"Kada koristite naše besplatne mobilne GPS aplikacije, možemo koristiti GPS tehnologiju (ili drugu sličnu tehnologiju) za određivanje vaše trenutne lokacije kako bismo odredili grad u kojem se nalazite i prikazali kartu lokacije. Nećemo dijeliti vašu trenu"&amp;"tnu lokaciju ili bilo koje druge podatke o lokaciji s drugim korisnicima ili partnerima bez vašeg dopuštenja.
Kako je aplikacija GPS Tools® aplikacija temeljena na GPS-u i sadrži mnogo alata/uslužnih programa koji koriste vašu lokaciju {{while_using}} il"&amp;"i {{all_time}} (čak iu pozadini).
Koristi vašu lokaciju {{while_using}} za sljedeće alate ili svrhe:
- pokazati brzinu putovanja (Brzinomjer)
- pokazati vrijeme i prognozu gdje se nalazite
- pokazati trenutnu lokaciju i adresu
- pokazati kvalitetu zraka "&amp;"i UV indeks na mjestu gdje se nalazite
- pokazati smjer u kompasu
- pokažite satelitski signal gdje se nalazite
- pokazati vremensku kartu
Koristi vašu lokaciju {{all_time}} (čak i kada je aplikacija zatvorena ili se ne koristi) za sljedeće alate ili svr"&amp;"he:
- za pokretanje GPS alarma (GPS alarm)
- za prijavu lokacije vašeg uređaja (Track &amp; Find Device)
- za prikaz staze kojom ste putovali (Trekking Pro)
Za dobivanje informacija o ruti vožnje i drugim mjestima, koristimo Google API usluge. Za više inform"&amp;"acija o njihovim pravilima, možete posjetiti {{google_privacy}}.")</f>
        <v>Kada koristite naše besplatne mobilne GPS aplikacije, možemo koristiti GPS tehnologiju (ili drugu sličnu tehnologiju) za određivanje vaše trenutne lokacije kako bismo odredili grad u kojem se nalazite i prikazali kartu lokacije. Nećemo dijeliti vašu trenutnu lokaciju ili bilo koje druge podatke o lokaciji s drugim korisnicima ili partnerima bez vašeg dopuštenja.
Kako je aplikacija GPS Tools® aplikacija temeljena na GPS-u i sadrži mnogo alata/uslužnih programa koji koriste vašu lokaciju {{while_using}} ili {{all_time}} (čak iu pozadini).
Koristi vašu lokaciju {{while_using}} za sljedeće alate ili svrhe:
- pokazati brzinu putovanja (Brzinomjer)
- pokazati vrijeme i prognozu gdje se nalazite
- pokazati trenutnu lokaciju i adresu
- pokazati kvalitetu zraka i UV indeks na mjestu gdje se nalazite
- pokazati smjer u kompasu
- pokažite satelitski signal gdje se nalazite
- pokazati vremensku kartu
Koristi vašu lokaciju {{all_time}} (čak i kada je aplikacija zatvorena ili se ne koristi) za sljedeće alate ili svrhe:
- za pokretanje GPS alarma (GPS alarm)
- za prijavu lokacije vašeg uređaja (Track &amp; Find Device)
- za prikaz staze kojom ste putovali (Trekking Pro)
Za dobivanje informacija o ruti vožnje i drugim mjestima, koristimo Google API usluge. Za više informacija o njihovim pravilima, možete posjetiti {{google_privacy}}.</v>
      </c>
      <c r="AJ122" s="4" t="str">
        <f>IFERROR(__xludf.DUMMYFUNCTION("GOOGLETRANSLATE(B122,""en"",""hu"")"),"Amikor ingyenes mobil GPS-alkalmazásainkat használja, GPS-technológiát (vagy más hasonló technológiát) használhatunk az Ön aktuális tartózkodási helyének meghatározására, hogy meghatározzuk a várost, amelyben tartózkodik, és megjelenítsük a helytérképet. "&amp;"Az Ön engedélye nélkül nem osztjuk meg jelenlegi tartózkodási helyét vagy más helyadatokat más felhasználókkal vagy partnerekkel.
Mivel a GPS Tools® alkalmazás egy GPS-alapú alkalmazás, és számos olyan eszközt/segédprogramot tartalmaz, amelyek felhasznál"&amp;"ják az Ön tartózkodási helyét {{while_using}} vagy {{all_time}} (még a háttérben is).
Az Ön tartózkodási helyét {{while_using}} használja a következő eszközökre vagy célokra:
- mutasd az utazási sebességet (Sebességmérő)
- időjárás és előrejelzés megjele"&amp;"nítése a tartózkodási helyén
- az aktuális tartózkodási hely és cím megjelenítése
- Mutassa meg a levegőminőséget és az UV-indexet ott, ahol tartózkodik
- mutasson irányt az iránytűben
- mutasson műholdjelet a tartózkodási helyén
- időjárási térkép megjel"&amp;"enítése
Az Ön tartózkodási helyét {{all_time}} használja (még akkor is, ha az alkalmazás be van zárva, vagy nincs használatban) a következő eszközökre vagy célokra:
- GPS riasztás (GPS Alarm) kiváltására
- az eszköz helyének naplózása (Eszköz nyomon köve"&amp;"tése és keresése)
- megmutatni az általad megtett utat (Trekking Pro)
A vezetési útvonallal és más helyekkel kapcsolatos információk megszerzéséhez a Google API szolgáltatásait használjuk. Az irányelveikről további információért keresse fel a {{google_pr"&amp;"ivacy}} webhelyet.")</f>
        <v>Amikor ingyenes mobil GPS-alkalmazásainkat használja, GPS-technológiát (vagy más hasonló technológiát) használhatunk az Ön aktuális tartózkodási helyének meghatározására, hogy meghatározzuk a várost, amelyben tartózkodik, és megjelenítsük a helytérképet. Az Ön engedélye nélkül nem osztjuk meg jelenlegi tartózkodási helyét vagy más helyadatokat más felhasználókkal vagy partnerekkel.
Mivel a GPS Tools® alkalmazás egy GPS-alapú alkalmazás, és számos olyan eszközt/segédprogramot tartalmaz, amelyek felhasználják az Ön tartózkodási helyét {{while_using}} vagy {{all_time}} (még a háttérben is).
Az Ön tartózkodási helyét {{while_using}} használja a következő eszközökre vagy célokra:
- mutasd az utazási sebességet (Sebességmérő)
- időjárás és előrejelzés megjelenítése a tartózkodási helyén
- az aktuális tartózkodási hely és cím megjelenítése
- Mutassa meg a levegőminőséget és az UV-indexet ott, ahol tartózkodik
- mutasson irányt az iránytűben
- mutasson műholdjelet a tartózkodási helyén
- időjárási térkép megjelenítése
Az Ön tartózkodási helyét {{all_time}} használja (még akkor is, ha az alkalmazás be van zárva, vagy nincs használatban) a következő eszközökre vagy célokra:
- GPS riasztás (GPS Alarm) kiváltására
- az eszköz helyének naplózása (Eszköz nyomon követése és keresése)
- megmutatni az általad megtett utat (Trekking Pro)
A vezetési útvonallal és más helyekkel kapcsolatos információk megszerzéséhez a Google API szolgáltatásait használjuk. Az irányelveikről további információért keresse fel a {{google_privacy}} webhelyet.</v>
      </c>
      <c r="AK122" s="4" t="str">
        <f>IFERROR(__xludf.DUMMYFUNCTION("GOOGLETRANSLATE(B122,""en"",""hy"")"),"Երբ դուք օգտագործում եք մեր անվճար բջջային GPS հավելվածները, մենք կարող ենք օգտագործել GPS տեխնոլոգիա (կամ այլ նմանատիպ տեխնոլոգիա)՝ ձեր ընթացիկ գտնվելու վայրը որոշելու համար, որպեսզի որոշենք այն քաղաքը, որտեղ գտնվում եք և ցուցադրենք տեղադրության քարտեզը:"&amp;" Մենք առանց ձեր թույլտվության չենք փոխանցի ձեր ընթացիկ գտնվելու վայրը կամ գտնվելու վայրի որևէ այլ տվյալ այլ օգտատերերի կամ գործընկերների հետ:
Քանի որ GPS Tools® հավելվածը GPS-ի վրա հիմնված ծրագիր է և պարունակում է բազմաթիվ գործիքներ/կոմունալ ծառայություն"&amp;"ներ, որոնք օգտագործում են ձեր գտնվելու վայրը {{while_using}} կամ {{all_time}} (նույնիսկ հետին պլանում):
Այն օգտագործում է ձեր գտնվելու վայրը {{while_using}} հետևյալ գործիքների կամ նպատակների համար.
- ցույց տալ ճանապարհորդության արագությունը (արագաչափ)
- "&amp;"ցույց տվեք եղանակը և կանխատեսումը ձեր գտնվելու վայրում
- ցույց տալ ընթացիկ գտնվելու վայրը և հասցեն
- ցույց տվեք օդի որակը և ուլտրամանուշակագույն ինդեքսը ձեր գտնվելու վայրում
- ցույց տալ կողմնացույցի ուղղությունը
- ցույց տվեք արբանյակային ազդանշան ձեր գտնվ"&amp;"ելու վայրում
- ցույց տալ եղանակի քարտեզը
Այն օգտագործում է ձեր գտնվելու վայրը {{all_time}} (նույնիսկ երբ հավելվածը փակ է կամ չի օգտագործվում) հետևյալ գործիքների կամ նպատակների համար.
- GPS ահազանգը գործարկելու համար (GPS ահազանգ)
- Ձեր սարքի գտնվելու վայ"&amp;"րը գրանցելու համար (Հետևել և գտնել սարքը)
- ցույց տալու ձեր անցած ճանապարհը (Trekking Pro)
Վարելու երթուղու և այլ վայրերի հետ կապված տեղեկություններ ստանալու համար մենք օգտագործում ենք Google API ծառայությունները: Նրանց քաղաքականության մասին լրացուցիչ տե"&amp;"ղեկությունների համար կարող եք այցելել {{google_privacy}}:")</f>
        <v>Երբ դուք օգտագործում եք մեր անվճար բջջային GPS հավելվածները, մենք կարող ենք օգտագործել GPS տեխնոլոգիա (կամ այլ նմանատիպ տեխնոլոգիա)՝ ձեր ընթացիկ գտնվելու վայրը որոշելու համար, որպեսզի որոշենք այն քաղաքը, որտեղ գտնվում եք և ցուցադրենք տեղադրության քարտեզը: Մենք առանց ձեր թույլտվության չենք փոխանցի ձեր ընթացիկ գտնվելու վայրը կամ գտնվելու վայրի որևէ այլ տվյալ այլ օգտատերերի կամ գործընկերների հետ:
Քանի որ GPS Tools® հավելվածը GPS-ի վրա հիմնված ծրագիր է և պարունակում է բազմաթիվ գործիքներ/կոմունալ ծառայություններ, որոնք օգտագործում են ձեր գտնվելու վայրը {{while_using}} կամ {{all_time}} (նույնիսկ հետին պլանում):
Այն օգտագործում է ձեր գտնվելու վայրը {{while_using}} հետևյալ գործիքների կամ նպատակների համար.
- ցույց տալ ճանապարհորդության արագությունը (արագաչափ)
- ցույց տվեք եղանակը և կանխատեսումը ձեր գտնվելու վայրում
- ցույց տալ ընթացիկ գտնվելու վայրը և հասցեն
- ցույց տվեք օդի որակը և ուլտրամանուշակագույն ինդեքսը ձեր գտնվելու վայրում
- ցույց տալ կողմնացույցի ուղղությունը
- ցույց տվեք արբանյակային ազդանշան ձեր գտնվելու վայրում
- ցույց տալ եղանակի քարտեզը
Այն օգտագործում է ձեր գտնվելու վայրը {{all_time}} (նույնիսկ երբ հավելվածը փակ է կամ չի օգտագործվում) հետևյալ գործիքների կամ նպատակների համար.
- GPS ահազանգը գործարկելու համար (GPS ահազանգ)
- Ձեր սարքի գտնվելու վայրը գրանցելու համար (Հետևել և գտնել սարքը)
- ցույց տալու ձեր անցած ճանապարհը (Trekking Pro)
Վարելու երթուղու և այլ վայրերի հետ կապված տեղեկություններ ստանալու համար մենք օգտագործում ենք Google API ծառայությունները: Նրանց քաղաքականության մասին լրացուցիչ տեղեկությունների համար կարող եք այցելել {{google_privacy}}:</v>
      </c>
      <c r="AL122" s="4" t="str">
        <f>IFERROR(__xludf.DUMMYFUNCTION("GOOGLETRANSLATE(B122,""en"",""ca"")"),"Quan utilitzeu les nostres aplicacions GPS mòbils gratuïtes, podem utilitzar la tecnologia GPS (o una altra tecnologia similar) per determinar la vostra ubicació actual per determinar la ciutat on us trobeu i mostrar un mapa d'ubicació. No compartirem la "&amp;"vostra ubicació actual ni cap altra dada d'ubicació amb altres usuaris o socis sense el vostre permís.
Com que l'aplicació GPS Tools® és una aplicació basada en GPS i conté moltes eines/utilitats que utilitzen la vostra ubicació {{while_using}} o {{all_t"&amp;"ime}} (fins i tot en segon pla).
Utilitza la vostra ubicació {{while_using}} per a les eines o finalitats següents:
- Mostra la velocitat de desplaçament (velocímetre)
- Mostra el temps i la previsió on et trobes
- Mostra la ubicació i l'adreça actuals
-"&amp;" Mostra la qualitat de l'aire i l'índex UV al lloc on et trobes
- Mostra la direcció a la brúixola
- Mostra el senyal del satèl·lit on et trobes
- Mostra el mapa del temps
Utilitza la vostra ubicació {{all_time}} (fins i tot quan l'aplicació està tancada"&amp;" o no s'utilitza) per a les eines o finalitats següents:
- per activar l'alarma GPS (alarma GPS)
- per registrar la ubicació del vostre dispositiu (Track and Find Device)
- per mostrar el camí que heu recorregut (Trekking Pro)
Per obtenir informació rela"&amp;"cionada amb la ruta de conducció i altres llocs, utilitzem els serveis de l'API de Google. Per obtenir més informació sobre les seves polítiques, podeu visitar {{google_privacy}}.")</f>
        <v>Quan utilitzeu les nostres aplicacions GPS mòbils gratuïtes, podem utilitzar la tecnologia GPS (o una altra tecnologia similar) per determinar la vostra ubicació actual per determinar la ciutat on us trobeu i mostrar un mapa d'ubicació. No compartirem la vostra ubicació actual ni cap altra dada d'ubicació amb altres usuaris o socis sense el vostre permís.
Com que l'aplicació GPS Tools® és una aplicació basada en GPS i conté moltes eines/utilitats que utilitzen la vostra ubicació {{while_using}} o {{all_time}} (fins i tot en segon pla).
Utilitza la vostra ubicació {{while_using}} per a les eines o finalitats següents:
- Mostra la velocitat de desplaçament (velocímetre)
- Mostra el temps i la previsió on et trobes
- Mostra la ubicació i l'adreça actuals
- Mostra la qualitat de l'aire i l'índex UV al lloc on et trobes
- Mostra la direcció a la brúixola
- Mostra el senyal del satèl·lit on et trobes
- Mostra el mapa del temps
Utilitza la vostra ubicació {{all_time}} (fins i tot quan l'aplicació està tancada o no s'utilitza) per a les eines o finalitats següents:
- per activar l'alarma GPS (alarma GPS)
- per registrar la ubicació del vostre dispositiu (Track and Find Device)
- per mostrar el camí que heu recorregut (Trekking Pro)
Per obtenir informació relacionada amb la ruta de conducció i altres llocs, utilitzem els serveis de l'API de Google. Per obtenir més informació sobre les seves polítiques, podeu visitar {{google_privacy}}.</v>
      </c>
      <c r="AM122" s="4" t="str">
        <f>IFERROR(__xludf.DUMMYFUNCTION("GOOGLETRANSLATE(B122,""en"",""nl"")"),"Wanneer u onze gratis mobiele GPS-applicaties gebruikt, kunnen we GPS-technologie (of andere vergelijkbare technologie) gebruiken om uw huidige locatie te bepalen. Zo kunnen we bepalen in welke stad u zich bevindt en een locatiekaart weergeven. We zullen "&amp;"uw huidige locatie of andere locatiegegevens niet zonder uw toestemming delen met andere gebruikers of partners.
De GPS Tools®-app is een GPS-applicatie en bevat veel tools/hulpprogramma's die uw locatie {{while_using}} of {{all_time}} gebruiken (zelfs o"&amp;"p de achtergrond).
Het gebruikt je locatie {{while_using}} voor de volgende doeleinden:
- weergave van reissnelheid (snelheidsmeter)
- weergave van weer en voorspelling voor jouw locatie
- weergave van huidige locatie en adres
- weergave van luchtkwalite"&amp;"it en uv-index voor jouw locatie
- weergave van kompasrichting
- weergave van satellietsignaal voor jouw locatie
- weergave van weerkaart
Het gebruikt je locatie {{all_time}} (zelfs wanneer de app gesloten of niet in gebruik is) voor de volgende doeleind"&amp;"en:
- om GPS-alarm te activeren (GPS-alarm)
- om de locatie van je apparaat te registreren (Track &amp; Find Device)
- om de afgelegde route te tonen (Trekking Pro)
Voor het verkrijgen van route- en andere locatiegerelateerde informatie maken we gebruik van "&amp;"Google API-services. Ga voor meer informatie over hun beleid naar {{google_privacy}}.")</f>
        <v>Wanneer u onze gratis mobiele GPS-applicaties gebruikt, kunnen we GPS-technologie (of andere vergelijkbare technologie) gebruiken om uw huidige locatie te bepalen. Zo kunnen we bepalen in welke stad u zich bevindt en een locatiekaart weergeven. We zullen uw huidige locatie of andere locatiegegevens niet zonder uw toestemming delen met andere gebruikers of partners.
De GPS Tools®-app is een GPS-applicatie en bevat veel tools/hulpprogramma's die uw locatie {{while_using}} of {{all_time}} gebruiken (zelfs op de achtergrond).
Het gebruikt je locatie {{while_using}} voor de volgende doeleinden:
- weergave van reissnelheid (snelheidsmeter)
- weergave van weer en voorspelling voor jouw locatie
- weergave van huidige locatie en adres
- weergave van luchtkwaliteit en uv-index voor jouw locatie
- weergave van kompasrichting
- weergave van satellietsignaal voor jouw locatie
- weergave van weerkaart
Het gebruikt je locatie {{all_time}} (zelfs wanneer de app gesloten of niet in gebruik is) voor de volgende doeleinden:
- om GPS-alarm te activeren (GPS-alarm)
- om de locatie van je apparaat te registreren (Track &amp; Find Device)
- om de afgelegde route te tonen (Trekking Pro)
Voor het verkrijgen van route- en andere locatiegerelateerde informatie maken we gebruik van Google API-services. Ga voor meer informatie over hun beleid naar {{google_privacy}}.</v>
      </c>
      <c r="AN122" s="4" t="str">
        <f>IFERROR(__xludf.DUMMYFUNCTION("GOOGLETRANSLATE(B122,""en"",""he"")"),"כאשר אתה משתמש ביישומי ה-GPS הניידים החינמיים שלנו, אנו עשויים להשתמש בטכנולוגיית GPS (או בטכנולוגיה דומה אחרת) כדי לקבוע את מיקומך הנוכחי כדי לקבוע את העיר שבה אתה נמצא ולהציג מפת מיקום. לא נשתף את מיקומך הנוכחי או כל נתוני מיקום אחרים עם משתמשים או שותפ"&amp;"ים אחרים ללא רשותך.
מכיוון שהאפליקציה GPS Tools® היא אפליקציה מבוססת GPS והיא מכילה כלים/כלים רבים המשתמשים במיקום שלך {{במהלך_באמצעות}} או {{בכל_הזמן}} (אפילו גם ברקע).
הוא משתמש במיקום שלך {{while_using}} לכלים או למטרות הבאות:
- הצג מהירות נסיעה (מד "&amp;"מהירות)
- הצג מזג אוויר ותחזית במקום בו אתה נמצא
- הצג מיקום וכתובת נוכחיים
- הצג את איכות האוויר ואינדקס ה-UV במקום בו אתה נמצא
- להראות כיוון במצפן
- הצג אות לווין במקום בו אתה נמצא
- הצג מפת מזג אוויר
הוא משתמש במיקום שלך {{all_time}} (גם כשהאפליקציה "&amp;"סגורה או לא בשימוש) לכלים או למטרות הבאות:
- כדי להפעיל אזעקת GPS (אזעקת GPS)
- כדי לרשום את המיקום של המכשיר שלך (מעקב ומצא מכשיר)
- כדי להראות את הנתיב שעברת (Trekking Pro)
לקבלת מידע על מסלול נסיעה ומקומות אחרים הקשורים, אנו משתמשים בשירותי Google API"&amp;". למידע נוסף על המדיניות שלהם, תוכל לבקר ב-{{google_privacy}}.")</f>
        <v>כאשר אתה משתמש ביישומי ה-GPS הניידים החינמיים שלנו, אנו עשויים להשתמש בטכנולוגיית GPS (או בטכנולוגיה דומה אחרת) כדי לקבוע את מיקומך הנוכחי כדי לקבוע את העיר שבה אתה נמצא ולהציג מפת מיקום. לא נשתף את מיקומך הנוכחי או כל נתוני מיקום אחרים עם משתמשים או שותפים אחרים ללא רשותך.
מכיוון שהאפליקציה GPS Tools® היא אפליקציה מבוססת GPS והיא מכילה כלים/כלים רבים המשתמשים במיקום שלך {{במהלך_באמצעות}} או {{בכל_הזמן}} (אפילו גם ברקע).
הוא משתמש במיקום שלך {{while_using}} לכלים או למטרות הבאות:
- הצג מהירות נסיעה (מד מהירות)
- הצג מזג אוויר ותחזית במקום בו אתה נמצא
- הצג מיקום וכתובת נוכחיים
- הצג את איכות האוויר ואינדקס ה-UV במקום בו אתה נמצא
- להראות כיוון במצפן
- הצג אות לווין במקום בו אתה נמצא
- הצג מפת מזג אוויר
הוא משתמש במיקום שלך {{all_time}} (גם כשהאפליקציה סגורה או לא בשימוש) לכלים או למטרות הבאות:
- כדי להפעיל אזעקת GPS (אזעקת GPS)
- כדי לרשום את המיקום של המכשיר שלך (מעקב ומצא מכשיר)
- כדי להראות את הנתיב שעברת (Trekking Pro)
לקבלת מידע על מסלול נסיעה ומקומות אחרים הקשורים, אנו משתמשים בשירותי Google API. למידע נוסף על המדיניות שלהם, תוכל לבקר ב-{{google_privacy}}.</v>
      </c>
      <c r="AO122" s="4" t="str">
        <f>IFERROR(__xludf.DUMMYFUNCTION("GOOGLETRANSLATE(B122,""en"",""is"")"),"Þegar þú notar ókeypis farsíma GPS forritin okkar gætum við notað GPS tækni (eða aðra svipaða tækni) til að ákvarða núverandi staðsetningu þína til að ákvarða borgina sem þú ert staðsettur í og ​​sýna staðsetningarkort. Við munum ekki deila núverandi stað"&amp;"setningu þinni eða öðrum staðsetningargögnum með öðrum notendum eða samstarfsaðilum án þíns leyfis.
Þar sem GPS Tools® er appið GPS byggt forrit og það inniheldur mörg verkfæri/tól sem nota staðsetningu þína {{meðan_ þú notar}} eða {{all_time}} (jafnvel "&amp;"í bakgrunni líka).
Það notar staðsetningu þína {{while_using}} í eftirfarandi verkfærum eða tilgangi:
- sýna ferðahraða (hraðamælir)
- sýndu veður og spá þar sem þú ert
- sýna núverandi staðsetningu og heimilisfang
- sýndu loftgæði og uv vísitölu þar sem"&amp;" þú ert
- sýna stefnu í áttavita
- sýndu gervihnattamerki þar sem þú ert
- sýna veðurkort
Það notar staðsetningu þína {{all_time}} (jafnvel þegar appið er lokað eða ekki í notkun) í eftirfarandi verkfærum eða tilgangi:
- til að kveikja á GPS viðvörun (GP"&amp;"S viðvörun)
- til að skrá staðsetningu tækisins þíns (Rekja og finna tæki)
- til að sýna leið sem þú fórst (Trekking Pro)
Til að fá upplýsingar um akstursleiðir og aðrar staðsetningar, erum við að nota Google API þjónustu. Fyrir frekari upplýsingar um re"&amp;"glur þeirra geturðu heimsótt {{google_privacy}}.")</f>
        <v>Þegar þú notar ókeypis farsíma GPS forritin okkar gætum við notað GPS tækni (eða aðra svipaða tækni) til að ákvarða núverandi staðsetningu þína til að ákvarða borgina sem þú ert staðsettur í og ​​sýna staðsetningarkort. Við munum ekki deila núverandi staðsetningu þinni eða öðrum staðsetningargögnum með öðrum notendum eða samstarfsaðilum án þíns leyfis.
Þar sem GPS Tools® er appið GPS byggt forrit og það inniheldur mörg verkfæri/tól sem nota staðsetningu þína {{meðan_ þú notar}} eða {{all_time}} (jafnvel í bakgrunni líka).
Það notar staðsetningu þína {{while_using}} í eftirfarandi verkfærum eða tilgangi:
- sýna ferðahraða (hraðamælir)
- sýndu veður og spá þar sem þú ert
- sýna núverandi staðsetningu og heimilisfang
- sýndu loftgæði og uv vísitölu þar sem þú ert
- sýna stefnu í áttavita
- sýndu gervihnattamerki þar sem þú ert
- sýna veðurkort
Það notar staðsetningu þína {{all_time}} (jafnvel þegar appið er lokað eða ekki í notkun) í eftirfarandi verkfærum eða tilgangi:
- til að kveikja á GPS viðvörun (GPS viðvörun)
- til að skrá staðsetningu tækisins þíns (Rekja og finna tæki)
- til að sýna leið sem þú fórst (Trekking Pro)
Til að fá upplýsingar um akstursleiðir og aðrar staðsetningar, erum við að nota Google API þjónustu. Fyrir frekari upplýsingar um reglur þeirra geturðu heimsótt {{google_privacy}}.</v>
      </c>
      <c r="AP122" s="4" t="str">
        <f>IFERROR(__xludf.DUMMYFUNCTION("GOOGLETRANSLATE(B122,""en"",""no"")"),"Når du bruker våre gratis mobile GPS-applikasjoner, kan vi bruke GPS-teknologi (eller annen lignende teknologi) for å bestemme din nåværende posisjon for å bestemme byen du befinner deg innenfor og vise et stedskart. Vi vil ikke dele din nåværende posisjo"&amp;"n eller andre posisjonsdata med andre brukere eller partnere uten din tillatelse.
Siden GPS Tools®-appen er en GPS-basert applikasjon og den inneholder mange verktøy/verktøy som bruker posisjonen din {{while_using}} eller {{all_time}} (også i bakgrunnen)"&amp;".
Den bruker posisjonen din {{while_using}} til følgende verktøy eller formål:
- vis reisehastighet (hastighetsmåler)
- Vis vær og værmelding der du er
- vis gjeldende plassering og adresse
- vis luftkvalitet og uv-indeks der du er
- Vis retning i kompas"&amp;"s
- vis satellittsignal der du er
- vis værkart
Den bruker posisjonen din {{all_time}} (selv når appen er stengt eller ikke er i bruk) til følgende verktøy eller formål:
- for å utløse GPS-alarm (GPS-alarm)
- for å logge plasseringen til enheten din (Spo"&amp;"r og finn enhet)
- for å vise veien du reiste (Trekking Pro)
For å få informasjon om kjøreruter og andre steder, bruker vi Google API-tjenester. For mer informasjon om deres retningslinjer, kan du gå til {{google_privacy}}.")</f>
        <v>Når du bruker våre gratis mobile GPS-applikasjoner, kan vi bruke GPS-teknologi (eller annen lignende teknologi) for å bestemme din nåværende posisjon for å bestemme byen du befinner deg innenfor og vise et stedskart. Vi vil ikke dele din nåværende posisjon eller andre posisjonsdata med andre brukere eller partnere uten din tillatelse.
Siden GPS Tools®-appen er en GPS-basert applikasjon og den inneholder mange verktøy/verktøy som bruker posisjonen din {{while_using}} eller {{all_time}} (også i bakgrunnen).
Den bruker posisjonen din {{while_using}} til følgende verktøy eller formål:
- vis reisehastighet (hastighetsmåler)
- Vis vær og værmelding der du er
- vis gjeldende plassering og adresse
- vis luftkvalitet og uv-indeks der du er
- Vis retning i kompass
- vis satellittsignal der du er
- vis værkart
Den bruker posisjonen din {{all_time}} (selv når appen er stengt eller ikke er i bruk) til følgende verktøy eller formål:
- for å utløse GPS-alarm (GPS-alarm)
- for å logge plasseringen til enheten din (Spor og finn enhet)
- for å vise veien du reiste (Trekking Pro)
For å få informasjon om kjøreruter og andre steder, bruker vi Google API-tjenester. For mer informasjon om deres retningslinjer, kan du gå til {{google_privacy}}.</v>
      </c>
      <c r="AQ122" s="4" t="str">
        <f>IFERROR(__xludf.DUMMYFUNCTION("GOOGLETRANSLATE(B122,""en"",""fa"")"),"وقتی از برنامه‌های رایگان GPS تلفن همراه ما استفاده می‌کنید، ممکن است از فناوری GPS (یا سایر فناوری‌های مشابه) برای تعیین مکان فعلی شما استفاده کنیم تا شهری که در آن قرار دارید را تعیین کنیم و نقشه موقعیت را نمایش دهیم. ما مکان فعلی شما یا هر داده موقعیت "&amp;"مکانی دیگری را بدون اجازه شما با سایر کاربران یا شرکا به اشتراک نمی گذاریم.
از آنجایی که برنامه GPS Tools® یک برنامه مبتنی بر GPS است و شامل ابزارها/ابزارهای بسیاری است که از موقعیت مکانی شما {{while_using}} یا {{all_time}} (حتی در پس‌زمینه) استفاده می‌ک"&amp;"ند.
از موقعیت مکانی شما {{while_using}} برای ابزارها یا اهداف زیر استفاده می کند:
- نمایش سرعت حرکت (سرعت سنج)
- نمایش آب و هوا و پیش بینی در جایی که هستید
- نشان دادن مکان و آدرس فعلی
- کیفیت هوا و شاخص UV را در جایی که هستید نشان دهید
- جهت را در قطب ن"&amp;"ما نشان دهید
- سیگنال ماهواره را در جایی که هستید نشان دهید
- نمایش نقشه آب و هوا
از موقعیت مکانی شما {{all_time}} (حتی زمانی که برنامه بسته است یا استفاده نمی شود) برای ابزارها یا اهداف زیر استفاده می کند:
- برای فعال کردن هشدار GPS (هشدار GPS)
- برای ث"&amp;"بت موقعیت مکانی دستگاه خود (ردیابی و یافتن دستگاه)
- برای نشان دادن مسیری که طی کرده اید (Trekking Pro)
برای دریافت اطلاعات مسیر رانندگی و سایر مکان‌ها، از خدمات Google API استفاده می‌کنیم. برای اطلاعات بیشتر درباره سیاست‌های آنها، می‌توانید از {{google_"&amp;"privacy}} دیدن کنید.")</f>
        <v>وقتی از برنامه‌های رایگان GPS تلفن همراه ما استفاده می‌کنید، ممکن است از فناوری GPS (یا سایر فناوری‌های مشابه) برای تعیین مکان فعلی شما استفاده کنیم تا شهری که در آن قرار دارید را تعیین کنیم و نقشه موقعیت را نمایش دهیم. ما مکان فعلی شما یا هر داده موقعیت مکانی دیگری را بدون اجازه شما با سایر کاربران یا شرکا به اشتراک نمی گذاریم.
از آنجایی که برنامه GPS Tools® یک برنامه مبتنی بر GPS است و شامل ابزارها/ابزارهای بسیاری است که از موقعیت مکانی شما {{while_using}} یا {{all_time}} (حتی در پس‌زمینه) استفاده می‌کند.
از موقعیت مکانی شما {{while_using}} برای ابزارها یا اهداف زیر استفاده می کند:
- نمایش سرعت حرکت (سرعت سنج)
- نمایش آب و هوا و پیش بینی در جایی که هستید
- نشان دادن مکان و آدرس فعلی
- کیفیت هوا و شاخص UV را در جایی که هستید نشان دهید
- جهت را در قطب نما نشان دهید
- سیگنال ماهواره را در جایی که هستید نشان دهید
- نمایش نقشه آب و هوا
از موقعیت مکانی شما {{all_time}} (حتی زمانی که برنامه بسته است یا استفاده نمی شود) برای ابزارها یا اهداف زیر استفاده می کند:
- برای فعال کردن هشدار GPS (هشدار GPS)
- برای ثبت موقعیت مکانی دستگاه خود (ردیابی و یافتن دستگاه)
- برای نشان دادن مسیری که طی کرده اید (Trekking Pro)
برای دریافت اطلاعات مسیر رانندگی و سایر مکان‌ها، از خدمات Google API استفاده می‌کنیم. برای اطلاعات بیشتر درباره سیاست‌های آنها، می‌توانید از {{google_privacy}} دیدن کنید.</v>
      </c>
      <c r="AR122" s="4" t="str">
        <f>IFERROR(__xludf.DUMMYFUNCTION("GOOGLETRANSLATE(B122,""en"",""pl"")"),"Gdy korzystasz z naszych bezpłatnych aplikacji mobilnych GPS, możemy używać technologii GPS (lub innej podobnej technologii) do określania Twojej bieżącej lokalizacji, aby określić miasto, w którym się znajdujesz i wyświetlić mapę lokalizacji. Nie będziem"&amp;"y udostępniać Twojej bieżącej lokalizacji ani żadnych innych danych o lokalizacji innym użytkownikom ani partnerom bez Twojej zgody.
Ponieważ aplikacja GPS Tools® jest aplikacją opartą na GPS i zawiera wiele narzędzi/narzędzi, które wykorzystują Twoją lo"&amp;"kalizację {{while_using}} lub {{all_time}} (nawet w tle).
Używa Twojej lokalizacji {{while_using}} do następujących narzędzi lub celów:
- pokazuje prędkość podróży (Prędkościomierz)
- pokazuje pogodę i prognozę w miejscu, w którym się znajdujesz
- pokazu"&amp;"je bieżącą lokalizację i adres
- pokazuje jakość powietrza i indeks UV w miejscu, w którym się znajdujesz
- pokazuje kierunek w kompasie
- pokazuje sygnał satelitarny w miejscu, w którym się znajdujesz
- pokazuje mapę pogody
Używa Twojej lokalizacji {{al"&amp;"l_time}} (nawet gdy aplikacja jest zamknięta lub nieużywana) do następujących narzędzi lub celów:
- uruchamia alarm GPS (Alarm GPS)
- rejestruje lokalizację Twojego urządzenia (Urządzenie Track &amp; Find)
- pokazuje przebytą trasę (Trekking Pro)
Aby uzyskać"&amp;" informacje o trasie przejazdu i innych miejscach, korzystamy z usług Google API. Aby uzyskać więcej informacji o ich zasadach, możesz odwiedzić stronę {{google_privacy}}.")</f>
        <v>Gdy korzystasz z naszych bezpłatnych aplikacji mobilnych GPS, możemy używać technologii GPS (lub innej podobnej technologii) do określania Twojej bieżącej lokalizacji, aby określić miasto, w którym się znajdujesz i wyświetlić mapę lokalizacji. Nie będziemy udostępniać Twojej bieżącej lokalizacji ani żadnych innych danych o lokalizacji innym użytkownikom ani partnerom bez Twojej zgody.
Ponieważ aplikacja GPS Tools® jest aplikacją opartą na GPS i zawiera wiele narzędzi/narzędzi, które wykorzystują Twoją lokalizację {{while_using}} lub {{all_time}} (nawet w tle).
Używa Twojej lokalizacji {{while_using}} do następujących narzędzi lub celów:
- pokazuje prędkość podróży (Prędkościomierz)
- pokazuje pogodę i prognozę w miejscu, w którym się znajdujesz
- pokazuje bieżącą lokalizację i adres
- pokazuje jakość powietrza i indeks UV w miejscu, w którym się znajdujesz
- pokazuje kierunek w kompasie
- pokazuje sygnał satelitarny w miejscu, w którym się znajdujesz
- pokazuje mapę pogody
Używa Twojej lokalizacji {{all_time}} (nawet gdy aplikacja jest zamknięta lub nieużywana) do następujących narzędzi lub celów:
- uruchamia alarm GPS (Alarm GPS)
- rejestruje lokalizację Twojego urządzenia (Urządzenie Track &amp; Find)
- pokazuje przebytą trasę (Trekking Pro)
Aby uzyskać informacje o trasie przejazdu i innych miejscach, korzystamy z usług Google API. Aby uzyskać więcej informacji o ich zasadach, możesz odwiedzić stronę {{google_privacy}}.</v>
      </c>
      <c r="AS122" s="4" t="str">
        <f>IFERROR(__xludf.DUMMYFUNCTION("GOOGLETRANSLATE(B122,""en"",""sv"")"),"När du använder våra gratis mobila GPS-applikationer kan vi använda GPS-teknik (eller annan liknande teknik) för att bestämma din nuvarande plats för att avgöra vilken stad du befinner dig i och visa en platskarta. Vi kommer inte att dela din nuvarande pl"&amp;"ats eller annan platsdata med andra användare eller partners utan din tillåtelse.
Eftersom GPS Tools®-appen är en GPS-baserad applikation och den innehåller många verktyg/verktyg som använder din plats {{while_using}} eller {{all_time}} (även i bakgrunde"&amp;"n).
Den använder din plats {{while_using}} för följande verktyg eller syften:
- visa färdhastighet (Hastighetsmätare)
- visa väder och prognos där du är
- visa aktuell plats och adress
- visa luftkvalitet och uv-index där du är
- visa riktning i kompass
"&amp;"- visa satellitsignal där du är
- visa väderkarta
Den använder din plats {{all_time}} (även när appen är stängd eller inte används) för följande verktyg eller syften:
- för att utlösa GPS-larm (GPS-larm)
- för att logga platsen för din enhet (Spåra och h"&amp;"itta enhet)
- för att visa vägen du rest (Trekking Pro)
För att få information om körvägar och andra platser använder vi Googles API-tjänster. För mer information om deras policyer kan du besöka {{google_privacy}}.")</f>
        <v>När du använder våra gratis mobila GPS-applikationer kan vi använda GPS-teknik (eller annan liknande teknik) för att bestämma din nuvarande plats för att avgöra vilken stad du befinner dig i och visa en platskarta. Vi kommer inte att dela din nuvarande plats eller annan platsdata med andra användare eller partners utan din tillåtelse.
Eftersom GPS Tools®-appen är en GPS-baserad applikation och den innehåller många verktyg/verktyg som använder din plats {{while_using}} eller {{all_time}} (även i bakgrunden).
Den använder din plats {{while_using}} för följande verktyg eller syften:
- visa färdhastighet (Hastighetsmätare)
- visa väder och prognos där du är
- visa aktuell plats och adress
- visa luftkvalitet och uv-index där du är
- visa riktning i kompass
- visa satellitsignal där du är
- visa väderkarta
Den använder din plats {{all_time}} (även när appen är stängd eller inte används) för följande verktyg eller syften:
- för att utlösa GPS-larm (GPS-larm)
- för att logga platsen för din enhet (Spåra och hitta enhet)
- för att visa vägen du rest (Trekking Pro)
För att få information om körvägar och andra platser använder vi Googles API-tjänster. För mer information om deras policyer kan du besöka {{google_privacy}}.</v>
      </c>
      <c r="AT122" s="4" t="str">
        <f>IFERROR(__xludf.DUMMYFUNCTION("GOOGLETRANSLATE(B122,""en"",""uk"")"),"Коли ви використовуєте наші безкоштовні мобільні програми GPS, ми можемо використовувати технологію GPS (або іншу подібну технологію) для визначення вашого поточного місцезнаходження, щоб визначити місто, у якому ви перебуваєте, і відобразити карту розташ"&amp;"ування. Ми не будемо повідомляти ваше поточне місцезнаходження або будь-які інші дані про місцезнаходження іншим користувачам або партнерам без вашого дозволу.
Оскільки програма GPS Tools® є програмою на основі GPS, вона містить багато інструментів/утилі"&amp;"т, які використовують ваше місцезнаходження {{while_using}} або {{all_time}} (навіть у фоновому режимі).
Він використовує ваше місцезнаходження {{while_using}} для таких інструментів або цілей:
- показати швидкість руху (спідометр)
- показуйте погоду та "&amp;"прогноз там, де ви знаходитесь
- показати поточне місцезнаходження та адресу
- показувати якість повітря та УФ-індекс там, де ви знаходитесь
- показувати напрямок у компасі
- показувати супутниковий сигнал там, де ви знаходитесь
- показати карту погоди
В"&amp;"ін використовує ваше місцезнаходження {{all_time}} (навіть коли додаток закрито або не використовується) для таких інструментів і цілей:
- для запуску GPS-сигналу (GPS-сигналізації)
- для реєстрації місцезнаходження вашого пристрою (Track &amp; Find Device)
-"&amp;" щоб показати шлях, яким ви подорожували (Trekking Pro)
Для отримання інформації про маршрути та інші місця ми використовуємо служби Google API. Щоб дізнатися більше про їхню політику, ви можете відвідати {{google_privacy}}.")</f>
        <v>Коли ви використовуєте наші безкоштовні мобільні програми GPS, ми можемо використовувати технологію GPS (або іншу подібну технологію) для визначення вашого поточного місцезнаходження, щоб визначити місто, у якому ви перебуваєте, і відобразити карту розташування. Ми не будемо повідомляти ваше поточне місцезнаходження або будь-які інші дані про місцезнаходження іншим користувачам або партнерам без вашого дозволу.
Оскільки програма GPS Tools® є програмою на основі GPS, вона містить багато інструментів/утиліт, які використовують ваше місцезнаходження {{while_using}} або {{all_time}} (навіть у фоновому режимі).
Він використовує ваше місцезнаходження {{while_using}} для таких інструментів або цілей:
- показати швидкість руху (спідометр)
- показуйте погоду та прогноз там, де ви знаходитесь
- показати поточне місцезнаходження та адресу
- показувати якість повітря та УФ-індекс там, де ви знаходитесь
- показувати напрямок у компасі
- показувати супутниковий сигнал там, де ви знаходитесь
- показати карту погоди
Він використовує ваше місцезнаходження {{all_time}} (навіть коли додаток закрито або не використовується) для таких інструментів і цілей:
- для запуску GPS-сигналу (GPS-сигналізації)
- для реєстрації місцезнаходження вашого пристрою (Track &amp; Find Device)
- щоб показати шлях, яким ви подорожували (Trekking Pro)
Для отримання інформації про маршрути та інші місця ми використовуємо служби Google API. Щоб дізнатися більше про їхню політику, ви можете відвідати {{google_privacy}}.</v>
      </c>
      <c r="AU122" s="4" t="str">
        <f>IFERROR(__xludf.DUMMYFUNCTION("GOOGLETRANSLATE(B122,""en"",""zu"")"),"Uma usebenzisa izinhlelo zethu zokusebenza ze-GPS zamaselula, singasebenzisa ubuchwepheshe be-GPS (noma obunye ubuchwepheshe obufanayo) ukuthola indawo okuyo ukuze sithole idolobha okulo futhi sibonise imephu yendawo. Ngeke sabelane ngendawo yakho yamanje"&amp;" nanoma iyiphi enye idatha yendawo nabanye abasebenzisi noma ozakwethu ngaphandle kwemvume yakho.
Njengoba uhlelo lokusebenza lwe-GPS Tools® luwuhlelo olusekelwe ku-GPS futhi luqukethe amathuluzi/izinsiza eziningi ezisebenzisa indawo yakho {{while_using}"&amp;"} noma {{all_time}} (ngisho nangemuva futhi).
Isebenzisa indawo yakho {{while_using}} ngamathuluzi noma izinjongo ezilandelayo:
- Bonisa isivinini sokuhamba (Speedometer)
- khombisa isimo sezulu kanye nesibikezelo lapho ukhona
- bonisa indawo yamanje kan"&amp;"ye nekheli
- bonisa ikhwalithi yomoya kanye nenkomba ye-uv lapho ukhona
- khombisa isiqondiso kwikhampasi
- bonisa isignali yesathelayithi lapho ukhona
- khombisa imephu yesimo sezulu
Isebenzisa indawo yakho {{all_time}} (ngisho noma uhlelo lokusebenza l"&amp;"uvaliwe noma lungasetshenziswa) ngamathuluzi noma izinjongo ezilandelayo:
- ukucupha i-GPS Alarm (i-GPS Alarm)
- ukuze ungene endaweni yedivayisi yakho (Track &amp; Thola idivayisi)
- ukukhombisa indlela oyihambile (Trekking Pro)
Ukuthola umzila wokushayela "&amp;"nolunye ulwazi oluhlobene nezindawo, sisebenzisa amasevisi e-Google API. Ukuze uthole ulwazi olwengeziwe mayelana nezinqubomgomo zabo, ungavakashela okuthi {{google_privacy}}.")</f>
        <v>Uma usebenzisa izinhlelo zethu zokusebenza ze-GPS zamaselula, singasebenzisa ubuchwepheshe be-GPS (noma obunye ubuchwepheshe obufanayo) ukuthola indawo okuyo ukuze sithole idolobha okulo futhi sibonise imephu yendawo. Ngeke sabelane ngendawo yakho yamanje nanoma iyiphi enye idatha yendawo nabanye abasebenzisi noma ozakwethu ngaphandle kwemvume yakho.
Njengoba uhlelo lokusebenza lwe-GPS Tools® luwuhlelo olusekelwe ku-GPS futhi luqukethe amathuluzi/izinsiza eziningi ezisebenzisa indawo yakho {{while_using}} noma {{all_time}} (ngisho nangemuva futhi).
Isebenzisa indawo yakho {{while_using}} ngamathuluzi noma izinjongo ezilandelayo:
- Bonisa isivinini sokuhamba (Speedometer)
- khombisa isimo sezulu kanye nesibikezelo lapho ukhona
- bonisa indawo yamanje kanye nekheli
- bonisa ikhwalithi yomoya kanye nenkomba ye-uv lapho ukhona
- khombisa isiqondiso kwikhampasi
- bonisa isignali yesathelayithi lapho ukhona
- khombisa imephu yesimo sezulu
Isebenzisa indawo yakho {{all_time}} (ngisho noma uhlelo lokusebenza luvaliwe noma lungasetshenziswa) ngamathuluzi noma izinjongo ezilandelayo:
- ukucupha i-GPS Alarm (i-GPS Alarm)
- ukuze ungene endaweni yedivayisi yakho (Track &amp; Thola idivayisi)
- ukukhombisa indlela oyihambile (Trekking Pro)
Ukuthola umzila wokushayela nolunye ulwazi oluhlobene nezindawo, sisebenzisa amasevisi e-Google API. Ukuze uthole ulwazi olwengeziwe mayelana nezinqubomgomo zabo, ungavakashela okuthi {{google_privacy}}.</v>
      </c>
      <c r="AV122" s="4" t="str">
        <f>IFERROR(__xludf.DUMMYFUNCTION("GOOGLETRANSLATE(B122,""en"",""sr"")"),"Када користите наше бесплатне мобилне ГПС апликације, можемо користити ГПС технологију (или другу сличну технологију) да одредимо вашу тренутну локацију како бисмо одредили град у којем се налазите и приказали мапу локације. Нећемо делити вашу тренутну ло"&amp;"кацију или било које друге податке о локацији са другим корисницима или партнерима без ваше дозволе.
Пошто је апликација ГПС Тоолс® апликација заснована на ГПС-у и садржи много алата/услужних програма који користе вашу локацију {{вхиле_усинг}} или {{алл_"&amp;"тиме}} (чак иу позадини).
Користи вашу локацију {{вхиле_усинг}} за следеће алатке или сврхе:
- прикажи брзину путовања (брзиномер)
- покажите време и прогнозу где се налазите
- показати тренутну локацију и адресу
- покажите квалитет ваздуха и УВ индекс н"&amp;"а месту где се налазите
- показати правац у компасу
- покажите сателитски сигнал где се налазите
- показати временску карту
Користи вашу локацију {{алл_тиме}} (чак и када је апликација затворена или се не користи) за следеће алатке или сврхе:
- да активи"&amp;"ра ГПС аларм (ГПС аларм)
- да евидентирате локацију свог уређаја (Трацк &amp; Финд Девице)
- да покажете пут који сте прешли (Треккинг Про)
За добијање информација о рути вожње и другим местима, користимо услуге Гоогле АПИ-ја. За више информација о њиховим п"&amp;"олитикама, посетите {{гоогле_приваци}}.")</f>
        <v>Када користите наше бесплатне мобилне ГПС апликације, можемо користити ГПС технологију (или другу сличну технологију) да одредимо вашу тренутну локацију како бисмо одредили град у којем се налазите и приказали мапу локације. Нећемо делити вашу тренутну локацију или било које друге податке о локацији са другим корисницима или партнерима без ваше дозволе.
Пошто је апликација ГПС Тоолс® апликација заснована на ГПС-у и садржи много алата/услужних програма који користе вашу локацију {{вхиле_усинг}} или {{алл_тиме}} (чак иу позадини).
Користи вашу локацију {{вхиле_усинг}} за следеће алатке или сврхе:
- прикажи брзину путовања (брзиномер)
- покажите време и прогнозу где се налазите
- показати тренутну локацију и адресу
- покажите квалитет ваздуха и УВ индекс на месту где се налазите
- показати правац у компасу
- покажите сателитски сигнал где се налазите
- показати временску карту
Користи вашу локацију {{алл_тиме}} (чак и када је апликација затворена или се не користи) за следеће алатке или сврхе:
- да активира ГПС аларм (ГПС аларм)
- да евидентирате локацију свог уређаја (Трацк &amp; Финд Девице)
- да покажете пут који сте прешли (Треккинг Про)
За добијање информација о рути вожње и другим местима, користимо услуге Гоогле АПИ-ја. За више информација о њиховим политикама, посетите {{гоогле_приваци}}.</v>
      </c>
    </row>
    <row r="123">
      <c r="A123" s="3" t="s">
        <v>281</v>
      </c>
      <c r="B123" s="3" t="s">
        <v>282</v>
      </c>
      <c r="C123" s="4" t="str">
        <f>IFERROR(__xludf.DUMMYFUNCTION("GOOGLETRANSLATE(B123,""en"",""ta"")"),"குக்கீகள்")</f>
        <v>குக்கீகள்</v>
      </c>
      <c r="D123" s="4" t="str">
        <f>IFERROR(__xludf.DUMMYFUNCTION("GOOGLETRANSLATE(B123,""en"",""hi"")"),"कुकीज़")</f>
        <v>कुकीज़</v>
      </c>
      <c r="E123" s="4" t="str">
        <f>IFERROR(__xludf.DUMMYFUNCTION("GOOGLETRANSLATE(B123,""en"",""id"")"),"Kue")</f>
        <v>Kue</v>
      </c>
      <c r="F123" s="4" t="str">
        <f>IFERROR(__xludf.DUMMYFUNCTION("GOOGLETRANSLATE(B123,""en"",""ms"")"),"biskut")</f>
        <v>biskut</v>
      </c>
      <c r="G123" s="4" t="str">
        <f>IFERROR(__xludf.DUMMYFUNCTION("GOOGLETRANSLATE(B123,""en"",""de"")"),"Cookie Einstellungen")</f>
        <v>Cookie Einstellungen</v>
      </c>
      <c r="H123" s="4" t="str">
        <f>IFERROR(__xludf.DUMMYFUNCTION("GOOGLETRANSLATE(B123,""en"",""es"")"),"Galletas")</f>
        <v>Galletas</v>
      </c>
      <c r="I123" s="4" t="str">
        <f>IFERROR(__xludf.DUMMYFUNCTION("GOOGLETRANSLATE(B123,""en"",""fr"")"),"Cookies")</f>
        <v>Cookies</v>
      </c>
      <c r="J123" s="4" t="str">
        <f>IFERROR(__xludf.DUMMYFUNCTION("GOOGLETRANSLATE(B123,""en"",""it"")"),"Biscotti")</f>
        <v>Biscotti</v>
      </c>
      <c r="K123" s="4" t="str">
        <f>IFERROR(__xludf.DUMMYFUNCTION("GOOGLETRANSLATE(B123,""en"",""pt"")"),"Biscoitos")</f>
        <v>Biscoitos</v>
      </c>
      <c r="L123" s="4" t="str">
        <f>IFERROR(__xludf.DUMMYFUNCTION("GOOGLETRANSLATE(B123,""en"",""ro"")"),"Cookie-uri")</f>
        <v>Cookie-uri</v>
      </c>
      <c r="M123" s="4" t="str">
        <f>IFERROR(__xludf.DUMMYFUNCTION("GOOGLETRANSLATE(B123,""en"",""vi"")"),"Bánh quy")</f>
        <v>Bánh quy</v>
      </c>
      <c r="N123" s="4" t="str">
        <f>IFERROR(__xludf.DUMMYFUNCTION("GOOGLETRANSLATE(B123,""en"",""ru"")"),"Файлы cookie")</f>
        <v>Файлы cookie</v>
      </c>
      <c r="O123" s="4" t="str">
        <f>IFERROR(__xludf.DUMMYFUNCTION("GOOGLETRANSLATE(B123,""en"",""tr"")"),"Çerezler")</f>
        <v>Çerezler</v>
      </c>
      <c r="P123" s="4" t="str">
        <f>IFERROR(__xludf.DUMMYFUNCTION("GOOGLETRANSLATE(B123,""en"",""ar"")"),"ملفات تعريف الارتباط")</f>
        <v>ملفات تعريف الارتباط</v>
      </c>
      <c r="Q123" s="4" t="str">
        <f>IFERROR(__xludf.DUMMYFUNCTION("GOOGLETRANSLATE(B123,""en"",""mr"")"),"कुकीज")</f>
        <v>कुकीज</v>
      </c>
      <c r="R123" s="4" t="str">
        <f>IFERROR(__xludf.DUMMYFUNCTION("GOOGLETRANSLATE(B123,""en"",""gu"")"),"કૂકીઝ")</f>
        <v>કૂકીઝ</v>
      </c>
      <c r="S123" s="4" t="str">
        <f>IFERROR(__xludf.DUMMYFUNCTION("GOOGLETRANSLATE(B123,""en"",""bn"")"),"কুকিজ")</f>
        <v>কুকিজ</v>
      </c>
      <c r="T123" s="4" t="str">
        <f>IFERROR(__xludf.DUMMYFUNCTION("GOOGLETRANSLATE(B123,""en"",""pa"")"),"ਕੂਕੀਜ਼")</f>
        <v>ਕੂਕੀਜ਼</v>
      </c>
      <c r="U123" s="4" t="str">
        <f>IFERROR(__xludf.DUMMYFUNCTION("GOOGLETRANSLATE(B123,""en"",""te"")"),"కుక్కీలు")</f>
        <v>కుక్కీలు</v>
      </c>
      <c r="V123" s="4" t="str">
        <f>IFERROR(__xludf.DUMMYFUNCTION("GOOGLETRANSLATE(B123,""en"",""kn"")"),"ಕುಕೀಸ್")</f>
        <v>ಕುಕೀಸ್</v>
      </c>
      <c r="W123" s="4" t="str">
        <f>IFERROR(__xludf.DUMMYFUNCTION("GOOGLETRANSLATE(B123,""en"",""ml"")"),"കുക്കികൾ")</f>
        <v>കുക്കികൾ</v>
      </c>
      <c r="X123" s="4" t="str">
        <f>IFERROR(__xludf.DUMMYFUNCTION("GOOGLETRANSLATE(B123,""en"",""th"")"),"คุกกี้")</f>
        <v>คุกกี้</v>
      </c>
      <c r="Y123" s="4" t="str">
        <f>IFERROR(__xludf.DUMMYFUNCTION("GOOGLETRANSLATE(B123,""en"",""ko"")"),"쿠키")</f>
        <v>쿠키</v>
      </c>
      <c r="Z123" s="4" t="str">
        <f>IFERROR(__xludf.DUMMYFUNCTION("GOOGLETRANSLATE(B123,""en"",""zh"")"),"曲奇饼")</f>
        <v>曲奇饼</v>
      </c>
      <c r="AA123" s="4" t="str">
        <f>IFERROR(__xludf.DUMMYFUNCTION("GOOGLETRANSLATE(B123,""en"",""zh-TW"")"),"餅乾")</f>
        <v>餅乾</v>
      </c>
      <c r="AB123" s="4" t="str">
        <f>IFERROR(__xludf.DUMMYFUNCTION("GOOGLETRANSLATE(B123,""en"",""ja"")"),"クッキー")</f>
        <v>クッキー</v>
      </c>
      <c r="AC123" s="4" t="str">
        <f>IFERROR(__xludf.DUMMYFUNCTION("GOOGLETRANSLATE(B123,""en"",""bg"")"),"Бисквитки")</f>
        <v>Бисквитки</v>
      </c>
      <c r="AD123" s="4" t="str">
        <f>IFERROR(__xludf.DUMMYFUNCTION("GOOGLETRANSLATE(B123,""en"",""cs"")"),"Soubory cookie")</f>
        <v>Soubory cookie</v>
      </c>
      <c r="AE123" s="4" t="str">
        <f>IFERROR(__xludf.DUMMYFUNCTION("GOOGLETRANSLATE(B123,""en"",""da"")"),"Cookies")</f>
        <v>Cookies</v>
      </c>
      <c r="AF123" s="4" t="str">
        <f>IFERROR(__xludf.DUMMYFUNCTION("GOOGLETRANSLATE(B123,""en"",""el"")"),"Μπισκότα")</f>
        <v>Μπισκότα</v>
      </c>
      <c r="AG123" s="4" t="str">
        <f>IFERROR(__xludf.DUMMYFUNCTION("GOOGLETRANSLATE(B123,""en"",""et"")"),"Küpsised")</f>
        <v>Küpsised</v>
      </c>
      <c r="AH123" s="4" t="str">
        <f>IFERROR(__xludf.DUMMYFUNCTION("GOOGLETRANSLATE(B123,""en"",""fi"")"),"Evästeet")</f>
        <v>Evästeet</v>
      </c>
      <c r="AI123" s="4" t="str">
        <f>IFERROR(__xludf.DUMMYFUNCTION("GOOGLETRANSLATE(B123,""en"",""hr"")"),"Kolačići")</f>
        <v>Kolačići</v>
      </c>
      <c r="AJ123" s="4" t="str">
        <f>IFERROR(__xludf.DUMMYFUNCTION("GOOGLETRANSLATE(B123,""en"",""hu"")"),"Cookie-k")</f>
        <v>Cookie-k</v>
      </c>
      <c r="AK123" s="4" t="str">
        <f>IFERROR(__xludf.DUMMYFUNCTION("GOOGLETRANSLATE(B123,""en"",""hy"")"),"Թխվածքաբլիթներ")</f>
        <v>Թխվածքաբլիթներ</v>
      </c>
      <c r="AL123" s="4" t="str">
        <f>IFERROR(__xludf.DUMMYFUNCTION("GOOGLETRANSLATE(B123,""en"",""ca"")"),"Galetes")</f>
        <v>Galetes</v>
      </c>
      <c r="AM123" s="4" t="str">
        <f>IFERROR(__xludf.DUMMYFUNCTION("GOOGLETRANSLATE(B123,""en"",""nl"")"),"Koekjes")</f>
        <v>Koekjes</v>
      </c>
      <c r="AN123" s="4" t="str">
        <f>IFERROR(__xludf.DUMMYFUNCTION("GOOGLETRANSLATE(B123,""en"",""he"")"),"עוגיות")</f>
        <v>עוגיות</v>
      </c>
      <c r="AO123" s="4" t="str">
        <f>IFERROR(__xludf.DUMMYFUNCTION("GOOGLETRANSLATE(B123,""en"",""is"")"),"Kökur")</f>
        <v>Kökur</v>
      </c>
      <c r="AP123" s="4" t="str">
        <f>IFERROR(__xludf.DUMMYFUNCTION("GOOGLETRANSLATE(B123,""en"",""no"")"),"Informasjonskapsler")</f>
        <v>Informasjonskapsler</v>
      </c>
      <c r="AQ123" s="4" t="str">
        <f>IFERROR(__xludf.DUMMYFUNCTION("GOOGLETRANSLATE(B123,""en"",""fa"")"),"کوکی ها")</f>
        <v>کوکی ها</v>
      </c>
      <c r="AR123" s="4" t="str">
        <f>IFERROR(__xludf.DUMMYFUNCTION("GOOGLETRANSLATE(B123,""en"",""pl"")"),"Ciastka")</f>
        <v>Ciastka</v>
      </c>
      <c r="AS123" s="4" t="str">
        <f>IFERROR(__xludf.DUMMYFUNCTION("GOOGLETRANSLATE(B123,""en"",""sv"")"),"Småkakor")</f>
        <v>Småkakor</v>
      </c>
      <c r="AT123" s="4" t="str">
        <f>IFERROR(__xludf.DUMMYFUNCTION("GOOGLETRANSLATE(B123,""en"",""uk"")"),"Печиво")</f>
        <v>Печиво</v>
      </c>
      <c r="AU123" s="4" t="str">
        <f>IFERROR(__xludf.DUMMYFUNCTION("GOOGLETRANSLATE(B123,""en"",""zu"")"),"Amakhukhi")</f>
        <v>Amakhukhi</v>
      </c>
      <c r="AV123" s="4" t="str">
        <f>IFERROR(__xludf.DUMMYFUNCTION("GOOGLETRANSLATE(B123,""en"",""sr"")"),"Колачићи")</f>
        <v>Колачићи</v>
      </c>
    </row>
    <row r="124">
      <c r="A124" s="3" t="s">
        <v>283</v>
      </c>
      <c r="B124" s="3" t="s">
        <v>284</v>
      </c>
      <c r="C124" s="4" t="str">
        <f>IFERROR(__xludf.DUMMYFUNCTION("GOOGLETRANSLATE(B124,""en"",""ta"")"),"'குக்கீ' என்பது ஒரு இணையதளம் உங்கள் உலாவிக்கு அனுப்பக்கூடிய சிறிய தரவுக் கோப்பாகும், மேலும் உங்கள் உலாவி உங்கள் கணினியில் சேமிக்கலாம். VMSPL ஆனது இணையதளத்தின் எந்தப் பகுதியிலும் குக்கீகளைப் பயன்படுத்துவதில்லை, எனவே இந்தத் தளத்தில் வழிசெலுத்துவதன் விளைவாக "&amp;"எதுவும் உங்கள் உலாவியில் சேமிக்கப்படாது.")</f>
        <v>'குக்கீ' என்பது ஒரு இணையதளம் உங்கள் உலாவிக்கு அனுப்பக்கூடிய சிறிய தரவுக் கோப்பாகும், மேலும் உங்கள் உலாவி உங்கள் கணினியில் சேமிக்கலாம். VMSPL ஆனது இணையதளத்தின் எந்தப் பகுதியிலும் குக்கீகளைப் பயன்படுத்துவதில்லை, எனவே இந்தத் தளத்தில் வழிசெலுத்துவதன் விளைவாக எதுவும் உங்கள் உலாவியில் சேமிக்கப்படாது.</v>
      </c>
      <c r="D124" s="4" t="str">
        <f>IFERROR(__xludf.DUMMYFUNCTION("GOOGLETRANSLATE(B124,""en"",""hi"")"),"'कुकी' एक छोटी डेटा फ़ाइल होती है जिसे कोई वेबसाइट आपके ब्राउज़र को भेज सकती है और फिर आपका ब्राउज़र आपके सिस्टम पर स्टोर कर सकता है। VMSPL वेबसाइट के किसी भी क्षेत्र में कुकीज़ का उपयोग नहीं करता है, इसलिए इस साइट पर नेविगेट करने के परिणामस्वरूप आपके ब्र"&amp;"ाउज़र में कोई भी कुकी संग्रहीत नहीं होगी।")</f>
        <v>'कुकी' एक छोटी डेटा फ़ाइल होती है जिसे कोई वेबसाइट आपके ब्राउज़र को भेज सकती है और फिर आपका ब्राउज़र आपके सिस्टम पर स्टोर कर सकता है। VMSPL वेबसाइट के किसी भी क्षेत्र में कुकीज़ का उपयोग नहीं करता है, इसलिए इस साइट पर नेविगेट करने के परिणामस्वरूप आपके ब्राउज़र में कोई भी कुकी संग्रहीत नहीं होगी।</v>
      </c>
      <c r="E124" s="4" t="str">
        <f>IFERROR(__xludf.DUMMYFUNCTION("GOOGLETRANSLATE(B124,""en"",""id"")"),"'Cookie' adalah berkas data kecil yang mungkin dikirim situs web ke peramban Anda dan kemudian disimpan peramban Anda di sistem Anda. VMSPL tidak menggunakan cookie di area mana pun di situs web tersebut, jadi tidak ada yang akan disimpan di peramban Anda"&amp;" setelah Anda menjelajahi situs ini.")</f>
        <v>'Cookie' adalah berkas data kecil yang mungkin dikirim situs web ke peramban Anda dan kemudian disimpan peramban Anda di sistem Anda. VMSPL tidak menggunakan cookie di area mana pun di situs web tersebut, jadi tidak ada yang akan disimpan di peramban Anda setelah Anda menjelajahi situs ini.</v>
      </c>
      <c r="F124" s="4" t="str">
        <f>IFERROR(__xludf.DUMMYFUNCTION("GOOGLETRANSLATE(B124,""en"",""ms"")"),"'Kuki' ialah fail data kecil yang mungkin dihantar oleh tapak web ke penyemak imbas anda dan penyemak imbas anda kemudiannya boleh disimpan pada sistem anda. VMSPL tidak menggunakan kuki di mana-mana kawasan tapak web jadi tiada satu pun akan disimpan dal"&amp;"am penyemak imbas anda hasil daripada menavigasi tapak ini.")</f>
        <v>'Kuki' ialah fail data kecil yang mungkin dihantar oleh tapak web ke penyemak imbas anda dan penyemak imbas anda kemudiannya boleh disimpan pada sistem anda. VMSPL tidak menggunakan kuki di mana-mana kawasan tapak web jadi tiada satu pun akan disimpan dalam penyemak imbas anda hasil daripada menavigasi tapak ini.</v>
      </c>
      <c r="G124" s="4" t="str">
        <f>IFERROR(__xludf.DUMMYFUNCTION("GOOGLETRANSLATE(B124,""en"",""de"")"),"Ein Cookie ist eine kleine Datei, die eine Website an Ihren Browser sendet und die Ihr Browser dann auf Ihrem System speichert. VMSPL verwendet auf keiner Website Cookies, daher werden beim Besuch dieser Website keine Cookies in Ihrem Browser gespeichert.")</f>
        <v>Ein Cookie ist eine kleine Datei, die eine Website an Ihren Browser sendet und die Ihr Browser dann auf Ihrem System speichert. VMSPL verwendet auf keiner Website Cookies, daher werden beim Besuch dieser Website keine Cookies in Ihrem Browser gespeichert.</v>
      </c>
      <c r="H124" s="4" t="str">
        <f>IFERROR(__xludf.DUMMYFUNCTION("GOOGLETRANSLATE(B124,""en"",""es"")"),"Una «cookie» es un pequeño archivo de datos que un sitio web puede enviar a su navegador y que este puede almacenar en su sistema. VMSPL no utiliza cookies en ninguna área del sitio web, por lo que no se almacenará ninguna en su navegador al navegar por e"&amp;"ste sitio.")</f>
        <v>Una «cookie» es un pequeño archivo de datos que un sitio web puede enviar a su navegador y que este puede almacenar en su sistema. VMSPL no utiliza cookies en ninguna área del sitio web, por lo que no se almacenará ninguna en su navegador al navegar por este sitio.</v>
      </c>
      <c r="I124" s="4" t="str">
        <f>IFERROR(__xludf.DUMMYFUNCTION("GOOGLETRANSLATE(B124,""en"",""fr"")"),"Un « cookie » est un petit fichier de données qu'un site web peut envoyer à votre navigateur et que celui-ci peut ensuite stocker sur votre système. VMSPL n'utilise aucun cookie sur son site web ; aucun cookie ne sera donc stocké dans votre navigateur sui"&amp;"te à votre navigation sur ce site.")</f>
        <v>Un « cookie » est un petit fichier de données qu'un site web peut envoyer à votre navigateur et que celui-ci peut ensuite stocker sur votre système. VMSPL n'utilise aucun cookie sur son site web ; aucun cookie ne sera donc stocké dans votre navigateur suite à votre navigation sur ce site.</v>
      </c>
      <c r="J124" s="4" t="str">
        <f>IFERROR(__xludf.DUMMYFUNCTION("GOOGLETRANSLATE(B124,""en"",""it"")"),"Un ""cookie"" è un piccolo file di dati che un sito web può inviare al tuo browser e che il browser può quindi memorizzare sul tuo sistema. VMSPL non utilizza cookie in nessuna area del sito web, quindi nessuno verrà memorizzato nel tuo browser durante la"&amp;" navigazione su questo sito.")</f>
        <v>Un "cookie" è un piccolo file di dati che un sito web può inviare al tuo browser e che il browser può quindi memorizzare sul tuo sistema. VMSPL non utilizza cookie in nessuna area del sito web, quindi nessuno verrà memorizzato nel tuo browser durante la navigazione su questo sito.</v>
      </c>
      <c r="K124" s="4" t="str">
        <f>IFERROR(__xludf.DUMMYFUNCTION("GOOGLETRANSLATE(B124,""en"",""pt"")"),"Um ""cookie"" é um pequeno arquivo de dados que um site pode enviar ao seu navegador e que este pode então armazenar no seu sistema. A VMSPL não utiliza cookies em nenhuma área do site, portanto, nenhum será armazenado no seu navegador como resultado da s"&amp;"ua navegação neste site.")</f>
        <v>Um "cookie" é um pequeno arquivo de dados que um site pode enviar ao seu navegador e que este pode então armazenar no seu sistema. A VMSPL não utiliza cookies em nenhuma área do site, portanto, nenhum será armazenado no seu navegador como resultado da sua navegação neste site.</v>
      </c>
      <c r="L124" s="4" t="str">
        <f>IFERROR(__xludf.DUMMYFUNCTION("GOOGLETRANSLATE(B124,""en"",""ro"")"),"Un „cookie” este un mic fișier de date pe care un site web îl poate trimite browserului dumneavoastră și pe care browserul dumneavoastră îl poate stoca apoi în sistemul dumneavoastră. VMSPL nu utilizează cookie-uri în nicio zonă a site-ului web, astfel în"&amp;"cât niciunul nu va fi stocat în browserul dumneavoastră ca urmare a navigării pe acest site.")</f>
        <v>Un „cookie” este un mic fișier de date pe care un site web îl poate trimite browserului dumneavoastră și pe care browserul dumneavoastră îl poate stoca apoi în sistemul dumneavoastră. VMSPL nu utilizează cookie-uri în nicio zonă a site-ului web, astfel încât niciunul nu va fi stocat în browserul dumneavoastră ca urmare a navigării pe acest site.</v>
      </c>
      <c r="M124" s="4" t="str">
        <f>IFERROR(__xludf.DUMMYFUNCTION("GOOGLETRANSLATE(B124,""en"",""vi"")"),"'Cookie' là một tệp dữ liệu nhỏ mà một trang web có thể gửi đến trình duyệt của bạn và sau đó trình duyệt của bạn có thể lưu trữ trên hệ thống của bạn. VMSPL không sử dụng cookie trong bất kỳ khu vực nào của trang web nên sẽ không có cookie nào được lưu t"&amp;"rữ trong trình duyệt của bạn khi bạn duyệt trang web này.")</f>
        <v>'Cookie' là một tệp dữ liệu nhỏ mà một trang web có thể gửi đến trình duyệt của bạn và sau đó trình duyệt của bạn có thể lưu trữ trên hệ thống của bạn. VMSPL không sử dụng cookie trong bất kỳ khu vực nào của trang web nên sẽ không có cookie nào được lưu trữ trong trình duyệt của bạn khi bạn duyệt trang web này.</v>
      </c>
      <c r="N124" s="4" t="str">
        <f>IFERROR(__xludf.DUMMYFUNCTION("GOOGLETRANSLATE(B124,""en"",""ru"")"),"«Cookie» — это небольшой файл данных, который веб-сайт может отправить в ваш браузер, и который ваш браузер может затем сохранить в вашей системе. VMSPL не использует файлы cookie ни в одной области веб-сайта, поэтому ни один из них не будет сохранен в ва"&amp;"шем браузере в результате навигации по этому сайту.")</f>
        <v>«Cookie» — это небольшой файл данных, который веб-сайт может отправить в ваш браузер, и который ваш браузер может затем сохранить в вашей системе. VMSPL не использует файлы cookie ни в одной области веб-сайта, поэтому ни один из них не будет сохранен в вашем браузере в результате навигации по этому сайту.</v>
      </c>
      <c r="O124" s="4" t="str">
        <f>IFERROR(__xludf.DUMMYFUNCTION("GOOGLETRANSLATE(B124,""en"",""tr"")"),"Bir 'çerez', bir web sitesinin tarayıcınıza gönderebileceği ve tarayıcınızın daha sonra sisteminizde depolayabileceği küçük bir veri dosyasıdır. VMSPL, web sitesinin hiçbir alanında çerez kullanmaz, bu nedenle bu sitede gezinmeniz sonucunda tarayıcınızda "&amp;"hiçbiri depolanmayacaktır.")</f>
        <v>Bir 'çerez', bir web sitesinin tarayıcınıza gönderebileceği ve tarayıcınızın daha sonra sisteminizde depolayabileceği küçük bir veri dosyasıdır. VMSPL, web sitesinin hiçbir alanında çerez kullanmaz, bu nedenle bu sitede gezinmeniz sonucunda tarayıcınızda hiçbiri depolanmayacaktır.</v>
      </c>
      <c r="P124" s="4" t="str">
        <f>IFERROR(__xludf.DUMMYFUNCTION("GOOGLETRANSLATE(B124,""en"",""ar"")"),"ملف تعريف الارتباط (الكوكيز) هو ملف بيانات صغير يُرسله موقع الويب إلى متصفحك، ثم يُخزّنه على نظامك. لا تستخدم VMSPL ملفات تعريف الارتباط في أي جزء من الموقع، لذا لن تُخزّن أيٌّ منها في متصفحك نتيجةً لتصفحك هذا الموقع.")</f>
        <v>ملف تعريف الارتباط (الكوكيز) هو ملف بيانات صغير يُرسله موقع الويب إلى متصفحك، ثم يُخزّنه على نظامك. لا تستخدم VMSPL ملفات تعريف الارتباط في أي جزء من الموقع، لذا لن تُخزّن أيٌّ منها في متصفحك نتيجةً لتصفحك هذا الموقع.</v>
      </c>
      <c r="Q124" s="4" t="str">
        <f>IFERROR(__xludf.DUMMYFUNCTION("GOOGLETRANSLATE(B124,""en"",""mr"")"),"'कुकी' ही एक छोटी डेटा फाइल आहे जी वेबसाइट तुमच्या ब्राउझरला पाठवू शकते आणि तुमचा ब्राउझर तुमच्या सिस्टमवर स्टोअर करू शकते. VMSPL वेबसाइटच्या कोणत्याही भागात कुकीज वापरत नाही त्यामुळे या साइटवर नेव्हिगेट केल्यामुळे तुमच्या ब्राउझरमध्ये कोणतीही साठवली जाणा"&amp;"र नाही.")</f>
        <v>'कुकी' ही एक छोटी डेटा फाइल आहे जी वेबसाइट तुमच्या ब्राउझरला पाठवू शकते आणि तुमचा ब्राउझर तुमच्या सिस्टमवर स्टोअर करू शकते. VMSPL वेबसाइटच्या कोणत्याही भागात कुकीज वापरत नाही त्यामुळे या साइटवर नेव्हिगेट केल्यामुळे तुमच्या ब्राउझरमध्ये कोणतीही साठवली जाणार नाही.</v>
      </c>
      <c r="R124" s="4" t="str">
        <f>IFERROR(__xludf.DUMMYFUNCTION("GOOGLETRANSLATE(B124,""en"",""gu"")"),"'કૂકી' એ એક નાની ડેટા ફાઇલ છે જે વેબસાઇટ તમારા બ્રાઉઝરને મોકલી શકે છે અને તમારું બ્રાઉઝર તમારી સિસ્ટમ પર સ્ટોર કરી શકે છે. VMSPL વેબસાઈટના કોઈપણ ક્ષેત્રમાં કૂકીઝનો ઉપયોગ કરતું નથી તેથી આ સાઈટ નેવિગેટ કરવાના પરિણામે કોઈ પણ તમારા બ્રાઉઝરમાં સંગ્રહિત થશે નહી"&amp;"ં.")</f>
        <v>'કૂકી' એ એક નાની ડેટા ફાઇલ છે જે વેબસાઇટ તમારા બ્રાઉઝરને મોકલી શકે છે અને તમારું બ્રાઉઝર તમારી સિસ્ટમ પર સ્ટોર કરી શકે છે. VMSPL વેબસાઈટના કોઈપણ ક્ષેત્રમાં કૂકીઝનો ઉપયોગ કરતું નથી તેથી આ સાઈટ નેવિગેટ કરવાના પરિણામે કોઈ પણ તમારા બ્રાઉઝરમાં સંગ્રહિત થશે નહીં.</v>
      </c>
      <c r="S124" s="4" t="str">
        <f>IFERROR(__xludf.DUMMYFUNCTION("GOOGLETRANSLATE(B124,""en"",""bn"")"),"একটি 'কুকি' হল একটি ছোট ডেটা ফাইল যা একটি ওয়েবসাইট আপনার ব্রাউজারে পাঠাতে পারে এবং আপনার ব্রাউজার তখন আপনার সিস্টেমে সংরক্ষণ করতে পারে। VMSPL ওয়েবসাইটের কোনো এলাকায় কুকিজ ব্যবহার করে না তাই এই সাইটটি নেভিগেট করার ফলে কোনোটিই আপনার ব্রাউজারে সংরক্ষণ করা"&amp;" হবে না।")</f>
        <v>একটি 'কুকি' হল একটি ছোট ডেটা ফাইল যা একটি ওয়েবসাইট আপনার ব্রাউজারে পাঠাতে পারে এবং আপনার ব্রাউজার তখন আপনার সিস্টেমে সংরক্ষণ করতে পারে। VMSPL ওয়েবসাইটের কোনো এলাকায় কুকিজ ব্যবহার করে না তাই এই সাইটটি নেভিগেট করার ফলে কোনোটিই আপনার ব্রাউজারে সংরক্ষণ করা হবে না।</v>
      </c>
      <c r="T124" s="4" t="str">
        <f>IFERROR(__xludf.DUMMYFUNCTION("GOOGLETRANSLATE(B124,""en"",""pa"")"),"ਇੱਕ 'ਕੂਕੀ' ਇੱਕ ਛੋਟੀ ਡੇਟਾ ਫਾਈਲ ਹੈ ਜੋ ਇੱਕ ਵੈਬਸਾਈਟ ਤੁਹਾਡੇ ਬ੍ਰਾਊਜ਼ਰ ਨੂੰ ਭੇਜ ਸਕਦੀ ਹੈ ਅਤੇ ਤੁਹਾਡਾ ਬ੍ਰਾਊਜ਼ਰ ਤੁਹਾਡੇ ਸਿਸਟਮ 'ਤੇ ਸਟੋਰ ਕਰ ਸਕਦਾ ਹੈ। VMSPL ਵੈੱਬਸਾਈਟ ਦੇ ਕਿਸੇ ਵੀ ਖੇਤਰ ਵਿੱਚ ਕੂਕੀਜ਼ ਦੀ ਵਰਤੋਂ ਨਹੀਂ ਕਰਦਾ ਹੈ ਇਸਲਈ ਇਸ ਸਾਈਟ ਨੂੰ ਨੈਵੀਗੇਟ ਕਰਨ ਦੇ ਨਤੀਜੇ ਵਜੋਂ ਤੁਹਾਡੇ ਬ੍ਰਾਊਜ"&amp;"਼ਰ ਵਿੱਚ ਕੋਈ ਵੀ ਸਟੋਰ ਨਹੀਂ ਕੀਤਾ ਜਾਵੇਗਾ।")</f>
        <v>ਇੱਕ 'ਕੂਕੀ' ਇੱਕ ਛੋਟੀ ਡੇਟਾ ਫਾਈਲ ਹੈ ਜੋ ਇੱਕ ਵੈਬਸਾਈਟ ਤੁਹਾਡੇ ਬ੍ਰਾਊਜ਼ਰ ਨੂੰ ਭੇਜ ਸਕਦੀ ਹੈ ਅਤੇ ਤੁਹਾਡਾ ਬ੍ਰਾਊਜ਼ਰ ਤੁਹਾਡੇ ਸਿਸਟਮ 'ਤੇ ਸਟੋਰ ਕਰ ਸਕਦਾ ਹੈ। VMSPL ਵੈੱਬਸਾਈਟ ਦੇ ਕਿਸੇ ਵੀ ਖੇਤਰ ਵਿੱਚ ਕੂਕੀਜ਼ ਦੀ ਵਰਤੋਂ ਨਹੀਂ ਕਰਦਾ ਹੈ ਇਸਲਈ ਇਸ ਸਾਈਟ ਨੂੰ ਨੈਵੀਗੇਟ ਕਰਨ ਦੇ ਨਤੀਜੇ ਵਜੋਂ ਤੁਹਾਡੇ ਬ੍ਰਾਊਜ਼ਰ ਵਿੱਚ ਕੋਈ ਵੀ ਸਟੋਰ ਨਹੀਂ ਕੀਤਾ ਜਾਵੇਗਾ।</v>
      </c>
      <c r="U124" s="4" t="str">
        <f>IFERROR(__xludf.DUMMYFUNCTION("GOOGLETRANSLATE(B124,""en"",""te"")"),"'కుకీ' అనేది మీ బ్రౌజర్‌కి వెబ్‌సైట్ పంపే చిన్న డేటా ఫైల్ మరియు మీ బ్రౌజర్ మీ సిస్టమ్‌లో నిల్వ చేయవచ్చు. VMSPL వెబ్‌సైట్‌లోని ఏ ప్రాంతంలో కుక్కీలను ఉపయోగించదు కాబట్టి ఈ సైట్‌ను నావిగేట్ చేయడం వల్ల మీ బ్రౌజర్‌లో ఏదీ నిల్వ చేయబడదు.")</f>
        <v>'కుకీ' అనేది మీ బ్రౌజర్‌కి వెబ్‌సైట్ పంపే చిన్న డేటా ఫైల్ మరియు మీ బ్రౌజర్ మీ సిస్టమ్‌లో నిల్వ చేయవచ్చు. VMSPL వెబ్‌సైట్‌లోని ఏ ప్రాంతంలో కుక్కీలను ఉపయోగించదు కాబట్టి ఈ సైట్‌ను నావిగేట్ చేయడం వల్ల మీ బ్రౌజర్‌లో ఏదీ నిల్వ చేయబడదు.</v>
      </c>
      <c r="V124" s="4" t="str">
        <f>IFERROR(__xludf.DUMMYFUNCTION("GOOGLETRANSLATE(B124,""en"",""kn"")"),"'ಕುಕೀ' ಎನ್ನುವುದು ನಿಮ್ಮ ಬ್ರೌಸರ್‌ಗೆ ವೆಬ್‌ಸೈಟ್ ಕಳುಹಿಸಬಹುದಾದ ಸಣ್ಣ ಡೇಟಾ ಫೈಲ್ ಆಗಿದೆ ಮತ್ತು ನಿಮ್ಮ ಬ್ರೌಸರ್ ನಂತರ ನಿಮ್ಮ ಸಿಸ್ಟಮ್‌ನಲ್ಲಿ ಸಂಗ್ರಹಿಸಬಹುದು. VMSPL ವೆಬ್‌ಸೈಟ್‌ನ ಯಾವುದೇ ಪ್ರದೇಶದಲ್ಲಿ ಕುಕೀಗಳನ್ನು ಬಳಸುವುದಿಲ್ಲ ಆದ್ದರಿಂದ ಈ ಸೈಟ್ ಅನ್ನು ನ್ಯಾವಿಗೇಟ್ ಮಾಡುವ ಪರಿಣಾಮವಾಗಿ ನಿಮ್ಮ ಬ"&amp;"್ರೌಸರ್‌ನಲ್ಲಿ ಯಾವುದನ್ನೂ ಸಂಗ್ರಹಿಸಲಾಗುವುದಿಲ್ಲ.")</f>
        <v>'ಕುಕೀ' ಎನ್ನುವುದು ನಿಮ್ಮ ಬ್ರೌಸರ್‌ಗೆ ವೆಬ್‌ಸೈಟ್ ಕಳುಹಿಸಬಹುದಾದ ಸಣ್ಣ ಡೇಟಾ ಫೈಲ್ ಆಗಿದೆ ಮತ್ತು ನಿಮ್ಮ ಬ್ರೌಸರ್ ನಂತರ ನಿಮ್ಮ ಸಿಸ್ಟಮ್‌ನಲ್ಲಿ ಸಂಗ್ರಹಿಸಬಹುದು. VMSPL ವೆಬ್‌ಸೈಟ್‌ನ ಯಾವುದೇ ಪ್ರದೇಶದಲ್ಲಿ ಕುಕೀಗಳನ್ನು ಬಳಸುವುದಿಲ್ಲ ಆದ್ದರಿಂದ ಈ ಸೈಟ್ ಅನ್ನು ನ್ಯಾವಿಗೇಟ್ ಮಾಡುವ ಪರಿಣಾಮವಾಗಿ ನಿಮ್ಮ ಬ್ರೌಸರ್‌ನಲ್ಲಿ ಯಾವುದನ್ನೂ ಸಂಗ್ರಹಿಸಲಾಗುವುದಿಲ್ಲ.</v>
      </c>
      <c r="W124" s="4" t="str">
        <f>IFERROR(__xludf.DUMMYFUNCTION("GOOGLETRANSLATE(B124,""en"",""ml"")"),"ഒരു വെബ്‌സൈറ്റ് നിങ്ങളുടെ ബ്രൗസറിലേക്ക് അയച്ചേക്കാവുന്ന ഒരു ചെറിയ ഡാറ്റ ഫയലാണ് 'കുക്കി' എന്നത് നിങ്ങളുടെ ബ്രൗസർ പിന്നീട് നിങ്ങളുടെ സിസ്റ്റത്തിൽ സംഭരിച്ചേക്കാം. വെബ്‌സൈറ്റിൻ്റെ ഒരു മേഖലയിലും VMSPL കുക്കികൾ ഉപയോഗിക്കുന്നില്ല, അതിനാൽ ഈ സൈറ്റ് നാവിഗേറ്റ് ചെയ്"&amp;"യുന്നതിൻ്റെ ഫലമായി ഒന്നും നിങ്ങളുടെ ബ്രൗസറിൽ സംഭരിക്കപ്പെടില്ല.")</f>
        <v>ഒരു വെബ്‌സൈറ്റ് നിങ്ങളുടെ ബ്രൗസറിലേക്ക് അയച്ചേക്കാവുന്ന ഒരു ചെറിയ ഡാറ്റ ഫയലാണ് 'കുക്കി' എന്നത് നിങ്ങളുടെ ബ്രൗസർ പിന്നീട് നിങ്ങളുടെ സിസ്റ്റത്തിൽ സംഭരിച്ചേക്കാം. വെബ്‌സൈറ്റിൻ്റെ ഒരു മേഖലയിലും VMSPL കുക്കികൾ ഉപയോഗിക്കുന്നില്ല, അതിനാൽ ഈ സൈറ്റ് നാവിഗേറ്റ് ചെയ്യുന്നതിൻ്റെ ഫലമായി ഒന്നും നിങ്ങളുടെ ബ്രൗസറിൽ സംഭരിക്കപ്പെടില്ല.</v>
      </c>
      <c r="X124" s="4" t="str">
        <f>IFERROR(__xludf.DUMMYFUNCTION("GOOGLETRANSLATE(B124,""en"",""th"")"),"'คุกกี้' คือไฟล์ข้อมูลขนาดเล็กที่เว็บไซต์อาจส่งไปยังเบราว์เซอร์ของคุณ และเบราว์เซอร์ของคุณอาจจัดเก็บลงในระบบของคุณ VMSPL ไม่ใช้คุกกี้ในพื้นที่ใดๆ ของเว็บไซต์ ดังนั้นจะไม่มีคุกกี้ใดๆ ถูกจัดเก็บในเบราว์เซอร์ของคุณอันเป็นผลจากการเข้าชมไซต์นี้")</f>
        <v>'คุกกี้' คือไฟล์ข้อมูลขนาดเล็กที่เว็บไซต์อาจส่งไปยังเบราว์เซอร์ของคุณ และเบราว์เซอร์ของคุณอาจจัดเก็บลงในระบบของคุณ VMSPL ไม่ใช้คุกกี้ในพื้นที่ใดๆ ของเว็บไซต์ ดังนั้นจะไม่มีคุกกี้ใดๆ ถูกจัดเก็บในเบราว์เซอร์ของคุณอันเป็นผลจากการเข้าชมไซต์นี้</v>
      </c>
      <c r="Y124" s="4" t="str">
        <f>IFERROR(__xludf.DUMMYFUNCTION("GOOGLETRANSLATE(B124,""en"",""ko"")"),"'쿠키'는 웹사이트가 귀하의 브라우저로 전송하여 브라우저가 귀하의 시스템에 저장하는 작은 데이터 파일입니다. VMSPL은 웹사이트의 어떤 부분에서도 쿠키를 사용하지 않으므로, 이 사이트를 탐색하는 동안 브라우저에 쿠키가 저장되지 않습니다.")</f>
        <v>'쿠키'는 웹사이트가 귀하의 브라우저로 전송하여 브라우저가 귀하의 시스템에 저장하는 작은 데이터 파일입니다. VMSPL은 웹사이트의 어떤 부분에서도 쿠키를 사용하지 않으므로, 이 사이트를 탐색하는 동안 브라우저에 쿠키가 저장되지 않습니다.</v>
      </c>
      <c r="Z124" s="4" t="str">
        <f>IFERROR(__xludf.DUMMYFUNCTION("GOOGLETRANSLATE(B124,""en"",""zh"")"),"“Cookie”是指网站可能发送到您的浏览器，并由您的浏览器存储在您的系统中的小型数据文件。VMSPL 不会在网站的任何区域使用 Cookie，因此在您浏览本网站时，不会在您的浏览器中存储任何 Cookie。")</f>
        <v>“Cookie”是指网站可能发送到您的浏览器，并由您的浏览器存储在您的系统中的小型数据文件。VMSPL 不会在网站的任何区域使用 Cookie，因此在您浏览本网站时，不会在您的浏览器中存储任何 Cookie。</v>
      </c>
      <c r="AA124" s="4" t="str">
        <f>IFERROR(__xludf.DUMMYFUNCTION("GOOGLETRANSLATE(B124,""en"",""zh-TW"")"),"「Cookie」是指網站可能會傳送到您的瀏覽器，並由您的瀏覽器儲存在您的系統中的小型資料檔案。 VMSPL 不會在網站的任何區域使用 Cookie，因此當您瀏覽本網站時，不會在您的瀏覽器中儲存任何 Cookie。")</f>
        <v>「Cookie」是指網站可能會傳送到您的瀏覽器，並由您的瀏覽器儲存在您的系統中的小型資料檔案。 VMSPL 不會在網站的任何區域使用 Cookie，因此當您瀏覽本網站時，不會在您的瀏覽器中儲存任何 Cookie。</v>
      </c>
      <c r="AB124" s="4" t="str">
        <f>IFERROR(__xludf.DUMMYFUNCTION("GOOGLETRANSLATE(B124,""en"",""ja"")"),"「Cookie」とは、ウェブサイトがブラウザに送信し、ブラウザがシステムに保存する小さなデータファイルです。VMSPLはウェブサイトのいかなる部分でもCookieを使用しませんので、このサイトを閲覧してもブラウザにCookieが保存されることはありません。")</f>
        <v>「Cookie」とは、ウェブサイトがブラウザに送信し、ブラウザがシステムに保存する小さなデータファイルです。VMSPLはウェブサイトのいかなる部分でもCookieを使用しませんので、このサイトを閲覧してもブラウザにCookieが保存されることはありません。</v>
      </c>
      <c r="AC124" s="4" t="str">
        <f>IFERROR(__xludf.DUMMYFUNCTION("GOOGLETRANSLATE(B124,""en"",""bg"")"),"„Бисквитката“ е малък файл с данни, който уебсайтът може да изпрати до вашия браузър и който след това вашият браузър може да съхранява във вашата система. VMSPL не използва бисквитки в никоя част от уебсайта, така че нито една няма да се съхранява във ва"&amp;"шия браузър в резултат на навигацията в този сайт.")</f>
        <v>„Бисквитката“ е малък файл с данни, който уебсайтът може да изпрати до вашия браузър и който след това вашият браузър може да съхранява във вашата система. VMSPL не използва бисквитки в никоя част от уебсайта, така че нито една няма да се съхранява във вашия браузър в резултат на навигацията в този сайт.</v>
      </c>
      <c r="AD124" s="4" t="str">
        <f>IFERROR(__xludf.DUMMYFUNCTION("GOOGLETRANSLATE(B124,""en"",""cs"")"),"„Cookie“ je malý datový soubor, který může webová stránka odeslat do vašeho prohlížeče a který pak může váš prohlížeč uložit do vašeho systému. VMSPL nepoužívá soubory cookie v žádné oblasti webu, takže žádné nebudou uloženy ve vašem prohlížeči v důsledku"&amp;" procházení tohoto webu.")</f>
        <v>„Cookie“ je malý datový soubor, který může webová stránka odeslat do vašeho prohlížeče a který pak může váš prohlížeč uložit do vašeho systému. VMSPL nepoužívá soubory cookie v žádné oblasti webu, takže žádné nebudou uloženy ve vašem prohlížeči v důsledku procházení tohoto webu.</v>
      </c>
      <c r="AE124" s="4" t="str">
        <f>IFERROR(__xludf.DUMMYFUNCTION("GOOGLETRANSLATE(B124,""en"",""da"")"),"En 'cookie' er en lille datafil, som et websted kan sende til din browser, og som din browser derefter kan gemme på dit system. VMSPL anvender ikke cookies i noget område af hjemmesiden, så ingen vil blive gemt i din browser som et resultat af at navigere"&amp;" på dette websted.")</f>
        <v>En 'cookie' er en lille datafil, som et websted kan sende til din browser, og som din browser derefter kan gemme på dit system. VMSPL anvender ikke cookies i noget område af hjemmesiden, så ingen vil blive gemt i din browser som et resultat af at navigere på dette websted.</v>
      </c>
      <c r="AF124" s="4" t="str">
        <f>IFERROR(__xludf.DUMMYFUNCTION("GOOGLETRANSLATE(B124,""en"",""el"")"),"Το «cookie» είναι ένα μικρό αρχείο δεδομένων που μπορεί να στείλει ένας ιστότοπος στο πρόγραμμα περιήγησής σας και το οποίο μπορεί στη συνέχεια να αποθηκεύσει το πρόγραμμα περιήγησής σας στο σύστημά σας. Το VMSPL δεν χρησιμοποιεί cookies σε καμία περιοχή "&amp;"του ιστότοπου, επομένως κανένα δεν θα αποθηκευτεί στο πρόγραμμα περιήγησής σας ως αποτέλεσμα της πλοήγησης σε αυτόν τον ιστότοπο.")</f>
        <v>Το «cookie» είναι ένα μικρό αρχείο δεδομένων που μπορεί να στείλει ένας ιστότοπος στο πρόγραμμα περιήγησής σας και το οποίο μπορεί στη συνέχεια να αποθηκεύσει το πρόγραμμα περιήγησής σας στο σύστημά σας. Το VMSPL δεν χρησιμοποιεί cookies σε καμία περιοχή του ιστότοπου, επομένως κανένα δεν θα αποθηκευτεί στο πρόγραμμα περιήγησής σας ως αποτέλεσμα της πλοήγησης σε αυτόν τον ιστότοπο.</v>
      </c>
      <c r="AG124" s="4" t="str">
        <f>IFERROR(__xludf.DUMMYFUNCTION("GOOGLETRANSLATE(B124,""en"",""et"")"),"„Küpsis“ on väike andmefail, mille veebisait võib teie brauserisse saata ja mille teie brauser võib seejärel teie süsteemi salvestada. VMSPL ei kasuta küpsiseid veebisaidi üheski piirkonnas, seega ei salvestata neid sellel saidil navigeerimise tulemusena "&amp;"teie brauserisse.")</f>
        <v>„Küpsis“ on väike andmefail, mille veebisait võib teie brauserisse saata ja mille teie brauser võib seejärel teie süsteemi salvestada. VMSPL ei kasuta küpsiseid veebisaidi üheski piirkonnas, seega ei salvestata neid sellel saidil navigeerimise tulemusena teie brauserisse.</v>
      </c>
      <c r="AH124" s="4" t="str">
        <f>IFERROR(__xludf.DUMMYFUNCTION("GOOGLETRANSLATE(B124,""en"",""fi"")"),"""Eväste"" on pieni tietotiedosto, jonka verkkosivusto voi lähettää selaimellesi ja jonka selaimesi voi sitten tallentaa järjestelmääsi. VMSPL ei käytä evästeitä millään sivuston alueella, joten niitä ei tallenneta selaimeesi tällä sivustolla liikkumisen "&amp;"seurauksena.")</f>
        <v>"Eväste" on pieni tietotiedosto, jonka verkkosivusto voi lähettää selaimellesi ja jonka selaimesi voi sitten tallentaa järjestelmääsi. VMSPL ei käytä evästeitä millään sivuston alueella, joten niitä ei tallenneta selaimeesi tällä sivustolla liikkumisen seurauksena.</v>
      </c>
      <c r="AI124" s="4" t="str">
        <f>IFERROR(__xludf.DUMMYFUNCTION("GOOGLETRANSLATE(B124,""en"",""hr"")"),"'Kolačić' je mala podatkovna datoteka koju web stranica može poslati vašem pregledniku i koju vaš preglednik zatim može pohraniti u vaš sustav. VMSPL ne koristi kolačiće ni u jednom dijelu web stranice tako da nijedan neće biti pohranjen u vašem pregledni"&amp;"ku kao rezultat navigacije ovom stranicom.")</f>
        <v>'Kolačić' je mala podatkovna datoteka koju web stranica može poslati vašem pregledniku i koju vaš preglednik zatim može pohraniti u vaš sustav. VMSPL ne koristi kolačiće ni u jednom dijelu web stranice tako da nijedan neće biti pohranjen u vašem pregledniku kao rezultat navigacije ovom stranicom.</v>
      </c>
      <c r="AJ124" s="4" t="str">
        <f>IFERROR(__xludf.DUMMYFUNCTION("GOOGLETRANSLATE(B124,""en"",""hu"")"),"A „cookie” egy kis adatfájl, amelyet egy webhely elküldhet az Ön böngészőjének, és amelyet a böngésző tárolhat az Ön rendszerén. A VMSPL nem használ cookie-kat a webhely egyetlen területén sem, így a böngészőben egyik sem kerül tárolásra az ezen az oldalo"&amp;"n történő navigáció eredményeként.")</f>
        <v>A „cookie” egy kis adatfájl, amelyet egy webhely elküldhet az Ön böngészőjének, és amelyet a böngésző tárolhat az Ön rendszerén. A VMSPL nem használ cookie-kat a webhely egyetlen területén sem, így a böngészőben egyik sem kerül tárolásra az ezen az oldalon történő navigáció eredményeként.</v>
      </c>
      <c r="AK124" s="4" t="str">
        <f>IFERROR(__xludf.DUMMYFUNCTION("GOOGLETRANSLATE(B124,""en"",""hy"")"),"«Քուքի»-ը փոքր տվյալների ֆայլ է, որը վեբկայքը կարող է ուղարկել ձեր դիտարկիչին, և այն կարող է այն պահել ձեր համակարգում: VMSPL-ը կայքի ոչ մի հատվածում չի օգտագործում թխուկներ, ուստի այս կայքում նավարկելու արդյունքում որևէ մեկը չի պահվի ձեր դիտարկիչում:")</f>
        <v>«Քուքի»-ը փոքր տվյալների ֆայլ է, որը վեբկայքը կարող է ուղարկել ձեր դիտարկիչին, և այն կարող է այն պահել ձեր համակարգում: VMSPL-ը կայքի ոչ մի հատվածում չի օգտագործում թխուկներ, ուստի այս կայքում նավարկելու արդյունքում որևէ մեկը չի պահվի ձեր դիտարկիչում:</v>
      </c>
      <c r="AL124" s="4" t="str">
        <f>IFERROR(__xludf.DUMMYFUNCTION("GOOGLETRANSLATE(B124,""en"",""ca"")"),"Una ""galeta"" és un petit fitxer de dades que un lloc web pot enviar al vostre navegador i que el vostre navegador pot emmagatzemar al vostre sistema. VMSPL no utilitza cookies en cap àrea del lloc web, de manera que cap s'emmagatzemarà al vostre navegad"&amp;"or com a resultat de la navegació per aquest lloc.")</f>
        <v>Una "galeta" és un petit fitxer de dades que un lloc web pot enviar al vostre navegador i que el vostre navegador pot emmagatzemar al vostre sistema. VMSPL no utilitza cookies en cap àrea del lloc web, de manera que cap s'emmagatzemarà al vostre navegador com a resultat de la navegació per aquest lloc.</v>
      </c>
      <c r="AM124" s="4" t="str">
        <f>IFERROR(__xludf.DUMMYFUNCTION("GOOGLETRANSLATE(B124,""en"",""nl"")"),"Een 'cookie' is een klein gegevensbestand dat een website naar uw browser kan sturen en dat uw browser vervolgens op uw systeem kan opslaan. VMSPL maakt op geen enkel deel van de website gebruik van cookies, dus er worden geen cookies in uw browser opgesl"&amp;"agen wanneer u op deze site surft.")</f>
        <v>Een 'cookie' is een klein gegevensbestand dat een website naar uw browser kan sturen en dat uw browser vervolgens op uw systeem kan opslaan. VMSPL maakt op geen enkel deel van de website gebruik van cookies, dus er worden geen cookies in uw browser opgeslagen wanneer u op deze site surft.</v>
      </c>
      <c r="AN124" s="4" t="str">
        <f>IFERROR(__xludf.DUMMYFUNCTION("GOOGLETRANSLATE(B124,""en"",""he"")"),"'עוגייה' היא קובץ נתונים קטן שאתר עשוי לשלוח לדפדפן שלך ושהדפדפן שלך עשוי לאחסן במערכת שלך. VMSPL אינה משתמשת בקובצי Cookie בשום אזור באתר כך שאף אחד מהם לא יאוחסן בדפדפן שלך כתוצאה מניווט באתר זה.")</f>
        <v>'עוגייה' היא קובץ נתונים קטן שאתר עשוי לשלוח לדפדפן שלך ושהדפדפן שלך עשוי לאחסן במערכת שלך. VMSPL אינה משתמשת בקובצי Cookie בשום אזור באתר כך שאף אחד מהם לא יאוחסן בדפדפן שלך כתוצאה מניווט באתר זה.</v>
      </c>
      <c r="AO124" s="4" t="str">
        <f>IFERROR(__xludf.DUMMYFUNCTION("GOOGLETRANSLATE(B124,""en"",""is"")"),"„kaka“ er lítil gagnaskrá sem vefsíða gæti sent í vafrann þinn og sem vafrinn þinn gæti síðan geymt á kerfinu þínu. VMSPL notar ekki vafrakökur á neinu svæði vefsíðunnar svo engar verða vistaðar í vafranum þínum vegna vafra um þessa síðu.")</f>
        <v>„kaka“ er lítil gagnaskrá sem vefsíða gæti sent í vafrann þinn og sem vafrinn þinn gæti síðan geymt á kerfinu þínu. VMSPL notar ekki vafrakökur á neinu svæði vefsíðunnar svo engar verða vistaðar í vafranum þínum vegna vafra um þessa síðu.</v>
      </c>
      <c r="AP124" s="4" t="str">
        <f>IFERROR(__xludf.DUMMYFUNCTION("GOOGLETRANSLATE(B124,""en"",""no"")"),"En ""informasjonskapsel"" er en liten datafil som et nettsted kan sende til nettleseren din og som nettleseren din deretter kan lagre på systemet ditt. VMSPL bruker ikke informasjonskapsler på noen områder av nettstedet, så ingen vil bli lagret i nettlese"&amp;"ren din som et resultat av navigering på dette nettstedet.")</f>
        <v>En "informasjonskapsel" er en liten datafil som et nettsted kan sende til nettleseren din og som nettleseren din deretter kan lagre på systemet ditt. VMSPL bruker ikke informasjonskapsler på noen områder av nettstedet, så ingen vil bli lagret i nettleseren din som et resultat av navigering på dette nettstedet.</v>
      </c>
      <c r="AQ124" s="4" t="str">
        <f>IFERROR(__xludf.DUMMYFUNCTION("GOOGLETRANSLATE(B124,""en"",""fa"")"),"«کوکی» یک فایل داده کوچک است که یک وب سایت ممکن است به مرورگر شما ارسال کند و سپس مرورگر شما ممکن است در سیستم شما ذخیره کند. VMSPL از کوکی ها در هیچ قسمتی از وب سایت استفاده نمی کند، بنابراین هیچ کدام در مرورگر شما در نتیجه پیمایش در این سایت ذخیره نمی ش"&amp;"وند.")</f>
        <v>«کوکی» یک فایل داده کوچک است که یک وب سایت ممکن است به مرورگر شما ارسال کند و سپس مرورگر شما ممکن است در سیستم شما ذخیره کند. VMSPL از کوکی ها در هیچ قسمتی از وب سایت استفاده نمی کند، بنابراین هیچ کدام در مرورگر شما در نتیجه پیمایش در این سایت ذخیره نمی شوند.</v>
      </c>
      <c r="AR124" s="4" t="str">
        <f>IFERROR(__xludf.DUMMYFUNCTION("GOOGLETRANSLATE(B124,""en"",""pl"")"),"„Plik cookie” to mały plik danych, który witryna internetowa może wysłać do Twojej przeglądarki, a następnie Twoja przeglądarka może go zapisać w Twoim systemie. VMSPL nie wykorzystuje plików cookie w żadnym obszarze witryny, więc żadne z nich nie zostaną"&amp;" zapisane w Twojej przeglądarce w wyniku nawigacji po tej witrynie.")</f>
        <v>„Plik cookie” to mały plik danych, który witryna internetowa może wysłać do Twojej przeglądarki, a następnie Twoja przeglądarka może go zapisać w Twoim systemie. VMSPL nie wykorzystuje plików cookie w żadnym obszarze witryny, więc żadne z nich nie zostaną zapisane w Twojej przeglądarce w wyniku nawigacji po tej witrynie.</v>
      </c>
      <c r="AS124" s="4" t="str">
        <f>IFERROR(__xludf.DUMMYFUNCTION("GOOGLETRANSLATE(B124,""en"",""sv"")"),"En ""cookie"" är en liten datafil som en webbplats kan skicka till din webbläsare och som din webbläsare sedan kan lagra på ditt system. VMSPL använder inte cookies på något område av webbplatsen så inga kommer att lagras i din webbläsare som ett resultat"&amp;" av att navigera på denna webbplats.")</f>
        <v>En "cookie" är en liten datafil som en webbplats kan skicka till din webbläsare och som din webbläsare sedan kan lagra på ditt system. VMSPL använder inte cookies på något område av webbplatsen så inga kommer att lagras i din webbläsare som ett resultat av att navigera på denna webbplats.</v>
      </c>
      <c r="AT124" s="4" t="str">
        <f>IFERROR(__xludf.DUMMYFUNCTION("GOOGLETRANSLATE(B124,""en"",""uk"")"),"""Cookie"" - це невеликий файл даних, який веб-сайт може надіслати вашому браузеру, а потім ваш браузер може зберегти у вашій системі. VMSPL не використовує файли cookie в жодній частині веб-сайту, тому вони не будуть зберігатися у вашому браузері в резул"&amp;"ьтаті навігації цим сайтом.")</f>
        <v>"Cookie" - це невеликий файл даних, який веб-сайт може надіслати вашому браузеру, а потім ваш браузер може зберегти у вашій системі. VMSPL не використовує файли cookie в жодній частині веб-сайту, тому вони не будуть зберігатися у вашому браузері в результаті навігації цим сайтом.</v>
      </c>
      <c r="AU124" s="4" t="str">
        <f>IFERROR(__xludf.DUMMYFUNCTION("GOOGLETRANSLATE(B124,""en"",""zu"")"),"'Ikhukhi' yifayela elincane ledatha iwebhusayithi engalithumela esipheqululini sakho futhi isiphequluli sakho esingase siligcine ohlelweni lwakho. I-VMSPL ayisebenzisi amakhukhi kunoma iyiphi indawo yewebhusayithi ngakho awekho azogcinwa esipheqululini sa"&amp;"kho ngenxa yokuzulazula kule sayithi.")</f>
        <v>'Ikhukhi' yifayela elincane ledatha iwebhusayithi engalithumela esipheqululini sakho futhi isiphequluli sakho esingase siligcine ohlelweni lwakho. I-VMSPL ayisebenzisi amakhukhi kunoma iyiphi indawo yewebhusayithi ngakho awekho azogcinwa esipheqululini sakho ngenxa yokuzulazula kule sayithi.</v>
      </c>
      <c r="AV124" s="4" t="str">
        <f>IFERROR(__xludf.DUMMYFUNCTION("GOOGLETRANSLATE(B124,""en"",""sr"")"),"'Колачић' је мала датотека са подацима коју веб локација може да пошаље вашем претраживачу и коју ваш претраживач затим може да ускладишти на вашем систему. ВМСПЛ не користи колачиће ни у једном делу веб-сајта, тако да ниједан неће бити сачуван у вашем пр"&amp;"етраживачу као резултат навигације овим сајтом.")</f>
        <v>'Колачић' је мала датотека са подацима коју веб локација може да пошаље вашем претраживачу и коју ваш претраживач затим може да ускладишти на вашем систему. ВМСПЛ не користи колачиће ни у једном делу веб-сајта, тако да ниједан неће бити сачуван у вашем претраживачу као резултат навигације овим сајтом.</v>
      </c>
    </row>
    <row r="125">
      <c r="A125" s="3" t="s">
        <v>285</v>
      </c>
      <c r="B125" s="3" t="s">
        <v>286</v>
      </c>
      <c r="C125" s="4" t="str">
        <f>IFERROR(__xludf.DUMMYFUNCTION("GOOGLETRANSLATE(B125,""en"",""ta"")"),"வெளிப்புற இணைப்புகள்")</f>
        <v>வெளிப்புற இணைப்புகள்</v>
      </c>
      <c r="D125" s="4" t="str">
        <f>IFERROR(__xludf.DUMMYFUNCTION("GOOGLETRANSLATE(B125,""en"",""hi"")"),"बाहरी संबंध")</f>
        <v>बाहरी संबंध</v>
      </c>
      <c r="E125" s="4" t="str">
        <f>IFERROR(__xludf.DUMMYFUNCTION("GOOGLETRANSLATE(B125,""en"",""id"")"),"Tautan Eksternal")</f>
        <v>Tautan Eksternal</v>
      </c>
      <c r="F125" s="4" t="str">
        <f>IFERROR(__xludf.DUMMYFUNCTION("GOOGLETRANSLATE(B125,""en"",""ms"")"),"Pautan Luaran")</f>
        <v>Pautan Luaran</v>
      </c>
      <c r="G125" s="4" t="str">
        <f>IFERROR(__xludf.DUMMYFUNCTION("GOOGLETRANSLATE(B125,""en"",""de"")"),"Externe Links")</f>
        <v>Externe Links</v>
      </c>
      <c r="H125" s="4" t="str">
        <f>IFERROR(__xludf.DUMMYFUNCTION("GOOGLETRANSLATE(B125,""en"",""es"")"),"Enlaces externos")</f>
        <v>Enlaces externos</v>
      </c>
      <c r="I125" s="4" t="str">
        <f>IFERROR(__xludf.DUMMYFUNCTION("GOOGLETRANSLATE(B125,""en"",""fr"")"),"Liens externes")</f>
        <v>Liens externes</v>
      </c>
      <c r="J125" s="4" t="str">
        <f>IFERROR(__xludf.DUMMYFUNCTION("GOOGLETRANSLATE(B125,""en"",""it"")"),"Link esterni")</f>
        <v>Link esterni</v>
      </c>
      <c r="K125" s="4" t="str">
        <f>IFERROR(__xludf.DUMMYFUNCTION("GOOGLETRANSLATE(B125,""en"",""pt"")"),"Links externos")</f>
        <v>Links externos</v>
      </c>
      <c r="L125" s="4" t="str">
        <f>IFERROR(__xludf.DUMMYFUNCTION("GOOGLETRANSLATE(B125,""en"",""ro"")"),"Legături externe")</f>
        <v>Legături externe</v>
      </c>
      <c r="M125" s="4" t="str">
        <f>IFERROR(__xludf.DUMMYFUNCTION("GOOGLETRANSLATE(B125,""en"",""vi"")"),"Liên kết ngoài")</f>
        <v>Liên kết ngoài</v>
      </c>
      <c r="N125" s="4" t="str">
        <f>IFERROR(__xludf.DUMMYFUNCTION("GOOGLETRANSLATE(B125,""en"",""ru"")"),"Внешние ссылки")</f>
        <v>Внешние ссылки</v>
      </c>
      <c r="O125" s="4" t="str">
        <f>IFERROR(__xludf.DUMMYFUNCTION("GOOGLETRANSLATE(B125,""en"",""tr"")"),"Dış Bağlantılar")</f>
        <v>Dış Bağlantılar</v>
      </c>
      <c r="P125" s="4" t="str">
        <f>IFERROR(__xludf.DUMMYFUNCTION("GOOGLETRANSLATE(B125,""en"",""ar"")"),"الروابط الخارجية")</f>
        <v>الروابط الخارجية</v>
      </c>
      <c r="Q125" s="4" t="str">
        <f>IFERROR(__xludf.DUMMYFUNCTION("GOOGLETRANSLATE(B125,""en"",""mr"")"),"बाह्य दुवे")</f>
        <v>बाह्य दुवे</v>
      </c>
      <c r="R125" s="4" t="str">
        <f>IFERROR(__xludf.DUMMYFUNCTION("GOOGLETRANSLATE(B125,""en"",""gu"")"),"બાહ્ય લિંક્સ")</f>
        <v>બાહ્ય લિંક્સ</v>
      </c>
      <c r="S125" s="4" t="str">
        <f>IFERROR(__xludf.DUMMYFUNCTION("GOOGLETRANSLATE(B125,""en"",""bn"")"),"বহিরাগত লিঙ্ক")</f>
        <v>বহিরাগত লিঙ্ক</v>
      </c>
      <c r="T125" s="4" t="str">
        <f>IFERROR(__xludf.DUMMYFUNCTION("GOOGLETRANSLATE(B125,""en"",""pa"")"),"ਬਾਹਰੀ ਲਿੰਕ")</f>
        <v>ਬਾਹਰੀ ਲਿੰਕ</v>
      </c>
      <c r="U125" s="4" t="str">
        <f>IFERROR(__xludf.DUMMYFUNCTION("GOOGLETRANSLATE(B125,""en"",""te"")"),"బాహ్య లింకులు")</f>
        <v>బాహ్య లింకులు</v>
      </c>
      <c r="V125" s="4" t="str">
        <f>IFERROR(__xludf.DUMMYFUNCTION("GOOGLETRANSLATE(B125,""en"",""kn"")"),"ಬಾಹ್ಯ ಕೊಂಡಿಗಳು")</f>
        <v>ಬಾಹ್ಯ ಕೊಂಡಿಗಳು</v>
      </c>
      <c r="W125" s="4" t="str">
        <f>IFERROR(__xludf.DUMMYFUNCTION("GOOGLETRANSLATE(B125,""en"",""ml"")"),"ബാഹ്യ ലിങ്കുകൾ")</f>
        <v>ബാഹ്യ ലിങ്കുകൾ</v>
      </c>
      <c r="X125" s="4" t="str">
        <f>IFERROR(__xludf.DUMMYFUNCTION("GOOGLETRANSLATE(B125,""en"",""th"")"),"ลิงค์ภายนอก")</f>
        <v>ลิงค์ภายนอก</v>
      </c>
      <c r="Y125" s="4" t="str">
        <f>IFERROR(__xludf.DUMMYFUNCTION("GOOGLETRANSLATE(B125,""en"",""ko"")"),"외부 링크")</f>
        <v>외부 링크</v>
      </c>
      <c r="Z125" s="4" t="str">
        <f>IFERROR(__xludf.DUMMYFUNCTION("GOOGLETRANSLATE(B125,""en"",""zh"")"),"外部链接")</f>
        <v>外部链接</v>
      </c>
      <c r="AA125" s="4" t="str">
        <f>IFERROR(__xludf.DUMMYFUNCTION("GOOGLETRANSLATE(B125,""en"",""zh-TW"")"),"外部連結")</f>
        <v>外部連結</v>
      </c>
      <c r="AB125" s="4" t="str">
        <f>IFERROR(__xludf.DUMMYFUNCTION("GOOGLETRANSLATE(B125,""en"",""ja"")"),"外部リンク")</f>
        <v>外部リンク</v>
      </c>
      <c r="AC125" s="4" t="str">
        <f>IFERROR(__xludf.DUMMYFUNCTION("GOOGLETRANSLATE(B125,""en"",""bg"")"),"Външни връзки")</f>
        <v>Външни връзки</v>
      </c>
      <c r="AD125" s="4" t="str">
        <f>IFERROR(__xludf.DUMMYFUNCTION("GOOGLETRANSLATE(B125,""en"",""cs"")"),"Externí odkazy")</f>
        <v>Externí odkazy</v>
      </c>
      <c r="AE125" s="4" t="str">
        <f>IFERROR(__xludf.DUMMYFUNCTION("GOOGLETRANSLATE(B125,""en"",""da"")"),"Eksterne links")</f>
        <v>Eksterne links</v>
      </c>
      <c r="AF125" s="4" t="str">
        <f>IFERROR(__xludf.DUMMYFUNCTION("GOOGLETRANSLATE(B125,""en"",""el"")"),"Εξωτερικοί σύνδεσμοι")</f>
        <v>Εξωτερικοί σύνδεσμοι</v>
      </c>
      <c r="AG125" s="4" t="str">
        <f>IFERROR(__xludf.DUMMYFUNCTION("GOOGLETRANSLATE(B125,""en"",""et"")"),"Välised lingid")</f>
        <v>Välised lingid</v>
      </c>
      <c r="AH125" s="4" t="str">
        <f>IFERROR(__xludf.DUMMYFUNCTION("GOOGLETRANSLATE(B125,""en"",""fi"")"),"Ulkoiset linkit")</f>
        <v>Ulkoiset linkit</v>
      </c>
      <c r="AI125" s="4" t="str">
        <f>IFERROR(__xludf.DUMMYFUNCTION("GOOGLETRANSLATE(B125,""en"",""hr"")"),"Vanjske veze")</f>
        <v>Vanjske veze</v>
      </c>
      <c r="AJ125" s="4" t="str">
        <f>IFERROR(__xludf.DUMMYFUNCTION("GOOGLETRANSLATE(B125,""en"",""hu"")"),"Külső hivatkozások")</f>
        <v>Külső hivatkozások</v>
      </c>
      <c r="AK125" s="4" t="str">
        <f>IFERROR(__xludf.DUMMYFUNCTION("GOOGLETRANSLATE(B125,""en"",""hy"")"),"Արտաքին հղումներ")</f>
        <v>Արտաքին հղումներ</v>
      </c>
      <c r="AL125" s="4" t="str">
        <f>IFERROR(__xludf.DUMMYFUNCTION("GOOGLETRANSLATE(B125,""en"",""ca"")"),"Enllaços externs")</f>
        <v>Enllaços externs</v>
      </c>
      <c r="AM125" s="4" t="str">
        <f>IFERROR(__xludf.DUMMYFUNCTION("GOOGLETRANSLATE(B125,""en"",""nl"")"),"Externe links")</f>
        <v>Externe links</v>
      </c>
      <c r="AN125" s="4" t="str">
        <f>IFERROR(__xludf.DUMMYFUNCTION("GOOGLETRANSLATE(B125,""en"",""he"")"),"קישורים חיצוניים")</f>
        <v>קישורים חיצוניים</v>
      </c>
      <c r="AO125" s="4" t="str">
        <f>IFERROR(__xludf.DUMMYFUNCTION("GOOGLETRANSLATE(B125,""en"",""is"")"),"Ytri hlekkir")</f>
        <v>Ytri hlekkir</v>
      </c>
      <c r="AP125" s="4" t="str">
        <f>IFERROR(__xludf.DUMMYFUNCTION("GOOGLETRANSLATE(B125,""en"",""no"")"),"Eksterne lenker")</f>
        <v>Eksterne lenker</v>
      </c>
      <c r="AQ125" s="4" t="str">
        <f>IFERROR(__xludf.DUMMYFUNCTION("GOOGLETRANSLATE(B125,""en"",""fa"")"),"لینک های خارجی")</f>
        <v>لینک های خارجی</v>
      </c>
      <c r="AR125" s="4" t="str">
        <f>IFERROR(__xludf.DUMMYFUNCTION("GOOGLETRANSLATE(B125,""en"",""pl"")"),"Linki zewnętrzne")</f>
        <v>Linki zewnętrzne</v>
      </c>
      <c r="AS125" s="4" t="str">
        <f>IFERROR(__xludf.DUMMYFUNCTION("GOOGLETRANSLATE(B125,""en"",""sv"")"),"Externa länkar")</f>
        <v>Externa länkar</v>
      </c>
      <c r="AT125" s="4" t="str">
        <f>IFERROR(__xludf.DUMMYFUNCTION("GOOGLETRANSLATE(B125,""en"",""uk"")"),"Зовнішні посилання")</f>
        <v>Зовнішні посилання</v>
      </c>
      <c r="AU125" s="4" t="str">
        <f>IFERROR(__xludf.DUMMYFUNCTION("GOOGLETRANSLATE(B125,""en"",""zu"")"),"Izixhumanisi Zangaphandle")</f>
        <v>Izixhumanisi Zangaphandle</v>
      </c>
      <c r="AV125" s="4" t="str">
        <f>IFERROR(__xludf.DUMMYFUNCTION("GOOGLETRANSLATE(B125,""en"",""sr"")"),"Ектернал Линкс")</f>
        <v>Ектернал Линкс</v>
      </c>
    </row>
    <row r="126">
      <c r="A126" s="3" t="s">
        <v>287</v>
      </c>
      <c r="B126" s="3" t="s">
        <v>288</v>
      </c>
      <c r="C126" s="4" t="str">
        <f>IFERROR(__xludf.DUMMYFUNCTION("GOOGLETRANSLATE(B126,""en"",""ta"")"),"VMSPL இணையதளத்தில் உள்ள இணைப்புகள் மூலம் அணுகக்கூடிய மூன்றாம் தரப்பு இணையதளங்களுக்கு இந்தத் தனியுரிமைக் கொள்கை பொருந்தாது. இந்த ஹைப்பர்லிங்க்கள் உங்களின் குறிப்பு மற்றும் வசதிக்காக மட்டுமே வழங்கப்படுகின்றன, மேலும் அவை குறிப்பிடப்படாத வரையில் அவற்றின் செயல"&amp;"்பாடுகள் அல்லது தயாரிப்புகளின் ஒப்புதலைக் குறிக்காது. அந்த மூன்றாம் தரப்பினரின் தனியுரிமைக் கொள்கைகளைப் படித்து, தளத்தைப் பயன்படுத்துவதற்கு முன்பு அல்லது உங்களைப் பற்றிய தனிப்பட்ட தரவை வழங்குவதற்கு முன்பு அவர்கள் உங்களைப் பற்றிய தகவல்களை எவ்வாறு சேகரித்து"&amp;"ப் பயன்படுத்துகிறார்கள் என்பதை அறிய நாங்கள் உங்களை ஊக்குவிக்கிறோம்.")</f>
        <v>VMSPL இணையதளத்தில் உள்ள இணைப்புகள் மூலம் அணுகக்கூடிய மூன்றாம் தரப்பு இணையதளங்களுக்கு இந்தத் தனியுரிமைக் கொள்கை பொருந்தாது. இந்த ஹைப்பர்லிங்க்கள் உங்களின் குறிப்பு மற்றும் வசதிக்காக மட்டுமே வழங்கப்படுகின்றன, மேலும் அவை குறிப்பிடப்படாத வரையில் அவற்றின் செயல்பாடுகள் அல்லது தயாரிப்புகளின் ஒப்புதலைக் குறிக்காது. அந்த மூன்றாம் தரப்பினரின் தனியுரிமைக் கொள்கைகளைப் படித்து, தளத்தைப் பயன்படுத்துவதற்கு முன்பு அல்லது உங்களைப் பற்றிய தனிப்பட்ட தரவை வழங்குவதற்கு முன்பு அவர்கள் உங்களைப் பற்றிய தகவல்களை எவ்வாறு சேகரித்துப் பயன்படுத்துகிறார்கள் என்பதை அறிய நாங்கள் உங்களை ஊக்குவிக்கிறோம்.</v>
      </c>
      <c r="D126" s="4" t="str">
        <f>IFERROR(__xludf.DUMMYFUNCTION("GOOGLETRANSLATE(B126,""en"",""hi"")"),"यह गोपनीयता नीति उन तृतीय पक्ष वेबसाइटों पर लागू नहीं होती है जो VMSPL वेबसाइट से लिंक के माध्यम से सुलभ हो सकती हैं। ये हाइपरलिंक केवल आपके संदर्भ और सुविधा के लिए प्रदान किए गए हैं और जब तक अन्यथा न कहा जाए, तब तक उनकी गतिविधियों या उत्पादों का समर्थन न"&amp;"हीं करते हैं। हम आपको साइट का उपयोग करने या अपने बारे में कोई भी व्यक्तिगत डेटा प्रदान करने से पहले उन तृतीय पक्षों की गोपनीयता नीतियों को पढ़ने के लिए प्रोत्साहित करते हैं ताकि यह पता चल सके कि वे आपके बारे में जानकारी कैसे एकत्र करते हैं और उसका उपयोग क"&amp;"ैसे करते हैं।")</f>
        <v>यह गोपनीयता नीति उन तृतीय पक्ष वेबसाइटों पर लागू नहीं होती है जो VMSPL वेबसाइट से लिंक के माध्यम से सुलभ हो सकती हैं। ये हाइपरलिंक केवल आपके संदर्भ और सुविधा के लिए प्रदान किए गए हैं और जब तक अन्यथा न कहा जाए, तब तक उनकी गतिविधियों या उत्पादों का समर्थन नहीं करते हैं। हम आपको साइट का उपयोग करने या अपने बारे में कोई भी व्यक्तिगत डेटा प्रदान करने से पहले उन तृतीय पक्षों की गोपनीयता नीतियों को पढ़ने के लिए प्रोत्साहित करते हैं ताकि यह पता चल सके कि वे आपके बारे में जानकारी कैसे एकत्र करते हैं और उसका उपयोग कैसे करते हैं।</v>
      </c>
      <c r="E126" s="4" t="str">
        <f>IFERROR(__xludf.DUMMYFUNCTION("GOOGLETRANSLATE(B126,""en"",""id"")"),"Kebijakan privasi ini tidak berlaku untuk situs web pihak ketiga yang dapat diakses melalui tautan dari situs web VMSPL. Hyperlink ini disediakan hanya untuk referensi dan kemudahan Anda dan tidak menyiratkan dukungan terhadap aktivitas atau produk mereka"&amp;" kecuali dinyatakan lain. Kami menganjurkan Anda untuk membaca kebijakan privasi pihak ketiga tersebut untuk mempelajari cara mereka mengumpulkan dan menggunakan informasi tentang Anda sebelum menggunakan situs atau memberikan data pribadi apa pun tentang"&amp;" diri Anda.")</f>
        <v>Kebijakan privasi ini tidak berlaku untuk situs web pihak ketiga yang dapat diakses melalui tautan dari situs web VMSPL. Hyperlink ini disediakan hanya untuk referensi dan kemudahan Anda dan tidak menyiratkan dukungan terhadap aktivitas atau produk mereka kecuali dinyatakan lain. Kami menganjurkan Anda untuk membaca kebijakan privasi pihak ketiga tersebut untuk mempelajari cara mereka mengumpulkan dan menggunakan informasi tentang Anda sebelum menggunakan situs atau memberikan data pribadi apa pun tentang diri Anda.</v>
      </c>
      <c r="F126" s="4" t="str">
        <f>IFERROR(__xludf.DUMMYFUNCTION("GOOGLETRANSLATE(B126,""en"",""ms"")"),"Dasar privasi ini tidak terpakai kepada tapak web pihak ketiga yang mungkin boleh diakses melalui pautan daripada laman web VMSPL. Hiperpautan ini disediakan untuk rujukan dan kemudahan anda sahaja dan tidak membayangkan pengesahan aktiviti atau produk me"&amp;"reka melainkan dinyatakan sebaliknya. Kami menggalakkan anda membaca dasar privasi pihak ketiga tersebut untuk mengetahui cara mereka mengumpul dan menggunakan maklumat tentang anda sebelum menggunakan tapak atau memberikan sebarang data peribadi tentang "&amp;"diri anda.")</f>
        <v>Dasar privasi ini tidak terpakai kepada tapak web pihak ketiga yang mungkin boleh diakses melalui pautan daripada laman web VMSPL. Hiperpautan ini disediakan untuk rujukan dan kemudahan anda sahaja dan tidak membayangkan pengesahan aktiviti atau produk mereka melainkan dinyatakan sebaliknya. Kami menggalakkan anda membaca dasar privasi pihak ketiga tersebut untuk mengetahui cara mereka mengumpul dan menggunakan maklumat tentang anda sebelum menggunakan tapak atau memberikan sebarang data peribadi tentang diri anda.</v>
      </c>
      <c r="G126" s="4" t="str">
        <f>IFERROR(__xludf.DUMMYFUNCTION("GOOGLETRANSLATE(B126,""en"",""de"")"),"Diese Datenschutzrichtlinie gilt nicht für Websites Dritter, die über Links von der VMSPL-Website aus erreichbar sind. Diese Hyperlinks dienen ausschließlich Ihrer Information und stellen keine Billigung der Aktivitäten oder Produkte Dritter dar, sofern n"&amp;"icht anders angegeben. Wir empfehlen Ihnen, die Datenschutzrichtlinien dieser Drittanbieter zu lesen, um zu erfahren, wie diese Ihre Daten erheben und verwenden, bevor Sie die Website nutzen oder personenbezogene Daten angeben.")</f>
        <v>Diese Datenschutzrichtlinie gilt nicht für Websites Dritter, die über Links von der VMSPL-Website aus erreichbar sind. Diese Hyperlinks dienen ausschließlich Ihrer Information und stellen keine Billigung der Aktivitäten oder Produkte Dritter dar, sofern nicht anders angegeben. Wir empfehlen Ihnen, die Datenschutzrichtlinien dieser Drittanbieter zu lesen, um zu erfahren, wie diese Ihre Daten erheben und verwenden, bevor Sie die Website nutzen oder personenbezogene Daten angeben.</v>
      </c>
      <c r="H126" s="4" t="str">
        <f>IFERROR(__xludf.DUMMYFUNCTION("GOOGLETRANSLATE(B126,""en"",""es"")"),"Esta política de privacidad no se aplica a los sitios web de terceros a los que se pueda acceder mediante enlaces desde el sitio web de VMSPL. Estos hipervínculos se proporcionan únicamente para su referencia y conveniencia, y no implican la aprobación de"&amp;" sus actividades o productos, a menos que se indique lo contrario. Le recomendamos que lea las políticas de privacidad de dichos terceros para saber cómo recopilan y utilizan su información antes de usar el sitio o proporcionar cualquier dato personal.")</f>
        <v>Esta política de privacidad no se aplica a los sitios web de terceros a los que se pueda acceder mediante enlaces desde el sitio web de VMSPL. Estos hipervínculos se proporcionan únicamente para su referencia y conveniencia, y no implican la aprobación de sus actividades o productos, a menos que se indique lo contrario. Le recomendamos que lea las políticas de privacidad de dichos terceros para saber cómo recopilan y utilizan su información antes de usar el sitio o proporcionar cualquier dato personal.</v>
      </c>
      <c r="I126" s="4" t="str">
        <f>IFERROR(__xludf.DUMMYFUNCTION("GOOGLETRANSLATE(B126,""en"",""fr"")"),"Cette politique de confidentialité ne s'applique pas aux sites web tiers accessibles via des liens depuis le site web de VMSPL. Ces hyperliens sont fournis à titre indicatif uniquement et n'impliquent aucune approbation de leurs activités ou produits, sau"&amp;"f mention contraire. Nous vous encourageons à lire les politiques de confidentialité de ces tiers afin de comprendre comment ils collectent et utilisent vos informations avant d'utiliser le site ou de fournir des données personnelles vous concernant.")</f>
        <v>Cette politique de confidentialité ne s'applique pas aux sites web tiers accessibles via des liens depuis le site web de VMSPL. Ces hyperliens sont fournis à titre indicatif uniquement et n'impliquent aucune approbation de leurs activités ou produits, sauf mention contraire. Nous vous encourageons à lire les politiques de confidentialité de ces tiers afin de comprendre comment ils collectent et utilisent vos informations avant d'utiliser le site ou de fournir des données personnelles vous concernant.</v>
      </c>
      <c r="J126" s="4" t="str">
        <f>IFERROR(__xludf.DUMMYFUNCTION("GOOGLETRANSLATE(B126,""en"",""it"")"),"La presente informativa sulla privacy non si applica ai siti web di terze parti accessibili tramite link dal sito web di VMSPL. Questi link sono forniti esclusivamente a scopo di riferimento e per vostra comodità e non implicano alcuna approvazione delle "&amp;"loro attività o prodotti, salvo diversa indicazione. Vi invitiamo a leggere le informative sulla privacy di tali terze parti per conoscere le modalità di raccolta e utilizzo delle vostre informazioni prima di utilizzare il sito o di fornire dati personali"&amp;".")</f>
        <v>La presente informativa sulla privacy non si applica ai siti web di terze parti accessibili tramite link dal sito web di VMSPL. Questi link sono forniti esclusivamente a scopo di riferimento e per vostra comodità e non implicano alcuna approvazione delle loro attività o prodotti, salvo diversa indicazione. Vi invitiamo a leggere le informative sulla privacy di tali terze parti per conoscere le modalità di raccolta e utilizzo delle vostre informazioni prima di utilizzare il sito o di fornire dati personali.</v>
      </c>
      <c r="K126" s="4" t="str">
        <f>IFERROR(__xludf.DUMMYFUNCTION("GOOGLETRANSLATE(B126,""en"",""pt"")"),"Esta política de privacidade não se aplica a sites de terceiros que possam ser acessados ​​por meio de links no site da VMSPL. Esses hiperlinks são fornecidos apenas para sua referência e conveniência e não implicam endosso de suas atividades ou produtos,"&amp;" salvo indicação em contrário. Recomendamos que você leia as políticas de privacidade desses terceiros para saber como eles coletam e usam informações sobre você antes de usar o site ou fornecer quaisquer dados pessoais.")</f>
        <v>Esta política de privacidade não se aplica a sites de terceiros que possam ser acessados ​​por meio de links no site da VMSPL. Esses hiperlinks são fornecidos apenas para sua referência e conveniência e não implicam endosso de suas atividades ou produtos, salvo indicação em contrário. Recomendamos que você leia as políticas de privacidade desses terceiros para saber como eles coletam e usam informações sobre você antes de usar o site ou fornecer quaisquer dados pessoais.</v>
      </c>
      <c r="L126" s="4" t="str">
        <f>IFERROR(__xludf.DUMMYFUNCTION("GOOGLETRANSLATE(B126,""en"",""ro"")"),"Această politică de confidențialitate nu se aplică site-urilor web ale terților care pot fi accesibile prin link-uri de pe site-ul web VMSPL. Aceste hyperlinkuri sunt furnizate doar pentru referință și comoditate și nu implică aprobarea activităților sau "&amp;"produselor lor, cu excepția cazului în care se specifică altfel. Vă încurajăm să citiți politicile de confidențialitate ale acelor terțe părți pentru a afla cum colectează și utilizează informații despre dvs. înainte de a utiliza site-ul sau de a furniza "&amp;"orice date cu caracter personal despre dvs.")</f>
        <v>Această politică de confidențialitate nu se aplică site-urilor web ale terților care pot fi accesibile prin link-uri de pe site-ul web VMSPL. Aceste hyperlinkuri sunt furnizate doar pentru referință și comoditate și nu implică aprobarea activităților sau produselor lor, cu excepția cazului în care se specifică altfel. Vă încurajăm să citiți politicile de confidențialitate ale acelor terțe părți pentru a afla cum colectează și utilizează informații despre dvs. înainte de a utiliza site-ul sau de a furniza orice date cu caracter personal despre dvs.</v>
      </c>
      <c r="M126" s="4" t="str">
        <f>IFERROR(__xludf.DUMMYFUNCTION("GOOGLETRANSLATE(B126,""en"",""vi"")"),"Chính sách bảo mật này không áp dụng cho các trang web của bên thứ ba có thể truy cập thông qua các liên kết từ trang web VMSPL. Các siêu liên kết này chỉ được cung cấp để bạn tham khảo và thuận tiện và không ngụ ý xác nhận các hoạt động hoặc sản phẩm của"&amp;" họ trừ khi có quy định khác. Chúng tôi khuyến khích bạn đọc chính sách bảo mật của các bên thứ ba đó để tìm hiểu cách họ thu thập và sử dụng thông tin về bạn trước khi sử dụng trang web hoặc cung cấp bất kỳ dữ liệu cá nhân nào về bạn.")</f>
        <v>Chính sách bảo mật này không áp dụng cho các trang web của bên thứ ba có thể truy cập thông qua các liên kết từ trang web VMSPL. Các siêu liên kết này chỉ được cung cấp để bạn tham khảo và thuận tiện và không ngụ ý xác nhận các hoạt động hoặc sản phẩm của họ trừ khi có quy định khác. Chúng tôi khuyến khích bạn đọc chính sách bảo mật của các bên thứ ba đó để tìm hiểu cách họ thu thập và sử dụng thông tin về bạn trước khi sử dụng trang web hoặc cung cấp bất kỳ dữ liệu cá nhân nào về bạn.</v>
      </c>
      <c r="N126" s="4" t="str">
        <f>IFERROR(__xludf.DUMMYFUNCTION("GOOGLETRANSLATE(B126,""en"",""ru"")"),"Данная политика конфиденциальности не распространяется на сторонние веб-сайты, которые могут быть доступны по ссылкам с веб-сайта VMSPL. Эти гиперссылки предоставляются только для вашего ознакомления и удобства и не подразумевают одобрения их деятельности"&amp;" или продуктов, если не указано иное. Мы рекомендуем вам ознакомиться с политикой конфиденциальности этих третьих лиц, чтобы узнать, как они собирают и используют информацию о вас, прежде чем использовать сайт или предоставлять какие-либо персональные дан"&amp;"ные о себе.")</f>
        <v>Данная политика конфиденциальности не распространяется на сторонние веб-сайты, которые могут быть доступны по ссылкам с веб-сайта VMSPL. Эти гиперссылки предоставляются только для вашего ознакомления и удобства и не подразумевают одобрения их деятельности или продуктов, если не указано иное. Мы рекомендуем вам ознакомиться с политикой конфиденциальности этих третьих лиц, чтобы узнать, как они собирают и используют информацию о вас, прежде чем использовать сайт или предоставлять какие-либо персональные данные о себе.</v>
      </c>
      <c r="O126" s="4" t="str">
        <f>IFERROR(__xludf.DUMMYFUNCTION("GOOGLETRANSLATE(B126,""en"",""tr"")"),"Bu gizlilik politikası, VMSPL web sitesindeki bağlantılar aracılığıyla erişilebilen üçüncü taraf web siteleri için geçerli değildir. Bu köprüler yalnızca referansınız ve kolaylığınız için sağlanmıştır ve aksi belirtilmediği sürece faaliyetlerini veya ürün"&amp;"lerini onayladıkları anlamına gelmez. Siteyi kullanmadan veya kendiniz hakkında herhangi bir kişisel veri sağlamadan önce, bu üçüncü tarafların gizlilik politikalarını okuyarak hakkınızdaki bilgileri nasıl toplayıp kullandıklarını öğrenmenizi öneririz.")</f>
        <v>Bu gizlilik politikası, VMSPL web sitesindeki bağlantılar aracılığıyla erişilebilen üçüncü taraf web siteleri için geçerli değildir. Bu köprüler yalnızca referansınız ve kolaylığınız için sağlanmıştır ve aksi belirtilmediği sürece faaliyetlerini veya ürünlerini onayladıkları anlamına gelmez. Siteyi kullanmadan veya kendiniz hakkında herhangi bir kişisel veri sağlamadan önce, bu üçüncü tarafların gizlilik politikalarını okuyarak hakkınızdaki bilgileri nasıl toplayıp kullandıklarını öğrenmenizi öneririz.</v>
      </c>
      <c r="P126" s="4" t="str">
        <f>IFERROR(__xludf.DUMMYFUNCTION("GOOGLETRANSLATE(B126,""en"",""ar"")"),"لا تنطبق سياسة الخصوصية هذه على مواقع الجهات الخارجية التي يُمكن الوصول إليها عبر روابط من موقع VMSPL. هذه الروابط مُقدمة للرجوع إليها وتسهيل الوصول إليها فقط، ولا تعني بالضرورة تأييدًا لأنشطتها أو منتجاتها ما لم يُنص على خلاف ذلك. نشجعك على قراءة سياسات "&amp;"الخصوصية الخاصة بهذه الجهات الخارجية لمعرفة كيفية جمعها واستخدامها لمعلوماتك قبل استخدام الموقع أو تقديم أي بيانات شخصية عنك.")</f>
        <v>لا تنطبق سياسة الخصوصية هذه على مواقع الجهات الخارجية التي يُمكن الوصول إليها عبر روابط من موقع VMSPL. هذه الروابط مُقدمة للرجوع إليها وتسهيل الوصول إليها فقط، ولا تعني بالضرورة تأييدًا لأنشطتها أو منتجاتها ما لم يُنص على خلاف ذلك. نشجعك على قراءة سياسات الخصوصية الخاصة بهذه الجهات الخارجية لمعرفة كيفية جمعها واستخدامها لمعلوماتك قبل استخدام الموقع أو تقديم أي بيانات شخصية عنك.</v>
      </c>
      <c r="Q126" s="4" t="str">
        <f>IFERROR(__xludf.DUMMYFUNCTION("GOOGLETRANSLATE(B126,""en"",""mr"")"),"हे गोपनीयता धोरण तृतीय पक्षाच्या वेबसाइटवर लागू होत नाही ज्या VMSPL वेबसाइटवरील दुव्यांद्वारे प्रवेशयोग्य असू शकतात. या हायपरलिंक्स केवळ तुमच्या संदर्भासाठी आणि सोयीसाठी प्रदान केल्या आहेत आणि अन्यथा नमूद केल्याशिवाय त्यांच्या क्रियाकलाप किंवा उत्पादनांचे"&amp;" समर्थन सूचित करत नाहीत. साइट वापरण्यापूर्वी किंवा स्वतःबद्दल कोणताही वैयक्तिक डेटा प्रदान करण्यापूर्वी ते तुमच्याबद्दलची माहिती कशी गोळा करतात आणि वापरतात हे जाणून घेण्यासाठी आम्ही तुम्हाला त्या तृतीय पक्षांची गोपनीयता धोरणे वाचण्यासाठी प्रोत्साहित करतो.")</f>
        <v>हे गोपनीयता धोरण तृतीय पक्षाच्या वेबसाइटवर लागू होत नाही ज्या VMSPL वेबसाइटवरील दुव्यांद्वारे प्रवेशयोग्य असू शकतात. या हायपरलिंक्स केवळ तुमच्या संदर्भासाठी आणि सोयीसाठी प्रदान केल्या आहेत आणि अन्यथा नमूद केल्याशिवाय त्यांच्या क्रियाकलाप किंवा उत्पादनांचे समर्थन सूचित करत नाहीत. साइट वापरण्यापूर्वी किंवा स्वतःबद्दल कोणताही वैयक्तिक डेटा प्रदान करण्यापूर्वी ते तुमच्याबद्दलची माहिती कशी गोळा करतात आणि वापरतात हे जाणून घेण्यासाठी आम्ही तुम्हाला त्या तृतीय पक्षांची गोपनीयता धोरणे वाचण्यासाठी प्रोत्साहित करतो.</v>
      </c>
      <c r="R126" s="4" t="str">
        <f>IFERROR(__xludf.DUMMYFUNCTION("GOOGLETRANSLATE(B126,""en"",""gu"")"),"આ ગોપનીયતા નીતિ તૃતીય પક્ષની વેબસાઇટ્સ પર લાગુ થતી નથી જે VMSPL વેબસાઇટની લિંક્સ દ્વારા ઍક્સેસ કરી શકાય છે. આ હાઇપરલિંક્સ ફક્ત તમારા સંદર્ભ અને સગવડ માટે પ્રદાન કરવામાં આવે છે અને જ્યાં સુધી અન્યથા જણાવવામાં ન આવે ત્યાં સુધી તેમની પ્રવૃત્તિઓ અથવા ઉત્પાદનો"&amp;"ને સમર્થન સૂચિત કરતું નથી. અમે તમને તે તૃતીય પક્ષોની ગોપનીયતા નીતિઓ વાંચવા માટે પ્રોત્સાહિત કરીએ છીએ જેથી તેઓ સાઇટનો ઉપયોગ કરતા પહેલા અથવા તમારા વિશેનો કોઈપણ વ્યક્તિગત ડેટા પ્રદાન કરતા પહેલા તેઓ તમારા વિશેની માહિતી કેવી રીતે એકત્રિત અને ઉપયોગ કરે છે તે જા"&amp;"ણવા માટે.")</f>
        <v>આ ગોપનીયતા નીતિ તૃતીય પક્ષની વેબસાઇટ્સ પર લાગુ થતી નથી જે VMSPL વેબસાઇટની લિંક્સ દ્વારા ઍક્સેસ કરી શકાય છે. આ હાઇપરલિંક્સ ફક્ત તમારા સંદર્ભ અને સગવડ માટે પ્રદાન કરવામાં આવે છે અને જ્યાં સુધી અન્યથા જણાવવામાં ન આવે ત્યાં સુધી તેમની પ્રવૃત્તિઓ અથવા ઉત્પાદનોને સમર્થન સૂચિત કરતું નથી. અમે તમને તે તૃતીય પક્ષોની ગોપનીયતા નીતિઓ વાંચવા માટે પ્રોત્સાહિત કરીએ છીએ જેથી તેઓ સાઇટનો ઉપયોગ કરતા પહેલા અથવા તમારા વિશેનો કોઈપણ વ્યક્તિગત ડેટા પ્રદાન કરતા પહેલા તેઓ તમારા વિશેની માહિતી કેવી રીતે એકત્રિત અને ઉપયોગ કરે છે તે જાણવા માટે.</v>
      </c>
      <c r="S126" s="4" t="str">
        <f>IFERROR(__xludf.DUMMYFUNCTION("GOOGLETRANSLATE(B126,""en"",""bn"")"),"এই গোপনীয়তা নীতি তৃতীয় পক্ষের ওয়েবসাইটগুলিতে প্রযোজ্য নয় যেগুলি VMSPL ওয়েবসাইট থেকে লিঙ্কগুলির মাধ্যমে অ্যাক্সেসযোগ্য হতে পারে৷ এই হাইপারলিঙ্কগুলি শুধুমাত্র আপনার রেফারেন্স এবং সুবিধার জন্য প্রদান করা হয়েছে এবং অন্যথায় বলা না থাকলে তাদের কার্যকলাপ "&amp;"বা পণ্যগুলির অনুমোদন বোঝায় না। আমরা আপনাকে সেই তৃতীয় পক্ষের গোপনীয়তা নীতিগুলি পড়তে উত্সাহিত করি যাতে তারা সাইটটি ব্যবহার করার আগে বা নিজের সম্পর্কে কোনও ব্যক্তিগত ডেটা দেওয়ার আগে তারা কীভাবে আপনার সম্পর্কে তথ্য সংগ্রহ করে এবং ব্যবহার করে তা শিখতে।")</f>
        <v>এই গোপনীয়তা নীতি তৃতীয় পক্ষের ওয়েবসাইটগুলিতে প্রযোজ্য নয় যেগুলি VMSPL ওয়েবসাইট থেকে লিঙ্কগুলির মাধ্যমে অ্যাক্সেসযোগ্য হতে পারে৷ এই হাইপারলিঙ্কগুলি শুধুমাত্র আপনার রেফারেন্স এবং সুবিধার জন্য প্রদান করা হয়েছে এবং অন্যথায় বলা না থাকলে তাদের কার্যকলাপ বা পণ্যগুলির অনুমোদন বোঝায় না। আমরা আপনাকে সেই তৃতীয় পক্ষের গোপনীয়তা নীতিগুলি পড়তে উত্সাহিত করি যাতে তারা সাইটটি ব্যবহার করার আগে বা নিজের সম্পর্কে কোনও ব্যক্তিগত ডেটা দেওয়ার আগে তারা কীভাবে আপনার সম্পর্কে তথ্য সংগ্রহ করে এবং ব্যবহার করে তা শিখতে।</v>
      </c>
      <c r="T126" s="4" t="str">
        <f>IFERROR(__xludf.DUMMYFUNCTION("GOOGLETRANSLATE(B126,""en"",""pa"")"),"ਇਹ ਗੋਪਨੀਯਤਾ ਨੀਤੀ ਤੀਜੀ ਧਿਰ ਦੀਆਂ ਵੈੱਬਸਾਈਟਾਂ 'ਤੇ ਲਾਗੂ ਨਹੀਂ ਹੁੰਦੀ ਜੋ VMSPL ਵੈੱਬਸਾਈਟ ਤੋਂ ਲਿੰਕਾਂ ਰਾਹੀਂ ਪਹੁੰਚਯੋਗ ਹੋ ਸਕਦੀਆਂ ਹਨ। ਇਹ ਹਾਈਪਰਲਿੰਕਸ ਸਿਰਫ ਤੁਹਾਡੇ ਸੰਦਰਭ ਅਤੇ ਸਹੂਲਤ ਲਈ ਪ੍ਰਦਾਨ ਕੀਤੇ ਗਏ ਹਨ ਅਤੇ ਉਹਨਾਂ ਦੀਆਂ ਗਤੀਵਿਧੀਆਂ ਜਾਂ ਉਤਪਾਦਾਂ ਦੀ ਪੁਸ਼ਟੀ ਦਾ ਮਤਲਬ ਨਹੀਂ ਹਨ ਜਦੋਂ ਤੱਕ "&amp;"ਕਿ ਹੋਰ ਨਹੀਂ ਦੱਸਿਆ ਗਿਆ ਹੈ। ਅਸੀਂ ਤੁਹਾਨੂੰ ਇਹ ਜਾਣਨ ਲਈ ਉਹਨਾਂ ਤੀਜੀਆਂ ਧਿਰਾਂ ਦੀਆਂ ਗੋਪਨੀਯਤਾ ਨੀਤੀਆਂ ਨੂੰ ਪੜ੍ਹਨ ਲਈ ਉਤਸ਼ਾਹਿਤ ਕਰਦੇ ਹਾਂ ਕਿ ਉਹ ਸਾਈਟ ਦੀ ਵਰਤੋਂ ਕਰਨ ਜਾਂ ਆਪਣੇ ਬਾਰੇ ਕੋਈ ਨਿੱਜੀ ਡੇਟਾ ਪ੍ਰਦਾਨ ਕਰਨ ਤੋਂ ਪਹਿਲਾਂ ਤੁਹਾਡੇ ਬਾਰੇ ਜਾਣਕਾਰੀ ਕਿਵੇਂ ਇਕੱਤਰ ਕਰਦੇ ਹਨ ਅਤੇ ਇਸਦੀ ਵਰਤੋਂ ਕਰਦੇ"&amp;" ਹਨ।")</f>
        <v>ਇਹ ਗੋਪਨੀਯਤਾ ਨੀਤੀ ਤੀਜੀ ਧਿਰ ਦੀਆਂ ਵੈੱਬਸਾਈਟਾਂ 'ਤੇ ਲਾਗੂ ਨਹੀਂ ਹੁੰਦੀ ਜੋ VMSPL ਵੈੱਬਸਾਈਟ ਤੋਂ ਲਿੰਕਾਂ ਰਾਹੀਂ ਪਹੁੰਚਯੋਗ ਹੋ ਸਕਦੀਆਂ ਹਨ। ਇਹ ਹਾਈਪਰਲਿੰਕਸ ਸਿਰਫ ਤੁਹਾਡੇ ਸੰਦਰਭ ਅਤੇ ਸਹੂਲਤ ਲਈ ਪ੍ਰਦਾਨ ਕੀਤੇ ਗਏ ਹਨ ਅਤੇ ਉਹਨਾਂ ਦੀਆਂ ਗਤੀਵਿਧੀਆਂ ਜਾਂ ਉਤਪਾਦਾਂ ਦੀ ਪੁਸ਼ਟੀ ਦਾ ਮਤਲਬ ਨਹੀਂ ਹਨ ਜਦੋਂ ਤੱਕ ਕਿ ਹੋਰ ਨਹੀਂ ਦੱਸਿਆ ਗਿਆ ਹੈ। ਅਸੀਂ ਤੁਹਾਨੂੰ ਇਹ ਜਾਣਨ ਲਈ ਉਹਨਾਂ ਤੀਜੀਆਂ ਧਿਰਾਂ ਦੀਆਂ ਗੋਪਨੀਯਤਾ ਨੀਤੀਆਂ ਨੂੰ ਪੜ੍ਹਨ ਲਈ ਉਤਸ਼ਾਹਿਤ ਕਰਦੇ ਹਾਂ ਕਿ ਉਹ ਸਾਈਟ ਦੀ ਵਰਤੋਂ ਕਰਨ ਜਾਂ ਆਪਣੇ ਬਾਰੇ ਕੋਈ ਨਿੱਜੀ ਡੇਟਾ ਪ੍ਰਦਾਨ ਕਰਨ ਤੋਂ ਪਹਿਲਾਂ ਤੁਹਾਡੇ ਬਾਰੇ ਜਾਣਕਾਰੀ ਕਿਵੇਂ ਇਕੱਤਰ ਕਰਦੇ ਹਨ ਅਤੇ ਇਸਦੀ ਵਰਤੋਂ ਕਰਦੇ ਹਨ।</v>
      </c>
      <c r="U126" s="4" t="str">
        <f>IFERROR(__xludf.DUMMYFUNCTION("GOOGLETRANSLATE(B126,""en"",""te"")"),"VMSPL వెబ్‌సైట్ నుండి లింక్‌ల ద్వారా ప్రాప్యత చేయగల మూడవ పక్ష వెబ్‌సైట్‌లకు ఈ గోప్యతా విధానం వర్తించదు. ఈ హైపర్‌లింక్‌లు మీ సూచన మరియు సౌలభ్యం కోసం మాత్రమే అందించబడ్డాయి మరియు పేర్కొనకపోతే వారి కార్యకలాపాలు లేదా ఉత్పత్తుల ఆమోదాన్ని సూచించవు. సైట్‌ను ఉపయోగ"&amp;"ించే ముందు లేదా మీ గురించి ఏదైనా వ్యక్తిగత డేటాను అందించే ముందు వారు మీ గురించి సమాచారాన్ని ఎలా సేకరిస్తారు మరియు ఎలా ఉపయోగిస్తారో తెలుసుకోవడానికి ఆ మూడవ పక్షాల గోప్యతా విధానాలను చదవమని మేము మిమ్మల్ని ప్రోత్సహిస్తున్నాము.")</f>
        <v>VMSPL వెబ్‌సైట్ నుండి లింక్‌ల ద్వారా ప్రాప్యత చేయగల మూడవ పక్ష వెబ్‌సైట్‌లకు ఈ గోప్యతా విధానం వర్తించదు. ఈ హైపర్‌లింక్‌లు మీ సూచన మరియు సౌలభ్యం కోసం మాత్రమే అందించబడ్డాయి మరియు పేర్కొనకపోతే వారి కార్యకలాపాలు లేదా ఉత్పత్తుల ఆమోదాన్ని సూచించవు. సైట్‌ను ఉపయోగించే ముందు లేదా మీ గురించి ఏదైనా వ్యక్తిగత డేటాను అందించే ముందు వారు మీ గురించి సమాచారాన్ని ఎలా సేకరిస్తారు మరియు ఎలా ఉపయోగిస్తారో తెలుసుకోవడానికి ఆ మూడవ పక్షాల గోప్యతా విధానాలను చదవమని మేము మిమ్మల్ని ప్రోత్సహిస్తున్నాము.</v>
      </c>
      <c r="V126" s="4" t="str">
        <f>IFERROR(__xludf.DUMMYFUNCTION("GOOGLETRANSLATE(B126,""en"",""kn"")"),"VMSPL ವೆಬ್‌ಸೈಟ್‌ನಿಂದ ಲಿಂಕ್‌ಗಳ ಮೂಲಕ ಪ್ರವೇಶಿಸಬಹುದಾದ ಮೂರನೇ ವ್ಯಕ್ತಿಯ ವೆಬ್‌ಸೈಟ್‌ಗಳಿಗೆ ಈ ಗೌಪ್ಯತಾ ನೀತಿ ಅನ್ವಯಿಸುವುದಿಲ್ಲ. ಈ ಹೈಪರ್‌ಲಿಂಕ್‌ಗಳನ್ನು ನಿಮ್ಮ ಉಲ್ಲೇಖ ಮತ್ತು ಅನುಕೂಲಕ್ಕಾಗಿ ಮಾತ್ರ ಒದಗಿಸಲಾಗಿದೆ ಮತ್ತು ಬೇರೆ ರೀತಿಯಲ್ಲಿ ಹೇಳದ ಹೊರತು ಅವರ ಚಟುವಟಿಕೆಗಳು ಅಥವಾ ಉತ್ಪನ್ನಗಳ ಅನುಮೋದನೆ"&amp;"ಯನ್ನು ಸೂಚಿಸುವುದಿಲ್ಲ. ಸೈಟ್ ಅನ್ನು ಬಳಸುವ ಮೊದಲು ಅಥವಾ ನಿಮ್ಮ ಬಗ್ಗೆ ಯಾವುದೇ ವೈಯಕ್ತಿಕ ಡೇಟಾವನ್ನು ಒದಗಿಸುವ ಮೊದಲು ಅವರು ನಿಮ್ಮ ಬಗ್ಗೆ ಮಾಹಿತಿಯನ್ನು ಹೇಗೆ ಸಂಗ್ರಹಿಸುತ್ತಾರೆ ಮತ್ತು ಬಳಸುತ್ತಾರೆ ಎಂಬುದನ್ನು ತಿಳಿಯಲು ಆ ಮೂರನೇ ವ್ಯಕ್ತಿಗಳ ಗೌಪ್ಯತೆ ನೀತಿಗಳನ್ನು ಓದಲು ನಾವು ನಿಮ್ಮನ್ನು ಪ್ರೋತ್ಸಾಹಿಸು"&amp;"ತ್ತೇವೆ.")</f>
        <v>VMSPL ವೆಬ್‌ಸೈಟ್‌ನಿಂದ ಲಿಂಕ್‌ಗಳ ಮೂಲಕ ಪ್ರವೇಶಿಸಬಹುದಾದ ಮೂರನೇ ವ್ಯಕ್ತಿಯ ವೆಬ್‌ಸೈಟ್‌ಗಳಿಗೆ ಈ ಗೌಪ್ಯತಾ ನೀತಿ ಅನ್ವಯಿಸುವುದಿಲ್ಲ. ಈ ಹೈಪರ್‌ಲಿಂಕ್‌ಗಳನ್ನು ನಿಮ್ಮ ಉಲ್ಲೇಖ ಮತ್ತು ಅನುಕೂಲಕ್ಕಾಗಿ ಮಾತ್ರ ಒದಗಿಸಲಾಗಿದೆ ಮತ್ತು ಬೇರೆ ರೀತಿಯಲ್ಲಿ ಹೇಳದ ಹೊರತು ಅವರ ಚಟುವಟಿಕೆಗಳು ಅಥವಾ ಉತ್ಪನ್ನಗಳ ಅನುಮೋದನೆಯನ್ನು ಸೂಚಿಸುವುದಿಲ್ಲ. ಸೈಟ್ ಅನ್ನು ಬಳಸುವ ಮೊದಲು ಅಥವಾ ನಿಮ್ಮ ಬಗ್ಗೆ ಯಾವುದೇ ವೈಯಕ್ತಿಕ ಡೇಟಾವನ್ನು ಒದಗಿಸುವ ಮೊದಲು ಅವರು ನಿಮ್ಮ ಬಗ್ಗೆ ಮಾಹಿತಿಯನ್ನು ಹೇಗೆ ಸಂಗ್ರಹಿಸುತ್ತಾರೆ ಮತ್ತು ಬಳಸುತ್ತಾರೆ ಎಂಬುದನ್ನು ತಿಳಿಯಲು ಆ ಮೂರನೇ ವ್ಯಕ್ತಿಗಳ ಗೌಪ್ಯತೆ ನೀತಿಗಳನ್ನು ಓದಲು ನಾವು ನಿಮ್ಮನ್ನು ಪ್ರೋತ್ಸಾಹಿಸುತ್ತೇವೆ.</v>
      </c>
      <c r="W126" s="4" t="str">
        <f>IFERROR(__xludf.DUMMYFUNCTION("GOOGLETRANSLATE(B126,""en"",""ml"")"),"VMSPL വെബ്‌സൈറ്റിൽ നിന്നുള്ള ലിങ്കുകൾ വഴി ആക്‌സസ് ചെയ്യാൻ കഴിയുന്ന മൂന്നാം കക്ഷി വെബ്‌സൈറ്റുകൾക്ക് ഈ സ്വകാര്യതാ നയം ബാധകമല്ല. ഈ ഹൈപ്പർലിങ്കുകൾ നിങ്ങളുടെ റഫറൻസിനും സൗകര്യത്തിനും വേണ്ടി മാത്രമാണ് നൽകിയിരിക്കുന്നത്, മറ്റുവിധത്തിൽ പ്രസ്താവിച്ചിട്ടില്ലെങ്കിൽ അ"&amp;"വരുടെ പ്രവർത്തനങ്ങളുടെയോ ഉൽപ്പന്നങ്ങളുടെയോ അംഗീകാരത്തെ സൂചിപ്പിക്കുന്നില്ല. സൈറ്റ് ഉപയോഗിക്കുന്നതിന് മുമ്പ് അല്ലെങ്കിൽ നിങ്ങളെക്കുറിച്ചുള്ള ഏതെങ്കിലും സ്വകാര്യ ഡാറ്റ നൽകുന്നതിന് മുമ്പ് നിങ്ങളെക്കുറിച്ചുള്ള വിവരങ്ങൾ ശേഖരിക്കുകയും ഉപയോഗിക്കുകയും ചെയ്യുന്നതെ"&amp;"ങ്ങനെയെന്ന് അറിയുന്നതിന് ആ മൂന്നാം കക്ഷികളുടെ സ്വകാര്യതാ നയങ്ങൾ വായിക്കാൻ ഞങ്ങൾ നിങ്ങളെ പ്രോത്സാഹിപ്പിക്കുന്നു.")</f>
        <v>VMSPL വെബ്‌സൈറ്റിൽ നിന്നുള്ള ലിങ്കുകൾ വഴി ആക്‌സസ് ചെയ്യാൻ കഴിയുന്ന മൂന്നാം കക്ഷി വെബ്‌സൈറ്റുകൾക്ക് ഈ സ്വകാര്യതാ നയം ബാധകമല്ല. ഈ ഹൈപ്പർലിങ്കുകൾ നിങ്ങളുടെ റഫറൻസിനും സൗകര്യത്തിനും വേണ്ടി മാത്രമാണ് നൽകിയിരിക്കുന്നത്, മറ്റുവിധത്തിൽ പ്രസ്താവിച്ചിട്ടില്ലെങ്കിൽ അവരുടെ പ്രവർത്തനങ്ങളുടെയോ ഉൽപ്പന്നങ്ങളുടെയോ അംഗീകാരത്തെ സൂചിപ്പിക്കുന്നില്ല. സൈറ്റ് ഉപയോഗിക്കുന്നതിന് മുമ്പ് അല്ലെങ്കിൽ നിങ്ങളെക്കുറിച്ചുള്ള ഏതെങ്കിലും സ്വകാര്യ ഡാറ്റ നൽകുന്നതിന് മുമ്പ് നിങ്ങളെക്കുറിച്ചുള്ള വിവരങ്ങൾ ശേഖരിക്കുകയും ഉപയോഗിക്കുകയും ചെയ്യുന്നതെങ്ങനെയെന്ന് അറിയുന്നതിന് ആ മൂന്നാം കക്ഷികളുടെ സ്വകാര്യതാ നയങ്ങൾ വായിക്കാൻ ഞങ്ങൾ നിങ്ങളെ പ്രോത്സാഹിപ്പിക്കുന്നു.</v>
      </c>
      <c r="X126" s="4" t="str">
        <f>IFERROR(__xludf.DUMMYFUNCTION("GOOGLETRANSLATE(B126,""en"",""th"")"),"นโยบายความเป็นส่วนตัวนี้ไม่มีผลใช้กับเว็บไซต์ของบุคคลที่สามซึ่งอาจเข้าถึงได้ผ่านลิงก์จากเว็บไซต์ VMSPL ไฮเปอร์ลิงก์เหล่านี้มีไว้เพื่อใช้เป็นข้อมูลอ้างอิงและเพื่อความสะดวกของคุณเท่านั้น และไม่ถือเป็นการรับรองกิจกรรมหรือผลิตภัณฑ์ของพวกเขา เว้นแต่จะระบุไว้เป"&amp;"็นอย่างอื่น เราขอแนะนำให้คุณอ่านนโยบายความเป็นส่วนตัวของบุคคลที่สามเหล่านั้นเพื่อเรียนรู้ว่าพวกเขาเก็บรวบรวมและใช้ข้อมูลเกี่ยวกับคุณอย่างไรก่อนใช้ไซต์หรือให้ข้อมูลส่วนบุคคลใดๆ เกี่ยวกับตัวคุณ")</f>
        <v>นโยบายความเป็นส่วนตัวนี้ไม่มีผลใช้กับเว็บไซต์ของบุคคลที่สามซึ่งอาจเข้าถึงได้ผ่านลิงก์จากเว็บไซต์ VMSPL ไฮเปอร์ลิงก์เหล่านี้มีไว้เพื่อใช้เป็นข้อมูลอ้างอิงและเพื่อความสะดวกของคุณเท่านั้น และไม่ถือเป็นการรับรองกิจกรรมหรือผลิตภัณฑ์ของพวกเขา เว้นแต่จะระบุไว้เป็นอย่างอื่น เราขอแนะนำให้คุณอ่านนโยบายความเป็นส่วนตัวของบุคคลที่สามเหล่านั้นเพื่อเรียนรู้ว่าพวกเขาเก็บรวบรวมและใช้ข้อมูลเกี่ยวกับคุณอย่างไรก่อนใช้ไซต์หรือให้ข้อมูลส่วนบุคคลใดๆ เกี่ยวกับตัวคุณ</v>
      </c>
      <c r="Y126" s="4" t="str">
        <f>IFERROR(__xludf.DUMMYFUNCTION("GOOGLETRANSLATE(B126,""en"",""ko"")"),"본 개인정보 보호정책은 VMSPL 웹사이트의 링크를 통해 접근할 수 있는 제3자 웹사이트에는 적용되지 않습니다. 이러한 하이퍼링크는 참고 및 편의를 위해 제공되며, 달리 명시되지 않는 한 해당 제3자의 활동이나 제품을 보증하는 것은 아닙니다. 사이트를 이용하거나 본인의 개인정보를 제공하기 전에 해당 제3자의 개인정보 보호정책을 읽고 그들이 귀하에 대한 정보를 수집 및 사용하는 방식을 알아보시기 바랍니다.")</f>
        <v>본 개인정보 보호정책은 VMSPL 웹사이트의 링크를 통해 접근할 수 있는 제3자 웹사이트에는 적용되지 않습니다. 이러한 하이퍼링크는 참고 및 편의를 위해 제공되며, 달리 명시되지 않는 한 해당 제3자의 활동이나 제품을 보증하는 것은 아닙니다. 사이트를 이용하거나 본인의 개인정보를 제공하기 전에 해당 제3자의 개인정보 보호정책을 읽고 그들이 귀하에 대한 정보를 수집 및 사용하는 방식을 알아보시기 바랍니다.</v>
      </c>
      <c r="Z126" s="4" t="str">
        <f>IFERROR(__xludf.DUMMYFUNCTION("GOOGLETRANSLATE(B126,""en"",""zh"")"),"本隐私政策不适用于可通过 VMSPL 网站链接访问的第三方网站。这些超链接仅供您参考和方便使用，除非另有说明，否则不代表我们认可其活动或产品。我们建议您在使用本网站或提供任何个人信息之前，阅读这些第三方的隐私政策，了解他们如何收集和使用您的信息。")</f>
        <v>本隐私政策不适用于可通过 VMSPL 网站链接访问的第三方网站。这些超链接仅供您参考和方便使用，除非另有说明，否则不代表我们认可其活动或产品。我们建议您在使用本网站或提供任何个人信息之前，阅读这些第三方的隐私政策，了解他们如何收集和使用您的信息。</v>
      </c>
      <c r="AA126" s="4" t="str">
        <f>IFERROR(__xludf.DUMMYFUNCTION("GOOGLETRANSLATE(B126,""en"",""zh-TW"")"),"本隱私權政策不適用於可透過 VMSPL 網站連結存取的第三方網站。這些超連結僅供您參考和方便使用，除非另有說明，否則不代表我們認可其活動或產品。我們建議您在使用本網站或提供任何個人資訊之前，請閱讀這些第三方的隱私權政策，以了解他們如何收集和使用您的資訊。")</f>
        <v>本隱私權政策不適用於可透過 VMSPL 網站連結存取的第三方網站。這些超連結僅供您參考和方便使用，除非另有說明，否則不代表我們認可其活動或產品。我們建議您在使用本網站或提供任何個人資訊之前，請閱讀這些第三方的隱私權政策，以了解他們如何收集和使用您的資訊。</v>
      </c>
      <c r="AB126" s="4" t="str">
        <f>IFERROR(__xludf.DUMMYFUNCTION("GOOGLETRANSLATE(B126,""en"",""ja"")"),"本プライバシーポリシーは、VMSPLウェブサイトからのリンクを通じてアクセスできる第三者のウェブサイトには適用されません。これらのハイパーリンクは、お客様の参考と便宜のためにのみ提供されており、別途記載がない限り、それらの活動または製品を推奨するものではありません。本サイトをご利用になる前、またはご自身の個人情報をご提供いただく前に、これらの第三者のプライバシーポリシーをお読みになり、お客様に関する情報がどのように収集・使用されているかをご確認ください。")</f>
        <v>本プライバシーポリシーは、VMSPLウェブサイトからのリンクを通じてアクセスできる第三者のウェブサイトには適用されません。これらのハイパーリンクは、お客様の参考と便宜のためにのみ提供されており、別途記載がない限り、それらの活動または製品を推奨するものではありません。本サイトをご利用になる前、またはご自身の個人情報をご提供いただく前に、これらの第三者のプライバシーポリシーをお読みになり、お客様に関する情報がどのように収集・使用されているかをご確認ください。</v>
      </c>
      <c r="AC126" s="4" t="str">
        <f>IFERROR(__xludf.DUMMYFUNCTION("GOOGLETRANSLATE(B126,""en"",""bg"")"),"Тази политика за поверителност не се прилага за уебсайтове на трети страни, които могат да бъдат достъпни чрез връзки от уебсайта на VMSPL. Тези хипервръзки са предоставени само за ваша справка и удобство и не означават одобрение на техните дейности или п"&amp;"родукти, освен ако не е посочено друго. Насърчаваме ви да прочетете политиките за поверителност на тези трети страни, за да научите как те събират и използват информация за вас, преди да използвате сайта или да предоставите лични данни за себе си.")</f>
        <v>Тази политика за поверителност не се прилага за уебсайтове на трети страни, които могат да бъдат достъпни чрез връзки от уебсайта на VMSPL. Тези хипервръзки са предоставени само за ваша справка и удобство и не означават одобрение на техните дейности или продукти, освен ако не е посочено друго. Насърчаваме ви да прочетете политиките за поверителност на тези трети страни, за да научите как те събират и използват информация за вас, преди да използвате сайта или да предоставите лични данни за себе си.</v>
      </c>
      <c r="AD126" s="4" t="str">
        <f>IFERROR(__xludf.DUMMYFUNCTION("GOOGLETRANSLATE(B126,""en"",""cs"")"),"Tyto zásady ochrany osobních údajů se nevztahují na webové stránky třetích stran, které mohou být přístupné prostřednictvím odkazů z webových stránek VMSPL. Tyto hypertextové odkazy jsou poskytovány pouze pro vaši referenci a pohodlí a neimplikují podporu"&amp;" jejich aktivit nebo produktů, pokud není uvedeno jinak. Doporučujeme vám, abyste si přečetli zásady ochrany osobních údajů těchto třetích stran, abyste se dozvěděli, jak shromažďují a používají informace o vás, než začnete používat stránky nebo poskytnou"&amp;"t jakékoli osobní údaje o vás.")</f>
        <v>Tyto zásady ochrany osobních údajů se nevztahují na webové stránky třetích stran, které mohou být přístupné prostřednictvím odkazů z webových stránek VMSPL. Tyto hypertextové odkazy jsou poskytovány pouze pro vaši referenci a pohodlí a neimplikují podporu jejich aktivit nebo produktů, pokud není uvedeno jinak. Doporučujeme vám, abyste si přečetli zásady ochrany osobních údajů těchto třetích stran, abyste se dozvěděli, jak shromažďují a používají informace o vás, než začnete používat stránky nebo poskytnout jakékoli osobní údaje o vás.</v>
      </c>
      <c r="AE126" s="4" t="str">
        <f>IFERROR(__xludf.DUMMYFUNCTION("GOOGLETRANSLATE(B126,""en"",""da"")"),"Denne privatlivspolitik gælder ikke for tredjepartswebsteder, der kan være tilgængelige via links fra VMSPL-webstedet. Disse hyperlinks er kun til din reference og bekvemmelighed og indebærer ikke godkendelse af deres aktiviteter eller produkter, medmindr"&amp;"e andet er angivet. Vi opfordrer dig til at læse disse tredjeparters privatlivspolitikker for at lære, hvordan de indsamler og bruger oplysninger om dig, før du bruger webstedet eller giver personlige oplysninger om dig selv.")</f>
        <v>Denne privatlivspolitik gælder ikke for tredjepartswebsteder, der kan være tilgængelige via links fra VMSPL-webstedet. Disse hyperlinks er kun til din reference og bekvemmelighed og indebærer ikke godkendelse af deres aktiviteter eller produkter, medmindre andet er angivet. Vi opfordrer dig til at læse disse tredjeparters privatlivspolitikker for at lære, hvordan de indsamler og bruger oplysninger om dig, før du bruger webstedet eller giver personlige oplysninger om dig selv.</v>
      </c>
      <c r="AF126" s="4" t="str">
        <f>IFERROR(__xludf.DUMMYFUNCTION("GOOGLETRANSLATE(B126,""en"",""el"")"),"Αυτή η πολιτική απορρήτου δεν ισχύει για ιστότοπους τρίτων που ενδέχεται να είναι προσβάσιμοι μέσω συνδέσμων από τον ιστότοπο VMSPL. Αυτοί οι υπερσύνδεσμοι παρέχονται μόνο για αναφορά και διευκόλυνσή σας και δεν υποδηλώνουν έγκριση των δραστηριοτήτων ή τω"&amp;"ν προϊόντων τους, εκτός εάν αναφέρεται διαφορετικά. Σας ενθαρρύνουμε να διαβάσετε τις πολιτικές απορρήτου αυτών των τρίτων μερών για να μάθετε πώς συλλέγουν και χρησιμοποιούν πληροφορίες σχετικά με εσάς πριν χρησιμοποιήσετε τον ιστότοπο ή παρέχετε προσωπι"&amp;"κά δεδομένα για εσάς.")</f>
        <v>Αυτή η πολιτική απορρήτου δεν ισχύει για ιστότοπους τρίτων που ενδέχεται να είναι προσβάσιμοι μέσω συνδέσμων από τον ιστότοπο VMSPL. Αυτοί οι υπερσύνδεσμοι παρέχονται μόνο για αναφορά και διευκόλυνσή σας και δεν υποδηλώνουν έγκριση των δραστηριοτήτων ή των προϊόντων τους, εκτός εάν αναφέρεται διαφορετικά. Σας ενθαρρύνουμε να διαβάσετε τις πολιτικές απορρήτου αυτών των τρίτων μερών για να μάθετε πώς συλλέγουν και χρησιμοποιούν πληροφορίες σχετικά με εσάς πριν χρησιμοποιήσετε τον ιστότοπο ή παρέχετε προσωπικά δεδομένα για εσάς.</v>
      </c>
      <c r="AG126" s="4" t="str">
        <f>IFERROR(__xludf.DUMMYFUNCTION("GOOGLETRANSLATE(B126,""en"",""et"")"),"See privaatsuspoliitika ei kehti kolmandate osapoolte veebisaitidele, mis võivad olla juurdepääsetavad VMSPL-i veebisaidi linkide kaudu. Need hüperlingid on mõeldud ainult teile viitamiseks ja mugavuse huvides ning ei tähenda nende tegevuste või toodete t"&amp;"oetamist, kui pole öeldud teisiti. Soovitame teil enne saidi kasutamist või enda kohta isikuandmete esitamist lugeda nende kolmandate osapoolte privaatsuspoliitikat, et saada teada, kuidas nad teie kohta teavet koguvad ja kasutavad.")</f>
        <v>See privaatsuspoliitika ei kehti kolmandate osapoolte veebisaitidele, mis võivad olla juurdepääsetavad VMSPL-i veebisaidi linkide kaudu. Need hüperlingid on mõeldud ainult teile viitamiseks ja mugavuse huvides ning ei tähenda nende tegevuste või toodete toetamist, kui pole öeldud teisiti. Soovitame teil enne saidi kasutamist või enda kohta isikuandmete esitamist lugeda nende kolmandate osapoolte privaatsuspoliitikat, et saada teada, kuidas nad teie kohta teavet koguvad ja kasutavad.</v>
      </c>
      <c r="AH126" s="4" t="str">
        <f>IFERROR(__xludf.DUMMYFUNCTION("GOOGLETRANSLATE(B126,""en"",""fi"")"),"Tämä tietosuojakäytäntö ei koske kolmansien osapuolien verkkosivustoja, joihin voi päästä VMSPL-verkkosivuston linkkien kautta. Nämä hyperlinkit on tarkoitettu vain viitteellesi ja avuksesi, eivätkä ne tarkoita heidän toimintojensa tai tuotteidensa hyväks"&amp;"ymistä, ellei toisin mainita. Suosittelemme sinua lukemaan näiden kolmansien osapuolten tietosuojakäytännöt saadaksesi selville, kuinka he keräävät ja käyttävät sinua koskevia tietoja ennen sivuston käyttöä tai henkilötietojen antamista itsestäsi.")</f>
        <v>Tämä tietosuojakäytäntö ei koske kolmansien osapuolien verkkosivustoja, joihin voi päästä VMSPL-verkkosivuston linkkien kautta. Nämä hyperlinkit on tarkoitettu vain viitteellesi ja avuksesi, eivätkä ne tarkoita heidän toimintojensa tai tuotteidensa hyväksymistä, ellei toisin mainita. Suosittelemme sinua lukemaan näiden kolmansien osapuolten tietosuojakäytännöt saadaksesi selville, kuinka he keräävät ja käyttävät sinua koskevia tietoja ennen sivuston käyttöä tai henkilötietojen antamista itsestäsi.</v>
      </c>
      <c r="AI126" s="4" t="str">
        <f>IFERROR(__xludf.DUMMYFUNCTION("GOOGLETRANSLATE(B126,""en"",""hr"")"),"Ova se politika privatnosti ne odnosi na web stranice trećih strana kojima se može pristupiti putem poveznica s web stranice VMSPL. Ove hiperveze služe samo kao referenca i pogodnost i ne impliciraju odobravanje njihovih aktivnosti ili proizvoda osim ako "&amp;"nije drugačije navedeno. Potičemo vas da pročitate pravila o privatnosti tih trećih strana kako biste saznali kako prikupljaju i koriste informacije o vama prije korištenja stranice ili davanja bilo kakvih osobnih podataka o sebi.")</f>
        <v>Ova se politika privatnosti ne odnosi na web stranice trećih strana kojima se može pristupiti putem poveznica s web stranice VMSPL. Ove hiperveze služe samo kao referenca i pogodnost i ne impliciraju odobravanje njihovih aktivnosti ili proizvoda osim ako nije drugačije navedeno. Potičemo vas da pročitate pravila o privatnosti tih trećih strana kako biste saznali kako prikupljaju i koriste informacije o vama prije korištenja stranice ili davanja bilo kakvih osobnih podataka o sebi.</v>
      </c>
      <c r="AJ126" s="4" t="str">
        <f>IFERROR(__xludf.DUMMYFUNCTION("GOOGLETRANSLATE(B126,""en"",""hu"")"),"Ez az adatvédelmi szabályzat nem vonatkozik azokra a harmadik felek webhelyeire, amelyek a VMSPL webhelyen található hivatkozásokon keresztül érhetők el. Ezek a hiperhivatkozások csak az Ön tájékoztatását és kényelmét szolgálják, és nem jelentik tevékenys"&amp;"égeik vagy termékeik jóváhagyását, kivéve, ha másként jelezzük. Javasoljuk, hogy olvassa el ezen harmadik felek adatvédelmi szabályzatát, hogy megtudja, hogyan gyűjtik és használják fel Önről az Önről szóló információkat, mielőtt használná az oldalt, vagy"&amp;" bármilyen személyes adatot megadna magáról.")</f>
        <v>Ez az adatvédelmi szabályzat nem vonatkozik azokra a harmadik felek webhelyeire, amelyek a VMSPL webhelyen található hivatkozásokon keresztül érhetők el. Ezek a hiperhivatkozások csak az Ön tájékoztatását és kényelmét szolgálják, és nem jelentik tevékenységeik vagy termékeik jóváhagyását, kivéve, ha másként jelezzük. Javasoljuk, hogy olvassa el ezen harmadik felek adatvédelmi szabályzatát, hogy megtudja, hogyan gyűjtik és használják fel Önről az Önről szóló információkat, mielőtt használná az oldalt, vagy bármilyen személyes adatot megadna magáról.</v>
      </c>
      <c r="AK126" s="4" t="str">
        <f>IFERROR(__xludf.DUMMYFUNCTION("GOOGLETRANSLATE(B126,""en"",""hy"")"),"Գաղտնիության այս քաղաքականությունը չի տարածվում երրորդ կողմի կայքերի վրա, որոնք կարող են հասանելի լինել VMSPL կայքի հղումների միջոցով: Այս հիպերհղումները տրամադրվում են միայն ձեր հղման և հարմարության համար և չեն ենթադրում դրանց գործունեության կամ ապրանքնե"&amp;"րի հաստատում, եթե այլ բան նշված չէ: Մենք խրախուսում ենք ձեզ կարդալ այդ երրորդ կողմերի գաղտնիության քաղաքականությունը՝ իմանալու համար, թե ինչպես են նրանք հավաքում և օգտագործում ձեր մասին տեղեկությունները, նախքան կայքը օգտագործելը կամ ձեր մասին որևէ անձնակա"&amp;"ն տվյալ տրամադրելը:")</f>
        <v>Գաղտնիության այս քաղաքականությունը չի տարածվում երրորդ կողմի կայքերի վրա, որոնք կարող են հասանելի լինել VMSPL կայքի հղումների միջոցով: Այս հիպերհղումները տրամադրվում են միայն ձեր հղման և հարմարության համար և չեն ենթադրում դրանց գործունեության կամ ապրանքների հաստատում, եթե այլ բան նշված չէ: Մենք խրախուսում ենք ձեզ կարդալ այդ երրորդ կողմերի գաղտնիության քաղաքականությունը՝ իմանալու համար, թե ինչպես են նրանք հավաքում և օգտագործում ձեր մասին տեղեկությունները, նախքան կայքը օգտագործելը կամ ձեր մասին որևէ անձնական տվյալ տրամադրելը:</v>
      </c>
      <c r="AL126" s="4" t="str">
        <f>IFERROR(__xludf.DUMMYFUNCTION("GOOGLETRANSLATE(B126,""en"",""ca"")"),"Aquesta política de privadesa no s'aplica als llocs web de tercers als quals es pugui accedir mitjançant enllaços des del lloc web de VMSPL. Aquests hiperenllaços es proporcionen només per a la vostra referència i comoditat i no impliquen l'aprovació de l"&amp;"es seves activitats o productes tret que s'indiqui el contrari. Us recomanem que llegiu les polítiques de privadesa d'aquests tercers per saber com recullen i utilitzen la informació sobre vostè abans d'utilitzar el lloc o proporcionar qualsevol dada pers"&amp;"onal sobre vostè.")</f>
        <v>Aquesta política de privadesa no s'aplica als llocs web de tercers als quals es pugui accedir mitjançant enllaços des del lloc web de VMSPL. Aquests hiperenllaços es proporcionen només per a la vostra referència i comoditat i no impliquen l'aprovació de les seves activitats o productes tret que s'indiqui el contrari. Us recomanem que llegiu les polítiques de privadesa d'aquests tercers per saber com recullen i utilitzen la informació sobre vostè abans d'utilitzar el lloc o proporcionar qualsevol dada personal sobre vostè.</v>
      </c>
      <c r="AM126" s="4" t="str">
        <f>IFERROR(__xludf.DUMMYFUNCTION("GOOGLETRANSLATE(B126,""en"",""nl"")"),"Dit privacybeleid is niet van toepassing op websites van derden die toegankelijk zijn via links vanaf de website van VMSPL. Deze hyperlinks worden uitsluitend ter referentie en voor uw gemak aangeboden en impliceren geen goedkeuring van hun activiteiten o"&amp;"f producten, tenzij anders vermeld. We raden u aan het privacybeleid van deze derden te lezen om te weten te komen hoe zij informatie over u verzamelen en gebruiken voordat u de website gebruikt of persoonsgegevens over uzelf verstrekt.")</f>
        <v>Dit privacybeleid is niet van toepassing op websites van derden die toegankelijk zijn via links vanaf de website van VMSPL. Deze hyperlinks worden uitsluitend ter referentie en voor uw gemak aangeboden en impliceren geen goedkeuring van hun activiteiten of producten, tenzij anders vermeld. We raden u aan het privacybeleid van deze derden te lezen om te weten te komen hoe zij informatie over u verzamelen en gebruiken voordat u de website gebruikt of persoonsgegevens over uzelf verstrekt.</v>
      </c>
      <c r="AN126" s="4" t="str">
        <f>IFERROR(__xludf.DUMMYFUNCTION("GOOGLETRANSLATE(B126,""en"",""he"")"),"מדיניות פרטיות זו אינה חלה על אתרי צד שלישי שעשויים להיות נגישים באמצעות קישורים מאתר VMSPL. היפר-קישורים אלו ניתנים לעיונך ולנוחותך בלבד ואינם מרמזים על תמיכה בפעילויות או במוצרים שלהם אלא אם צוין אחרת. אנו ממליצים לך לקרוא את מדיניות הפרטיות של אותם צדד"&amp;"ים שלישיים כדי ללמוד כיצד הם אוספים ומשתמשים במידע עליך לפני השימוש באתר או מסירת נתונים אישיים כלשהם על עצמך.")</f>
        <v>מדיניות פרטיות זו אינה חלה על אתרי צד שלישי שעשויים להיות נגישים באמצעות קישורים מאתר VMSPL. היפר-קישורים אלו ניתנים לעיונך ולנוחותך בלבד ואינם מרמזים על תמיכה בפעילויות או במוצרים שלהם אלא אם צוין אחרת. אנו ממליצים לך לקרוא את מדיניות הפרטיות של אותם צדדים שלישיים כדי ללמוד כיצד הם אוספים ומשתמשים במידע עליך לפני השימוש באתר או מסירת נתונים אישיים כלשהם על עצמך.</v>
      </c>
      <c r="AO126" s="4" t="str">
        <f>IFERROR(__xludf.DUMMYFUNCTION("GOOGLETRANSLATE(B126,""en"",""is"")"),"Þessi persónuverndarstefna á ekki við um vefsíður þriðju aðila sem kunna að vera aðgengilegar með tenglum frá VMSPL vefsíðunni. Þessir tenglar eru eingöngu gefnir til viðmiðunar og þæginda og fela ekki í sér stuðning við starfsemi þeirra eða vörur nema an"&amp;"nað sé tekið fram. Við hvetjum þig til að lesa persónuverndarstefnu þessara þriðju aðila til að læra hvernig þeir safna og nota upplýsingar um þig áður en þú notar síðuna eða gefur upp persónulegar upplýsingar um þig.")</f>
        <v>Þessi persónuverndarstefna á ekki við um vefsíður þriðju aðila sem kunna að vera aðgengilegar með tenglum frá VMSPL vefsíðunni. Þessir tenglar eru eingöngu gefnir til viðmiðunar og þæginda og fela ekki í sér stuðning við starfsemi þeirra eða vörur nema annað sé tekið fram. Við hvetjum þig til að lesa persónuverndarstefnu þessara þriðju aðila til að læra hvernig þeir safna og nota upplýsingar um þig áður en þú notar síðuna eða gefur upp persónulegar upplýsingar um þig.</v>
      </c>
      <c r="AP126" s="4" t="str">
        <f>IFERROR(__xludf.DUMMYFUNCTION("GOOGLETRANSLATE(B126,""en"",""no"")"),"Denne personvernerklæringen gjelder ikke for tredjeparts nettsteder som kan være tilgjengelige via lenker fra VMSPL-nettstedet. Disse hyperkoblingene er kun gitt for din referanse og bekvemmelighet, og antyder ikke godkjenning av deres aktiviteter eller p"&amp;"rodukter med mindre annet er oppgitt. Vi oppfordrer deg til å lese personvernreglene til disse tredjepartene for å lære hvordan de samler inn og bruker informasjon om deg før du bruker nettstedet eller oppgir personopplysninger om deg selv.")</f>
        <v>Denne personvernerklæringen gjelder ikke for tredjeparts nettsteder som kan være tilgjengelige via lenker fra VMSPL-nettstedet. Disse hyperkoblingene er kun gitt for din referanse og bekvemmelighet, og antyder ikke godkjenning av deres aktiviteter eller produkter med mindre annet er oppgitt. Vi oppfordrer deg til å lese personvernreglene til disse tredjepartene for å lære hvordan de samler inn og bruker informasjon om deg før du bruker nettstedet eller oppgir personopplysninger om deg selv.</v>
      </c>
      <c r="AQ126" s="4" t="str">
        <f>IFERROR(__xludf.DUMMYFUNCTION("GOOGLETRANSLATE(B126,""en"",""fa"")"),"این سیاست حفظ حریم خصوصی در مورد وب سایت های شخص ثالث که ممکن است از طریق پیوندهای وب سایت VMSPL قابل دسترسی باشد، اعمال نمی شود. این هایپرلینک ها فقط برای مرجع و سهولت شما ارائه شده اند و به معنای تایید فعالیت ها یا محصولات آنها نیستند مگر اینکه خلاف آن "&amp;"ذکر شده باشد. ما شما را تشویق می‌کنیم که سیاست‌های حفظ حریم خصوصی آن اشخاص ثالث را بخوانید تا از نحوه جمع‌آوری و استفاده از اطلاعات مربوط به شما قبل از استفاده از سایت یا ارائه هرگونه اطلاعات شخصی در مورد خودتان مطلع شوید.")</f>
        <v>این سیاست حفظ حریم خصوصی در مورد وب سایت های شخص ثالث که ممکن است از طریق پیوندهای وب سایت VMSPL قابل دسترسی باشد، اعمال نمی شود. این هایپرلینک ها فقط برای مرجع و سهولت شما ارائه شده اند و به معنای تایید فعالیت ها یا محصولات آنها نیستند مگر اینکه خلاف آن ذکر شده باشد. ما شما را تشویق می‌کنیم که سیاست‌های حفظ حریم خصوصی آن اشخاص ثالث را بخوانید تا از نحوه جمع‌آوری و استفاده از اطلاعات مربوط به شما قبل از استفاده از سایت یا ارائه هرگونه اطلاعات شخصی در مورد خودتان مطلع شوید.</v>
      </c>
      <c r="AR126" s="4" t="str">
        <f>IFERROR(__xludf.DUMMYFUNCTION("GOOGLETRANSLATE(B126,""en"",""pl"")"),"Niniejsza polityka prywatności nie ma zastosowania do stron internetowych osób trzecich, do których można uzyskać dostęp za pośrednictwem linków ze strony internetowej VMSPL. Te hiperłącza są udostępniane wyłącznie w celach informacyjnych i dla wygody i n"&amp;"ie oznaczają poparcia dla ich działań lub produktów, chyba że zaznaczono inaczej. Zachęcamy do zapoznania się z politykami prywatności tych osób trzecich, aby dowiedzieć się, w jaki sposób zbierają i wykorzystują informacje o Tobie przed skorzystaniem ze "&amp;"strony lub podaniem jakichkolwiek danych osobowych o sobie.")</f>
        <v>Niniejsza polityka prywatności nie ma zastosowania do stron internetowych osób trzecich, do których można uzyskać dostęp za pośrednictwem linków ze strony internetowej VMSPL. Te hiperłącza są udostępniane wyłącznie w celach informacyjnych i dla wygody i nie oznaczają poparcia dla ich działań lub produktów, chyba że zaznaczono inaczej. Zachęcamy do zapoznania się z politykami prywatności tych osób trzecich, aby dowiedzieć się, w jaki sposób zbierają i wykorzystują informacje o Tobie przed skorzystaniem ze strony lub podaniem jakichkolwiek danych osobowych o sobie.</v>
      </c>
      <c r="AS126" s="4" t="str">
        <f>IFERROR(__xludf.DUMMYFUNCTION("GOOGLETRANSLATE(B126,""en"",""sv"")"),"Denna integritetspolicy gäller inte tredje parts webbplatser som kan vara tillgängliga via länkar från VMSPL-webbplatsen. Dessa hyperlänkar tillhandahålls endast för din referens och bekvämlighet och innebär inte stöd för deras aktiviteter eller produkter"&amp;" om inte annat anges. Vi uppmuntrar dig att läsa dessa tredje parters sekretesspolicyer för att lära dig hur de samlar in och använder information om dig innan du använder webbplatsen eller tillhandahåller personlig information om dig själv.")</f>
        <v>Denna integritetspolicy gäller inte tredje parts webbplatser som kan vara tillgängliga via länkar från VMSPL-webbplatsen. Dessa hyperlänkar tillhandahålls endast för din referens och bekvämlighet och innebär inte stöd för deras aktiviteter eller produkter om inte annat anges. Vi uppmuntrar dig att läsa dessa tredje parters sekretesspolicyer för att lära dig hur de samlar in och använder information om dig innan du använder webbplatsen eller tillhandahåller personlig information om dig själv.</v>
      </c>
      <c r="AT126" s="4" t="str">
        <f>IFERROR(__xludf.DUMMYFUNCTION("GOOGLETRANSLATE(B126,""en"",""uk"")"),"Ця політика конфіденційності не поширюється на сторонні веб-сайти, які можуть бути доступні за посиланнями з веб-сайту VMSPL. Ці гіперпосилання надаються лише для довідки та зручності та не означають схвалення їхньої діяльності чи продуктів, якщо не вказа"&amp;"но інше. Ми радимо вам ознайомитися з політикою конфіденційності цих третіх сторін, щоб дізнатися, як вони збирають і використовують інформацію про вас, перш ніж використовувати сайт або надавати будь-які особисті дані про себе.")</f>
        <v>Ця політика конфіденційності не поширюється на сторонні веб-сайти, які можуть бути доступні за посиланнями з веб-сайту VMSPL. Ці гіперпосилання надаються лише для довідки та зручності та не означають схвалення їхньої діяльності чи продуктів, якщо не вказано інше. Ми радимо вам ознайомитися з політикою конфіденційності цих третіх сторін, щоб дізнатися, як вони збирають і використовують інформацію про вас, перш ніж використовувати сайт або надавати будь-які особисті дані про себе.</v>
      </c>
      <c r="AU126" s="4" t="str">
        <f>IFERROR(__xludf.DUMMYFUNCTION("GOOGLETRANSLATE(B126,""en"",""zu"")"),"Le nqubomgomo yobumfihlo ayisebenzi kumawebhusayithi ezinkampani zangaphandle ezingafinyeleleka ngezixhumanisi ezivela kuwebhusayithi ye-VMSPL. Lawa ma-hyperlink ahlinzekelwe ukuze uthole ireferensi yakho futhi kube lula kuphela futhi awasikiseli ukugunya"&amp;"za imisebenzi yawo noma imikhiqizo ngaphandle uma kushiwo ngenye indlela. Sikukhuthaza ukuthi ufunde izinqubomgomo zobumfihlo zalabo bantu besithathu ukuze ufunde ukuthi baqoqa futhi basebenzise kanjani ulwazi olumayelana nawe ngaphambi kokusebenzisa isay"&amp;"ithi noma ukunikeza noma iyiphi idatha yomuntu siqu ngawe.")</f>
        <v>Le nqubomgomo yobumfihlo ayisebenzi kumawebhusayithi ezinkampani zangaphandle ezingafinyeleleka ngezixhumanisi ezivela kuwebhusayithi ye-VMSPL. Lawa ma-hyperlink ahlinzekelwe ukuze uthole ireferensi yakho futhi kube lula kuphela futhi awasikiseli ukugunyaza imisebenzi yawo noma imikhiqizo ngaphandle uma kushiwo ngenye indlela. Sikukhuthaza ukuthi ufunde izinqubomgomo zobumfihlo zalabo bantu besithathu ukuze ufunde ukuthi baqoqa futhi basebenzise kanjani ulwazi olumayelana nawe ngaphambi kokusebenzisa isayithi noma ukunikeza noma iyiphi idatha yomuntu siqu ngawe.</v>
      </c>
      <c r="AV126" s="4" t="str">
        <f>IFERROR(__xludf.DUMMYFUNCTION("GOOGLETRANSLATE(B126,""en"",""sr"")"),"Ова политика приватности се не примењује на веб локације трећих страна којима се може приступити путем веза са веб локације ВМСПЛ. Ове хипервезе су обезбеђене само за вашу референцу и погодност и не подразумевају одобравање њихових активности или производ"&amp;"а осим ако није другачије наведено. Подстичемо вас да прочитате политике приватности тих трећих страна да бисте сазнали како прикупљају и користе информације о вама пре коришћења сајта или пружања било каквих личних података о себи.")</f>
        <v>Ова политика приватности се не примењује на веб локације трећих страна којима се може приступити путем веза са веб локације ВМСПЛ. Ове хипервезе су обезбеђене само за вашу референцу и погодност и не подразумевају одобравање њихових активности или производа осим ако није другачије наведено. Подстичемо вас да прочитате политике приватности тих трећих страна да бисте сазнали како прикупљају и користе информације о вама пре коришћења сајта или пружања било каквих личних података о себи.</v>
      </c>
    </row>
    <row r="127">
      <c r="A127" s="3" t="s">
        <v>289</v>
      </c>
      <c r="B127" s="3" t="s">
        <v>290</v>
      </c>
      <c r="C127" s="4" t="str">
        <f>IFERROR(__xludf.DUMMYFUNCTION("GOOGLETRANSLATE(B127,""en"",""ta"")"),"மாற்றங்களின் அறிவிப்பு")</f>
        <v>மாற்றங்களின் அறிவிப்பு</v>
      </c>
      <c r="D127" s="4" t="str">
        <f>IFERROR(__xludf.DUMMYFUNCTION("GOOGLETRANSLATE(B127,""en"",""hi"")"),"परिवर्तनों की अधिसूचना")</f>
        <v>परिवर्तनों की अधिसूचना</v>
      </c>
      <c r="E127" s="4" t="str">
        <f>IFERROR(__xludf.DUMMYFUNCTION("GOOGLETRANSLATE(B127,""en"",""id"")"),"Pemberitahuan Perubahan")</f>
        <v>Pemberitahuan Perubahan</v>
      </c>
      <c r="F127" s="4" t="str">
        <f>IFERROR(__xludf.DUMMYFUNCTION("GOOGLETRANSLATE(B127,""en"",""ms"")"),"Pemberitahuan Perubahan")</f>
        <v>Pemberitahuan Perubahan</v>
      </c>
      <c r="G127" s="4" t="str">
        <f>IFERROR(__xludf.DUMMYFUNCTION("GOOGLETRANSLATE(B127,""en"",""de"")"),"Benachrichtigung über Änderungen")</f>
        <v>Benachrichtigung über Änderungen</v>
      </c>
      <c r="H127" s="4" t="str">
        <f>IFERROR(__xludf.DUMMYFUNCTION("GOOGLETRANSLATE(B127,""en"",""es"")"),"Notificación de cambios")</f>
        <v>Notificación de cambios</v>
      </c>
      <c r="I127" s="4" t="str">
        <f>IFERROR(__xludf.DUMMYFUNCTION("GOOGLETRANSLATE(B127,""en"",""fr"")"),"Notification des modifications")</f>
        <v>Notification des modifications</v>
      </c>
      <c r="J127" s="4" t="str">
        <f>IFERROR(__xludf.DUMMYFUNCTION("GOOGLETRANSLATE(B127,""en"",""it"")"),"Notifica delle modifiche")</f>
        <v>Notifica delle modifiche</v>
      </c>
      <c r="K127" s="4" t="str">
        <f>IFERROR(__xludf.DUMMYFUNCTION("GOOGLETRANSLATE(B127,""en"",""pt"")"),"Notificação de alterações")</f>
        <v>Notificação de alterações</v>
      </c>
      <c r="L127" s="4" t="str">
        <f>IFERROR(__xludf.DUMMYFUNCTION("GOOGLETRANSLATE(B127,""en"",""ro"")"),"Notificarea modificărilor")</f>
        <v>Notificarea modificărilor</v>
      </c>
      <c r="M127" s="4" t="str">
        <f>IFERROR(__xludf.DUMMYFUNCTION("GOOGLETRANSLATE(B127,""en"",""vi"")"),"Thông báo thay đổi")</f>
        <v>Thông báo thay đổi</v>
      </c>
      <c r="N127" s="4" t="str">
        <f>IFERROR(__xludf.DUMMYFUNCTION("GOOGLETRANSLATE(B127,""en"",""ru"")"),"Уведомление об изменениях")</f>
        <v>Уведомление об изменениях</v>
      </c>
      <c r="O127" s="4" t="str">
        <f>IFERROR(__xludf.DUMMYFUNCTION("GOOGLETRANSLATE(B127,""en"",""tr"")"),"Değişiklik Bildirimi")</f>
        <v>Değişiklik Bildirimi</v>
      </c>
      <c r="P127" s="4" t="str">
        <f>IFERROR(__xludf.DUMMYFUNCTION("GOOGLETRANSLATE(B127,""en"",""ar"")"),"إشعار بالتغييرات")</f>
        <v>إشعار بالتغييرات</v>
      </c>
      <c r="Q127" s="4" t="str">
        <f>IFERROR(__xludf.DUMMYFUNCTION("GOOGLETRANSLATE(B127,""en"",""mr"")"),"बदलांची सूचना")</f>
        <v>बदलांची सूचना</v>
      </c>
      <c r="R127" s="4" t="str">
        <f>IFERROR(__xludf.DUMMYFUNCTION("GOOGLETRANSLATE(B127,""en"",""gu"")"),"ફેરફારોની સૂચના")</f>
        <v>ફેરફારોની સૂચના</v>
      </c>
      <c r="S127" s="4" t="str">
        <f>IFERROR(__xludf.DUMMYFUNCTION("GOOGLETRANSLATE(B127,""en"",""bn"")"),"পরিবর্তনের বিজ্ঞপ্তি")</f>
        <v>পরিবর্তনের বিজ্ঞপ্তি</v>
      </c>
      <c r="T127" s="4" t="str">
        <f>IFERROR(__xludf.DUMMYFUNCTION("GOOGLETRANSLATE(B127,""en"",""pa"")"),"ਤਬਦੀਲੀਆਂ ਦੀ ਸੂਚਨਾ")</f>
        <v>ਤਬਦੀਲੀਆਂ ਦੀ ਸੂਚਨਾ</v>
      </c>
      <c r="U127" s="4" t="str">
        <f>IFERROR(__xludf.DUMMYFUNCTION("GOOGLETRANSLATE(B127,""en"",""te"")"),"మార్పుల నోటిఫికేషన్")</f>
        <v>మార్పుల నోటిఫికేషన్</v>
      </c>
      <c r="V127" s="4" t="str">
        <f>IFERROR(__xludf.DUMMYFUNCTION("GOOGLETRANSLATE(B127,""en"",""kn"")"),"ಬದಲಾವಣೆಗಳ ಅಧಿಸೂಚನೆ")</f>
        <v>ಬದಲಾವಣೆಗಳ ಅಧಿಸೂಚನೆ</v>
      </c>
      <c r="W127" s="4" t="str">
        <f>IFERROR(__xludf.DUMMYFUNCTION("GOOGLETRANSLATE(B127,""en"",""ml"")"),"മാറ്റങ്ങളുടെ അറിയിപ്പ്")</f>
        <v>മാറ്റങ്ങളുടെ അറിയിപ്പ്</v>
      </c>
      <c r="X127" s="4" t="str">
        <f>IFERROR(__xludf.DUMMYFUNCTION("GOOGLETRANSLATE(B127,""en"",""th"")"),"แจ้งการเปลี่ยนแปลง")</f>
        <v>แจ้งการเปลี่ยนแปลง</v>
      </c>
      <c r="Y127" s="4" t="str">
        <f>IFERROR(__xludf.DUMMYFUNCTION("GOOGLETRANSLATE(B127,""en"",""ko"")"),"변경 사항 알림")</f>
        <v>변경 사항 알림</v>
      </c>
      <c r="Z127" s="4" t="str">
        <f>IFERROR(__xludf.DUMMYFUNCTION("GOOGLETRANSLATE(B127,""en"",""zh"")"),"变更通知")</f>
        <v>变更通知</v>
      </c>
      <c r="AA127" s="4" t="str">
        <f>IFERROR(__xludf.DUMMYFUNCTION("GOOGLETRANSLATE(B127,""en"",""zh-TW"")"),"變更通知")</f>
        <v>變更通知</v>
      </c>
      <c r="AB127" s="4" t="str">
        <f>IFERROR(__xludf.DUMMYFUNCTION("GOOGLETRANSLATE(B127,""en"",""ja"")"),"変更の通知")</f>
        <v>変更の通知</v>
      </c>
      <c r="AC127" s="4" t="str">
        <f>IFERROR(__xludf.DUMMYFUNCTION("GOOGLETRANSLATE(B127,""en"",""bg"")"),"Уведомяване за промени")</f>
        <v>Уведомяване за промени</v>
      </c>
      <c r="AD127" s="4" t="str">
        <f>IFERROR(__xludf.DUMMYFUNCTION("GOOGLETRANSLATE(B127,""en"",""cs"")"),"Upozornění na změny")</f>
        <v>Upozornění na změny</v>
      </c>
      <c r="AE127" s="4" t="str">
        <f>IFERROR(__xludf.DUMMYFUNCTION("GOOGLETRANSLATE(B127,""en"",""da"")"),"Meddelelse om ændringer")</f>
        <v>Meddelelse om ændringer</v>
      </c>
      <c r="AF127" s="4" t="str">
        <f>IFERROR(__xludf.DUMMYFUNCTION("GOOGLETRANSLATE(B127,""en"",""el"")"),"Ειδοποίηση Αλλαγών")</f>
        <v>Ειδοποίηση Αλλαγών</v>
      </c>
      <c r="AG127" s="4" t="str">
        <f>IFERROR(__xludf.DUMMYFUNCTION("GOOGLETRANSLATE(B127,""en"",""et"")"),"Muudatuste teatamine")</f>
        <v>Muudatuste teatamine</v>
      </c>
      <c r="AH127" s="4" t="str">
        <f>IFERROR(__xludf.DUMMYFUNCTION("GOOGLETRANSLATE(B127,""en"",""fi"")"),"Ilmoitus muutoksista")</f>
        <v>Ilmoitus muutoksista</v>
      </c>
      <c r="AI127" s="4" t="str">
        <f>IFERROR(__xludf.DUMMYFUNCTION("GOOGLETRANSLATE(B127,""en"",""hr"")"),"Obavijest o promjenama")</f>
        <v>Obavijest o promjenama</v>
      </c>
      <c r="AJ127" s="4" t="str">
        <f>IFERROR(__xludf.DUMMYFUNCTION("GOOGLETRANSLATE(B127,""en"",""hu"")"),"Értesítés a változásokról")</f>
        <v>Értesítés a változásokról</v>
      </c>
      <c r="AK127" s="4" t="str">
        <f>IFERROR(__xludf.DUMMYFUNCTION("GOOGLETRANSLATE(B127,""en"",""hy"")"),"Փոփոխությունների մասին ծանուցում")</f>
        <v>Փոփոխությունների մասին ծանուցում</v>
      </c>
      <c r="AL127" s="4" t="str">
        <f>IFERROR(__xludf.DUMMYFUNCTION("GOOGLETRANSLATE(B127,""en"",""ca"")"),"Notificació de Canvis")</f>
        <v>Notificació de Canvis</v>
      </c>
      <c r="AM127" s="4" t="str">
        <f>IFERROR(__xludf.DUMMYFUNCTION("GOOGLETRANSLATE(B127,""en"",""nl"")"),"Kennisgeving van wijzigingen")</f>
        <v>Kennisgeving van wijzigingen</v>
      </c>
      <c r="AN127" s="4" t="str">
        <f>IFERROR(__xludf.DUMMYFUNCTION("GOOGLETRANSLATE(B127,""en"",""he"")"),"הודעה על שינויים")</f>
        <v>הודעה על שינויים</v>
      </c>
      <c r="AO127" s="4" t="str">
        <f>IFERROR(__xludf.DUMMYFUNCTION("GOOGLETRANSLATE(B127,""en"",""is"")"),"Tilkynning um breytingar")</f>
        <v>Tilkynning um breytingar</v>
      </c>
      <c r="AP127" s="4" t="str">
        <f>IFERROR(__xludf.DUMMYFUNCTION("GOOGLETRANSLATE(B127,""en"",""no"")"),"Melding om endringer")</f>
        <v>Melding om endringer</v>
      </c>
      <c r="AQ127" s="4" t="str">
        <f>IFERROR(__xludf.DUMMYFUNCTION("GOOGLETRANSLATE(B127,""en"",""fa"")"),"اطلاع رسانی تغییرات")</f>
        <v>اطلاع رسانی تغییرات</v>
      </c>
      <c r="AR127" s="4" t="str">
        <f>IFERROR(__xludf.DUMMYFUNCTION("GOOGLETRANSLATE(B127,""en"",""pl"")"),"Powiadomienie o zmianach")</f>
        <v>Powiadomienie o zmianach</v>
      </c>
      <c r="AS127" s="4" t="str">
        <f>IFERROR(__xludf.DUMMYFUNCTION("GOOGLETRANSLATE(B127,""en"",""sv"")"),"Meddelande om ändringar")</f>
        <v>Meddelande om ändringar</v>
      </c>
      <c r="AT127" s="4" t="str">
        <f>IFERROR(__xludf.DUMMYFUNCTION("GOOGLETRANSLATE(B127,""en"",""uk"")"),"Повідомлення про зміни")</f>
        <v>Повідомлення про зміни</v>
      </c>
      <c r="AU127" s="4" t="str">
        <f>IFERROR(__xludf.DUMMYFUNCTION("GOOGLETRANSLATE(B127,""en"",""zu"")"),"Isaziso Sezinguquko")</f>
        <v>Isaziso Sezinguquko</v>
      </c>
      <c r="AV127" s="4" t="str">
        <f>IFERROR(__xludf.DUMMYFUNCTION("GOOGLETRANSLATE(B127,""en"",""sr"")"),"Обавештење о променама")</f>
        <v>Обавештење о променама</v>
      </c>
    </row>
    <row r="128">
      <c r="A128" s="3" t="s">
        <v>291</v>
      </c>
      <c r="B128" s="3" t="s">
        <v>292</v>
      </c>
      <c r="C128" s="4" t="str">
        <f>IFERROR(__xludf.DUMMYFUNCTION("GOOGLETRANSLATE(B128,""en"",""ta"")"),"இந்த தனியுரிமைக் கொள்கையில் ஏதேனும் மாற்றங்கள் இங்கே இடுகையிடப்படும், இதன் மூலம் ஆன்லைனில் நாங்கள் என்ன தகவல்களைச் சேகரிக்கிறோம், அதை எப்படிப் பயன்படுத்துகிறோம் மற்றும் உங்களுக்கு என்ன தேர்வுகள் உள்ளன என்பதை நீங்கள் எப்போதும் அறிந்துகொள்வீர்கள்.")</f>
        <v>இந்த தனியுரிமைக் கொள்கையில் ஏதேனும் மாற்றங்கள் இங்கே இடுகையிடப்படும், இதன் மூலம் ஆன்லைனில் நாங்கள் என்ன தகவல்களைச் சேகரிக்கிறோம், அதை எப்படிப் பயன்படுத்துகிறோம் மற்றும் உங்களுக்கு என்ன தேர்வுகள் உள்ளன என்பதை நீங்கள் எப்போதும் அறிந்துகொள்வீர்கள்.</v>
      </c>
      <c r="D128" s="4" t="str">
        <f>IFERROR(__xludf.DUMMYFUNCTION("GOOGLETRANSLATE(B128,""en"",""hi"")"),"इस गोपनीयता नीति में कोई भी परिवर्तन यहां पोस्ट किया जाएगा ताकि आपको हमेशा पता रहे कि हम ऑनलाइन कौन सी जानकारी एकत्र कर रहे हैं, हम इसका उपयोग कैसे करते हैं और आपके पास क्या विकल्प हैं।")</f>
        <v>इस गोपनीयता नीति में कोई भी परिवर्तन यहां पोस्ट किया जाएगा ताकि आपको हमेशा पता रहे कि हम ऑनलाइन कौन सी जानकारी एकत्र कर रहे हैं, हम इसका उपयोग कैसे करते हैं और आपके पास क्या विकल्प हैं।</v>
      </c>
      <c r="E128" s="4" t="str">
        <f>IFERROR(__xludf.DUMMYFUNCTION("GOOGLETRANSLATE(B128,""en"",""id"")"),"Segala perubahan pada Kebijakan Privasi ini akan diposting di sini agar Anda akan selalu mengetahui informasi apa saja yang kami kumpulkan secara daring, bagaimana kami menggunakannya, dan pilihan apa yang Anda miliki.")</f>
        <v>Segala perubahan pada Kebijakan Privasi ini akan diposting di sini agar Anda akan selalu mengetahui informasi apa saja yang kami kumpulkan secara daring, bagaimana kami menggunakannya, dan pilihan apa yang Anda miliki.</v>
      </c>
      <c r="F128" s="4" t="str">
        <f>IFERROR(__xludf.DUMMYFUNCTION("GOOGLETRANSLATE(B128,""en"",""ms"")"),"Sebarang perubahan pada Dasar Privasi ini akan disiarkan di sini supaya anda sentiasa mengetahui maklumat yang kami kumpulkan dalam talian, cara kami menggunakannya dan pilihan yang anda ada.")</f>
        <v>Sebarang perubahan pada Dasar Privasi ini akan disiarkan di sini supaya anda sentiasa mengetahui maklumat yang kami kumpulkan dalam talian, cara kami menggunakannya dan pilihan yang anda ada.</v>
      </c>
      <c r="G128" s="4" t="str">
        <f>IFERROR(__xludf.DUMMYFUNCTION("GOOGLETRANSLATE(B128,""en"",""de"")"),"Alle Änderungen dieser Datenschutzrichtlinie werden hier veröffentlicht, damit Sie immer wissen, welche Informationen wir online sammeln, wie wir sie verwenden und welche Wahlmöglichkeiten Sie haben.")</f>
        <v>Alle Änderungen dieser Datenschutzrichtlinie werden hier veröffentlicht, damit Sie immer wissen, welche Informationen wir online sammeln, wie wir sie verwenden und welche Wahlmöglichkeiten Sie haben.</v>
      </c>
      <c r="H128" s="4" t="str">
        <f>IFERROR(__xludf.DUMMYFUNCTION("GOOGLETRANSLATE(B128,""en"",""es"")"),"Cualquier cambio a esta Política de Privacidad se publicará aquí para que usted siempre sepa qué información recopilamos en línea, cómo la usamos y qué opciones tiene.")</f>
        <v>Cualquier cambio a esta Política de Privacidad se publicará aquí para que usted siempre sepa qué información recopilamos en línea, cómo la usamos y qué opciones tiene.</v>
      </c>
      <c r="I128" s="4" t="str">
        <f>IFERROR(__xludf.DUMMYFUNCTION("GOOGLETRANSLATE(B128,""en"",""fr"")"),"Toute modification apportée à cette politique de confidentialité sera publiée ici afin que vous sachiez toujours quelles informations nous collectons en ligne, comment nous les utilisons et quels sont vos choix.")</f>
        <v>Toute modification apportée à cette politique de confidentialité sera publiée ici afin que vous sachiez toujours quelles informations nous collectons en ligne, comment nous les utilisons et quels sont vos choix.</v>
      </c>
      <c r="J128" s="4" t="str">
        <f>IFERROR(__xludf.DUMMYFUNCTION("GOOGLETRANSLATE(B128,""en"",""it"")"),"Eventuali modifiche alla presente Informativa sulla privacy verranno pubblicate qui, in modo che tu sappia sempre quali informazioni raccogliamo online, come le utilizziamo e quali sono le tue scelte.")</f>
        <v>Eventuali modifiche alla presente Informativa sulla privacy verranno pubblicate qui, in modo che tu sappia sempre quali informazioni raccogliamo online, come le utilizziamo e quali sono le tue scelte.</v>
      </c>
      <c r="K128" s="4" t="str">
        <f>IFERROR(__xludf.DUMMYFUNCTION("GOOGLETRANSLATE(B128,""en"",""pt"")"),"Quaisquer alterações nesta Política de Privacidade serão publicadas aqui para que você sempre saiba quais informações estamos coletando on-line, como as usamos e quais opções você tem.")</f>
        <v>Quaisquer alterações nesta Política de Privacidade serão publicadas aqui para que você sempre saiba quais informações estamos coletando on-line, como as usamos e quais opções você tem.</v>
      </c>
      <c r="L128" s="4" t="str">
        <f>IFERROR(__xludf.DUMMYFUNCTION("GOOGLETRANSLATE(B128,""en"",""ro"")"),"Orice modificare a acestei Politici de confidențialitate va fi postată aici, astfel încât să știți întotdeauna ce informații colectăm online, cum le folosim și ce opțiuni aveți.")</f>
        <v>Orice modificare a acestei Politici de confidențialitate va fi postată aici, astfel încât să știți întotdeauna ce informații colectăm online, cum le folosim și ce opțiuni aveți.</v>
      </c>
      <c r="M128" s="4" t="str">
        <f>IFERROR(__xludf.DUMMYFUNCTION("GOOGLETRANSLATE(B128,""en"",""vi"")"),"Bất kỳ thay đổi nào đối với Chính sách bảo mật này sẽ được đăng ở đây để bạn luôn biết thông tin chúng tôi đang thu thập trực tuyến, cách chúng tôi sử dụng thông tin đó và những lựa chọn bạn có.")</f>
        <v>Bất kỳ thay đổi nào đối với Chính sách bảo mật này sẽ được đăng ở đây để bạn luôn biết thông tin chúng tôi đang thu thập trực tuyến, cách chúng tôi sử dụng thông tin đó và những lựa chọn bạn có.</v>
      </c>
      <c r="N128" s="4" t="str">
        <f>IFERROR(__xludf.DUMMYFUNCTION("GOOGLETRANSLATE(B128,""en"",""ru"")"),"Любые изменения в настоящей Политике конфиденциальности будут опубликованы здесь, чтобы вы всегда знали, какую информацию мы собираем в Интернете, как мы ее используем и какие у вас есть возможности выбора.")</f>
        <v>Любые изменения в настоящей Политике конфиденциальности будут опубликованы здесь, чтобы вы всегда знали, какую информацию мы собираем в Интернете, как мы ее используем и какие у вас есть возможности выбора.</v>
      </c>
      <c r="O128" s="4" t="str">
        <f>IFERROR(__xludf.DUMMYFUNCTION("GOOGLETRANSLATE(B128,""en"",""tr"")"),"Bu Gizlilik Politikasında yapılacak herhangi bir değişiklik burada yayınlanacaktır; böylece çevrimiçi olarak hangi bilgileri topladığımızı, bunları nasıl kullandığımızı ve hangi seçeneklere sahip olduğunuzu her zaman bileceksiniz.")</f>
        <v>Bu Gizlilik Politikasında yapılacak herhangi bir değişiklik burada yayınlanacaktır; böylece çevrimiçi olarak hangi bilgileri topladığımızı, bunları nasıl kullandığımızı ve hangi seçeneklere sahip olduğunuzu her zaman bileceksiniz.</v>
      </c>
      <c r="P128" s="4" t="str">
        <f>IFERROR(__xludf.DUMMYFUNCTION("GOOGLETRANSLATE(B128,""en"",""ar"")"),"سيتم نشر أي تغييرات على سياسة الخصوصية هذه هنا حتى تتمكن دائمًا من معرفة المعلومات التي نجمعها عبر الإنترنت، وكيف نستخدمها وما هي الخيارات المتاحة لك.")</f>
        <v>سيتم نشر أي تغييرات على سياسة الخصوصية هذه هنا حتى تتمكن دائمًا من معرفة المعلومات التي نجمعها عبر الإنترنت، وكيف نستخدمها وما هي الخيارات المتاحة لك.</v>
      </c>
      <c r="Q128" s="4" t="str">
        <f>IFERROR(__xludf.DUMMYFUNCTION("GOOGLETRANSLATE(B128,""en"",""mr"")"),"या गोपनीयता धोरणातील कोणतेही बदल येथे पोस्ट केले जातील जेणेकरून आम्ही कोणती माहिती ऑनलाइन गोळा करत आहोत, आम्ही ती कशी वापरतो आणि तुमच्याकडे कोणते पर्याय आहेत हे तुम्हाला नेहमी कळेल.")</f>
        <v>या गोपनीयता धोरणातील कोणतेही बदल येथे पोस्ट केले जातील जेणेकरून आम्ही कोणती माहिती ऑनलाइन गोळा करत आहोत, आम्ही ती कशी वापरतो आणि तुमच्याकडे कोणते पर्याय आहेत हे तुम्हाला नेहमी कळेल.</v>
      </c>
      <c r="R128" s="4" t="str">
        <f>IFERROR(__xludf.DUMMYFUNCTION("GOOGLETRANSLATE(B128,""en"",""gu"")"),"આ ગોપનીયતા નીતિમાં કોઈપણ ફેરફારો અહીં પોસ્ટ કરવામાં આવશે જેથી તમે હંમેશા જાણી શકશો કે અમે કઈ માહિતી ઑનલાઇન એકત્રિત કરીએ છીએ, અમે તેનો ઉપયોગ કેવી રીતે કરીએ છીએ અને તમારી પાસે કઈ પસંદગીઓ છે.")</f>
        <v>આ ગોપનીયતા નીતિમાં કોઈપણ ફેરફારો અહીં પોસ્ટ કરવામાં આવશે જેથી તમે હંમેશા જાણી શકશો કે અમે કઈ માહિતી ઑનલાઇન એકત્રિત કરીએ છીએ, અમે તેનો ઉપયોગ કેવી રીતે કરીએ છીએ અને તમારી પાસે કઈ પસંદગીઓ છે.</v>
      </c>
      <c r="S128" s="4" t="str">
        <f>IFERROR(__xludf.DUMMYFUNCTION("GOOGLETRANSLATE(B128,""en"",""bn"")"),"এই গোপনীয়তা নীতির যেকোনো পরিবর্তন এখানে পোস্ট করা হবে যাতে আপনি সর্বদা জানতে পারবেন আমরা অনলাইনে কোন তথ্য সংগ্রহ করছি, আমরা কীভাবে এটি ব্যবহার করছি এবং আপনার কাছে কী পছন্দ রয়েছে।")</f>
        <v>এই গোপনীয়তা নীতির যেকোনো পরিবর্তন এখানে পোস্ট করা হবে যাতে আপনি সর্বদা জানতে পারবেন আমরা অনলাইনে কোন তথ্য সংগ্রহ করছি, আমরা কীভাবে এটি ব্যবহার করছি এবং আপনার কাছে কী পছন্দ রয়েছে।</v>
      </c>
      <c r="T128" s="4" t="str">
        <f>IFERROR(__xludf.DUMMYFUNCTION("GOOGLETRANSLATE(B128,""en"",""pa"")"),"ਇਸ ਗੋਪਨੀਯਤਾ ਨੀਤੀ ਵਿੱਚ ਕੋਈ ਵੀ ਤਬਦੀਲੀਆਂ ਇੱਥੇ ਪੋਸਟ ਕੀਤੀਆਂ ਜਾਣਗੀਆਂ ਤਾਂ ਜੋ ਤੁਹਾਨੂੰ ਹਮੇਸ਼ਾ ਪਤਾ ਲੱਗੇ ਕਿ ਅਸੀਂ ਕਿਹੜੀ ਜਾਣਕਾਰੀ ਆਨਲਾਈਨ ਇਕੱਠੀ ਕਰ ਰਹੇ ਹਾਂ, ਅਸੀਂ ਇਸਨੂੰ ਕਿਵੇਂ ਵਰਤਦੇ ਹਾਂ ਅਤੇ ਤੁਹਾਡੇ ਕੋਲ ਕਿਹੜੀਆਂ ਚੋਣਾਂ ਹਨ।")</f>
        <v>ਇਸ ਗੋਪਨੀਯਤਾ ਨੀਤੀ ਵਿੱਚ ਕੋਈ ਵੀ ਤਬਦੀਲੀਆਂ ਇੱਥੇ ਪੋਸਟ ਕੀਤੀਆਂ ਜਾਣਗੀਆਂ ਤਾਂ ਜੋ ਤੁਹਾਨੂੰ ਹਮੇਸ਼ਾ ਪਤਾ ਲੱਗੇ ਕਿ ਅਸੀਂ ਕਿਹੜੀ ਜਾਣਕਾਰੀ ਆਨਲਾਈਨ ਇਕੱਠੀ ਕਰ ਰਹੇ ਹਾਂ, ਅਸੀਂ ਇਸਨੂੰ ਕਿਵੇਂ ਵਰਤਦੇ ਹਾਂ ਅਤੇ ਤੁਹਾਡੇ ਕੋਲ ਕਿਹੜੀਆਂ ਚੋਣਾਂ ਹਨ।</v>
      </c>
      <c r="U128" s="4" t="str">
        <f>IFERROR(__xludf.DUMMYFUNCTION("GOOGLETRANSLATE(B128,""en"",""te"")"),"ఈ గోప్యతా విధానానికి ఏవైనా మార్పులు ఇక్కడ పోస్ట్ చేయబడతాయి, తద్వారా మేము ఆన్‌లైన్‌లో ఏ సమాచారాన్ని సేకరిస్తున్నాము, మేము దానిని ఎలా ఉపయోగిస్తాము మరియు మీకు ఏ ఎంపికలు ఉన్నాయో మీరు ఎల్లప్పుడూ తెలుసుకుంటారు.")</f>
        <v>ఈ గోప్యతా విధానానికి ఏవైనా మార్పులు ఇక్కడ పోస్ట్ చేయబడతాయి, తద్వారా మేము ఆన్‌లైన్‌లో ఏ సమాచారాన్ని సేకరిస్తున్నాము, మేము దానిని ఎలా ఉపయోగిస్తాము మరియు మీకు ఏ ఎంపికలు ఉన్నాయో మీరు ఎల్లప్పుడూ తెలుసుకుంటారు.</v>
      </c>
      <c r="V128" s="4" t="str">
        <f>IFERROR(__xludf.DUMMYFUNCTION("GOOGLETRANSLATE(B128,""en"",""kn"")"),"ಈ ಗೌಪ್ಯತಾ ನೀತಿಗೆ ಯಾವುದೇ ಬದಲಾವಣೆಗಳನ್ನು ಇಲ್ಲಿ ಪೋಸ್ಟ್ ಮಾಡಲಾಗುತ್ತದೆ ಇದರಿಂದ ನಾವು ಆನ್‌ಲೈನ್‌ನಲ್ಲಿ ಯಾವ ಮಾಹಿತಿಯನ್ನು ಸಂಗ್ರಹಿಸುತ್ತಿದ್ದೇವೆ, ನಾವು ಅದನ್ನು ಹೇಗೆ ಬಳಸುತ್ತೇವೆ ಮತ್ತು ನೀವು ಯಾವ ಆಯ್ಕೆಗಳನ್ನು ಹೊಂದಿರುವಿರಿ ಎಂಬುದನ್ನು ನೀವು ಯಾವಾಗಲೂ ತಿಳಿಯುವಿರಿ.")</f>
        <v>ಈ ಗೌಪ್ಯತಾ ನೀತಿಗೆ ಯಾವುದೇ ಬದಲಾವಣೆಗಳನ್ನು ಇಲ್ಲಿ ಪೋಸ್ಟ್ ಮಾಡಲಾಗುತ್ತದೆ ಇದರಿಂದ ನಾವು ಆನ್‌ಲೈನ್‌ನಲ್ಲಿ ಯಾವ ಮಾಹಿತಿಯನ್ನು ಸಂಗ್ರಹಿಸುತ್ತಿದ್ದೇವೆ, ನಾವು ಅದನ್ನು ಹೇಗೆ ಬಳಸುತ್ತೇವೆ ಮತ್ತು ನೀವು ಯಾವ ಆಯ್ಕೆಗಳನ್ನು ಹೊಂದಿರುವಿರಿ ಎಂಬುದನ್ನು ನೀವು ಯಾವಾಗಲೂ ತಿಳಿಯುವಿರಿ.</v>
      </c>
      <c r="W128" s="4" t="str">
        <f>IFERROR(__xludf.DUMMYFUNCTION("GOOGLETRANSLATE(B128,""en"",""ml"")"),"ഈ സ്വകാര്യതാ നയത്തിലെ ഏത് മാറ്റവും ഇവിടെ പോസ്റ്റ് ചെയ്യുന്നതിനാൽ ഞങ്ങൾ ഓൺലൈനിൽ എന്ത് വിവരമാണ് ശേഖരിക്കുന്നത്, ഞങ്ങൾ അത് എങ്ങനെ ഉപയോഗിക്കുന്നു, നിങ്ങൾക്ക് എന്ത് ചോയ്‌സുകളാണ് ഉള്ളതെന്ന് നിങ്ങൾക്ക് എല്ലായ്പ്പോഴും അറിയാനാകും.")</f>
        <v>ഈ സ്വകാര്യതാ നയത്തിലെ ഏത് മാറ്റവും ഇവിടെ പോസ്റ്റ് ചെയ്യുന്നതിനാൽ ഞങ്ങൾ ഓൺലൈനിൽ എന്ത് വിവരമാണ് ശേഖരിക്കുന്നത്, ഞങ്ങൾ അത് എങ്ങനെ ഉപയോഗിക്കുന്നു, നിങ്ങൾക്ക് എന്ത് ചോയ്‌സുകളാണ് ഉള്ളതെന്ന് നിങ്ങൾക്ക് എല്ലായ്പ്പോഴും അറിയാനാകും.</v>
      </c>
      <c r="X128" s="4" t="str">
        <f>IFERROR(__xludf.DUMMYFUNCTION("GOOGLETRANSLATE(B128,""en"",""th"")"),"การเปลี่ยนแปลงใดๆ ต่อนโยบายความเป็นส่วนตัวนี้จะถูกโพสต์ที่นี่ เพื่อให้คุณได้ทราบว่าเราเก็บรวบรวมข้อมูลออนไลน์ใดบ้าง เราใช้ข้อมูลเหล่านั้นอย่างไร และคุณมีทางเลือกใดบ้าง")</f>
        <v>การเปลี่ยนแปลงใดๆ ต่อนโยบายความเป็นส่วนตัวนี้จะถูกโพสต์ที่นี่ เพื่อให้คุณได้ทราบว่าเราเก็บรวบรวมข้อมูลออนไลน์ใดบ้าง เราใช้ข้อมูลเหล่านั้นอย่างไร และคุณมีทางเลือกใดบ้าง</v>
      </c>
      <c r="Y128" s="4" t="str">
        <f>IFERROR(__xludf.DUMMYFUNCTION("GOOGLETRANSLATE(B128,""en"",""ko"")"),"본 개인정보 보호정책에 대한 변경 사항은 여기에 게시되므로, 귀하는 당사가 온라인에서 수집하는 정보, 정보의 사용 방법 및 귀하가 선택할 수 있는 옵션을 항상 알 수 있습니다.")</f>
        <v>본 개인정보 보호정책에 대한 변경 사항은 여기에 게시되므로, 귀하는 당사가 온라인에서 수집하는 정보, 정보의 사용 방법 및 귀하가 선택할 수 있는 옵션을 항상 알 수 있습니다.</v>
      </c>
      <c r="Z128" s="4" t="str">
        <f>IFERROR(__xludf.DUMMYFUNCTION("GOOGLETRANSLATE(B128,""en"",""zh"")"),"本隐私政策的任何变更都将在此处发布，以便您始终了解我们在线收集哪些信息、我们如何使用这些信息以及您有哪些选择。")</f>
        <v>本隐私政策的任何变更都将在此处发布，以便您始终了解我们在线收集哪些信息、我们如何使用这些信息以及您有哪些选择。</v>
      </c>
      <c r="AA128" s="4" t="str">
        <f>IFERROR(__xludf.DUMMYFUNCTION("GOOGLETRANSLATE(B128,""en"",""zh-TW"")"),"本隱私權政策的任何變更都將在此處發布，以便您隨時了解我們在線上收集哪些資訊、我們如何使用這些資訊以及您有哪些選擇。")</f>
        <v>本隱私權政策的任何變更都將在此處發布，以便您隨時了解我們在線上收集哪些資訊、我們如何使用這些資訊以及您有哪些選擇。</v>
      </c>
      <c r="AB128" s="4" t="str">
        <f>IFERROR(__xludf.DUMMYFUNCTION("GOOGLETRANSLATE(B128,""en"",""ja"")"),"このプライバシーポリシーに変更があった場合はここに掲載しますので、当社がオンラインでどのような情報を収集しているか、その使用方法、お客様にどのような選択肢があるかを常に把握していただけます。")</f>
        <v>このプライバシーポリシーに変更があった場合はここに掲載しますので、当社がオンラインでどのような情報を収集しているか、その使用方法、お客様にどのような選択肢があるかを常に把握していただけます。</v>
      </c>
      <c r="AC128" s="4" t="str">
        <f>IFERROR(__xludf.DUMMYFUNCTION("GOOGLETRANSLATE(B128,""en"",""bg"")"),"Всички промени в тази Политика за поверителност ще бъдат публикувани тук, така че винаги да знаете каква информация събираме онлайн, как я използваме и какви възможности за избор имате.")</f>
        <v>Всички промени в тази Политика за поверителност ще бъдат публикувани тук, така че винаги да знаете каква информация събираме онлайн, как я използваме и какви възможности за избор имате.</v>
      </c>
      <c r="AD128" s="4" t="str">
        <f>IFERROR(__xludf.DUMMYFUNCTION("GOOGLETRANSLATE(B128,""en"",""cs"")"),"Jakékoli změny těchto Zásad ochrany osobních údajů budou zveřejněny zde, abyste vždy věděli, jaké informace shromažďujeme online, jak je používáme a jaké máte možnosti.")</f>
        <v>Jakékoli změny těchto Zásad ochrany osobních údajů budou zveřejněny zde, abyste vždy věděli, jaké informace shromažďujeme online, jak je používáme a jaké máte možnosti.</v>
      </c>
      <c r="AE128" s="4" t="str">
        <f>IFERROR(__xludf.DUMMYFUNCTION("GOOGLETRANSLATE(B128,""en"",""da"")"),"Eventuelle ændringer af denne privatlivspolitik vil blive offentliggjort her, så du altid vil vide, hvilke oplysninger vi indsamler online, hvordan vi bruger dem, og hvilke valg du har.")</f>
        <v>Eventuelle ændringer af denne privatlivspolitik vil blive offentliggjort her, så du altid vil vide, hvilke oplysninger vi indsamler online, hvordan vi bruger dem, og hvilke valg du har.</v>
      </c>
      <c r="AF128" s="4" t="str">
        <f>IFERROR(__xludf.DUMMYFUNCTION("GOOGLETRANSLATE(B128,""en"",""el"")"),"Οποιεσδήποτε αλλαγές σε αυτήν την Πολιτική Απορρήτου θα δημοσιεύονται εδώ, ώστε να γνωρίζετε πάντα ποιες πληροφορίες συλλέγουμε στο διαδίκτυο, πώς τις χρησιμοποιούμε και ποιες επιλογές έχετε.")</f>
        <v>Οποιεσδήποτε αλλαγές σε αυτήν την Πολιτική Απορρήτου θα δημοσιεύονται εδώ, ώστε να γνωρίζετε πάντα ποιες πληροφορίες συλλέγουμε στο διαδίκτυο, πώς τις χρησιμοποιούμε και ποιες επιλογές έχετε.</v>
      </c>
      <c r="AG128" s="4" t="str">
        <f>IFERROR(__xludf.DUMMYFUNCTION("GOOGLETRANSLATE(B128,""en"",""et"")"),"Kõik selle privaatsuspoliitika muudatused postitatakse siia, et saaksite alati teada, millist teavet me veebis kogume, kuidas me seda kasutame ja millised valikud teil on.")</f>
        <v>Kõik selle privaatsuspoliitika muudatused postitatakse siia, et saaksite alati teada, millist teavet me veebis kogume, kuidas me seda kasutame ja millised valikud teil on.</v>
      </c>
      <c r="AH128" s="4" t="str">
        <f>IFERROR(__xludf.DUMMYFUNCTION("GOOGLETRANSLATE(B128,""en"",""fi"")"),"Mahdolliset muutokset tähän tietosuojakäytäntöön julkaistaan ​​täällä, jotta tiedät aina, mitä tietoja keräämme verkossa, miten käytämme niitä ja mitä vaihtoehtoja sinulla on.")</f>
        <v>Mahdolliset muutokset tähän tietosuojakäytäntöön julkaistaan ​​täällä, jotta tiedät aina, mitä tietoja keräämme verkossa, miten käytämme niitä ja mitä vaihtoehtoja sinulla on.</v>
      </c>
      <c r="AI128" s="4" t="str">
        <f>IFERROR(__xludf.DUMMYFUNCTION("GOOGLETRANSLATE(B128,""en"",""hr"")"),"Sve promjene ovih Pravila o privatnosti bit će objavljene ovdje kako biste uvijek znali koje informacije prikupljamo online, kako ih koristimo i koje mogućnosti izbora imate.")</f>
        <v>Sve promjene ovih Pravila o privatnosti bit će objavljene ovdje kako biste uvijek znali koje informacije prikupljamo online, kako ih koristimo i koje mogućnosti izbora imate.</v>
      </c>
      <c r="AJ128" s="4" t="str">
        <f>IFERROR(__xludf.DUMMYFUNCTION("GOOGLETRANSLATE(B128,""en"",""hu"")"),"A jelen Adatvédelmi Szabályzat bármely módosítása itt kerül közzétételre, így mindig tudni fogja, milyen információkat gyűjtünk online, hogyan használjuk azokat, és milyen választási lehetőségei vannak.")</f>
        <v>A jelen Adatvédelmi Szabályzat bármely módosítása itt kerül közzétételre, így mindig tudni fogja, milyen információkat gyűjtünk online, hogyan használjuk azokat, és milyen választási lehetőségei vannak.</v>
      </c>
      <c r="AK128" s="4" t="str">
        <f>IFERROR(__xludf.DUMMYFUNCTION("GOOGLETRANSLATE(B128,""en"",""hy"")"),"Այս Գաղտնիության քաղաքականության ցանկացած փոփոխություն կտեղադրվի այստեղ, որպեսզի դուք միշտ իմանաք, թե ինչ տեղեկատվություն ենք մենք հավաքում առցանց, ինչպես ենք այն օգտագործում և ինչ ընտրություններ ունեք:")</f>
        <v>Այս Գաղտնիության քաղաքականության ցանկացած փոփոխություն կտեղադրվի այստեղ, որպեսզի դուք միշտ իմանաք, թե ինչ տեղեկատվություն ենք մենք հավաքում առցանց, ինչպես ենք այն օգտագործում և ինչ ընտրություններ ունեք:</v>
      </c>
      <c r="AL128" s="4" t="str">
        <f>IFERROR(__xludf.DUMMYFUNCTION("GOOGLETRANSLATE(B128,""en"",""ca"")"),"Qualsevol canvi a aquesta Política de privadesa es publicarà aquí perquè sempre sapigueu quina informació estem recopilant en línia, com la fem servir i quines opcions teniu.")</f>
        <v>Qualsevol canvi a aquesta Política de privadesa es publicarà aquí perquè sempre sapigueu quina informació estem recopilant en línia, com la fem servir i quines opcions teniu.</v>
      </c>
      <c r="AM128" s="4" t="str">
        <f>IFERROR(__xludf.DUMMYFUNCTION("GOOGLETRANSLATE(B128,""en"",""nl"")"),"Wijzigingen in dit privacybeleid worden hier gepubliceerd, zodat u altijd op de hoogte bent van welke informatie wij online verzamelen, hoe wij deze gebruiken en welke keuzes u hebt.")</f>
        <v>Wijzigingen in dit privacybeleid worden hier gepubliceerd, zodat u altijd op de hoogte bent van welke informatie wij online verzamelen, hoe wij deze gebruiken en welke keuzes u hebt.</v>
      </c>
      <c r="AN128" s="4" t="str">
        <f>IFERROR(__xludf.DUMMYFUNCTION("GOOGLETRANSLATE(B128,""en"",""he"")"),"כל שינוי במדיניות הפרטיות הזו יתפרסם כאן כך שתמיד תדע איזה מידע אנו אוספים באינטרנט, כיצד אנו משתמשים בו ואיזה אפשרויות עומדות בפניך.")</f>
        <v>כל שינוי במדיניות הפרטיות הזו יתפרסם כאן כך שתמיד תדע איזה מידע אנו אוספים באינטרנט, כיצד אנו משתמשים בו ואיזה אפשרויות עומדות בפניך.</v>
      </c>
      <c r="AO128" s="4" t="str">
        <f>IFERROR(__xludf.DUMMYFUNCTION("GOOGLETRANSLATE(B128,""en"",""is"")"),"Allar breytingar á þessari persónuverndarstefnu verða birtar hér svo þú veist alltaf hvaða upplýsingum við erum að safna á netinu, hvernig við notum þær og hvaða val þú hefur.")</f>
        <v>Allar breytingar á þessari persónuverndarstefnu verða birtar hér svo þú veist alltaf hvaða upplýsingum við erum að safna á netinu, hvernig við notum þær og hvaða val þú hefur.</v>
      </c>
      <c r="AP128" s="4" t="str">
        <f>IFERROR(__xludf.DUMMYFUNCTION("GOOGLETRANSLATE(B128,""en"",""no"")"),"Eventuelle endringer i denne personvernerklæringen vil bli lagt ut her slik at du alltid vil vite hvilken informasjon vi samler inn på nettet, hvordan vi bruker den og hvilke valg du har.")</f>
        <v>Eventuelle endringer i denne personvernerklæringen vil bli lagt ut her slik at du alltid vil vite hvilken informasjon vi samler inn på nettet, hvordan vi bruker den og hvilke valg du har.</v>
      </c>
      <c r="AQ128" s="4" t="str">
        <f>IFERROR(__xludf.DUMMYFUNCTION("GOOGLETRANSLATE(B128,""en"",""fa"")"),"هر گونه تغییر در این سیاست حفظ حریم خصوصی در اینجا پست می شود تا همیشه بدانید که ما چه اطلاعاتی را به صورت آنلاین جمع آوری می کنیم، چگونه از آن استفاده می کنیم و چه انتخاب هایی دارید.")</f>
        <v>هر گونه تغییر در این سیاست حفظ حریم خصوصی در اینجا پست می شود تا همیشه بدانید که ما چه اطلاعاتی را به صورت آنلاین جمع آوری می کنیم، چگونه از آن استفاده می کنیم و چه انتخاب هایی دارید.</v>
      </c>
      <c r="AR128" s="4" t="str">
        <f>IFERROR(__xludf.DUMMYFUNCTION("GOOGLETRANSLATE(B128,""en"",""pl"")"),"Wszelkie zmiany w niniejszej Polityce prywatności będą publikowane w tym miejscu, tak abyś zawsze wiedział, jakie informacje zbieramy w Internecie, w jaki sposób je wykorzystujemy i jakie masz możliwości wyboru.")</f>
        <v>Wszelkie zmiany w niniejszej Polityce prywatności będą publikowane w tym miejscu, tak abyś zawsze wiedział, jakie informacje zbieramy w Internecie, w jaki sposób je wykorzystujemy i jakie masz możliwości wyboru.</v>
      </c>
      <c r="AS128" s="4" t="str">
        <f>IFERROR(__xludf.DUMMYFUNCTION("GOOGLETRANSLATE(B128,""en"",""sv"")"),"Eventuella ändringar av denna integritetspolicy kommer att publiceras här så att du alltid vet vilken information vi samlar in online, hur vi använder den och vilka val du har.")</f>
        <v>Eventuella ändringar av denna integritetspolicy kommer att publiceras här så att du alltid vet vilken information vi samlar in online, hur vi använder den och vilka val du har.</v>
      </c>
      <c r="AT128" s="4" t="str">
        <f>IFERROR(__xludf.DUMMYFUNCTION("GOOGLETRANSLATE(B128,""en"",""uk"")"),"Будь-які зміни до цієї Політики конфіденційності будуть опубліковані тут, щоб ви завжди знали, яку інформацію ми збираємо в Інтернеті, як ми її використовуємо та які у вас є вибори.")</f>
        <v>Будь-які зміни до цієї Політики конфіденційності будуть опубліковані тут, щоб ви завжди знали, яку інформацію ми збираємо в Інтернеті, як ми її використовуємо та які у вас є вибори.</v>
      </c>
      <c r="AU128" s="4" t="str">
        <f>IFERROR(__xludf.DUMMYFUNCTION("GOOGLETRANSLATE(B128,""en"",""zu"")"),"Noma yiziphi izinguquko kule Nqubomgomo Yobumfihlo zizothunyelwa lapha ukuze uhlale wazi ukuthi yiluphi ulwazi esiluqoqa ku-inthanethi, ukuthi silusebenzisa kanjani nokuthi yiziphi izinqumo onazo.")</f>
        <v>Noma yiziphi izinguquko kule Nqubomgomo Yobumfihlo zizothunyelwa lapha ukuze uhlale wazi ukuthi yiluphi ulwazi esiluqoqa ku-inthanethi, ukuthi silusebenzisa kanjani nokuthi yiziphi izinqumo onazo.</v>
      </c>
      <c r="AV128" s="4" t="str">
        <f>IFERROR(__xludf.DUMMYFUNCTION("GOOGLETRANSLATE(B128,""en"",""sr"")"),"Све измене ове Политике приватности биће објављене овде како бисте увек знали које информације прикупљамо на мрежи, како их користимо и које изборе имате.")</f>
        <v>Све измене ове Политике приватности биће објављене овде како бисте увек знали које информације прикупљамо на мрежи, како их користимо и које изборе имате.</v>
      </c>
    </row>
    <row r="129">
      <c r="A129" s="3" t="s">
        <v>293</v>
      </c>
      <c r="B129" s="3" t="s">
        <v>294</v>
      </c>
      <c r="C129" s="4" t="str">
        <f>IFERROR(__xludf.DUMMYFUNCTION("GOOGLETRANSLATE(B129,""en"",""ta"")"),"பயன்பாட்டைப் பயன்படுத்தும் போது")</f>
        <v>பயன்பாட்டைப் பயன்படுத்தும் போது</v>
      </c>
      <c r="D129" s="4" t="str">
        <f>IFERROR(__xludf.DUMMYFUNCTION("GOOGLETRANSLATE(B129,""en"",""hi"")"),"ऐप का उपयोग करते समय")</f>
        <v>ऐप का उपयोग करते समय</v>
      </c>
      <c r="E129" s="4" t="str">
        <f>IFERROR(__xludf.DUMMYFUNCTION("GOOGLETRANSLATE(B129,""en"",""id"")"),"saat menggunakan aplikasi")</f>
        <v>saat menggunakan aplikasi</v>
      </c>
      <c r="F129" s="4" t="str">
        <f>IFERROR(__xludf.DUMMYFUNCTION("GOOGLETRANSLATE(B129,""en"",""ms"")"),"semasa menggunakan aplikasi")</f>
        <v>semasa menggunakan aplikasi</v>
      </c>
      <c r="G129" s="4" t="str">
        <f>IFERROR(__xludf.DUMMYFUNCTION("GOOGLETRANSLATE(B129,""en"",""de"")"),"während der Nutzung der App")</f>
        <v>während der Nutzung der App</v>
      </c>
      <c r="H129" s="4" t="str">
        <f>IFERROR(__xludf.DUMMYFUNCTION("GOOGLETRANSLATE(B129,""en"",""es"")"),"mientras usa la aplicación")</f>
        <v>mientras usa la aplicación</v>
      </c>
      <c r="I129" s="4" t="str">
        <f>IFERROR(__xludf.DUMMYFUNCTION("GOOGLETRANSLATE(B129,""en"",""fr"")"),"lors de l'utilisation de l'application")</f>
        <v>lors de l'utilisation de l'application</v>
      </c>
      <c r="J129" s="4" t="str">
        <f>IFERROR(__xludf.DUMMYFUNCTION("GOOGLETRANSLATE(B129,""en"",""it"")"),"durante l'utilizzo dell'app")</f>
        <v>durante l'utilizzo dell'app</v>
      </c>
      <c r="K129" s="4" t="str">
        <f>IFERROR(__xludf.DUMMYFUNCTION("GOOGLETRANSLATE(B129,""en"",""pt"")"),"ao usar o aplicativo")</f>
        <v>ao usar o aplicativo</v>
      </c>
      <c r="L129" s="4" t="str">
        <f>IFERROR(__xludf.DUMMYFUNCTION("GOOGLETRANSLATE(B129,""en"",""ro"")"),"în timp ce utilizați aplicația")</f>
        <v>în timp ce utilizați aplicația</v>
      </c>
      <c r="M129" s="4" t="str">
        <f>IFERROR(__xludf.DUMMYFUNCTION("GOOGLETRANSLATE(B129,""en"",""vi"")"),"trong khi sử dụng ứng dụng")</f>
        <v>trong khi sử dụng ứng dụng</v>
      </c>
      <c r="N129" s="4" t="str">
        <f>IFERROR(__xludf.DUMMYFUNCTION("GOOGLETRANSLATE(B129,""en"",""ru"")"),"при использовании приложения")</f>
        <v>при использовании приложения</v>
      </c>
      <c r="O129" s="4" t="str">
        <f>IFERROR(__xludf.DUMMYFUNCTION("GOOGLETRANSLATE(B129,""en"",""tr"")"),"uygulamayı kullanırken")</f>
        <v>uygulamayı kullanırken</v>
      </c>
      <c r="P129" s="4" t="str">
        <f>IFERROR(__xludf.DUMMYFUNCTION("GOOGLETRANSLATE(B129,""en"",""ar"")"),"أثناء استخدام التطبيق")</f>
        <v>أثناء استخدام التطبيق</v>
      </c>
      <c r="Q129" s="4" t="str">
        <f>IFERROR(__xludf.DUMMYFUNCTION("GOOGLETRANSLATE(B129,""en"",""mr"")"),"ॲप वापरत असताना")</f>
        <v>ॲप वापरत असताना</v>
      </c>
      <c r="R129" s="4" t="str">
        <f>IFERROR(__xludf.DUMMYFUNCTION("GOOGLETRANSLATE(B129,""en"",""gu"")"),"એપ્લિકેશનનો ઉપયોગ કરતી વખતે")</f>
        <v>એપ્લિકેશનનો ઉપયોગ કરતી વખતે</v>
      </c>
      <c r="S129" s="4" t="str">
        <f>IFERROR(__xludf.DUMMYFUNCTION("GOOGLETRANSLATE(B129,""en"",""bn"")"),"অ্যাপ ব্যবহার করার সময়")</f>
        <v>অ্যাপ ব্যবহার করার সময়</v>
      </c>
      <c r="T129" s="4" t="str">
        <f>IFERROR(__xludf.DUMMYFUNCTION("GOOGLETRANSLATE(B129,""en"",""pa"")"),"ਐਪ ਦੀ ਵਰਤੋਂ ਕਰਦੇ ਸਮੇਂ")</f>
        <v>ਐਪ ਦੀ ਵਰਤੋਂ ਕਰਦੇ ਸਮੇਂ</v>
      </c>
      <c r="U129" s="4" t="str">
        <f>IFERROR(__xludf.DUMMYFUNCTION("GOOGLETRANSLATE(B129,""en"",""te"")"),"యాప్‌ని ఉపయోగిస్తున్నప్పుడు")</f>
        <v>యాప్‌ని ఉపయోగిస్తున్నప్పుడు</v>
      </c>
      <c r="V129" s="4" t="str">
        <f>IFERROR(__xludf.DUMMYFUNCTION("GOOGLETRANSLATE(B129,""en"",""kn"")"),"ಅಪ್ಲಿಕೇಶನ್ ಬಳಸುವಾಗ")</f>
        <v>ಅಪ್ಲಿಕೇಶನ್ ಬಳಸುವಾಗ</v>
      </c>
      <c r="W129" s="4" t="str">
        <f>IFERROR(__xludf.DUMMYFUNCTION("GOOGLETRANSLATE(B129,""en"",""ml"")"),"ആപ്പ് ഉപയോഗിക്കുമ്പോൾ")</f>
        <v>ആപ്പ് ഉപയോഗിക്കുമ്പോൾ</v>
      </c>
      <c r="X129" s="4" t="str">
        <f>IFERROR(__xludf.DUMMYFUNCTION("GOOGLETRANSLATE(B129,""en"",""th"")"),"ขณะใช้แอป")</f>
        <v>ขณะใช้แอป</v>
      </c>
      <c r="Y129" s="4" t="str">
        <f>IFERROR(__xludf.DUMMYFUNCTION("GOOGLETRANSLATE(B129,""en"",""ko"")"),"앱을 사용하는 동안")</f>
        <v>앱을 사용하는 동안</v>
      </c>
      <c r="Z129" s="4" t="str">
        <f>IFERROR(__xludf.DUMMYFUNCTION("GOOGLETRANSLATE(B129,""en"",""zh"")"),"使用应用程序时")</f>
        <v>使用应用程序时</v>
      </c>
      <c r="AA129" s="4" t="str">
        <f>IFERROR(__xludf.DUMMYFUNCTION("GOOGLETRANSLATE(B129,""en"",""zh-TW"")"),"使用應用程式時")</f>
        <v>使用應用程式時</v>
      </c>
      <c r="AB129" s="4" t="str">
        <f>IFERROR(__xludf.DUMMYFUNCTION("GOOGLETRANSLATE(B129,""en"",""ja"")"),"アプリの使用中")</f>
        <v>アプリの使用中</v>
      </c>
      <c r="AC129" s="4" t="str">
        <f>IFERROR(__xludf.DUMMYFUNCTION("GOOGLETRANSLATE(B129,""en"",""bg"")"),"докато използвате приложението")</f>
        <v>докато използвате приложението</v>
      </c>
      <c r="AD129" s="4" t="str">
        <f>IFERROR(__xludf.DUMMYFUNCTION("GOOGLETRANSLATE(B129,""en"",""cs"")"),"při používání aplikace")</f>
        <v>při používání aplikace</v>
      </c>
      <c r="AE129" s="4" t="str">
        <f>IFERROR(__xludf.DUMMYFUNCTION("GOOGLETRANSLATE(B129,""en"",""da"")"),"mens du bruger appen")</f>
        <v>mens du bruger appen</v>
      </c>
      <c r="AF129" s="4" t="str">
        <f>IFERROR(__xludf.DUMMYFUNCTION("GOOGLETRANSLATE(B129,""en"",""el"")"),"κατά τη χρήση της εφαρμογής")</f>
        <v>κατά τη χρήση της εφαρμογής</v>
      </c>
      <c r="AG129" s="4" t="str">
        <f>IFERROR(__xludf.DUMMYFUNCTION("GOOGLETRANSLATE(B129,""en"",""et"")"),"rakenduse kasutamise ajal")</f>
        <v>rakenduse kasutamise ajal</v>
      </c>
      <c r="AH129" s="4" t="str">
        <f>IFERROR(__xludf.DUMMYFUNCTION("GOOGLETRANSLATE(B129,""en"",""fi"")"),"kun käytät sovellusta")</f>
        <v>kun käytät sovellusta</v>
      </c>
      <c r="AI129" s="4" t="str">
        <f>IFERROR(__xludf.DUMMYFUNCTION("GOOGLETRANSLATE(B129,""en"",""hr"")"),"dok koristite aplikaciju")</f>
        <v>dok koristite aplikaciju</v>
      </c>
      <c r="AJ129" s="4" t="str">
        <f>IFERROR(__xludf.DUMMYFUNCTION("GOOGLETRANSLATE(B129,""en"",""hu"")"),"az alkalmazás használata közben")</f>
        <v>az alkalmazás használata közben</v>
      </c>
      <c r="AK129" s="4" t="str">
        <f>IFERROR(__xludf.DUMMYFUNCTION("GOOGLETRANSLATE(B129,""en"",""hy"")"),"հավելվածն օգտագործելիս")</f>
        <v>հավելվածն օգտագործելիս</v>
      </c>
      <c r="AL129" s="4" t="str">
        <f>IFERROR(__xludf.DUMMYFUNCTION("GOOGLETRANSLATE(B129,""en"",""ca"")"),"mentre utilitzeu l'aplicació")</f>
        <v>mentre utilitzeu l'aplicació</v>
      </c>
      <c r="AM129" s="4" t="str">
        <f>IFERROR(__xludf.DUMMYFUNCTION("GOOGLETRANSLATE(B129,""en"",""nl"")"),"tijdens het gebruik van de app")</f>
        <v>tijdens het gebruik van de app</v>
      </c>
      <c r="AN129" s="4" t="str">
        <f>IFERROR(__xludf.DUMMYFUNCTION("GOOGLETRANSLATE(B129,""en"",""he"")"),"בזמן השימוש באפליקציה")</f>
        <v>בזמן השימוש באפליקציה</v>
      </c>
      <c r="AO129" s="4" t="str">
        <f>IFERROR(__xludf.DUMMYFUNCTION("GOOGLETRANSLATE(B129,""en"",""is"")"),"meðan á appinu stendur")</f>
        <v>meðan á appinu stendur</v>
      </c>
      <c r="AP129" s="4" t="str">
        <f>IFERROR(__xludf.DUMMYFUNCTION("GOOGLETRANSLATE(B129,""en"",""no"")"),"mens du bruker appen")</f>
        <v>mens du bruker appen</v>
      </c>
      <c r="AQ129" s="4" t="str">
        <f>IFERROR(__xludf.DUMMYFUNCTION("GOOGLETRANSLATE(B129,""en"",""fa"")"),"در حین استفاده از برنامه")</f>
        <v>در حین استفاده از برنامه</v>
      </c>
      <c r="AR129" s="4" t="str">
        <f>IFERROR(__xludf.DUMMYFUNCTION("GOOGLETRANSLATE(B129,""en"",""pl"")"),"podczas korzystania z aplikacji")</f>
        <v>podczas korzystania z aplikacji</v>
      </c>
      <c r="AS129" s="4" t="str">
        <f>IFERROR(__xludf.DUMMYFUNCTION("GOOGLETRANSLATE(B129,""en"",""sv"")"),"medan du använder appen")</f>
        <v>medan du använder appen</v>
      </c>
      <c r="AT129" s="4" t="str">
        <f>IFERROR(__xludf.DUMMYFUNCTION("GOOGLETRANSLATE(B129,""en"",""uk"")"),"під час використання програми")</f>
        <v>під час використання програми</v>
      </c>
      <c r="AU129" s="4" t="str">
        <f>IFERROR(__xludf.DUMMYFUNCTION("GOOGLETRANSLATE(B129,""en"",""zu"")"),"ngenkathi usebenzisa uhlelo lokusebenza")</f>
        <v>ngenkathi usebenzisa uhlelo lokusebenza</v>
      </c>
      <c r="AV129" s="4" t="str">
        <f>IFERROR(__xludf.DUMMYFUNCTION("GOOGLETRANSLATE(B129,""en"",""sr"")"),"док користите апликацију")</f>
        <v>док користите апликацију</v>
      </c>
    </row>
    <row r="130">
      <c r="A130" s="3" t="s">
        <v>295</v>
      </c>
      <c r="B130" s="3" t="s">
        <v>296</v>
      </c>
      <c r="C130" s="4" t="str">
        <f>IFERROR(__xludf.DUMMYFUNCTION("GOOGLETRANSLATE(B130,""en"",""ta"")"),"எல்லா நேரத்திலும்")</f>
        <v>எல்லா நேரத்திலும்</v>
      </c>
      <c r="D130" s="4" t="str">
        <f>IFERROR(__xludf.DUMMYFUNCTION("GOOGLETRANSLATE(B130,""en"",""hi"")"),"सभी समय")</f>
        <v>सभी समय</v>
      </c>
      <c r="E130" s="4" t="str">
        <f>IFERROR(__xludf.DUMMYFUNCTION("GOOGLETRANSLATE(B130,""en"",""id"")"),"sepanjang waktu")</f>
        <v>sepanjang waktu</v>
      </c>
      <c r="F130" s="4" t="str">
        <f>IFERROR(__xludf.DUMMYFUNCTION("GOOGLETRANSLATE(B130,""en"",""ms"")"),"sepanjang masa")</f>
        <v>sepanjang masa</v>
      </c>
      <c r="G130" s="4" t="str">
        <f>IFERROR(__xludf.DUMMYFUNCTION("GOOGLETRANSLATE(B130,""en"",""de"")"),"die ganze Zeit")</f>
        <v>die ganze Zeit</v>
      </c>
      <c r="H130" s="4" t="str">
        <f>IFERROR(__xludf.DUMMYFUNCTION("GOOGLETRANSLATE(B130,""en"",""es"")"),"todo el tiempo")</f>
        <v>todo el tiempo</v>
      </c>
      <c r="I130" s="4" t="str">
        <f>IFERROR(__xludf.DUMMYFUNCTION("GOOGLETRANSLATE(B130,""en"",""fr"")"),"tout le temps")</f>
        <v>tout le temps</v>
      </c>
      <c r="J130" s="4" t="str">
        <f>IFERROR(__xludf.DUMMYFUNCTION("GOOGLETRANSLATE(B130,""en"",""it"")"),"tutto il tempo")</f>
        <v>tutto il tempo</v>
      </c>
      <c r="K130" s="4" t="str">
        <f>IFERROR(__xludf.DUMMYFUNCTION("GOOGLETRANSLATE(B130,""en"",""pt"")"),"o tempo todo")</f>
        <v>o tempo todo</v>
      </c>
      <c r="L130" s="4" t="str">
        <f>IFERROR(__xludf.DUMMYFUNCTION("GOOGLETRANSLATE(B130,""en"",""ro"")"),"tot timpul")</f>
        <v>tot timpul</v>
      </c>
      <c r="M130" s="4" t="str">
        <f>IFERROR(__xludf.DUMMYFUNCTION("GOOGLETRANSLATE(B130,""en"",""vi"")"),"mọi lúc")</f>
        <v>mọi lúc</v>
      </c>
      <c r="N130" s="4" t="str">
        <f>IFERROR(__xludf.DUMMYFUNCTION("GOOGLETRANSLATE(B130,""en"",""ru"")"),"все время")</f>
        <v>все время</v>
      </c>
      <c r="O130" s="4" t="str">
        <f>IFERROR(__xludf.DUMMYFUNCTION("GOOGLETRANSLATE(B130,""en"",""tr"")"),"her zaman")</f>
        <v>her zaman</v>
      </c>
      <c r="P130" s="4" t="str">
        <f>IFERROR(__xludf.DUMMYFUNCTION("GOOGLETRANSLATE(B130,""en"",""ar"")"),"طوال الوقت")</f>
        <v>طوال الوقت</v>
      </c>
      <c r="Q130" s="4" t="str">
        <f>IFERROR(__xludf.DUMMYFUNCTION("GOOGLETRANSLATE(B130,""en"",""mr"")"),"सर्व वेळ")</f>
        <v>सर्व वेळ</v>
      </c>
      <c r="R130" s="4" t="str">
        <f>IFERROR(__xludf.DUMMYFUNCTION("GOOGLETRANSLATE(B130,""en"",""gu"")"),"બધા સમય")</f>
        <v>બધા સમય</v>
      </c>
      <c r="S130" s="4" t="str">
        <f>IFERROR(__xludf.DUMMYFUNCTION("GOOGLETRANSLATE(B130,""en"",""bn"")"),"সব সময়")</f>
        <v>সব সময়</v>
      </c>
      <c r="T130" s="4" t="str">
        <f>IFERROR(__xludf.DUMMYFUNCTION("GOOGLETRANSLATE(B130,""en"",""pa"")"),"ਹਰ ਵੇਲੇ")</f>
        <v>ਹਰ ਵੇਲੇ</v>
      </c>
      <c r="U130" s="4" t="str">
        <f>IFERROR(__xludf.DUMMYFUNCTION("GOOGLETRANSLATE(B130,""en"",""te"")"),"అన్ని సమయం")</f>
        <v>అన్ని సమయం</v>
      </c>
      <c r="V130" s="4" t="str">
        <f>IFERROR(__xludf.DUMMYFUNCTION("GOOGLETRANSLATE(B130,""en"",""kn"")"),"ಎಲ್ಲಾ ಸಮಯದಲ್ಲೂ")</f>
        <v>ಎಲ್ಲಾ ಸಮಯದಲ್ಲೂ</v>
      </c>
      <c r="W130" s="4" t="str">
        <f>IFERROR(__xludf.DUMMYFUNCTION("GOOGLETRANSLATE(B130,""en"",""ml"")"),"എല്ലാ സമയത്തും")</f>
        <v>എല്ലാ സമയത്തും</v>
      </c>
      <c r="X130" s="4" t="str">
        <f>IFERROR(__xludf.DUMMYFUNCTION("GOOGLETRANSLATE(B130,""en"",""th"")"),"ตลอดเวลา")</f>
        <v>ตลอดเวลา</v>
      </c>
      <c r="Y130" s="4" t="str">
        <f>IFERROR(__xludf.DUMMYFUNCTION("GOOGLETRANSLATE(B130,""en"",""ko"")"),"항상")</f>
        <v>항상</v>
      </c>
      <c r="Z130" s="4" t="str">
        <f>IFERROR(__xludf.DUMMYFUNCTION("GOOGLETRANSLATE(B130,""en"",""zh"")"),"一直")</f>
        <v>一直</v>
      </c>
      <c r="AA130" s="4" t="str">
        <f>IFERROR(__xludf.DUMMYFUNCTION("GOOGLETRANSLATE(B130,""en"",""zh-TW"")"),"一直")</f>
        <v>一直</v>
      </c>
      <c r="AB130" s="4" t="str">
        <f>IFERROR(__xludf.DUMMYFUNCTION("GOOGLETRANSLATE(B130,""en"",""ja"")"),"いつも")</f>
        <v>いつも</v>
      </c>
      <c r="AC130" s="4" t="str">
        <f>IFERROR(__xludf.DUMMYFUNCTION("GOOGLETRANSLATE(B130,""en"",""bg"")"),"през цялото време")</f>
        <v>през цялото време</v>
      </c>
      <c r="AD130" s="4" t="str">
        <f>IFERROR(__xludf.DUMMYFUNCTION("GOOGLETRANSLATE(B130,""en"",""cs"")"),"po celou dobu")</f>
        <v>po celou dobu</v>
      </c>
      <c r="AE130" s="4" t="str">
        <f>IFERROR(__xludf.DUMMYFUNCTION("GOOGLETRANSLATE(B130,""en"",""da"")"),"hele tiden")</f>
        <v>hele tiden</v>
      </c>
      <c r="AF130" s="4" t="str">
        <f>IFERROR(__xludf.DUMMYFUNCTION("GOOGLETRANSLATE(B130,""en"",""el"")"),"όλη την ώρα")</f>
        <v>όλη την ώρα</v>
      </c>
      <c r="AG130" s="4" t="str">
        <f>IFERROR(__xludf.DUMMYFUNCTION("GOOGLETRANSLATE(B130,""en"",""et"")"),"kogu aeg")</f>
        <v>kogu aeg</v>
      </c>
      <c r="AH130" s="4" t="str">
        <f>IFERROR(__xludf.DUMMYFUNCTION("GOOGLETRANSLATE(B130,""en"",""fi"")"),"koko ajan")</f>
        <v>koko ajan</v>
      </c>
      <c r="AI130" s="4" t="str">
        <f>IFERROR(__xludf.DUMMYFUNCTION("GOOGLETRANSLATE(B130,""en"",""hr"")"),"sve vrijeme")</f>
        <v>sve vrijeme</v>
      </c>
      <c r="AJ130" s="4" t="str">
        <f>IFERROR(__xludf.DUMMYFUNCTION("GOOGLETRANSLATE(B130,""en"",""hu"")"),"mindig")</f>
        <v>mindig</v>
      </c>
      <c r="AK130" s="4" t="str">
        <f>IFERROR(__xludf.DUMMYFUNCTION("GOOGLETRANSLATE(B130,""en"",""hy"")"),"ամբողջ ժամանակ")</f>
        <v>ամբողջ ժամանակ</v>
      </c>
      <c r="AL130" s="4" t="str">
        <f>IFERROR(__xludf.DUMMYFUNCTION("GOOGLETRANSLATE(B130,""en"",""ca"")"),"tot el temps")</f>
        <v>tot el temps</v>
      </c>
      <c r="AM130" s="4" t="str">
        <f>IFERROR(__xludf.DUMMYFUNCTION("GOOGLETRANSLATE(B130,""en"",""nl"")"),"de hele tijd")</f>
        <v>de hele tijd</v>
      </c>
      <c r="AN130" s="4" t="str">
        <f>IFERROR(__xludf.DUMMYFUNCTION("GOOGLETRANSLATE(B130,""en"",""he"")"),"כל הזמן")</f>
        <v>כל הזמן</v>
      </c>
      <c r="AO130" s="4" t="str">
        <f>IFERROR(__xludf.DUMMYFUNCTION("GOOGLETRANSLATE(B130,""en"",""is"")"),"allan tímann")</f>
        <v>allan tímann</v>
      </c>
      <c r="AP130" s="4" t="str">
        <f>IFERROR(__xludf.DUMMYFUNCTION("GOOGLETRANSLATE(B130,""en"",""no"")"),"hele tiden")</f>
        <v>hele tiden</v>
      </c>
      <c r="AQ130" s="4" t="str">
        <f>IFERROR(__xludf.DUMMYFUNCTION("GOOGLETRANSLATE(B130,""en"",""fa"")"),"تمام وقت")</f>
        <v>تمام وقت</v>
      </c>
      <c r="AR130" s="4" t="str">
        <f>IFERROR(__xludf.DUMMYFUNCTION("GOOGLETRANSLATE(B130,""en"",""pl"")"),"cały czas")</f>
        <v>cały czas</v>
      </c>
      <c r="AS130" s="4" t="str">
        <f>IFERROR(__xludf.DUMMYFUNCTION("GOOGLETRANSLATE(B130,""en"",""sv"")"),"hela tiden")</f>
        <v>hela tiden</v>
      </c>
      <c r="AT130" s="4" t="str">
        <f>IFERROR(__xludf.DUMMYFUNCTION("GOOGLETRANSLATE(B130,""en"",""uk"")"),"весь час")</f>
        <v>весь час</v>
      </c>
      <c r="AU130" s="4" t="str">
        <f>IFERROR(__xludf.DUMMYFUNCTION("GOOGLETRANSLATE(B130,""en"",""zu"")"),"ngaso sonke isikhathi")</f>
        <v>ngaso sonke isikhathi</v>
      </c>
      <c r="AV130" s="4" t="str">
        <f>IFERROR(__xludf.DUMMYFUNCTION("GOOGLETRANSLATE(B130,""en"",""sr"")"),"све време")</f>
        <v>све време</v>
      </c>
    </row>
    <row r="131">
      <c r="A131" s="3" t="s">
        <v>297</v>
      </c>
      <c r="B131" s="3" t="s">
        <v>298</v>
      </c>
      <c r="C131" s="4" t="str">
        <f>IFERROR(__xludf.DUMMYFUNCTION("GOOGLETRANSLATE(B131,""en"",""ta"")"),"பின்னணி")</f>
        <v>பின்னணி</v>
      </c>
      <c r="D131" s="4" t="str">
        <f>IFERROR(__xludf.DUMMYFUNCTION("GOOGLETRANSLATE(B131,""en"",""hi"")"),"पृष्ठभूमि")</f>
        <v>पृष्ठभूमि</v>
      </c>
      <c r="E131" s="4" t="str">
        <f>IFERROR(__xludf.DUMMYFUNCTION("GOOGLETRANSLATE(B131,""en"",""id"")"),"Latar belakang")</f>
        <v>Latar belakang</v>
      </c>
      <c r="F131" s="4" t="str">
        <f>IFERROR(__xludf.DUMMYFUNCTION("GOOGLETRANSLATE(B131,""en"",""ms"")"),"Latar belakang")</f>
        <v>Latar belakang</v>
      </c>
      <c r="G131" s="4" t="str">
        <f>IFERROR(__xludf.DUMMYFUNCTION("GOOGLETRANSLATE(B131,""en"",""de"")"),"Hintergrund")</f>
        <v>Hintergrund</v>
      </c>
      <c r="H131" s="4" t="str">
        <f>IFERROR(__xludf.DUMMYFUNCTION("GOOGLETRANSLATE(B131,""en"",""es"")"),"Fondo")</f>
        <v>Fondo</v>
      </c>
      <c r="I131" s="4" t="str">
        <f>IFERROR(__xludf.DUMMYFUNCTION("GOOGLETRANSLATE(B131,""en"",""fr"")"),"Arrière-plan")</f>
        <v>Arrière-plan</v>
      </c>
      <c r="J131" s="4" t="str">
        <f>IFERROR(__xludf.DUMMYFUNCTION("GOOGLETRANSLATE(B131,""en"",""it"")"),"Sfondo")</f>
        <v>Sfondo</v>
      </c>
      <c r="K131" s="4" t="str">
        <f>IFERROR(__xludf.DUMMYFUNCTION("GOOGLETRANSLATE(B131,""en"",""pt"")"),"Fundo")</f>
        <v>Fundo</v>
      </c>
      <c r="L131" s="4" t="str">
        <f>IFERROR(__xludf.DUMMYFUNCTION("GOOGLETRANSLATE(B131,""en"",""ro"")"),"Fundal")</f>
        <v>Fundal</v>
      </c>
      <c r="M131" s="4" t="str">
        <f>IFERROR(__xludf.DUMMYFUNCTION("GOOGLETRANSLATE(B131,""en"",""vi"")"),"Lý lịch")</f>
        <v>Lý lịch</v>
      </c>
      <c r="N131" s="4" t="str">
        <f>IFERROR(__xludf.DUMMYFUNCTION("GOOGLETRANSLATE(B131,""en"",""ru"")"),"Фон")</f>
        <v>Фон</v>
      </c>
      <c r="O131" s="4" t="str">
        <f>IFERROR(__xludf.DUMMYFUNCTION("GOOGLETRANSLATE(B131,""en"",""tr"")"),"Arka plan")</f>
        <v>Arka plan</v>
      </c>
      <c r="P131" s="4" t="str">
        <f>IFERROR(__xludf.DUMMYFUNCTION("GOOGLETRANSLATE(B131,""en"",""ar"")"),"خلفية")</f>
        <v>خلفية</v>
      </c>
      <c r="Q131" s="4" t="str">
        <f>IFERROR(__xludf.DUMMYFUNCTION("GOOGLETRANSLATE(B131,""en"",""mr"")"),"पार्श्वभूमी")</f>
        <v>पार्श्वभूमी</v>
      </c>
      <c r="R131" s="4" t="str">
        <f>IFERROR(__xludf.DUMMYFUNCTION("GOOGLETRANSLATE(B131,""en"",""gu"")"),"પૃષ્ઠભૂમિ")</f>
        <v>પૃષ્ઠભૂમિ</v>
      </c>
      <c r="S131" s="4" t="str">
        <f>IFERROR(__xludf.DUMMYFUNCTION("GOOGLETRANSLATE(B131,""en"",""bn"")"),"পটভূমি")</f>
        <v>পটভূমি</v>
      </c>
      <c r="T131" s="4" t="str">
        <f>IFERROR(__xludf.DUMMYFUNCTION("GOOGLETRANSLATE(B131,""en"",""pa"")"),"ਪਿਛੋਕੜ")</f>
        <v>ਪਿਛੋਕੜ</v>
      </c>
      <c r="U131" s="4" t="str">
        <f>IFERROR(__xludf.DUMMYFUNCTION("GOOGLETRANSLATE(B131,""en"",""te"")"),"నేపథ్యం")</f>
        <v>నేపథ్యం</v>
      </c>
      <c r="V131" s="4" t="str">
        <f>IFERROR(__xludf.DUMMYFUNCTION("GOOGLETRANSLATE(B131,""en"",""kn"")"),"ಹಿನ್ನೆಲೆ")</f>
        <v>ಹಿನ್ನೆಲೆ</v>
      </c>
      <c r="W131" s="4" t="str">
        <f>IFERROR(__xludf.DUMMYFUNCTION("GOOGLETRANSLATE(B131,""en"",""ml"")"),"പശ്ചാത്തലം")</f>
        <v>പശ്ചാത്തലം</v>
      </c>
      <c r="X131" s="4" t="str">
        <f>IFERROR(__xludf.DUMMYFUNCTION("GOOGLETRANSLATE(B131,""en"",""th"")"),"พื้นหลัง")</f>
        <v>พื้นหลัง</v>
      </c>
      <c r="Y131" s="4" t="str">
        <f>IFERROR(__xludf.DUMMYFUNCTION("GOOGLETRANSLATE(B131,""en"",""ko"")"),"배경")</f>
        <v>배경</v>
      </c>
      <c r="Z131" s="4" t="str">
        <f>IFERROR(__xludf.DUMMYFUNCTION("GOOGLETRANSLATE(B131,""en"",""zh"")"),"背景")</f>
        <v>背景</v>
      </c>
      <c r="AA131" s="4" t="str">
        <f>IFERROR(__xludf.DUMMYFUNCTION("GOOGLETRANSLATE(B131,""en"",""zh-TW"")"),"背景")</f>
        <v>背景</v>
      </c>
      <c r="AB131" s="4" t="str">
        <f>IFERROR(__xludf.DUMMYFUNCTION("GOOGLETRANSLATE(B131,""en"",""ja"")"),"背景")</f>
        <v>背景</v>
      </c>
      <c r="AC131" s="4" t="str">
        <f>IFERROR(__xludf.DUMMYFUNCTION("GOOGLETRANSLATE(B131,""en"",""bg"")"),"Фон")</f>
        <v>Фон</v>
      </c>
      <c r="AD131" s="4" t="str">
        <f>IFERROR(__xludf.DUMMYFUNCTION("GOOGLETRANSLATE(B131,""en"",""cs"")"),"Pozadí")</f>
        <v>Pozadí</v>
      </c>
      <c r="AE131" s="4" t="str">
        <f>IFERROR(__xludf.DUMMYFUNCTION("GOOGLETRANSLATE(B131,""en"",""da"")"),"Baggrund")</f>
        <v>Baggrund</v>
      </c>
      <c r="AF131" s="4" t="str">
        <f>IFERROR(__xludf.DUMMYFUNCTION("GOOGLETRANSLATE(B131,""en"",""el"")"),"Φόντο")</f>
        <v>Φόντο</v>
      </c>
      <c r="AG131" s="4" t="str">
        <f>IFERROR(__xludf.DUMMYFUNCTION("GOOGLETRANSLATE(B131,""en"",""et"")"),"Taust")</f>
        <v>Taust</v>
      </c>
      <c r="AH131" s="4" t="str">
        <f>IFERROR(__xludf.DUMMYFUNCTION("GOOGLETRANSLATE(B131,""en"",""fi"")"),"Tausta")</f>
        <v>Tausta</v>
      </c>
      <c r="AI131" s="4" t="str">
        <f>IFERROR(__xludf.DUMMYFUNCTION("GOOGLETRANSLATE(B131,""en"",""hr"")"),"Pozadina")</f>
        <v>Pozadina</v>
      </c>
      <c r="AJ131" s="4" t="str">
        <f>IFERROR(__xludf.DUMMYFUNCTION("GOOGLETRANSLATE(B131,""en"",""hu"")"),"Háttér")</f>
        <v>Háttér</v>
      </c>
      <c r="AK131" s="4" t="str">
        <f>IFERROR(__xludf.DUMMYFUNCTION("GOOGLETRANSLATE(B131,""en"",""hy"")"),"Նախապատմություն")</f>
        <v>Նախապատմություն</v>
      </c>
      <c r="AL131" s="4" t="str">
        <f>IFERROR(__xludf.DUMMYFUNCTION("GOOGLETRANSLATE(B131,""en"",""ca"")"),"Fons")</f>
        <v>Fons</v>
      </c>
      <c r="AM131" s="4" t="str">
        <f>IFERROR(__xludf.DUMMYFUNCTION("GOOGLETRANSLATE(B131,""en"",""nl"")"),"Achtergrond")</f>
        <v>Achtergrond</v>
      </c>
      <c r="AN131" s="4" t="str">
        <f>IFERROR(__xludf.DUMMYFUNCTION("GOOGLETRANSLATE(B131,""en"",""he"")"),"רֶקַע")</f>
        <v>רֶקַע</v>
      </c>
      <c r="AO131" s="4" t="str">
        <f>IFERROR(__xludf.DUMMYFUNCTION("GOOGLETRANSLATE(B131,""en"",""is"")"),"Bakgrunnur")</f>
        <v>Bakgrunnur</v>
      </c>
      <c r="AP131" s="4" t="str">
        <f>IFERROR(__xludf.DUMMYFUNCTION("GOOGLETRANSLATE(B131,""en"",""no"")"),"Bakgrunn")</f>
        <v>Bakgrunn</v>
      </c>
      <c r="AQ131" s="4" t="str">
        <f>IFERROR(__xludf.DUMMYFUNCTION("GOOGLETRANSLATE(B131,""en"",""fa"")"),"پس زمینه")</f>
        <v>پس زمینه</v>
      </c>
      <c r="AR131" s="4" t="str">
        <f>IFERROR(__xludf.DUMMYFUNCTION("GOOGLETRANSLATE(B131,""en"",""pl"")"),"Tło")</f>
        <v>Tło</v>
      </c>
      <c r="AS131" s="4" t="str">
        <f>IFERROR(__xludf.DUMMYFUNCTION("GOOGLETRANSLATE(B131,""en"",""sv"")"),"Bakgrund")</f>
        <v>Bakgrund</v>
      </c>
      <c r="AT131" s="4" t="str">
        <f>IFERROR(__xludf.DUMMYFUNCTION("GOOGLETRANSLATE(B131,""en"",""uk"")"),"Фон")</f>
        <v>Фон</v>
      </c>
      <c r="AU131" s="4" t="str">
        <f>IFERROR(__xludf.DUMMYFUNCTION("GOOGLETRANSLATE(B131,""en"",""zu"")"),"Ingemuva")</f>
        <v>Ingemuva</v>
      </c>
      <c r="AV131" s="4" t="str">
        <f>IFERROR(__xludf.DUMMYFUNCTION("GOOGLETRANSLATE(B131,""en"",""sr"")"),"Позадина")</f>
        <v>Позадина</v>
      </c>
    </row>
    <row r="132">
      <c r="A132" s="3" t="s">
        <v>299</v>
      </c>
      <c r="B132" s="3" t="s">
        <v>111</v>
      </c>
      <c r="C132" s="4" t="str">
        <f>IFERROR(__xludf.DUMMYFUNCTION("GOOGLETRANSLATE(B132,""en"",""ta"")"),"திசைகாட்டி")</f>
        <v>திசைகாட்டி</v>
      </c>
      <c r="D132" s="4" t="str">
        <f>IFERROR(__xludf.DUMMYFUNCTION("GOOGLETRANSLATE(B132,""en"",""hi"")"),"कम्पास")</f>
        <v>कम्पास</v>
      </c>
      <c r="E132" s="4" t="str">
        <f>IFERROR(__xludf.DUMMYFUNCTION("GOOGLETRANSLATE(B132,""en"",""id"")"),"Kompas")</f>
        <v>Kompas</v>
      </c>
      <c r="F132" s="4" t="str">
        <f>IFERROR(__xludf.DUMMYFUNCTION("GOOGLETRANSLATE(B132,""en"",""ms"")"),"Kompas")</f>
        <v>Kompas</v>
      </c>
      <c r="G132" s="4" t="str">
        <f>IFERROR(__xludf.DUMMYFUNCTION("GOOGLETRANSLATE(B132,""en"",""de"")"),"Kompass")</f>
        <v>Kompass</v>
      </c>
      <c r="H132" s="4" t="str">
        <f>IFERROR(__xludf.DUMMYFUNCTION("GOOGLETRANSLATE(B132,""en"",""es"")"),"Brújula")</f>
        <v>Brújula</v>
      </c>
      <c r="I132" s="4" t="str">
        <f>IFERROR(__xludf.DUMMYFUNCTION("GOOGLETRANSLATE(B132,""en"",""fr"")"),"Boussole")</f>
        <v>Boussole</v>
      </c>
      <c r="J132" s="4" t="str">
        <f>IFERROR(__xludf.DUMMYFUNCTION("GOOGLETRANSLATE(B132,""en"",""it"")"),"Bussola")</f>
        <v>Bussola</v>
      </c>
      <c r="K132" s="4" t="str">
        <f>IFERROR(__xludf.DUMMYFUNCTION("GOOGLETRANSLATE(B132,""en"",""pt"")"),"Bússola")</f>
        <v>Bússola</v>
      </c>
      <c r="L132" s="4" t="str">
        <f>IFERROR(__xludf.DUMMYFUNCTION("GOOGLETRANSLATE(B132,""en"",""ro"")"),"Busolă")</f>
        <v>Busolă</v>
      </c>
      <c r="M132" s="4" t="str">
        <f>IFERROR(__xludf.DUMMYFUNCTION("GOOGLETRANSLATE(B132,""en"",""vi"")"),"La bàn")</f>
        <v>La bàn</v>
      </c>
      <c r="N132" s="4" t="str">
        <f>IFERROR(__xludf.DUMMYFUNCTION("GOOGLETRANSLATE(B132,""en"",""ru"")"),"Компас")</f>
        <v>Компас</v>
      </c>
      <c r="O132" s="4" t="str">
        <f>IFERROR(__xludf.DUMMYFUNCTION("GOOGLETRANSLATE(B132,""en"",""tr"")"),"Pusula")</f>
        <v>Pusula</v>
      </c>
      <c r="P132" s="4" t="str">
        <f>IFERROR(__xludf.DUMMYFUNCTION("GOOGLETRANSLATE(B132,""en"",""ar"")"),"بوصلة")</f>
        <v>بوصلة</v>
      </c>
      <c r="Q132" s="4" t="str">
        <f>IFERROR(__xludf.DUMMYFUNCTION("GOOGLETRANSLATE(B132,""en"",""mr"")"),"होकायंत्र")</f>
        <v>होकायंत्र</v>
      </c>
      <c r="R132" s="4" t="str">
        <f>IFERROR(__xludf.DUMMYFUNCTION("GOOGLETRANSLATE(B132,""en"",""gu"")"),"હોકાયંત્ર")</f>
        <v>હોકાયંત્ર</v>
      </c>
      <c r="S132" s="4" t="str">
        <f>IFERROR(__xludf.DUMMYFUNCTION("GOOGLETRANSLATE(B132,""en"",""bn"")"),"কম্পাস")</f>
        <v>কম্পাস</v>
      </c>
      <c r="T132" s="4" t="str">
        <f>IFERROR(__xludf.DUMMYFUNCTION("GOOGLETRANSLATE(B132,""en"",""pa"")"),"ਕੰਪਾਸ")</f>
        <v>ਕੰਪਾਸ</v>
      </c>
      <c r="U132" s="4" t="str">
        <f>IFERROR(__xludf.DUMMYFUNCTION("GOOGLETRANSLATE(B132,""en"",""te"")"),"దిక్సూచి")</f>
        <v>దిక్సూచి</v>
      </c>
      <c r="V132" s="4" t="str">
        <f>IFERROR(__xludf.DUMMYFUNCTION("GOOGLETRANSLATE(B132,""en"",""kn"")"),"ದಿಕ್ಸೂಚಿ")</f>
        <v>ದಿಕ್ಸೂಚಿ</v>
      </c>
      <c r="W132" s="4" t="str">
        <f>IFERROR(__xludf.DUMMYFUNCTION("GOOGLETRANSLATE(B132,""en"",""ml"")"),"കോമ്പസ്")</f>
        <v>കോമ്പസ്</v>
      </c>
      <c r="X132" s="4" t="str">
        <f>IFERROR(__xludf.DUMMYFUNCTION("GOOGLETRANSLATE(B132,""en"",""th"")"),"เข็มทิศ")</f>
        <v>เข็มทิศ</v>
      </c>
      <c r="Y132" s="4" t="str">
        <f>IFERROR(__xludf.DUMMYFUNCTION("GOOGLETRANSLATE(B132,""en"",""ko"")"),"나침반")</f>
        <v>나침반</v>
      </c>
      <c r="Z132" s="4" t="str">
        <f>IFERROR(__xludf.DUMMYFUNCTION("GOOGLETRANSLATE(B132,""en"",""zh"")"),"罗盘")</f>
        <v>罗盘</v>
      </c>
      <c r="AA132" s="4" t="str">
        <f>IFERROR(__xludf.DUMMYFUNCTION("GOOGLETRANSLATE(B132,""en"",""zh-TW"")"),"羅盤")</f>
        <v>羅盤</v>
      </c>
      <c r="AB132" s="4" t="str">
        <f>IFERROR(__xludf.DUMMYFUNCTION("GOOGLETRANSLATE(B132,""en"",""ja"")"),"コンパス")</f>
        <v>コンパス</v>
      </c>
      <c r="AC132" s="4" t="str">
        <f>IFERROR(__xludf.DUMMYFUNCTION("GOOGLETRANSLATE(B132,""en"",""bg"")"),"Компас")</f>
        <v>Компас</v>
      </c>
      <c r="AD132" s="4" t="str">
        <f>IFERROR(__xludf.DUMMYFUNCTION("GOOGLETRANSLATE(B132,""en"",""cs"")"),"Kompas")</f>
        <v>Kompas</v>
      </c>
      <c r="AE132" s="4" t="str">
        <f>IFERROR(__xludf.DUMMYFUNCTION("GOOGLETRANSLATE(B132,""en"",""da"")"),"Kompas")</f>
        <v>Kompas</v>
      </c>
      <c r="AF132" s="4" t="str">
        <f>IFERROR(__xludf.DUMMYFUNCTION("GOOGLETRANSLATE(B132,""en"",""el"")"),"Πυξίδα")</f>
        <v>Πυξίδα</v>
      </c>
      <c r="AG132" s="4" t="str">
        <f>IFERROR(__xludf.DUMMYFUNCTION("GOOGLETRANSLATE(B132,""en"",""et"")"),"Kompass")</f>
        <v>Kompass</v>
      </c>
      <c r="AH132" s="4" t="str">
        <f>IFERROR(__xludf.DUMMYFUNCTION("GOOGLETRANSLATE(B132,""en"",""fi"")"),"Kompassi")</f>
        <v>Kompassi</v>
      </c>
      <c r="AI132" s="4" t="str">
        <f>IFERROR(__xludf.DUMMYFUNCTION("GOOGLETRANSLATE(B132,""en"",""hr"")"),"Kompas")</f>
        <v>Kompas</v>
      </c>
      <c r="AJ132" s="4" t="str">
        <f>IFERROR(__xludf.DUMMYFUNCTION("GOOGLETRANSLATE(B132,""en"",""hu"")"),"Iránytű")</f>
        <v>Iránytű</v>
      </c>
      <c r="AK132" s="4" t="str">
        <f>IFERROR(__xludf.DUMMYFUNCTION("GOOGLETRANSLATE(B132,""en"",""hy"")"),"Կողմնացույց")</f>
        <v>Կողմնացույց</v>
      </c>
      <c r="AL132" s="4" t="str">
        <f>IFERROR(__xludf.DUMMYFUNCTION("GOOGLETRANSLATE(B132,""en"",""ca"")"),"Brúixola")</f>
        <v>Brúixola</v>
      </c>
      <c r="AM132" s="4" t="str">
        <f>IFERROR(__xludf.DUMMYFUNCTION("GOOGLETRANSLATE(B132,""en"",""nl"")"),"Kompas")</f>
        <v>Kompas</v>
      </c>
      <c r="AN132" s="4" t="str">
        <f>IFERROR(__xludf.DUMMYFUNCTION("GOOGLETRANSLATE(B132,""en"",""he"")"),"מַצְפֵּן")</f>
        <v>מַצְפֵּן</v>
      </c>
      <c r="AO132" s="4" t="str">
        <f>IFERROR(__xludf.DUMMYFUNCTION("GOOGLETRANSLATE(B132,""en"",""is"")"),"Áttaviti")</f>
        <v>Áttaviti</v>
      </c>
      <c r="AP132" s="4" t="str">
        <f>IFERROR(__xludf.DUMMYFUNCTION("GOOGLETRANSLATE(B132,""en"",""no"")"),"Kompass")</f>
        <v>Kompass</v>
      </c>
      <c r="AQ132" s="4" t="str">
        <f>IFERROR(__xludf.DUMMYFUNCTION("GOOGLETRANSLATE(B132,""en"",""fa"")"),"قطب نما")</f>
        <v>قطب نما</v>
      </c>
      <c r="AR132" s="4" t="str">
        <f>IFERROR(__xludf.DUMMYFUNCTION("GOOGLETRANSLATE(B132,""en"",""pl"")"),"Kompas")</f>
        <v>Kompas</v>
      </c>
      <c r="AS132" s="4" t="str">
        <f>IFERROR(__xludf.DUMMYFUNCTION("GOOGLETRANSLATE(B132,""en"",""sv"")"),"Kompass")</f>
        <v>Kompass</v>
      </c>
      <c r="AT132" s="4" t="str">
        <f>IFERROR(__xludf.DUMMYFUNCTION("GOOGLETRANSLATE(B132,""en"",""uk"")"),"компас")</f>
        <v>компас</v>
      </c>
      <c r="AU132" s="4" t="str">
        <f>IFERROR(__xludf.DUMMYFUNCTION("GOOGLETRANSLATE(B132,""en"",""zu"")"),"Ikhampasi")</f>
        <v>Ikhampasi</v>
      </c>
      <c r="AV132" s="4" t="str">
        <f>IFERROR(__xludf.DUMMYFUNCTION("GOOGLETRANSLATE(B132,""en"",""sr"")"),"Компас")</f>
        <v>Компас</v>
      </c>
    </row>
    <row r="133">
      <c r="A133" s="3" t="s">
        <v>300</v>
      </c>
      <c r="B133" s="3" t="s">
        <v>301</v>
      </c>
      <c r="C133" s="4" t="str">
        <f>IFERROR(__xludf.DUMMYFUNCTION("GOOGLETRANSLATE(B133,""en"",""ta"")"),"நிறம்")</f>
        <v>நிறம்</v>
      </c>
      <c r="D133" s="4" t="str">
        <f>IFERROR(__xludf.DUMMYFUNCTION("GOOGLETRANSLATE(B133,""en"",""hi"")"),"रंग")</f>
        <v>रंग</v>
      </c>
      <c r="E133" s="4" t="str">
        <f>IFERROR(__xludf.DUMMYFUNCTION("GOOGLETRANSLATE(B133,""en"",""id"")"),"Warna")</f>
        <v>Warna</v>
      </c>
      <c r="F133" s="4" t="str">
        <f>IFERROR(__xludf.DUMMYFUNCTION("GOOGLETRANSLATE(B133,""en"",""ms"")"),"warna")</f>
        <v>warna</v>
      </c>
      <c r="G133" s="4" t="str">
        <f>IFERROR(__xludf.DUMMYFUNCTION("GOOGLETRANSLATE(B133,""en"",""de"")"),"Farbe")</f>
        <v>Farbe</v>
      </c>
      <c r="H133" s="4" t="str">
        <f>IFERROR(__xludf.DUMMYFUNCTION("GOOGLETRANSLATE(B133,""en"",""es"")"),"Color")</f>
        <v>Color</v>
      </c>
      <c r="I133" s="4" t="str">
        <f>IFERROR(__xludf.DUMMYFUNCTION("GOOGLETRANSLATE(B133,""en"",""fr"")"),"Couleur")</f>
        <v>Couleur</v>
      </c>
      <c r="J133" s="4" t="str">
        <f>IFERROR(__xludf.DUMMYFUNCTION("GOOGLETRANSLATE(B133,""en"",""it"")"),"Colore")</f>
        <v>Colore</v>
      </c>
      <c r="K133" s="4" t="str">
        <f>IFERROR(__xludf.DUMMYFUNCTION("GOOGLETRANSLATE(B133,""en"",""pt"")"),"Cor")</f>
        <v>Cor</v>
      </c>
      <c r="L133" s="4" t="str">
        <f>IFERROR(__xludf.DUMMYFUNCTION("GOOGLETRANSLATE(B133,""en"",""ro"")"),"Culoare")</f>
        <v>Culoare</v>
      </c>
      <c r="M133" s="4" t="str">
        <f>IFERROR(__xludf.DUMMYFUNCTION("GOOGLETRANSLATE(B133,""en"",""vi"")"),"Màu sắc")</f>
        <v>Màu sắc</v>
      </c>
      <c r="N133" s="4" t="str">
        <f>IFERROR(__xludf.DUMMYFUNCTION("GOOGLETRANSLATE(B133,""en"",""ru"")"),"Цвет")</f>
        <v>Цвет</v>
      </c>
      <c r="O133" s="4" t="str">
        <f>IFERROR(__xludf.DUMMYFUNCTION("GOOGLETRANSLATE(B133,""en"",""tr"")"),"Renk")</f>
        <v>Renk</v>
      </c>
      <c r="P133" s="4" t="str">
        <f>IFERROR(__xludf.DUMMYFUNCTION("GOOGLETRANSLATE(B133,""en"",""ar"")"),"لون")</f>
        <v>لون</v>
      </c>
      <c r="Q133" s="4" t="str">
        <f>IFERROR(__xludf.DUMMYFUNCTION("GOOGLETRANSLATE(B133,""en"",""mr"")"),"रंग")</f>
        <v>रंग</v>
      </c>
      <c r="R133" s="4" t="str">
        <f>IFERROR(__xludf.DUMMYFUNCTION("GOOGLETRANSLATE(B133,""en"",""gu"")"),"રંગ")</f>
        <v>રંગ</v>
      </c>
      <c r="S133" s="4" t="str">
        <f>IFERROR(__xludf.DUMMYFUNCTION("GOOGLETRANSLATE(B133,""en"",""bn"")"),"রঙ")</f>
        <v>রঙ</v>
      </c>
      <c r="T133" s="4" t="str">
        <f>IFERROR(__xludf.DUMMYFUNCTION("GOOGLETRANSLATE(B133,""en"",""pa"")"),"ਰੰਗ")</f>
        <v>ਰੰਗ</v>
      </c>
      <c r="U133" s="4" t="str">
        <f>IFERROR(__xludf.DUMMYFUNCTION("GOOGLETRANSLATE(B133,""en"",""te"")"),"రంగు")</f>
        <v>రంగు</v>
      </c>
      <c r="V133" s="4" t="str">
        <f>IFERROR(__xludf.DUMMYFUNCTION("GOOGLETRANSLATE(B133,""en"",""kn"")"),"ಬಣ್ಣ")</f>
        <v>ಬಣ್ಣ</v>
      </c>
      <c r="W133" s="4" t="str">
        <f>IFERROR(__xludf.DUMMYFUNCTION("GOOGLETRANSLATE(B133,""en"",""ml"")"),"നിറം")</f>
        <v>നിറം</v>
      </c>
      <c r="X133" s="4" t="str">
        <f>IFERROR(__xludf.DUMMYFUNCTION("GOOGLETRANSLATE(B133,""en"",""th"")"),"สี")</f>
        <v>สี</v>
      </c>
      <c r="Y133" s="4" t="str">
        <f>IFERROR(__xludf.DUMMYFUNCTION("GOOGLETRANSLATE(B133,""en"",""ko"")"),"색상")</f>
        <v>색상</v>
      </c>
      <c r="Z133" s="4" t="str">
        <f>IFERROR(__xludf.DUMMYFUNCTION("GOOGLETRANSLATE(B133,""en"",""zh"")"),"颜色")</f>
        <v>颜色</v>
      </c>
      <c r="AA133" s="4" t="str">
        <f>IFERROR(__xludf.DUMMYFUNCTION("GOOGLETRANSLATE(B133,""en"",""zh-TW"")"),"顏色")</f>
        <v>顏色</v>
      </c>
      <c r="AB133" s="4" t="str">
        <f>IFERROR(__xludf.DUMMYFUNCTION("GOOGLETRANSLATE(B133,""en"",""ja"")"),"色")</f>
        <v>色</v>
      </c>
      <c r="AC133" s="4" t="str">
        <f>IFERROR(__xludf.DUMMYFUNCTION("GOOGLETRANSLATE(B133,""en"",""bg"")"),"Цвят")</f>
        <v>Цвят</v>
      </c>
      <c r="AD133" s="4" t="str">
        <f>IFERROR(__xludf.DUMMYFUNCTION("GOOGLETRANSLATE(B133,""en"",""cs"")"),"Barva")</f>
        <v>Barva</v>
      </c>
      <c r="AE133" s="4" t="str">
        <f>IFERROR(__xludf.DUMMYFUNCTION("GOOGLETRANSLATE(B133,""en"",""da"")"),"Farve")</f>
        <v>Farve</v>
      </c>
      <c r="AF133" s="4" t="str">
        <f>IFERROR(__xludf.DUMMYFUNCTION("GOOGLETRANSLATE(B133,""en"",""el"")"),"Χρώμα")</f>
        <v>Χρώμα</v>
      </c>
      <c r="AG133" s="4" t="str">
        <f>IFERROR(__xludf.DUMMYFUNCTION("GOOGLETRANSLATE(B133,""en"",""et"")"),"Värv")</f>
        <v>Värv</v>
      </c>
      <c r="AH133" s="4" t="str">
        <f>IFERROR(__xludf.DUMMYFUNCTION("GOOGLETRANSLATE(B133,""en"",""fi"")"),"Väri")</f>
        <v>Väri</v>
      </c>
      <c r="AI133" s="4" t="str">
        <f>IFERROR(__xludf.DUMMYFUNCTION("GOOGLETRANSLATE(B133,""en"",""hr"")"),"Boja")</f>
        <v>Boja</v>
      </c>
      <c r="AJ133" s="4" t="str">
        <f>IFERROR(__xludf.DUMMYFUNCTION("GOOGLETRANSLATE(B133,""en"",""hu"")"),"Szín")</f>
        <v>Szín</v>
      </c>
      <c r="AK133" s="4" t="str">
        <f>IFERROR(__xludf.DUMMYFUNCTION("GOOGLETRANSLATE(B133,""en"",""hy"")"),"Գույն")</f>
        <v>Գույն</v>
      </c>
      <c r="AL133" s="4" t="str">
        <f>IFERROR(__xludf.DUMMYFUNCTION("GOOGLETRANSLATE(B133,""en"",""ca"")"),"Color")</f>
        <v>Color</v>
      </c>
      <c r="AM133" s="4" t="str">
        <f>IFERROR(__xludf.DUMMYFUNCTION("GOOGLETRANSLATE(B133,""en"",""nl"")"),"Kleur")</f>
        <v>Kleur</v>
      </c>
      <c r="AN133" s="4" t="str">
        <f>IFERROR(__xludf.DUMMYFUNCTION("GOOGLETRANSLATE(B133,""en"",""he"")"),"צֶבַע")</f>
        <v>צֶבַע</v>
      </c>
      <c r="AO133" s="4" t="str">
        <f>IFERROR(__xludf.DUMMYFUNCTION("GOOGLETRANSLATE(B133,""en"",""is"")"),"Litur")</f>
        <v>Litur</v>
      </c>
      <c r="AP133" s="4" t="str">
        <f>IFERROR(__xludf.DUMMYFUNCTION("GOOGLETRANSLATE(B133,""en"",""no"")"),"Farge")</f>
        <v>Farge</v>
      </c>
      <c r="AQ133" s="4" t="str">
        <f>IFERROR(__xludf.DUMMYFUNCTION("GOOGLETRANSLATE(B133,""en"",""fa"")"),"رنگ")</f>
        <v>رنگ</v>
      </c>
      <c r="AR133" s="4" t="str">
        <f>IFERROR(__xludf.DUMMYFUNCTION("GOOGLETRANSLATE(B133,""en"",""pl"")"),"Kolor")</f>
        <v>Kolor</v>
      </c>
      <c r="AS133" s="4" t="str">
        <f>IFERROR(__xludf.DUMMYFUNCTION("GOOGLETRANSLATE(B133,""en"",""sv"")"),"Färg")</f>
        <v>Färg</v>
      </c>
      <c r="AT133" s="4" t="str">
        <f>IFERROR(__xludf.DUMMYFUNCTION("GOOGLETRANSLATE(B133,""en"",""uk"")"),"Колір")</f>
        <v>Колір</v>
      </c>
      <c r="AU133" s="4" t="str">
        <f>IFERROR(__xludf.DUMMYFUNCTION("GOOGLETRANSLATE(B133,""en"",""zu"")"),"Umbala")</f>
        <v>Umbala</v>
      </c>
      <c r="AV133" s="4" t="str">
        <f>IFERROR(__xludf.DUMMYFUNCTION("GOOGLETRANSLATE(B133,""en"",""sr"")"),"Боја")</f>
        <v>Боја</v>
      </c>
    </row>
    <row r="134">
      <c r="A134" s="3" t="s">
        <v>302</v>
      </c>
      <c r="B134" s="3" t="s">
        <v>303</v>
      </c>
      <c r="C134" s="4" t="str">
        <f>IFERROR(__xludf.DUMMYFUNCTION("GOOGLETRANSLATE(B134,""en"",""ta"")"),"பின்னணியைத் தேர்ந்தெடுக்கவும்")</f>
        <v>பின்னணியைத் தேர்ந்தெடுக்கவும்</v>
      </c>
      <c r="D134" s="4" t="str">
        <f>IFERROR(__xludf.DUMMYFUNCTION("GOOGLETRANSLATE(B134,""en"",""hi"")"),"पृष्ठभूमि चुनें")</f>
        <v>पृष्ठभूमि चुनें</v>
      </c>
      <c r="E134" s="4" t="str">
        <f>IFERROR(__xludf.DUMMYFUNCTION("GOOGLETRANSLATE(B134,""en"",""id"")"),"Pilih Latar Belakang")</f>
        <v>Pilih Latar Belakang</v>
      </c>
      <c r="F134" s="4" t="str">
        <f>IFERROR(__xludf.DUMMYFUNCTION("GOOGLETRANSLATE(B134,""en"",""ms"")"),"Pilih Latar Belakang")</f>
        <v>Pilih Latar Belakang</v>
      </c>
      <c r="G134" s="4" t="str">
        <f>IFERROR(__xludf.DUMMYFUNCTION("GOOGLETRANSLATE(B134,""en"",""de"")"),"Hintergrund auswählen")</f>
        <v>Hintergrund auswählen</v>
      </c>
      <c r="H134" s="4" t="str">
        <f>IFERROR(__xludf.DUMMYFUNCTION("GOOGLETRANSLATE(B134,""en"",""es"")"),"Elija el fondo")</f>
        <v>Elija el fondo</v>
      </c>
      <c r="I134" s="4" t="str">
        <f>IFERROR(__xludf.DUMMYFUNCTION("GOOGLETRANSLATE(B134,""en"",""fr"")"),"Choisir l'arrière-plan")</f>
        <v>Choisir l'arrière-plan</v>
      </c>
      <c r="J134" s="4" t="str">
        <f>IFERROR(__xludf.DUMMYFUNCTION("GOOGLETRANSLATE(B134,""en"",""it"")"),"Scegli sfondo")</f>
        <v>Scegli sfondo</v>
      </c>
      <c r="K134" s="4" t="str">
        <f>IFERROR(__xludf.DUMMYFUNCTION("GOOGLETRANSLATE(B134,""en"",""pt"")"),"Escolha o plano de fundo")</f>
        <v>Escolha o plano de fundo</v>
      </c>
      <c r="L134" s="4" t="str">
        <f>IFERROR(__xludf.DUMMYFUNCTION("GOOGLETRANSLATE(B134,""en"",""ro"")"),"Alegeți Fundal")</f>
        <v>Alegeți Fundal</v>
      </c>
      <c r="M134" s="4" t="str">
        <f>IFERROR(__xludf.DUMMYFUNCTION("GOOGLETRANSLATE(B134,""en"",""vi"")"),"Chọn nền")</f>
        <v>Chọn nền</v>
      </c>
      <c r="N134" s="4" t="str">
        <f>IFERROR(__xludf.DUMMYFUNCTION("GOOGLETRANSLATE(B134,""en"",""ru"")"),"Выбрать фон")</f>
        <v>Выбрать фон</v>
      </c>
      <c r="O134" s="4" t="str">
        <f>IFERROR(__xludf.DUMMYFUNCTION("GOOGLETRANSLATE(B134,""en"",""tr"")"),"Arkaplanı Seçin")</f>
        <v>Arkaplanı Seçin</v>
      </c>
      <c r="P134" s="4" t="str">
        <f>IFERROR(__xludf.DUMMYFUNCTION("GOOGLETRANSLATE(B134,""en"",""ar"")"),"اختر الخلفية")</f>
        <v>اختر الخلفية</v>
      </c>
      <c r="Q134" s="4" t="str">
        <f>IFERROR(__xludf.DUMMYFUNCTION("GOOGLETRANSLATE(B134,""en"",""mr"")"),"पार्श्वभूमी निवडा")</f>
        <v>पार्श्वभूमी निवडा</v>
      </c>
      <c r="R134" s="4" t="str">
        <f>IFERROR(__xludf.DUMMYFUNCTION("GOOGLETRANSLATE(B134,""en"",""gu"")"),"પૃષ્ઠભૂમિ પસંદ કરો")</f>
        <v>પૃષ્ઠભૂમિ પસંદ કરો</v>
      </c>
      <c r="S134" s="4" t="str">
        <f>IFERROR(__xludf.DUMMYFUNCTION("GOOGLETRANSLATE(B134,""en"",""bn"")"),"পটভূমি নির্বাচন করুন")</f>
        <v>পটভূমি নির্বাচন করুন</v>
      </c>
      <c r="T134" s="4" t="str">
        <f>IFERROR(__xludf.DUMMYFUNCTION("GOOGLETRANSLATE(B134,""en"",""pa"")"),"ਬੈਕਗ੍ਰਾਊਂਡ ਚੁਣੋ")</f>
        <v>ਬੈਕਗ੍ਰਾਊਂਡ ਚੁਣੋ</v>
      </c>
      <c r="U134" s="4" t="str">
        <f>IFERROR(__xludf.DUMMYFUNCTION("GOOGLETRANSLATE(B134,""en"",""te"")"),"నేపథ్యాన్ని ఎంచుకోండి")</f>
        <v>నేపథ్యాన్ని ఎంచుకోండి</v>
      </c>
      <c r="V134" s="4" t="str">
        <f>IFERROR(__xludf.DUMMYFUNCTION("GOOGLETRANSLATE(B134,""en"",""kn"")"),"ಹಿನ್ನೆಲೆ ಆಯ್ಕೆಮಾಡಿ")</f>
        <v>ಹಿನ್ನೆಲೆ ಆಯ್ಕೆಮಾಡಿ</v>
      </c>
      <c r="W134" s="4" t="str">
        <f>IFERROR(__xludf.DUMMYFUNCTION("GOOGLETRANSLATE(B134,""en"",""ml"")"),"പശ്ചാത്തലം തിരഞ്ഞെടുക്കുക")</f>
        <v>പശ്ചാത്തലം തിരഞ്ഞെടുക്കുക</v>
      </c>
      <c r="X134" s="4" t="str">
        <f>IFERROR(__xludf.DUMMYFUNCTION("GOOGLETRANSLATE(B134,""en"",""th"")"),"เลือกพื้นหลัง")</f>
        <v>เลือกพื้นหลัง</v>
      </c>
      <c r="Y134" s="4" t="str">
        <f>IFERROR(__xludf.DUMMYFUNCTION("GOOGLETRANSLATE(B134,""en"",""ko"")"),"배경 선택")</f>
        <v>배경 선택</v>
      </c>
      <c r="Z134" s="4" t="str">
        <f>IFERROR(__xludf.DUMMYFUNCTION("GOOGLETRANSLATE(B134,""en"",""zh"")"),"选择背景")</f>
        <v>选择背景</v>
      </c>
      <c r="AA134" s="4" t="str">
        <f>IFERROR(__xludf.DUMMYFUNCTION("GOOGLETRANSLATE(B134,""en"",""zh-TW"")"),"選擇背景")</f>
        <v>選擇背景</v>
      </c>
      <c r="AB134" s="4" t="str">
        <f>IFERROR(__xludf.DUMMYFUNCTION("GOOGLETRANSLATE(B134,""en"",""ja"")"),"背景を選択")</f>
        <v>背景を選択</v>
      </c>
      <c r="AC134" s="4" t="str">
        <f>IFERROR(__xludf.DUMMYFUNCTION("GOOGLETRANSLATE(B134,""en"",""bg"")"),"Изберете Фон")</f>
        <v>Изберете Фон</v>
      </c>
      <c r="AD134" s="4" t="str">
        <f>IFERROR(__xludf.DUMMYFUNCTION("GOOGLETRANSLATE(B134,""en"",""cs"")"),"Vyberte Pozadí")</f>
        <v>Vyberte Pozadí</v>
      </c>
      <c r="AE134" s="4" t="str">
        <f>IFERROR(__xludf.DUMMYFUNCTION("GOOGLETRANSLATE(B134,""en"",""da"")"),"Vælg Baggrund")</f>
        <v>Vælg Baggrund</v>
      </c>
      <c r="AF134" s="4" t="str">
        <f>IFERROR(__xludf.DUMMYFUNCTION("GOOGLETRANSLATE(B134,""en"",""el"")"),"Επιλέξτε Φόντο")</f>
        <v>Επιλέξτε Φόντο</v>
      </c>
      <c r="AG134" s="4" t="str">
        <f>IFERROR(__xludf.DUMMYFUNCTION("GOOGLETRANSLATE(B134,""en"",""et"")"),"Valige Taust")</f>
        <v>Valige Taust</v>
      </c>
      <c r="AH134" s="4" t="str">
        <f>IFERROR(__xludf.DUMMYFUNCTION("GOOGLETRANSLATE(B134,""en"",""fi"")"),"Valitse Tausta")</f>
        <v>Valitse Tausta</v>
      </c>
      <c r="AI134" s="4" t="str">
        <f>IFERROR(__xludf.DUMMYFUNCTION("GOOGLETRANSLATE(B134,""en"",""hr"")"),"Odaberite Pozadinu")</f>
        <v>Odaberite Pozadinu</v>
      </c>
      <c r="AJ134" s="4" t="str">
        <f>IFERROR(__xludf.DUMMYFUNCTION("GOOGLETRANSLATE(B134,""en"",""hu"")"),"Válassza a Háttér lehetőséget")</f>
        <v>Válassza a Háttér lehetőséget</v>
      </c>
      <c r="AK134" s="4" t="str">
        <f>IFERROR(__xludf.DUMMYFUNCTION("GOOGLETRANSLATE(B134,""en"",""hy"")"),"Ընտրեք ֆոն")</f>
        <v>Ընտրեք ֆոն</v>
      </c>
      <c r="AL134" s="4" t="str">
        <f>IFERROR(__xludf.DUMMYFUNCTION("GOOGLETRANSLATE(B134,""en"",""ca"")"),"Trieu Fons")</f>
        <v>Trieu Fons</v>
      </c>
      <c r="AM134" s="4" t="str">
        <f>IFERROR(__xludf.DUMMYFUNCTION("GOOGLETRANSLATE(B134,""en"",""nl"")"),"Achtergrond kiezen")</f>
        <v>Achtergrond kiezen</v>
      </c>
      <c r="AN134" s="4" t="str">
        <f>IFERROR(__xludf.DUMMYFUNCTION("GOOGLETRANSLATE(B134,""en"",""he"")"),"בחר רקע")</f>
        <v>בחר רקע</v>
      </c>
      <c r="AO134" s="4" t="str">
        <f>IFERROR(__xludf.DUMMYFUNCTION("GOOGLETRANSLATE(B134,""en"",""is"")"),"Veldu Bakgrunnur")</f>
        <v>Veldu Bakgrunnur</v>
      </c>
      <c r="AP134" s="4" t="str">
        <f>IFERROR(__xludf.DUMMYFUNCTION("GOOGLETRANSLATE(B134,""en"",""no"")"),"Velg Bakgrunn")</f>
        <v>Velg Bakgrunn</v>
      </c>
      <c r="AQ134" s="4" t="str">
        <f>IFERROR(__xludf.DUMMYFUNCTION("GOOGLETRANSLATE(B134,""en"",""fa"")"),"پس زمینه را انتخاب کنید")</f>
        <v>پس زمینه را انتخاب کنید</v>
      </c>
      <c r="AR134" s="4" t="str">
        <f>IFERROR(__xludf.DUMMYFUNCTION("GOOGLETRANSLATE(B134,""en"",""pl"")"),"Wybierz tło")</f>
        <v>Wybierz tło</v>
      </c>
      <c r="AS134" s="4" t="str">
        <f>IFERROR(__xludf.DUMMYFUNCTION("GOOGLETRANSLATE(B134,""en"",""sv"")"),"Välj Bakgrund")</f>
        <v>Välj Bakgrund</v>
      </c>
      <c r="AT134" s="4" t="str">
        <f>IFERROR(__xludf.DUMMYFUNCTION("GOOGLETRANSLATE(B134,""en"",""uk"")"),"Виберіть Фон")</f>
        <v>Виберіть Фон</v>
      </c>
      <c r="AU134" s="4" t="str">
        <f>IFERROR(__xludf.DUMMYFUNCTION("GOOGLETRANSLATE(B134,""en"",""zu"")"),"Khetha Ingemuva")</f>
        <v>Khetha Ingemuva</v>
      </c>
      <c r="AV134" s="4" t="str">
        <f>IFERROR(__xludf.DUMMYFUNCTION("GOOGLETRANSLATE(B134,""en"",""sr"")"),"Изаберите Позадина")</f>
        <v>Изаберите Позадина</v>
      </c>
    </row>
    <row r="135">
      <c r="A135" s="3" t="s">
        <v>304</v>
      </c>
      <c r="B135" s="3" t="s">
        <v>305</v>
      </c>
      <c r="C135" s="4" t="str">
        <f>IFERROR(__xludf.DUMMYFUNCTION("GOOGLETRANSLATE(B135,""en"",""ta"")"),"பின்னணி படம் அல்லது வண்ணத்தைத் தேர்ந்தெடுக்கவும்")</f>
        <v>பின்னணி படம் அல்லது வண்ணத்தைத் தேர்ந்தெடுக்கவும்</v>
      </c>
      <c r="D135" s="4" t="str">
        <f>IFERROR(__xludf.DUMMYFUNCTION("GOOGLETRANSLATE(B135,""en"",""hi"")"),"पृष्ठभूमि छवि या रंग चुनें")</f>
        <v>पृष्ठभूमि छवि या रंग चुनें</v>
      </c>
      <c r="E135" s="4" t="str">
        <f>IFERROR(__xludf.DUMMYFUNCTION("GOOGLETRANSLATE(B135,""en"",""id"")"),"Pilih gambar atau warna latar belakang")</f>
        <v>Pilih gambar atau warna latar belakang</v>
      </c>
      <c r="F135" s="4" t="str">
        <f>IFERROR(__xludf.DUMMYFUNCTION("GOOGLETRANSLATE(B135,""en"",""ms"")"),"Pilih imej latar belakang atau warna")</f>
        <v>Pilih imej latar belakang atau warna</v>
      </c>
      <c r="G135" s="4" t="str">
        <f>IFERROR(__xludf.DUMMYFUNCTION("GOOGLETRANSLATE(B135,""en"",""de"")"),"Wählen Sie ein Hintergrundbild oder eine Farbe aus")</f>
        <v>Wählen Sie ein Hintergrundbild oder eine Farbe aus</v>
      </c>
      <c r="H135" s="4" t="str">
        <f>IFERROR(__xludf.DUMMYFUNCTION("GOOGLETRANSLATE(B135,""en"",""es"")"),"Seleccione una imagen o color de fondo")</f>
        <v>Seleccione una imagen o color de fondo</v>
      </c>
      <c r="I135" s="4" t="str">
        <f>IFERROR(__xludf.DUMMYFUNCTION("GOOGLETRANSLATE(B135,""en"",""fr"")"),"Sélectionnez une image ou une couleur d'arrière-plan")</f>
        <v>Sélectionnez une image ou une couleur d'arrière-plan</v>
      </c>
      <c r="J135" s="4" t="str">
        <f>IFERROR(__xludf.DUMMYFUNCTION("GOOGLETRANSLATE(B135,""en"",""it"")"),"Seleziona un'immagine o un colore di sfondo")</f>
        <v>Seleziona un'immagine o un colore di sfondo</v>
      </c>
      <c r="K135" s="4" t="str">
        <f>IFERROR(__xludf.DUMMYFUNCTION("GOOGLETRANSLATE(B135,""en"",""pt"")"),"Selecione uma imagem de fundo ou cor")</f>
        <v>Selecione uma imagem de fundo ou cor</v>
      </c>
      <c r="L135" s="4" t="str">
        <f>IFERROR(__xludf.DUMMYFUNCTION("GOOGLETRANSLATE(B135,""en"",""ro"")"),"Selectați o imagine de fundal sau o culoare")</f>
        <v>Selectați o imagine de fundal sau o culoare</v>
      </c>
      <c r="M135" s="4" t="str">
        <f>IFERROR(__xludf.DUMMYFUNCTION("GOOGLETRANSLATE(B135,""en"",""vi"")"),"Chọn hình nền hoặc màu sắc")</f>
        <v>Chọn hình nền hoặc màu sắc</v>
      </c>
      <c r="N135" s="4" t="str">
        <f>IFERROR(__xludf.DUMMYFUNCTION("GOOGLETRANSLATE(B135,""en"",""ru"")"),"Выберите фоновое изображение или цвет")</f>
        <v>Выберите фоновое изображение или цвет</v>
      </c>
      <c r="O135" s="4" t="str">
        <f>IFERROR(__xludf.DUMMYFUNCTION("GOOGLETRANSLATE(B135,""en"",""tr"")"),"Bir arka plan resmi veya rengi seçin")</f>
        <v>Bir arka plan resmi veya rengi seçin</v>
      </c>
      <c r="P135" s="4" t="str">
        <f>IFERROR(__xludf.DUMMYFUNCTION("GOOGLETRANSLATE(B135,""en"",""ar"")"),"حدد صورة أو لون الخلفية")</f>
        <v>حدد صورة أو لون الخلفية</v>
      </c>
      <c r="Q135" s="4" t="str">
        <f>IFERROR(__xludf.DUMMYFUNCTION("GOOGLETRANSLATE(B135,""en"",""mr"")"),"पार्श्वभूमी प्रतिमा किंवा रंग निवडा")</f>
        <v>पार्श्वभूमी प्रतिमा किंवा रंग निवडा</v>
      </c>
      <c r="R135" s="4" t="str">
        <f>IFERROR(__xludf.DUMMYFUNCTION("GOOGLETRANSLATE(B135,""en"",""gu"")"),"પૃષ્ઠભૂમિ છબી અથવા રંગ પસંદ કરો")</f>
        <v>પૃષ્ઠભૂમિ છબી અથવા રંગ પસંદ કરો</v>
      </c>
      <c r="S135" s="4" t="str">
        <f>IFERROR(__xludf.DUMMYFUNCTION("GOOGLETRANSLATE(B135,""en"",""bn"")"),"একটি পটভূমি ছবি বা রঙ নির্বাচন করুন")</f>
        <v>একটি পটভূমি ছবি বা রঙ নির্বাচন করুন</v>
      </c>
      <c r="T135" s="4" t="str">
        <f>IFERROR(__xludf.DUMMYFUNCTION("GOOGLETRANSLATE(B135,""en"",""pa"")"),"ਇੱਕ ਪਿਛੋਕੜ ਚਿੱਤਰ ਜਾਂ ਰੰਗ ਚੁਣੋ")</f>
        <v>ਇੱਕ ਪਿਛੋਕੜ ਚਿੱਤਰ ਜਾਂ ਰੰਗ ਚੁਣੋ</v>
      </c>
      <c r="U135" s="4" t="str">
        <f>IFERROR(__xludf.DUMMYFUNCTION("GOOGLETRANSLATE(B135,""en"",""te"")"),"నేపథ్య చిత్రం లేదా రంగును ఎంచుకోండి")</f>
        <v>నేపథ్య చిత్రం లేదా రంగును ఎంచుకోండి</v>
      </c>
      <c r="V135" s="4" t="str">
        <f>IFERROR(__xludf.DUMMYFUNCTION("GOOGLETRANSLATE(B135,""en"",""kn"")"),"ಹಿನ್ನೆಲೆ ಚಿತ್ರ ಅಥವಾ ಬಣ್ಣವನ್ನು ಆಯ್ಕೆಮಾಡಿ")</f>
        <v>ಹಿನ್ನೆಲೆ ಚಿತ್ರ ಅಥವಾ ಬಣ್ಣವನ್ನು ಆಯ್ಕೆಮಾಡಿ</v>
      </c>
      <c r="W135" s="4" t="str">
        <f>IFERROR(__xludf.DUMMYFUNCTION("GOOGLETRANSLATE(B135,""en"",""ml"")"),"ഒരു പശ്ചാത്തല ചിത്രമോ നിറമോ തിരഞ്ഞെടുക്കുക")</f>
        <v>ഒരു പശ്ചാത്തല ചിത്രമോ നിറമോ തിരഞ്ഞെടുക്കുക</v>
      </c>
      <c r="X135" s="4" t="str">
        <f>IFERROR(__xludf.DUMMYFUNCTION("GOOGLETRANSLATE(B135,""en"",""th"")"),"เลือกภาพหรือสีพื้นหลัง")</f>
        <v>เลือกภาพหรือสีพื้นหลัง</v>
      </c>
      <c r="Y135" s="4" t="str">
        <f>IFERROR(__xludf.DUMMYFUNCTION("GOOGLETRANSLATE(B135,""en"",""ko"")"),"배경 이미지나 색상을 선택하세요")</f>
        <v>배경 이미지나 색상을 선택하세요</v>
      </c>
      <c r="Z135" s="4" t="str">
        <f>IFERROR(__xludf.DUMMYFUNCTION("GOOGLETRANSLATE(B135,""en"",""zh"")"),"选择背景图像或颜色")</f>
        <v>选择背景图像或颜色</v>
      </c>
      <c r="AA135" s="4" t="str">
        <f>IFERROR(__xludf.DUMMYFUNCTION("GOOGLETRANSLATE(B135,""en"",""zh-TW"")"),"選擇背景圖像或顏色")</f>
        <v>選擇背景圖像或顏色</v>
      </c>
      <c r="AB135" s="4" t="str">
        <f>IFERROR(__xludf.DUMMYFUNCTION("GOOGLETRANSLATE(B135,""en"",""ja"")"),"背景画像または色を選択する")</f>
        <v>背景画像または色を選択する</v>
      </c>
      <c r="AC135" s="4" t="str">
        <f>IFERROR(__xludf.DUMMYFUNCTION("GOOGLETRANSLATE(B135,""en"",""bg"")"),"Изберете фоново изображение или цвят")</f>
        <v>Изберете фоново изображение или цвят</v>
      </c>
      <c r="AD135" s="4" t="str">
        <f>IFERROR(__xludf.DUMMYFUNCTION("GOOGLETRANSLATE(B135,""en"",""cs"")"),"Vyberte obrázek nebo barvu pozadí")</f>
        <v>Vyberte obrázek nebo barvu pozadí</v>
      </c>
      <c r="AE135" s="4" t="str">
        <f>IFERROR(__xludf.DUMMYFUNCTION("GOOGLETRANSLATE(B135,""en"",""da"")"),"Vælg et baggrundsbillede eller en farve")</f>
        <v>Vælg et baggrundsbillede eller en farve</v>
      </c>
      <c r="AF135" s="4" t="str">
        <f>IFERROR(__xludf.DUMMYFUNCTION("GOOGLETRANSLATE(B135,""en"",""el"")"),"Επιλέξτε μια εικόνα φόντου ή ένα χρώμα")</f>
        <v>Επιλέξτε μια εικόνα φόντου ή ένα χρώμα</v>
      </c>
      <c r="AG135" s="4" t="str">
        <f>IFERROR(__xludf.DUMMYFUNCTION("GOOGLETRANSLATE(B135,""en"",""et"")"),"Valige taustapilt või -värv")</f>
        <v>Valige taustapilt või -värv</v>
      </c>
      <c r="AH135" s="4" t="str">
        <f>IFERROR(__xludf.DUMMYFUNCTION("GOOGLETRANSLATE(B135,""en"",""fi"")"),"Valitse taustakuva tai väri")</f>
        <v>Valitse taustakuva tai väri</v>
      </c>
      <c r="AI135" s="4" t="str">
        <f>IFERROR(__xludf.DUMMYFUNCTION("GOOGLETRANSLATE(B135,""en"",""hr"")"),"Odaberite pozadinsku sliku ili boju")</f>
        <v>Odaberite pozadinsku sliku ili boju</v>
      </c>
      <c r="AJ135" s="4" t="str">
        <f>IFERROR(__xludf.DUMMYFUNCTION("GOOGLETRANSLATE(B135,""en"",""hu"")"),"Válasszon háttérképet vagy színt")</f>
        <v>Válasszon háttérképet vagy színt</v>
      </c>
      <c r="AK135" s="4" t="str">
        <f>IFERROR(__xludf.DUMMYFUNCTION("GOOGLETRANSLATE(B135,""en"",""hy"")"),"Ընտրեք ֆոնային պատկեր կամ գույն")</f>
        <v>Ընտրեք ֆոնային պատկեր կամ գույն</v>
      </c>
      <c r="AL135" s="4" t="str">
        <f>IFERROR(__xludf.DUMMYFUNCTION("GOOGLETRANSLATE(B135,""en"",""ca"")"),"Seleccioneu una imatge de fons o un color")</f>
        <v>Seleccioneu una imatge de fons o un color</v>
      </c>
      <c r="AM135" s="4" t="str">
        <f>IFERROR(__xludf.DUMMYFUNCTION("GOOGLETRANSLATE(B135,""en"",""nl"")"),"Selecteer een achtergrondafbeelding of -kleur")</f>
        <v>Selecteer een achtergrondafbeelding of -kleur</v>
      </c>
      <c r="AN135" s="4" t="str">
        <f>IFERROR(__xludf.DUMMYFUNCTION("GOOGLETRANSLATE(B135,""en"",""he"")"),"בחר תמונת רקע או צבע")</f>
        <v>בחר תמונת רקע או צבע</v>
      </c>
      <c r="AO135" s="4" t="str">
        <f>IFERROR(__xludf.DUMMYFUNCTION("GOOGLETRANSLATE(B135,""en"",""is"")"),"Veldu bakgrunnsmynd eða lit")</f>
        <v>Veldu bakgrunnsmynd eða lit</v>
      </c>
      <c r="AP135" s="4" t="str">
        <f>IFERROR(__xludf.DUMMYFUNCTION("GOOGLETRANSLATE(B135,""en"",""no"")"),"Velg et bakgrunnsbilde eller farge")</f>
        <v>Velg et bakgrunnsbilde eller farge</v>
      </c>
      <c r="AQ135" s="4" t="str">
        <f>IFERROR(__xludf.DUMMYFUNCTION("GOOGLETRANSLATE(B135,""en"",""fa"")"),"یک تصویر پس زمینه یا رنگ را انتخاب کنید")</f>
        <v>یک تصویر پس زمینه یا رنگ را انتخاب کنید</v>
      </c>
      <c r="AR135" s="4" t="str">
        <f>IFERROR(__xludf.DUMMYFUNCTION("GOOGLETRANSLATE(B135,""en"",""pl"")"),"Wybierz obraz tła lub kolor")</f>
        <v>Wybierz obraz tła lub kolor</v>
      </c>
      <c r="AS135" s="4" t="str">
        <f>IFERROR(__xludf.DUMMYFUNCTION("GOOGLETRANSLATE(B135,""en"",""sv"")"),"Välj en bakgrundsbild eller färg")</f>
        <v>Välj en bakgrundsbild eller färg</v>
      </c>
      <c r="AT135" s="4" t="str">
        <f>IFERROR(__xludf.DUMMYFUNCTION("GOOGLETRANSLATE(B135,""en"",""uk"")"),"Виберіть фонове зображення або колір")</f>
        <v>Виберіть фонове зображення або колір</v>
      </c>
      <c r="AU135" s="4" t="str">
        <f>IFERROR(__xludf.DUMMYFUNCTION("GOOGLETRANSLATE(B135,""en"",""zu"")"),"Khetha isithombe sangemuva noma umbala")</f>
        <v>Khetha isithombe sangemuva noma umbala</v>
      </c>
      <c r="AV135" s="4" t="str">
        <f>IFERROR(__xludf.DUMMYFUNCTION("GOOGLETRANSLATE(B135,""en"",""sr"")"),"Изаберите позадину или боју")</f>
        <v>Изаберите позадину или боју</v>
      </c>
    </row>
    <row r="136">
      <c r="A136" s="3" t="s">
        <v>306</v>
      </c>
      <c r="B136" s="3" t="s">
        <v>307</v>
      </c>
      <c r="C136" s="4" t="str">
        <f>IFERROR(__xludf.DUMMYFUNCTION("GOOGLETRANSLATE(B136,""en"",""ta"")"),"பின்னணியாக அமைக்கவும்")</f>
        <v>பின்னணியாக அமைக்கவும்</v>
      </c>
      <c r="D136" s="4" t="str">
        <f>IFERROR(__xludf.DUMMYFUNCTION("GOOGLETRANSLATE(B136,""en"",""hi"")"),"पृष्ठभूमि के रूप में सेट करें")</f>
        <v>पृष्ठभूमि के रूप में सेट करें</v>
      </c>
      <c r="E136" s="4" t="str">
        <f>IFERROR(__xludf.DUMMYFUNCTION("GOOGLETRANSLATE(B136,""en"",""id"")"),"Tetapkan sebagai Latar Belakang")</f>
        <v>Tetapkan sebagai Latar Belakang</v>
      </c>
      <c r="F136" s="4" t="str">
        <f>IFERROR(__xludf.DUMMYFUNCTION("GOOGLETRANSLATE(B136,""en"",""ms"")"),"Tetapkan sebagai Latar Belakang")</f>
        <v>Tetapkan sebagai Latar Belakang</v>
      </c>
      <c r="G136" s="4" t="str">
        <f>IFERROR(__xludf.DUMMYFUNCTION("GOOGLETRANSLATE(B136,""en"",""de"")"),"Als Hintergrund festlegen")</f>
        <v>Als Hintergrund festlegen</v>
      </c>
      <c r="H136" s="4" t="str">
        <f>IFERROR(__xludf.DUMMYFUNCTION("GOOGLETRANSLATE(B136,""en"",""es"")"),"Establecer como fondo")</f>
        <v>Establecer como fondo</v>
      </c>
      <c r="I136" s="4" t="str">
        <f>IFERROR(__xludf.DUMMYFUNCTION("GOOGLETRANSLATE(B136,""en"",""fr"")"),"Définir comme arrière-plan")</f>
        <v>Définir comme arrière-plan</v>
      </c>
      <c r="J136" s="4" t="str">
        <f>IFERROR(__xludf.DUMMYFUNCTION("GOOGLETRANSLATE(B136,""en"",""it"")"),"Imposta come sfondo")</f>
        <v>Imposta come sfondo</v>
      </c>
      <c r="K136" s="4" t="str">
        <f>IFERROR(__xludf.DUMMYFUNCTION("GOOGLETRANSLATE(B136,""en"",""pt"")"),"Definir como plano de fundo")</f>
        <v>Definir como plano de fundo</v>
      </c>
      <c r="L136" s="4" t="str">
        <f>IFERROR(__xludf.DUMMYFUNCTION("GOOGLETRANSLATE(B136,""en"",""ro"")"),"Setați ca fundal")</f>
        <v>Setați ca fundal</v>
      </c>
      <c r="M136" s="4" t="str">
        <f>IFERROR(__xludf.DUMMYFUNCTION("GOOGLETRANSLATE(B136,""en"",""vi"")"),"Đặt làm Nền")</f>
        <v>Đặt làm Nền</v>
      </c>
      <c r="N136" s="4" t="str">
        <f>IFERROR(__xludf.DUMMYFUNCTION("GOOGLETRANSLATE(B136,""en"",""ru"")"),"Установить как фон")</f>
        <v>Установить как фон</v>
      </c>
      <c r="O136" s="4" t="str">
        <f>IFERROR(__xludf.DUMMYFUNCTION("GOOGLETRANSLATE(B136,""en"",""tr"")"),"Arka Plan Olarak Ayarla")</f>
        <v>Arka Plan Olarak Ayarla</v>
      </c>
      <c r="P136" s="4" t="str">
        <f>IFERROR(__xludf.DUMMYFUNCTION("GOOGLETRANSLATE(B136,""en"",""ar"")"),"تعيين كخلفية")</f>
        <v>تعيين كخلفية</v>
      </c>
      <c r="Q136" s="4" t="str">
        <f>IFERROR(__xludf.DUMMYFUNCTION("GOOGLETRANSLATE(B136,""en"",""mr"")"),"पार्श्वभूमी म्हणून सेट करा")</f>
        <v>पार्श्वभूमी म्हणून सेट करा</v>
      </c>
      <c r="R136" s="4" t="str">
        <f>IFERROR(__xludf.DUMMYFUNCTION("GOOGLETRANSLATE(B136,""en"",""gu"")"),"પૃષ્ઠભૂમિ તરીકે સેટ કરો")</f>
        <v>પૃષ્ઠભૂમિ તરીકે સેટ કરો</v>
      </c>
      <c r="S136" s="4" t="str">
        <f>IFERROR(__xludf.DUMMYFUNCTION("GOOGLETRANSLATE(B136,""en"",""bn"")"),"ব্যাকগ্রাউন্ড হিসেবে সেট করুন")</f>
        <v>ব্যাকগ্রাউন্ড হিসেবে সেট করুন</v>
      </c>
      <c r="T136" s="4" t="str">
        <f>IFERROR(__xludf.DUMMYFUNCTION("GOOGLETRANSLATE(B136,""en"",""pa"")"),"ਬੈਕਗ੍ਰਾਊਂਡ ਵਜੋਂ ਸੈੱਟ ਕਰੋ")</f>
        <v>ਬੈਕਗ੍ਰਾਊਂਡ ਵਜੋਂ ਸੈੱਟ ਕਰੋ</v>
      </c>
      <c r="U136" s="4" t="str">
        <f>IFERROR(__xludf.DUMMYFUNCTION("GOOGLETRANSLATE(B136,""en"",""te"")"),"బ్యాక్‌గ్రౌండ్‌గా సెట్ చేయండి")</f>
        <v>బ్యాక్‌గ్రౌండ్‌గా సెట్ చేయండి</v>
      </c>
      <c r="V136" s="4" t="str">
        <f>IFERROR(__xludf.DUMMYFUNCTION("GOOGLETRANSLATE(B136,""en"",""kn"")"),"ಹಿನ್ನೆಲೆಯಾಗಿ ಹೊಂದಿಸಿ")</f>
        <v>ಹಿನ್ನೆಲೆಯಾಗಿ ಹೊಂದಿಸಿ</v>
      </c>
      <c r="W136" s="4" t="str">
        <f>IFERROR(__xludf.DUMMYFUNCTION("GOOGLETRANSLATE(B136,""en"",""ml"")"),"പശ്ചാത്തലമായി സജ്ജമാക്കുക")</f>
        <v>പശ്ചാത്തലമായി സജ്ജമാക്കുക</v>
      </c>
      <c r="X136" s="4" t="str">
        <f>IFERROR(__xludf.DUMMYFUNCTION("GOOGLETRANSLATE(B136,""en"",""th"")"),"ตั้งเป็นพื้นหลัง")</f>
        <v>ตั้งเป็นพื้นหลัง</v>
      </c>
      <c r="Y136" s="4" t="str">
        <f>IFERROR(__xludf.DUMMYFUNCTION("GOOGLETRANSLATE(B136,""en"",""ko"")"),"배경으로 설정")</f>
        <v>배경으로 설정</v>
      </c>
      <c r="Z136" s="4" t="str">
        <f>IFERROR(__xludf.DUMMYFUNCTION("GOOGLETRANSLATE(B136,""en"",""zh"")"),"设为背景")</f>
        <v>设为背景</v>
      </c>
      <c r="AA136" s="4" t="str">
        <f>IFERROR(__xludf.DUMMYFUNCTION("GOOGLETRANSLATE(B136,""en"",""zh-TW"")"),"設為背景")</f>
        <v>設為背景</v>
      </c>
      <c r="AB136" s="4" t="str">
        <f>IFERROR(__xludf.DUMMYFUNCTION("GOOGLETRANSLATE(B136,""en"",""ja"")"),"背景に設定")</f>
        <v>背景に設定</v>
      </c>
      <c r="AC136" s="4" t="str">
        <f>IFERROR(__xludf.DUMMYFUNCTION("GOOGLETRANSLATE(B136,""en"",""bg"")"),"Задаване като фон")</f>
        <v>Задаване като фон</v>
      </c>
      <c r="AD136" s="4" t="str">
        <f>IFERROR(__xludf.DUMMYFUNCTION("GOOGLETRANSLATE(B136,""en"",""cs"")"),"Nastavit jako pozadí")</f>
        <v>Nastavit jako pozadí</v>
      </c>
      <c r="AE136" s="4" t="str">
        <f>IFERROR(__xludf.DUMMYFUNCTION("GOOGLETRANSLATE(B136,""en"",""da"")"),"Indstil som baggrund")</f>
        <v>Indstil som baggrund</v>
      </c>
      <c r="AF136" s="4" t="str">
        <f>IFERROR(__xludf.DUMMYFUNCTION("GOOGLETRANSLATE(B136,""en"",""el"")"),"Ορισμός ως φόντο")</f>
        <v>Ορισμός ως φόντο</v>
      </c>
      <c r="AG136" s="4" t="str">
        <f>IFERROR(__xludf.DUMMYFUNCTION("GOOGLETRANSLATE(B136,""en"",""et"")"),"Määra taustaks")</f>
        <v>Määra taustaks</v>
      </c>
      <c r="AH136" s="4" t="str">
        <f>IFERROR(__xludf.DUMMYFUNCTION("GOOGLETRANSLATE(B136,""en"",""fi"")"),"Aseta taustaksi")</f>
        <v>Aseta taustaksi</v>
      </c>
      <c r="AI136" s="4" t="str">
        <f>IFERROR(__xludf.DUMMYFUNCTION("GOOGLETRANSLATE(B136,""en"",""hr"")"),"Postavi kao pozadinu")</f>
        <v>Postavi kao pozadinu</v>
      </c>
      <c r="AJ136" s="4" t="str">
        <f>IFERROR(__xludf.DUMMYFUNCTION("GOOGLETRANSLATE(B136,""en"",""hu"")"),"Beállítás háttérként")</f>
        <v>Beállítás háttérként</v>
      </c>
      <c r="AK136" s="4" t="str">
        <f>IFERROR(__xludf.DUMMYFUNCTION("GOOGLETRANSLATE(B136,""en"",""hy"")"),"Սահմանել որպես ֆոն")</f>
        <v>Սահմանել որպես ֆոն</v>
      </c>
      <c r="AL136" s="4" t="str">
        <f>IFERROR(__xludf.DUMMYFUNCTION("GOOGLETRANSLATE(B136,""en"",""ca"")"),"Estableix com a fons")</f>
        <v>Estableix com a fons</v>
      </c>
      <c r="AM136" s="4" t="str">
        <f>IFERROR(__xludf.DUMMYFUNCTION("GOOGLETRANSLATE(B136,""en"",""nl"")"),"Instellen als achtergrond")</f>
        <v>Instellen als achtergrond</v>
      </c>
      <c r="AN136" s="4" t="str">
        <f>IFERROR(__xludf.DUMMYFUNCTION("GOOGLETRANSLATE(B136,""en"",""he"")"),"הגדר כרקע")</f>
        <v>הגדר כרקע</v>
      </c>
      <c r="AO136" s="4" t="str">
        <f>IFERROR(__xludf.DUMMYFUNCTION("GOOGLETRANSLATE(B136,""en"",""is"")"),"Stilla sem bakgrunn")</f>
        <v>Stilla sem bakgrunn</v>
      </c>
      <c r="AP136" s="4" t="str">
        <f>IFERROR(__xludf.DUMMYFUNCTION("GOOGLETRANSLATE(B136,""en"",""no"")"),"Angi som bakgrunn")</f>
        <v>Angi som bakgrunn</v>
      </c>
      <c r="AQ136" s="4" t="str">
        <f>IFERROR(__xludf.DUMMYFUNCTION("GOOGLETRANSLATE(B136,""en"",""fa"")"),"به عنوان پس‌زمینه تنظیم کنید")</f>
        <v>به عنوان پس‌زمینه تنظیم کنید</v>
      </c>
      <c r="AR136" s="4" t="str">
        <f>IFERROR(__xludf.DUMMYFUNCTION("GOOGLETRANSLATE(B136,""en"",""pl"")"),"Ustaw jako tło")</f>
        <v>Ustaw jako tło</v>
      </c>
      <c r="AS136" s="4" t="str">
        <f>IFERROR(__xludf.DUMMYFUNCTION("GOOGLETRANSLATE(B136,""en"",""sv"")"),"Ställ in som bakgrund")</f>
        <v>Ställ in som bakgrund</v>
      </c>
      <c r="AT136" s="4" t="str">
        <f>IFERROR(__xludf.DUMMYFUNCTION("GOOGLETRANSLATE(B136,""en"",""uk"")"),"Встановити як фон")</f>
        <v>Встановити як фон</v>
      </c>
      <c r="AU136" s="4" t="str">
        <f>IFERROR(__xludf.DUMMYFUNCTION("GOOGLETRANSLATE(B136,""en"",""zu"")"),"Setha Njengesendlalelo")</f>
        <v>Setha Njengesendlalelo</v>
      </c>
      <c r="AV136" s="4" t="str">
        <f>IFERROR(__xludf.DUMMYFUNCTION("GOOGLETRANSLATE(B136,""en"",""sr"")"),"Постави као позадину")</f>
        <v>Постави као позадину</v>
      </c>
    </row>
    <row r="137">
      <c r="A137" s="3" t="s">
        <v>308</v>
      </c>
      <c r="B137" s="3" t="s">
        <v>301</v>
      </c>
      <c r="C137" s="4" t="str">
        <f>IFERROR(__xludf.DUMMYFUNCTION("GOOGLETRANSLATE(B137,""en"",""ta"")"),"நிறம்")</f>
        <v>நிறம்</v>
      </c>
      <c r="D137" s="4" t="str">
        <f>IFERROR(__xludf.DUMMYFUNCTION("GOOGLETRANSLATE(B137,""en"",""hi"")"),"रंग")</f>
        <v>रंग</v>
      </c>
      <c r="E137" s="4" t="str">
        <f>IFERROR(__xludf.DUMMYFUNCTION("GOOGLETRANSLATE(B137,""en"",""id"")"),"Warna")</f>
        <v>Warna</v>
      </c>
      <c r="F137" s="4" t="str">
        <f>IFERROR(__xludf.DUMMYFUNCTION("GOOGLETRANSLATE(B137,""en"",""ms"")"),"warna")</f>
        <v>warna</v>
      </c>
      <c r="G137" s="4" t="str">
        <f>IFERROR(__xludf.DUMMYFUNCTION("GOOGLETRANSLATE(B137,""en"",""de"")"),"Farbe")</f>
        <v>Farbe</v>
      </c>
      <c r="H137" s="4" t="str">
        <f>IFERROR(__xludf.DUMMYFUNCTION("GOOGLETRANSLATE(B137,""en"",""es"")"),"Color")</f>
        <v>Color</v>
      </c>
      <c r="I137" s="4" t="str">
        <f>IFERROR(__xludf.DUMMYFUNCTION("GOOGLETRANSLATE(B137,""en"",""fr"")"),"Couleur")</f>
        <v>Couleur</v>
      </c>
      <c r="J137" s="4" t="str">
        <f>IFERROR(__xludf.DUMMYFUNCTION("GOOGLETRANSLATE(B137,""en"",""it"")"),"Colore")</f>
        <v>Colore</v>
      </c>
      <c r="K137" s="4" t="str">
        <f>IFERROR(__xludf.DUMMYFUNCTION("GOOGLETRANSLATE(B137,""en"",""pt"")"),"Cor")</f>
        <v>Cor</v>
      </c>
      <c r="L137" s="4" t="str">
        <f>IFERROR(__xludf.DUMMYFUNCTION("GOOGLETRANSLATE(B137,""en"",""ro"")"),"Culoare")</f>
        <v>Culoare</v>
      </c>
      <c r="M137" s="4" t="str">
        <f>IFERROR(__xludf.DUMMYFUNCTION("GOOGLETRANSLATE(B137,""en"",""vi"")"),"Màu sắc")</f>
        <v>Màu sắc</v>
      </c>
      <c r="N137" s="4" t="str">
        <f>IFERROR(__xludf.DUMMYFUNCTION("GOOGLETRANSLATE(B137,""en"",""ru"")"),"Цвет")</f>
        <v>Цвет</v>
      </c>
      <c r="O137" s="4" t="str">
        <f>IFERROR(__xludf.DUMMYFUNCTION("GOOGLETRANSLATE(B137,""en"",""tr"")"),"Renk")</f>
        <v>Renk</v>
      </c>
      <c r="P137" s="4" t="str">
        <f>IFERROR(__xludf.DUMMYFUNCTION("GOOGLETRANSLATE(B137,""en"",""ar"")"),"لون")</f>
        <v>لون</v>
      </c>
      <c r="Q137" s="4" t="str">
        <f>IFERROR(__xludf.DUMMYFUNCTION("GOOGLETRANSLATE(B137,""en"",""mr"")"),"रंग")</f>
        <v>रंग</v>
      </c>
      <c r="R137" s="4" t="str">
        <f>IFERROR(__xludf.DUMMYFUNCTION("GOOGLETRANSLATE(B137,""en"",""gu"")"),"રંગ")</f>
        <v>રંગ</v>
      </c>
      <c r="S137" s="4" t="str">
        <f>IFERROR(__xludf.DUMMYFUNCTION("GOOGLETRANSLATE(B137,""en"",""bn"")"),"রঙ")</f>
        <v>রঙ</v>
      </c>
      <c r="T137" s="4" t="str">
        <f>IFERROR(__xludf.DUMMYFUNCTION("GOOGLETRANSLATE(B137,""en"",""pa"")"),"ਰੰਗ")</f>
        <v>ਰੰਗ</v>
      </c>
      <c r="U137" s="4" t="str">
        <f>IFERROR(__xludf.DUMMYFUNCTION("GOOGLETRANSLATE(B137,""en"",""te"")"),"రంగు")</f>
        <v>రంగు</v>
      </c>
      <c r="V137" s="4" t="str">
        <f>IFERROR(__xludf.DUMMYFUNCTION("GOOGLETRANSLATE(B137,""en"",""kn"")"),"ಬಣ್ಣ")</f>
        <v>ಬಣ್ಣ</v>
      </c>
      <c r="W137" s="4" t="str">
        <f>IFERROR(__xludf.DUMMYFUNCTION("GOOGLETRANSLATE(B137,""en"",""ml"")"),"നിറം")</f>
        <v>നിറം</v>
      </c>
      <c r="X137" s="4" t="str">
        <f>IFERROR(__xludf.DUMMYFUNCTION("GOOGLETRANSLATE(B137,""en"",""th"")"),"สี")</f>
        <v>สี</v>
      </c>
      <c r="Y137" s="4" t="str">
        <f>IFERROR(__xludf.DUMMYFUNCTION("GOOGLETRANSLATE(B137,""en"",""ko"")"),"색상")</f>
        <v>색상</v>
      </c>
      <c r="Z137" s="4" t="str">
        <f>IFERROR(__xludf.DUMMYFUNCTION("GOOGLETRANSLATE(B137,""en"",""zh"")"),"颜色")</f>
        <v>颜色</v>
      </c>
      <c r="AA137" s="4" t="str">
        <f>IFERROR(__xludf.DUMMYFUNCTION("GOOGLETRANSLATE(B137,""en"",""zh-TW"")"),"顏色")</f>
        <v>顏色</v>
      </c>
      <c r="AB137" s="4" t="str">
        <f>IFERROR(__xludf.DUMMYFUNCTION("GOOGLETRANSLATE(B137,""en"",""ja"")"),"色")</f>
        <v>色</v>
      </c>
      <c r="AC137" s="4" t="str">
        <f>IFERROR(__xludf.DUMMYFUNCTION("GOOGLETRANSLATE(B137,""en"",""bg"")"),"Цвят")</f>
        <v>Цвят</v>
      </c>
      <c r="AD137" s="4" t="str">
        <f>IFERROR(__xludf.DUMMYFUNCTION("GOOGLETRANSLATE(B137,""en"",""cs"")"),"Barva")</f>
        <v>Barva</v>
      </c>
      <c r="AE137" s="4" t="str">
        <f>IFERROR(__xludf.DUMMYFUNCTION("GOOGLETRANSLATE(B137,""en"",""da"")"),"Farve")</f>
        <v>Farve</v>
      </c>
      <c r="AF137" s="4" t="str">
        <f>IFERROR(__xludf.DUMMYFUNCTION("GOOGLETRANSLATE(B137,""en"",""el"")"),"Χρώμα")</f>
        <v>Χρώμα</v>
      </c>
      <c r="AG137" s="4" t="str">
        <f>IFERROR(__xludf.DUMMYFUNCTION("GOOGLETRANSLATE(B137,""en"",""et"")"),"Värv")</f>
        <v>Värv</v>
      </c>
      <c r="AH137" s="4" t="str">
        <f>IFERROR(__xludf.DUMMYFUNCTION("GOOGLETRANSLATE(B137,""en"",""fi"")"),"Väri")</f>
        <v>Väri</v>
      </c>
      <c r="AI137" s="4" t="str">
        <f>IFERROR(__xludf.DUMMYFUNCTION("GOOGLETRANSLATE(B137,""en"",""hr"")"),"Boja")</f>
        <v>Boja</v>
      </c>
      <c r="AJ137" s="4" t="str">
        <f>IFERROR(__xludf.DUMMYFUNCTION("GOOGLETRANSLATE(B137,""en"",""hu"")"),"Szín")</f>
        <v>Szín</v>
      </c>
      <c r="AK137" s="4" t="str">
        <f>IFERROR(__xludf.DUMMYFUNCTION("GOOGLETRANSLATE(B137,""en"",""hy"")"),"Գույն")</f>
        <v>Գույն</v>
      </c>
      <c r="AL137" s="4" t="str">
        <f>IFERROR(__xludf.DUMMYFUNCTION("GOOGLETRANSLATE(B137,""en"",""ca"")"),"Color")</f>
        <v>Color</v>
      </c>
      <c r="AM137" s="4" t="str">
        <f>IFERROR(__xludf.DUMMYFUNCTION("GOOGLETRANSLATE(B137,""en"",""nl"")"),"Kleur")</f>
        <v>Kleur</v>
      </c>
      <c r="AN137" s="4" t="str">
        <f>IFERROR(__xludf.DUMMYFUNCTION("GOOGLETRANSLATE(B137,""en"",""he"")"),"צֶבַע")</f>
        <v>צֶבַע</v>
      </c>
      <c r="AO137" s="4" t="str">
        <f>IFERROR(__xludf.DUMMYFUNCTION("GOOGLETRANSLATE(B137,""en"",""is"")"),"Litur")</f>
        <v>Litur</v>
      </c>
      <c r="AP137" s="4" t="str">
        <f>IFERROR(__xludf.DUMMYFUNCTION("GOOGLETRANSLATE(B137,""en"",""no"")"),"Farge")</f>
        <v>Farge</v>
      </c>
      <c r="AQ137" s="4" t="str">
        <f>IFERROR(__xludf.DUMMYFUNCTION("GOOGLETRANSLATE(B137,""en"",""fa"")"),"رنگ")</f>
        <v>رنگ</v>
      </c>
      <c r="AR137" s="4" t="str">
        <f>IFERROR(__xludf.DUMMYFUNCTION("GOOGLETRANSLATE(B137,""en"",""pl"")"),"Kolor")</f>
        <v>Kolor</v>
      </c>
      <c r="AS137" s="4" t="str">
        <f>IFERROR(__xludf.DUMMYFUNCTION("GOOGLETRANSLATE(B137,""en"",""sv"")"),"Färg")</f>
        <v>Färg</v>
      </c>
      <c r="AT137" s="4" t="str">
        <f>IFERROR(__xludf.DUMMYFUNCTION("GOOGLETRANSLATE(B137,""en"",""uk"")"),"Колір")</f>
        <v>Колір</v>
      </c>
      <c r="AU137" s="4" t="str">
        <f>IFERROR(__xludf.DUMMYFUNCTION("GOOGLETRANSLATE(B137,""en"",""zu"")"),"Umbala")</f>
        <v>Umbala</v>
      </c>
      <c r="AV137" s="4" t="str">
        <f>IFERROR(__xludf.DUMMYFUNCTION("GOOGLETRANSLATE(B137,""en"",""sr"")"),"Боја")</f>
        <v>Боја</v>
      </c>
    </row>
    <row r="138">
      <c r="A138" s="3" t="s">
        <v>309</v>
      </c>
      <c r="B138" s="3" t="s">
        <v>310</v>
      </c>
      <c r="C138" s="4" t="str">
        <f>IFERROR(__xludf.DUMMYFUNCTION("GOOGLETRANSLATE(B138,""en"",""ta"")"),"தொகுப்பு")</f>
        <v>தொகுப்பு</v>
      </c>
      <c r="D138" s="4" t="str">
        <f>IFERROR(__xludf.DUMMYFUNCTION("GOOGLETRANSLATE(B138,""en"",""hi"")"),"गैलरी")</f>
        <v>गैलरी</v>
      </c>
      <c r="E138" s="4" t="str">
        <f>IFERROR(__xludf.DUMMYFUNCTION("GOOGLETRANSLATE(B138,""en"",""id"")"),"Galeri")</f>
        <v>Galeri</v>
      </c>
      <c r="F138" s="4" t="str">
        <f>IFERROR(__xludf.DUMMYFUNCTION("GOOGLETRANSLATE(B138,""en"",""ms"")"),"Galeri")</f>
        <v>Galeri</v>
      </c>
      <c r="G138" s="4" t="str">
        <f>IFERROR(__xludf.DUMMYFUNCTION("GOOGLETRANSLATE(B138,""en"",""de"")"),"Galerie")</f>
        <v>Galerie</v>
      </c>
      <c r="H138" s="4" t="str">
        <f>IFERROR(__xludf.DUMMYFUNCTION("GOOGLETRANSLATE(B138,""en"",""es"")"),"Galería")</f>
        <v>Galería</v>
      </c>
      <c r="I138" s="4" t="str">
        <f>IFERROR(__xludf.DUMMYFUNCTION("GOOGLETRANSLATE(B138,""en"",""fr"")"),"Galerie")</f>
        <v>Galerie</v>
      </c>
      <c r="J138" s="4" t="str">
        <f>IFERROR(__xludf.DUMMYFUNCTION("GOOGLETRANSLATE(B138,""en"",""it"")"),"Galleria")</f>
        <v>Galleria</v>
      </c>
      <c r="K138" s="4" t="str">
        <f>IFERROR(__xludf.DUMMYFUNCTION("GOOGLETRANSLATE(B138,""en"",""pt"")"),"Galeria")</f>
        <v>Galeria</v>
      </c>
      <c r="L138" s="4" t="str">
        <f>IFERROR(__xludf.DUMMYFUNCTION("GOOGLETRANSLATE(B138,""en"",""ro"")"),"Galerie")</f>
        <v>Galerie</v>
      </c>
      <c r="M138" s="4" t="str">
        <f>IFERROR(__xludf.DUMMYFUNCTION("GOOGLETRANSLATE(B138,""en"",""vi"")"),"Phòng trưng bày")</f>
        <v>Phòng trưng bày</v>
      </c>
      <c r="N138" s="4" t="str">
        <f>IFERROR(__xludf.DUMMYFUNCTION("GOOGLETRANSLATE(B138,""en"",""ru"")"),"Галерея")</f>
        <v>Галерея</v>
      </c>
      <c r="O138" s="4" t="str">
        <f>IFERROR(__xludf.DUMMYFUNCTION("GOOGLETRANSLATE(B138,""en"",""tr"")"),"Galeri")</f>
        <v>Galeri</v>
      </c>
      <c r="P138" s="4" t="str">
        <f>IFERROR(__xludf.DUMMYFUNCTION("GOOGLETRANSLATE(B138,""en"",""ar"")"),"معرض الصور")</f>
        <v>معرض الصور</v>
      </c>
      <c r="Q138" s="4" t="str">
        <f>IFERROR(__xludf.DUMMYFUNCTION("GOOGLETRANSLATE(B138,""en"",""mr"")"),"गॅलरी")</f>
        <v>गॅलरी</v>
      </c>
      <c r="R138" s="4" t="str">
        <f>IFERROR(__xludf.DUMMYFUNCTION("GOOGLETRANSLATE(B138,""en"",""gu"")"),"ગેલેરી")</f>
        <v>ગેલેરી</v>
      </c>
      <c r="S138" s="4" t="str">
        <f>IFERROR(__xludf.DUMMYFUNCTION("GOOGLETRANSLATE(B138,""en"",""bn"")"),"গ্যালারি")</f>
        <v>গ্যালারি</v>
      </c>
      <c r="T138" s="4" t="str">
        <f>IFERROR(__xludf.DUMMYFUNCTION("GOOGLETRANSLATE(B138,""en"",""pa"")"),"ਗੈਲਰੀ")</f>
        <v>ਗੈਲਰੀ</v>
      </c>
      <c r="U138" s="4" t="str">
        <f>IFERROR(__xludf.DUMMYFUNCTION("GOOGLETRANSLATE(B138,""en"",""te"")"),"గ్యాలరీ")</f>
        <v>గ్యాలరీ</v>
      </c>
      <c r="V138" s="4" t="str">
        <f>IFERROR(__xludf.DUMMYFUNCTION("GOOGLETRANSLATE(B138,""en"",""kn"")"),"ಗ್ಯಾಲರಿ")</f>
        <v>ಗ್ಯಾಲರಿ</v>
      </c>
      <c r="W138" s="4" t="str">
        <f>IFERROR(__xludf.DUMMYFUNCTION("GOOGLETRANSLATE(B138,""en"",""ml"")"),"ഗാലറി")</f>
        <v>ഗാലറി</v>
      </c>
      <c r="X138" s="4" t="str">
        <f>IFERROR(__xludf.DUMMYFUNCTION("GOOGLETRANSLATE(B138,""en"",""th"")"),"แกลเลอรี่")</f>
        <v>แกลเลอรี่</v>
      </c>
      <c r="Y138" s="4" t="str">
        <f>IFERROR(__xludf.DUMMYFUNCTION("GOOGLETRANSLATE(B138,""en"",""ko"")"),"갱도")</f>
        <v>갱도</v>
      </c>
      <c r="Z138" s="4" t="str">
        <f>IFERROR(__xludf.DUMMYFUNCTION("GOOGLETRANSLATE(B138,""en"",""zh"")"),"画廊")</f>
        <v>画廊</v>
      </c>
      <c r="AA138" s="4" t="str">
        <f>IFERROR(__xludf.DUMMYFUNCTION("GOOGLETRANSLATE(B138,""en"",""zh-TW"")"),"畫廊")</f>
        <v>畫廊</v>
      </c>
      <c r="AB138" s="4" t="str">
        <f>IFERROR(__xludf.DUMMYFUNCTION("GOOGLETRANSLATE(B138,""en"",""ja"")"),"ギャラリー")</f>
        <v>ギャラリー</v>
      </c>
      <c r="AC138" s="4" t="str">
        <f>IFERROR(__xludf.DUMMYFUNCTION("GOOGLETRANSLATE(B138,""en"",""bg"")"),"Галерия")</f>
        <v>Галерия</v>
      </c>
      <c r="AD138" s="4" t="str">
        <f>IFERROR(__xludf.DUMMYFUNCTION("GOOGLETRANSLATE(B138,""en"",""cs"")"),"Galerie")</f>
        <v>Galerie</v>
      </c>
      <c r="AE138" s="4" t="str">
        <f>IFERROR(__xludf.DUMMYFUNCTION("GOOGLETRANSLATE(B138,""en"",""da"")"),"Galleri")</f>
        <v>Galleri</v>
      </c>
      <c r="AF138" s="4" t="str">
        <f>IFERROR(__xludf.DUMMYFUNCTION("GOOGLETRANSLATE(B138,""en"",""el"")"),"Στοά")</f>
        <v>Στοά</v>
      </c>
      <c r="AG138" s="4" t="str">
        <f>IFERROR(__xludf.DUMMYFUNCTION("GOOGLETRANSLATE(B138,""en"",""et"")"),"Galerii")</f>
        <v>Galerii</v>
      </c>
      <c r="AH138" s="4" t="str">
        <f>IFERROR(__xludf.DUMMYFUNCTION("GOOGLETRANSLATE(B138,""en"",""fi"")"),"Galleria")</f>
        <v>Galleria</v>
      </c>
      <c r="AI138" s="4" t="str">
        <f>IFERROR(__xludf.DUMMYFUNCTION("GOOGLETRANSLATE(B138,""en"",""hr"")"),"Galerija")</f>
        <v>Galerija</v>
      </c>
      <c r="AJ138" s="4" t="str">
        <f>IFERROR(__xludf.DUMMYFUNCTION("GOOGLETRANSLATE(B138,""en"",""hu"")"),"Galéria")</f>
        <v>Galéria</v>
      </c>
      <c r="AK138" s="4" t="str">
        <f>IFERROR(__xludf.DUMMYFUNCTION("GOOGLETRANSLATE(B138,""en"",""hy"")"),"Պատկերասրահ")</f>
        <v>Պատկերասրահ</v>
      </c>
      <c r="AL138" s="4" t="str">
        <f>IFERROR(__xludf.DUMMYFUNCTION("GOOGLETRANSLATE(B138,""en"",""ca"")"),"Galeria")</f>
        <v>Galeria</v>
      </c>
      <c r="AM138" s="4" t="str">
        <f>IFERROR(__xludf.DUMMYFUNCTION("GOOGLETRANSLATE(B138,""en"",""nl"")"),"Galerij")</f>
        <v>Galerij</v>
      </c>
      <c r="AN138" s="4" t="str">
        <f>IFERROR(__xludf.DUMMYFUNCTION("GOOGLETRANSLATE(B138,""en"",""he"")"),"גָלֶרֵיָה")</f>
        <v>גָלֶרֵיָה</v>
      </c>
      <c r="AO138" s="4" t="str">
        <f>IFERROR(__xludf.DUMMYFUNCTION("GOOGLETRANSLATE(B138,""en"",""is"")"),"Gallerí")</f>
        <v>Gallerí</v>
      </c>
      <c r="AP138" s="4" t="str">
        <f>IFERROR(__xludf.DUMMYFUNCTION("GOOGLETRANSLATE(B138,""en"",""no"")"),"Galleri")</f>
        <v>Galleri</v>
      </c>
      <c r="AQ138" s="4" t="str">
        <f>IFERROR(__xludf.DUMMYFUNCTION("GOOGLETRANSLATE(B138,""en"",""fa"")"),"گالری")</f>
        <v>گالری</v>
      </c>
      <c r="AR138" s="4" t="str">
        <f>IFERROR(__xludf.DUMMYFUNCTION("GOOGLETRANSLATE(B138,""en"",""pl"")"),"Galeria")</f>
        <v>Galeria</v>
      </c>
      <c r="AS138" s="4" t="str">
        <f>IFERROR(__xludf.DUMMYFUNCTION("GOOGLETRANSLATE(B138,""en"",""sv"")"),"Galleri")</f>
        <v>Galleri</v>
      </c>
      <c r="AT138" s="4" t="str">
        <f>IFERROR(__xludf.DUMMYFUNCTION("GOOGLETRANSLATE(B138,""en"",""uk"")"),"Галерея")</f>
        <v>Галерея</v>
      </c>
      <c r="AU138" s="4" t="str">
        <f>IFERROR(__xludf.DUMMYFUNCTION("GOOGLETRANSLATE(B138,""en"",""zu"")"),"Igalari")</f>
        <v>Igalari</v>
      </c>
      <c r="AV138" s="4" t="str">
        <f>IFERROR(__xludf.DUMMYFUNCTION("GOOGLETRANSLATE(B138,""en"",""sr"")"),"Галерија")</f>
        <v>Галерија</v>
      </c>
    </row>
    <row r="139">
      <c r="A139" s="3" t="s">
        <v>311</v>
      </c>
      <c r="B139" s="3" t="s">
        <v>312</v>
      </c>
      <c r="C139" s="4" t="str">
        <f>IFERROR(__xludf.DUMMYFUNCTION("GOOGLETRANSLATE(B139,""en"",""ta"")"),"கேமரா")</f>
        <v>கேமரா</v>
      </c>
      <c r="D139" s="4" t="str">
        <f>IFERROR(__xludf.DUMMYFUNCTION("GOOGLETRANSLATE(B139,""en"",""hi"")"),"कैमरा")</f>
        <v>कैमरा</v>
      </c>
      <c r="E139" s="4" t="str">
        <f>IFERROR(__xludf.DUMMYFUNCTION("GOOGLETRANSLATE(B139,""en"",""id"")"),"Kamera")</f>
        <v>Kamera</v>
      </c>
      <c r="F139" s="4" t="str">
        <f>IFERROR(__xludf.DUMMYFUNCTION("GOOGLETRANSLATE(B139,""en"",""ms"")"),"Kamera")</f>
        <v>Kamera</v>
      </c>
      <c r="G139" s="4" t="str">
        <f>IFERROR(__xludf.DUMMYFUNCTION("GOOGLETRANSLATE(B139,""en"",""de"")"),"Kamera")</f>
        <v>Kamera</v>
      </c>
      <c r="H139" s="4" t="str">
        <f>IFERROR(__xludf.DUMMYFUNCTION("GOOGLETRANSLATE(B139,""en"",""es"")"),"Cámara")</f>
        <v>Cámara</v>
      </c>
      <c r="I139" s="4" t="str">
        <f>IFERROR(__xludf.DUMMYFUNCTION("GOOGLETRANSLATE(B139,""en"",""fr"")"),"Caméra")</f>
        <v>Caméra</v>
      </c>
      <c r="J139" s="4" t="str">
        <f>IFERROR(__xludf.DUMMYFUNCTION("GOOGLETRANSLATE(B139,""en"",""it"")"),"Telecamera")</f>
        <v>Telecamera</v>
      </c>
      <c r="K139" s="4" t="str">
        <f>IFERROR(__xludf.DUMMYFUNCTION("GOOGLETRANSLATE(B139,""en"",""pt"")"),"Câmera")</f>
        <v>Câmera</v>
      </c>
      <c r="L139" s="4" t="str">
        <f>IFERROR(__xludf.DUMMYFUNCTION("GOOGLETRANSLATE(B139,""en"",""ro"")"),"Camera foto")</f>
        <v>Camera foto</v>
      </c>
      <c r="M139" s="4" t="str">
        <f>IFERROR(__xludf.DUMMYFUNCTION("GOOGLETRANSLATE(B139,""en"",""vi"")"),"Máy ảnh")</f>
        <v>Máy ảnh</v>
      </c>
      <c r="N139" s="4" t="str">
        <f>IFERROR(__xludf.DUMMYFUNCTION("GOOGLETRANSLATE(B139,""en"",""ru"")"),"Камера")</f>
        <v>Камера</v>
      </c>
      <c r="O139" s="4" t="str">
        <f>IFERROR(__xludf.DUMMYFUNCTION("GOOGLETRANSLATE(B139,""en"",""tr"")"),"Kamera")</f>
        <v>Kamera</v>
      </c>
      <c r="P139" s="4" t="str">
        <f>IFERROR(__xludf.DUMMYFUNCTION("GOOGLETRANSLATE(B139,""en"",""ar"")"),"آلة تصوير")</f>
        <v>آلة تصوير</v>
      </c>
      <c r="Q139" s="4" t="str">
        <f>IFERROR(__xludf.DUMMYFUNCTION("GOOGLETRANSLATE(B139,""en"",""mr"")"),"कॅमेरा")</f>
        <v>कॅमेरा</v>
      </c>
      <c r="R139" s="4" t="str">
        <f>IFERROR(__xludf.DUMMYFUNCTION("GOOGLETRANSLATE(B139,""en"",""gu"")"),"કેમેરા")</f>
        <v>કેમેરા</v>
      </c>
      <c r="S139" s="4" t="str">
        <f>IFERROR(__xludf.DUMMYFUNCTION("GOOGLETRANSLATE(B139,""en"",""bn"")"),"ক্যামেরা")</f>
        <v>ক্যামেরা</v>
      </c>
      <c r="T139" s="4" t="str">
        <f>IFERROR(__xludf.DUMMYFUNCTION("GOOGLETRANSLATE(B139,""en"",""pa"")"),"ਕੈਮਰਾ")</f>
        <v>ਕੈਮਰਾ</v>
      </c>
      <c r="U139" s="4" t="str">
        <f>IFERROR(__xludf.DUMMYFUNCTION("GOOGLETRANSLATE(B139,""en"",""te"")"),"కెమెరా")</f>
        <v>కెమెరా</v>
      </c>
      <c r="V139" s="4" t="str">
        <f>IFERROR(__xludf.DUMMYFUNCTION("GOOGLETRANSLATE(B139,""en"",""kn"")"),"ಕ್ಯಾಮೆರಾ")</f>
        <v>ಕ್ಯಾಮೆರಾ</v>
      </c>
      <c r="W139" s="4" t="str">
        <f>IFERROR(__xludf.DUMMYFUNCTION("GOOGLETRANSLATE(B139,""en"",""ml"")"),"ക്യാമറ")</f>
        <v>ക്യാമറ</v>
      </c>
      <c r="X139" s="4" t="str">
        <f>IFERROR(__xludf.DUMMYFUNCTION("GOOGLETRANSLATE(B139,""en"",""th"")"),"กล้อง")</f>
        <v>กล้อง</v>
      </c>
      <c r="Y139" s="4" t="str">
        <f>IFERROR(__xludf.DUMMYFUNCTION("GOOGLETRANSLATE(B139,""en"",""ko"")"),"카메라")</f>
        <v>카메라</v>
      </c>
      <c r="Z139" s="4" t="str">
        <f>IFERROR(__xludf.DUMMYFUNCTION("GOOGLETRANSLATE(B139,""en"",""zh"")"),"相机")</f>
        <v>相机</v>
      </c>
      <c r="AA139" s="4" t="str">
        <f>IFERROR(__xludf.DUMMYFUNCTION("GOOGLETRANSLATE(B139,""en"",""zh-TW"")"),"相機")</f>
        <v>相機</v>
      </c>
      <c r="AB139" s="4" t="str">
        <f>IFERROR(__xludf.DUMMYFUNCTION("GOOGLETRANSLATE(B139,""en"",""ja"")"),"カメラ")</f>
        <v>カメラ</v>
      </c>
      <c r="AC139" s="4" t="str">
        <f>IFERROR(__xludf.DUMMYFUNCTION("GOOGLETRANSLATE(B139,""en"",""bg"")"),"Камера")</f>
        <v>Камера</v>
      </c>
      <c r="AD139" s="4" t="str">
        <f>IFERROR(__xludf.DUMMYFUNCTION("GOOGLETRANSLATE(B139,""en"",""cs"")"),"Fotoaparát")</f>
        <v>Fotoaparát</v>
      </c>
      <c r="AE139" s="4" t="str">
        <f>IFERROR(__xludf.DUMMYFUNCTION("GOOGLETRANSLATE(B139,""en"",""da"")"),"Kamera")</f>
        <v>Kamera</v>
      </c>
      <c r="AF139" s="4" t="str">
        <f>IFERROR(__xludf.DUMMYFUNCTION("GOOGLETRANSLATE(B139,""en"",""el"")"),"Κάμερα")</f>
        <v>Κάμερα</v>
      </c>
      <c r="AG139" s="4" t="str">
        <f>IFERROR(__xludf.DUMMYFUNCTION("GOOGLETRANSLATE(B139,""en"",""et"")"),"Kaamera")</f>
        <v>Kaamera</v>
      </c>
      <c r="AH139" s="4" t="str">
        <f>IFERROR(__xludf.DUMMYFUNCTION("GOOGLETRANSLATE(B139,""en"",""fi"")"),"Kamera")</f>
        <v>Kamera</v>
      </c>
      <c r="AI139" s="4" t="str">
        <f>IFERROR(__xludf.DUMMYFUNCTION("GOOGLETRANSLATE(B139,""en"",""hr"")"),"Fotoaparat")</f>
        <v>Fotoaparat</v>
      </c>
      <c r="AJ139" s="4" t="str">
        <f>IFERROR(__xludf.DUMMYFUNCTION("GOOGLETRANSLATE(B139,""en"",""hu"")"),"Kamera")</f>
        <v>Kamera</v>
      </c>
      <c r="AK139" s="4" t="str">
        <f>IFERROR(__xludf.DUMMYFUNCTION("GOOGLETRANSLATE(B139,""en"",""hy"")"),"Տեսախցիկ")</f>
        <v>Տեսախցիկ</v>
      </c>
      <c r="AL139" s="4" t="str">
        <f>IFERROR(__xludf.DUMMYFUNCTION("GOOGLETRANSLATE(B139,""en"",""ca"")"),"Càmera")</f>
        <v>Càmera</v>
      </c>
      <c r="AM139" s="4" t="str">
        <f>IFERROR(__xludf.DUMMYFUNCTION("GOOGLETRANSLATE(B139,""en"",""nl"")"),"Camera")</f>
        <v>Camera</v>
      </c>
      <c r="AN139" s="4" t="str">
        <f>IFERROR(__xludf.DUMMYFUNCTION("GOOGLETRANSLATE(B139,""en"",""he"")"),"מַצלֵמָה")</f>
        <v>מַצלֵמָה</v>
      </c>
      <c r="AO139" s="4" t="str">
        <f>IFERROR(__xludf.DUMMYFUNCTION("GOOGLETRANSLATE(B139,""en"",""is"")"),"Myndavél")</f>
        <v>Myndavél</v>
      </c>
      <c r="AP139" s="4" t="str">
        <f>IFERROR(__xludf.DUMMYFUNCTION("GOOGLETRANSLATE(B139,""en"",""no"")"),"Kamera")</f>
        <v>Kamera</v>
      </c>
      <c r="AQ139" s="4" t="str">
        <f>IFERROR(__xludf.DUMMYFUNCTION("GOOGLETRANSLATE(B139,""en"",""fa"")"),"دوربین")</f>
        <v>دوربین</v>
      </c>
      <c r="AR139" s="4" t="str">
        <f>IFERROR(__xludf.DUMMYFUNCTION("GOOGLETRANSLATE(B139,""en"",""pl"")"),"Kamera")</f>
        <v>Kamera</v>
      </c>
      <c r="AS139" s="4" t="str">
        <f>IFERROR(__xludf.DUMMYFUNCTION("GOOGLETRANSLATE(B139,""en"",""sv"")"),"Kamera")</f>
        <v>Kamera</v>
      </c>
      <c r="AT139" s="4" t="str">
        <f>IFERROR(__xludf.DUMMYFUNCTION("GOOGLETRANSLATE(B139,""en"",""uk"")"),"Камера")</f>
        <v>Камера</v>
      </c>
      <c r="AU139" s="4" t="str">
        <f>IFERROR(__xludf.DUMMYFUNCTION("GOOGLETRANSLATE(B139,""en"",""zu"")"),"Ikhamera")</f>
        <v>Ikhamera</v>
      </c>
      <c r="AV139" s="4" t="str">
        <f>IFERROR(__xludf.DUMMYFUNCTION("GOOGLETRANSLATE(B139,""en"",""sr"")"),"Камера")</f>
        <v>Камера</v>
      </c>
    </row>
    <row r="140">
      <c r="A140" s="3" t="s">
        <v>313</v>
      </c>
      <c r="B140" s="3" t="s">
        <v>314</v>
      </c>
      <c r="C140" s="4" t="str">
        <f>IFERROR(__xludf.DUMMYFUNCTION("GOOGLETRANSLATE(B140,""en"",""ta"")"),"இயல்புநிலை")</f>
        <v>இயல்புநிலை</v>
      </c>
      <c r="D140" s="4" t="str">
        <f>IFERROR(__xludf.DUMMYFUNCTION("GOOGLETRANSLATE(B140,""en"",""hi"")"),"गलती करना")</f>
        <v>गलती करना</v>
      </c>
      <c r="E140" s="4" t="str">
        <f>IFERROR(__xludf.DUMMYFUNCTION("GOOGLETRANSLATE(B140,""en"",""id"")"),"Bawaan")</f>
        <v>Bawaan</v>
      </c>
      <c r="F140" s="4" t="str">
        <f>IFERROR(__xludf.DUMMYFUNCTION("GOOGLETRANSLATE(B140,""en"",""ms"")"),"Lalai")</f>
        <v>Lalai</v>
      </c>
      <c r="G140" s="4" t="str">
        <f>IFERROR(__xludf.DUMMYFUNCTION("GOOGLETRANSLATE(B140,""en"",""de"")"),"Standard")</f>
        <v>Standard</v>
      </c>
      <c r="H140" s="4" t="str">
        <f>IFERROR(__xludf.DUMMYFUNCTION("GOOGLETRANSLATE(B140,""en"",""es"")"),"Por defecto")</f>
        <v>Por defecto</v>
      </c>
      <c r="I140" s="4" t="str">
        <f>IFERROR(__xludf.DUMMYFUNCTION("GOOGLETRANSLATE(B140,""en"",""fr"")"),"Défaut")</f>
        <v>Défaut</v>
      </c>
      <c r="J140" s="4" t="str">
        <f>IFERROR(__xludf.DUMMYFUNCTION("GOOGLETRANSLATE(B140,""en"",""it"")"),"Predefinito")</f>
        <v>Predefinito</v>
      </c>
      <c r="K140" s="4" t="str">
        <f>IFERROR(__xludf.DUMMYFUNCTION("GOOGLETRANSLATE(B140,""en"",""pt"")"),"Padrão")</f>
        <v>Padrão</v>
      </c>
      <c r="L140" s="4" t="str">
        <f>IFERROR(__xludf.DUMMYFUNCTION("GOOGLETRANSLATE(B140,""en"",""ro"")"),"Implicit")</f>
        <v>Implicit</v>
      </c>
      <c r="M140" s="4" t="str">
        <f>IFERROR(__xludf.DUMMYFUNCTION("GOOGLETRANSLATE(B140,""en"",""vi"")"),"Mặc định")</f>
        <v>Mặc định</v>
      </c>
      <c r="N140" s="4" t="str">
        <f>IFERROR(__xludf.DUMMYFUNCTION("GOOGLETRANSLATE(B140,""en"",""ru"")"),"По умолчанию")</f>
        <v>По умолчанию</v>
      </c>
      <c r="O140" s="4" t="str">
        <f>IFERROR(__xludf.DUMMYFUNCTION("GOOGLETRANSLATE(B140,""en"",""tr"")"),"Varsayılan")</f>
        <v>Varsayılan</v>
      </c>
      <c r="P140" s="4" t="str">
        <f>IFERROR(__xludf.DUMMYFUNCTION("GOOGLETRANSLATE(B140,""en"",""ar"")"),"تقصير")</f>
        <v>تقصير</v>
      </c>
      <c r="Q140" s="4" t="str">
        <f>IFERROR(__xludf.DUMMYFUNCTION("GOOGLETRANSLATE(B140,""en"",""mr"")"),"डीफॉल्ट")</f>
        <v>डीफॉल्ट</v>
      </c>
      <c r="R140" s="4" t="str">
        <f>IFERROR(__xludf.DUMMYFUNCTION("GOOGLETRANSLATE(B140,""en"",""gu"")"),"ડિફૉલ્ટ")</f>
        <v>ડિફૉલ્ટ</v>
      </c>
      <c r="S140" s="4" t="str">
        <f>IFERROR(__xludf.DUMMYFUNCTION("GOOGLETRANSLATE(B140,""en"",""bn"")"),"ডিফল্ট")</f>
        <v>ডিফল্ট</v>
      </c>
      <c r="T140" s="4" t="str">
        <f>IFERROR(__xludf.DUMMYFUNCTION("GOOGLETRANSLATE(B140,""en"",""pa"")"),"ਡਿਫਾਲਟ")</f>
        <v>ਡਿਫਾਲਟ</v>
      </c>
      <c r="U140" s="4" t="str">
        <f>IFERROR(__xludf.DUMMYFUNCTION("GOOGLETRANSLATE(B140,""en"",""te"")"),"డిఫాల్ట్")</f>
        <v>డిఫాల్ట్</v>
      </c>
      <c r="V140" s="4" t="str">
        <f>IFERROR(__xludf.DUMMYFUNCTION("GOOGLETRANSLATE(B140,""en"",""kn"")"),"ಡೀಫಾಲ್ಟ್")</f>
        <v>ಡೀಫಾಲ್ಟ್</v>
      </c>
      <c r="W140" s="4" t="str">
        <f>IFERROR(__xludf.DUMMYFUNCTION("GOOGLETRANSLATE(B140,""en"",""ml"")"),"സ്ഥിരസ്ഥിതി")</f>
        <v>സ്ഥിരസ്ഥിതി</v>
      </c>
      <c r="X140" s="4" t="str">
        <f>IFERROR(__xludf.DUMMYFUNCTION("GOOGLETRANSLATE(B140,""en"",""th"")"),"ค่าเริ่มต้น")</f>
        <v>ค่าเริ่มต้น</v>
      </c>
      <c r="Y140" s="4" t="str">
        <f>IFERROR(__xludf.DUMMYFUNCTION("GOOGLETRANSLATE(B140,""en"",""ko"")"),"기본")</f>
        <v>기본</v>
      </c>
      <c r="Z140" s="4" t="str">
        <f>IFERROR(__xludf.DUMMYFUNCTION("GOOGLETRANSLATE(B140,""en"",""zh"")"),"默认")</f>
        <v>默认</v>
      </c>
      <c r="AA140" s="4" t="str">
        <f>IFERROR(__xludf.DUMMYFUNCTION("GOOGLETRANSLATE(B140,""en"",""zh-TW"")"),"預設")</f>
        <v>預設</v>
      </c>
      <c r="AB140" s="4" t="str">
        <f>IFERROR(__xludf.DUMMYFUNCTION("GOOGLETRANSLATE(B140,""en"",""ja"")"),"デフォルト")</f>
        <v>デフォルト</v>
      </c>
      <c r="AC140" s="4" t="str">
        <f>IFERROR(__xludf.DUMMYFUNCTION("GOOGLETRANSLATE(B140,""en"",""bg"")"),"По подразбиране")</f>
        <v>По подразбиране</v>
      </c>
      <c r="AD140" s="4" t="str">
        <f>IFERROR(__xludf.DUMMYFUNCTION("GOOGLETRANSLATE(B140,""en"",""cs"")"),"Výchozí")</f>
        <v>Výchozí</v>
      </c>
      <c r="AE140" s="4" t="str">
        <f>IFERROR(__xludf.DUMMYFUNCTION("GOOGLETRANSLATE(B140,""en"",""da"")"),"Misligholdelse")</f>
        <v>Misligholdelse</v>
      </c>
      <c r="AF140" s="4" t="str">
        <f>IFERROR(__xludf.DUMMYFUNCTION("GOOGLETRANSLATE(B140,""en"",""el"")"),"Αθέτηση")</f>
        <v>Αθέτηση</v>
      </c>
      <c r="AG140" s="4" t="str">
        <f>IFERROR(__xludf.DUMMYFUNCTION("GOOGLETRANSLATE(B140,""en"",""et"")"),"Vaikimisi")</f>
        <v>Vaikimisi</v>
      </c>
      <c r="AH140" s="4" t="str">
        <f>IFERROR(__xludf.DUMMYFUNCTION("GOOGLETRANSLATE(B140,""en"",""fi"")"),"Oletus")</f>
        <v>Oletus</v>
      </c>
      <c r="AI140" s="4" t="str">
        <f>IFERROR(__xludf.DUMMYFUNCTION("GOOGLETRANSLATE(B140,""en"",""hr"")"),"Zadano")</f>
        <v>Zadano</v>
      </c>
      <c r="AJ140" s="4" t="str">
        <f>IFERROR(__xludf.DUMMYFUNCTION("GOOGLETRANSLATE(B140,""en"",""hu"")"),"Alapértelmezett")</f>
        <v>Alapértelmezett</v>
      </c>
      <c r="AK140" s="4" t="str">
        <f>IFERROR(__xludf.DUMMYFUNCTION("GOOGLETRANSLATE(B140,""en"",""hy"")"),"Կանխադրված")</f>
        <v>Կանխադրված</v>
      </c>
      <c r="AL140" s="4" t="str">
        <f>IFERROR(__xludf.DUMMYFUNCTION("GOOGLETRANSLATE(B140,""en"",""ca"")"),"Per defecte")</f>
        <v>Per defecte</v>
      </c>
      <c r="AM140" s="4" t="str">
        <f>IFERROR(__xludf.DUMMYFUNCTION("GOOGLETRANSLATE(B140,""en"",""nl"")"),"Standaard")</f>
        <v>Standaard</v>
      </c>
      <c r="AN140" s="4" t="str">
        <f>IFERROR(__xludf.DUMMYFUNCTION("GOOGLETRANSLATE(B140,""en"",""he"")"),"בְּרִירַת מֶחדָל")</f>
        <v>בְּרִירַת מֶחדָל</v>
      </c>
      <c r="AO140" s="4" t="str">
        <f>IFERROR(__xludf.DUMMYFUNCTION("GOOGLETRANSLATE(B140,""en"",""is"")"),"Sjálfgefið")</f>
        <v>Sjálfgefið</v>
      </c>
      <c r="AP140" s="4" t="str">
        <f>IFERROR(__xludf.DUMMYFUNCTION("GOOGLETRANSLATE(B140,""en"",""no"")"),"Misligholde")</f>
        <v>Misligholde</v>
      </c>
      <c r="AQ140" s="4" t="str">
        <f>IFERROR(__xludf.DUMMYFUNCTION("GOOGLETRANSLATE(B140,""en"",""fa"")"),"پیش فرض")</f>
        <v>پیش فرض</v>
      </c>
      <c r="AR140" s="4" t="str">
        <f>IFERROR(__xludf.DUMMYFUNCTION("GOOGLETRANSLATE(B140,""en"",""pl"")"),"Domyślny")</f>
        <v>Domyślny</v>
      </c>
      <c r="AS140" s="4" t="str">
        <f>IFERROR(__xludf.DUMMYFUNCTION("GOOGLETRANSLATE(B140,""en"",""sv"")"),"Standard")</f>
        <v>Standard</v>
      </c>
      <c r="AT140" s="4" t="str">
        <f>IFERROR(__xludf.DUMMYFUNCTION("GOOGLETRANSLATE(B140,""en"",""uk"")"),"За замовчуванням")</f>
        <v>За замовчуванням</v>
      </c>
      <c r="AU140" s="4" t="str">
        <f>IFERROR(__xludf.DUMMYFUNCTION("GOOGLETRANSLATE(B140,""en"",""zu"")"),"Okuzenzakalelayo")</f>
        <v>Okuzenzakalelayo</v>
      </c>
      <c r="AV140" s="4" t="str">
        <f>IFERROR(__xludf.DUMMYFUNCTION("GOOGLETRANSLATE(B140,""en"",""sr"")"),"Подразумевано")</f>
        <v>Подразумевано</v>
      </c>
    </row>
    <row r="141">
      <c r="A141" s="3" t="s">
        <v>315</v>
      </c>
      <c r="B141" s="3" t="s">
        <v>316</v>
      </c>
      <c r="C141" s="4" t="str">
        <f>IFERROR(__xludf.DUMMYFUNCTION("GOOGLETRANSLATE(B141,""en"",""ta"")"),"அகற்று")</f>
        <v>அகற்று</v>
      </c>
      <c r="D141" s="4" t="str">
        <f>IFERROR(__xludf.DUMMYFUNCTION("GOOGLETRANSLATE(B141,""en"",""hi"")"),"निकालना")</f>
        <v>निकालना</v>
      </c>
      <c r="E141" s="4" t="str">
        <f>IFERROR(__xludf.DUMMYFUNCTION("GOOGLETRANSLATE(B141,""en"",""id"")"),"Menghapus")</f>
        <v>Menghapus</v>
      </c>
      <c r="F141" s="4" t="str">
        <f>IFERROR(__xludf.DUMMYFUNCTION("GOOGLETRANSLATE(B141,""en"",""ms"")"),"Alih keluar")</f>
        <v>Alih keluar</v>
      </c>
      <c r="G141" s="4" t="str">
        <f>IFERROR(__xludf.DUMMYFUNCTION("GOOGLETRANSLATE(B141,""en"",""de"")"),"Entfernen")</f>
        <v>Entfernen</v>
      </c>
      <c r="H141" s="4" t="str">
        <f>IFERROR(__xludf.DUMMYFUNCTION("GOOGLETRANSLATE(B141,""en"",""es"")"),"Eliminar")</f>
        <v>Eliminar</v>
      </c>
      <c r="I141" s="4" t="str">
        <f>IFERROR(__xludf.DUMMYFUNCTION("GOOGLETRANSLATE(B141,""en"",""fr"")"),"Retirer")</f>
        <v>Retirer</v>
      </c>
      <c r="J141" s="4" t="str">
        <f>IFERROR(__xludf.DUMMYFUNCTION("GOOGLETRANSLATE(B141,""en"",""it"")"),"Rimuovere")</f>
        <v>Rimuovere</v>
      </c>
      <c r="K141" s="4" t="str">
        <f>IFERROR(__xludf.DUMMYFUNCTION("GOOGLETRANSLATE(B141,""en"",""pt"")"),"Remover")</f>
        <v>Remover</v>
      </c>
      <c r="L141" s="4" t="str">
        <f>IFERROR(__xludf.DUMMYFUNCTION("GOOGLETRANSLATE(B141,""en"",""ro"")"),"Elimina")</f>
        <v>Elimina</v>
      </c>
      <c r="M141" s="4" t="str">
        <f>IFERROR(__xludf.DUMMYFUNCTION("GOOGLETRANSLATE(B141,""en"",""vi"")"),"Di dời")</f>
        <v>Di dời</v>
      </c>
      <c r="N141" s="4" t="str">
        <f>IFERROR(__xludf.DUMMYFUNCTION("GOOGLETRANSLATE(B141,""en"",""ru"")"),"Удалять")</f>
        <v>Удалять</v>
      </c>
      <c r="O141" s="4" t="str">
        <f>IFERROR(__xludf.DUMMYFUNCTION("GOOGLETRANSLATE(B141,""en"",""tr"")"),"Kaldırmak")</f>
        <v>Kaldırmak</v>
      </c>
      <c r="P141" s="4" t="str">
        <f>IFERROR(__xludf.DUMMYFUNCTION("GOOGLETRANSLATE(B141,""en"",""ar"")"),"يزيل")</f>
        <v>يزيل</v>
      </c>
      <c r="Q141" s="4" t="str">
        <f>IFERROR(__xludf.DUMMYFUNCTION("GOOGLETRANSLATE(B141,""en"",""mr"")"),"काढा")</f>
        <v>काढा</v>
      </c>
      <c r="R141" s="4" t="str">
        <f>IFERROR(__xludf.DUMMYFUNCTION("GOOGLETRANSLATE(B141,""en"",""gu"")"),"દૂર કરો")</f>
        <v>દૂર કરો</v>
      </c>
      <c r="S141" s="4" t="str">
        <f>IFERROR(__xludf.DUMMYFUNCTION("GOOGLETRANSLATE(B141,""en"",""bn"")"),"সরান")</f>
        <v>সরান</v>
      </c>
      <c r="T141" s="4" t="str">
        <f>IFERROR(__xludf.DUMMYFUNCTION("GOOGLETRANSLATE(B141,""en"",""pa"")"),"ਹਟਾਓ")</f>
        <v>ਹਟਾਓ</v>
      </c>
      <c r="U141" s="4" t="str">
        <f>IFERROR(__xludf.DUMMYFUNCTION("GOOGLETRANSLATE(B141,""en"",""te"")"),"తొలగించు")</f>
        <v>తొలగించు</v>
      </c>
      <c r="V141" s="4" t="str">
        <f>IFERROR(__xludf.DUMMYFUNCTION("GOOGLETRANSLATE(B141,""en"",""kn"")"),"ತೆಗೆದುಹಾಕಿ")</f>
        <v>ತೆಗೆದುಹಾಕಿ</v>
      </c>
      <c r="W141" s="4" t="str">
        <f>IFERROR(__xludf.DUMMYFUNCTION("GOOGLETRANSLATE(B141,""en"",""ml"")"),"നീക്കം ചെയ്യുക")</f>
        <v>നീക്കം ചെയ്യുക</v>
      </c>
      <c r="X141" s="4" t="str">
        <f>IFERROR(__xludf.DUMMYFUNCTION("GOOGLETRANSLATE(B141,""en"",""th"")"),"ลบ")</f>
        <v>ลบ</v>
      </c>
      <c r="Y141" s="4" t="str">
        <f>IFERROR(__xludf.DUMMYFUNCTION("GOOGLETRANSLATE(B141,""en"",""ko"")"),"제거하다")</f>
        <v>제거하다</v>
      </c>
      <c r="Z141" s="4" t="str">
        <f>IFERROR(__xludf.DUMMYFUNCTION("GOOGLETRANSLATE(B141,""en"",""zh"")"),"消除")</f>
        <v>消除</v>
      </c>
      <c r="AA141" s="4" t="str">
        <f>IFERROR(__xludf.DUMMYFUNCTION("GOOGLETRANSLATE(B141,""en"",""zh-TW"")"),"消除")</f>
        <v>消除</v>
      </c>
      <c r="AB141" s="4" t="str">
        <f>IFERROR(__xludf.DUMMYFUNCTION("GOOGLETRANSLATE(B141,""en"",""ja"")"),"取り除く")</f>
        <v>取り除く</v>
      </c>
      <c r="AC141" s="4" t="str">
        <f>IFERROR(__xludf.DUMMYFUNCTION("GOOGLETRANSLATE(B141,""en"",""bg"")"),"Премахнете")</f>
        <v>Премахнете</v>
      </c>
      <c r="AD141" s="4" t="str">
        <f>IFERROR(__xludf.DUMMYFUNCTION("GOOGLETRANSLATE(B141,""en"",""cs"")"),"Odstranit")</f>
        <v>Odstranit</v>
      </c>
      <c r="AE141" s="4" t="str">
        <f>IFERROR(__xludf.DUMMYFUNCTION("GOOGLETRANSLATE(B141,""en"",""da"")"),"Fjerne")</f>
        <v>Fjerne</v>
      </c>
      <c r="AF141" s="4" t="str">
        <f>IFERROR(__xludf.DUMMYFUNCTION("GOOGLETRANSLATE(B141,""en"",""el"")"),"Αφαιρώ")</f>
        <v>Αφαιρώ</v>
      </c>
      <c r="AG141" s="4" t="str">
        <f>IFERROR(__xludf.DUMMYFUNCTION("GOOGLETRANSLATE(B141,""en"",""et"")"),"Eemalda")</f>
        <v>Eemalda</v>
      </c>
      <c r="AH141" s="4" t="str">
        <f>IFERROR(__xludf.DUMMYFUNCTION("GOOGLETRANSLATE(B141,""en"",""fi"")"),"Poistaa")</f>
        <v>Poistaa</v>
      </c>
      <c r="AI141" s="4" t="str">
        <f>IFERROR(__xludf.DUMMYFUNCTION("GOOGLETRANSLATE(B141,""en"",""hr"")"),"Ukloniti")</f>
        <v>Ukloniti</v>
      </c>
      <c r="AJ141" s="4" t="str">
        <f>IFERROR(__xludf.DUMMYFUNCTION("GOOGLETRANSLATE(B141,""en"",""hu"")"),"Távolítsa el")</f>
        <v>Távolítsa el</v>
      </c>
      <c r="AK141" s="4" t="str">
        <f>IFERROR(__xludf.DUMMYFUNCTION("GOOGLETRANSLATE(B141,""en"",""hy"")"),"Հեռացնել")</f>
        <v>Հեռացնել</v>
      </c>
      <c r="AL141" s="4" t="str">
        <f>IFERROR(__xludf.DUMMYFUNCTION("GOOGLETRANSLATE(B141,""en"",""ca"")"),"Eliminar")</f>
        <v>Eliminar</v>
      </c>
      <c r="AM141" s="4" t="str">
        <f>IFERROR(__xludf.DUMMYFUNCTION("GOOGLETRANSLATE(B141,""en"",""nl"")"),"Verwijderen")</f>
        <v>Verwijderen</v>
      </c>
      <c r="AN141" s="4" t="str">
        <f>IFERROR(__xludf.DUMMYFUNCTION("GOOGLETRANSLATE(B141,""en"",""he"")"),"לְהַסִיר")</f>
        <v>לְהַסִיר</v>
      </c>
      <c r="AO141" s="4" t="str">
        <f>IFERROR(__xludf.DUMMYFUNCTION("GOOGLETRANSLATE(B141,""en"",""is"")"),"Fjarlægja")</f>
        <v>Fjarlægja</v>
      </c>
      <c r="AP141" s="4" t="str">
        <f>IFERROR(__xludf.DUMMYFUNCTION("GOOGLETRANSLATE(B141,""en"",""no"")"),"Fjerne")</f>
        <v>Fjerne</v>
      </c>
      <c r="AQ141" s="4" t="str">
        <f>IFERROR(__xludf.DUMMYFUNCTION("GOOGLETRANSLATE(B141,""en"",""fa"")"),"حذف کنید")</f>
        <v>حذف کنید</v>
      </c>
      <c r="AR141" s="4" t="str">
        <f>IFERROR(__xludf.DUMMYFUNCTION("GOOGLETRANSLATE(B141,""en"",""pl"")"),"Usunąć")</f>
        <v>Usunąć</v>
      </c>
      <c r="AS141" s="4" t="str">
        <f>IFERROR(__xludf.DUMMYFUNCTION("GOOGLETRANSLATE(B141,""en"",""sv"")"),"Ta bort")</f>
        <v>Ta bort</v>
      </c>
      <c r="AT141" s="4" t="str">
        <f>IFERROR(__xludf.DUMMYFUNCTION("GOOGLETRANSLATE(B141,""en"",""uk"")"),"видалити")</f>
        <v>видалити</v>
      </c>
      <c r="AU141" s="4" t="str">
        <f>IFERROR(__xludf.DUMMYFUNCTION("GOOGLETRANSLATE(B141,""en"",""zu"")"),"Susa")</f>
        <v>Susa</v>
      </c>
      <c r="AV141" s="4" t="str">
        <f>IFERROR(__xludf.DUMMYFUNCTION("GOOGLETRANSLATE(B141,""en"",""sr"")"),"Уклони")</f>
        <v>Уклони</v>
      </c>
    </row>
    <row r="142">
      <c r="A142" s="3" t="s">
        <v>317</v>
      </c>
      <c r="B142" s="3" t="s">
        <v>178</v>
      </c>
      <c r="C142" s="4" t="str">
        <f>IFERROR(__xludf.DUMMYFUNCTION("GOOGLETRANSLATE(B142,""en"",""ta"")"),"முன்னோட்டம்")</f>
        <v>முன்னோட்டம்</v>
      </c>
      <c r="D142" s="4" t="str">
        <f>IFERROR(__xludf.DUMMYFUNCTION("GOOGLETRANSLATE(B142,""en"",""hi"")"),"पूर्व दर्शन")</f>
        <v>पूर्व दर्शन</v>
      </c>
      <c r="E142" s="4" t="str">
        <f>IFERROR(__xludf.DUMMYFUNCTION("GOOGLETRANSLATE(B142,""en"",""id"")"),"Pratinjau")</f>
        <v>Pratinjau</v>
      </c>
      <c r="F142" s="4" t="str">
        <f>IFERROR(__xludf.DUMMYFUNCTION("GOOGLETRANSLATE(B142,""en"",""ms"")"),"Pratonton")</f>
        <v>Pratonton</v>
      </c>
      <c r="G142" s="4" t="str">
        <f>IFERROR(__xludf.DUMMYFUNCTION("GOOGLETRANSLATE(B142,""en"",""de"")"),"Vorschau")</f>
        <v>Vorschau</v>
      </c>
      <c r="H142" s="4" t="str">
        <f>IFERROR(__xludf.DUMMYFUNCTION("GOOGLETRANSLATE(B142,""en"",""es"")"),"Avance")</f>
        <v>Avance</v>
      </c>
      <c r="I142" s="4" t="str">
        <f>IFERROR(__xludf.DUMMYFUNCTION("GOOGLETRANSLATE(B142,""en"",""fr"")"),"Aperçu")</f>
        <v>Aperçu</v>
      </c>
      <c r="J142" s="4" t="str">
        <f>IFERROR(__xludf.DUMMYFUNCTION("GOOGLETRANSLATE(B142,""en"",""it"")"),"Anteprima")</f>
        <v>Anteprima</v>
      </c>
      <c r="K142" s="4" t="str">
        <f>IFERROR(__xludf.DUMMYFUNCTION("GOOGLETRANSLATE(B142,""en"",""pt"")"),"Visualização")</f>
        <v>Visualização</v>
      </c>
      <c r="L142" s="4" t="str">
        <f>IFERROR(__xludf.DUMMYFUNCTION("GOOGLETRANSLATE(B142,""en"",""ro"")"),"Previzualizare")</f>
        <v>Previzualizare</v>
      </c>
      <c r="M142" s="4" t="str">
        <f>IFERROR(__xludf.DUMMYFUNCTION("GOOGLETRANSLATE(B142,""en"",""vi"")"),"Xem trước")</f>
        <v>Xem trước</v>
      </c>
      <c r="N142" s="4" t="str">
        <f>IFERROR(__xludf.DUMMYFUNCTION("GOOGLETRANSLATE(B142,""en"",""ru"")"),"Предварительный просмотр")</f>
        <v>Предварительный просмотр</v>
      </c>
      <c r="O142" s="4" t="str">
        <f>IFERROR(__xludf.DUMMYFUNCTION("GOOGLETRANSLATE(B142,""en"",""tr"")"),"Önizleme")</f>
        <v>Önizleme</v>
      </c>
      <c r="P142" s="4" t="str">
        <f>IFERROR(__xludf.DUMMYFUNCTION("GOOGLETRANSLATE(B142,""en"",""ar"")"),"معاينة")</f>
        <v>معاينة</v>
      </c>
      <c r="Q142" s="4" t="str">
        <f>IFERROR(__xludf.DUMMYFUNCTION("GOOGLETRANSLATE(B142,""en"",""mr"")"),"पूर्वावलोकन")</f>
        <v>पूर्वावलोकन</v>
      </c>
      <c r="R142" s="4" t="str">
        <f>IFERROR(__xludf.DUMMYFUNCTION("GOOGLETRANSLATE(B142,""en"",""gu"")"),"પૂર્વાવલોકન")</f>
        <v>પૂર્વાવલોકન</v>
      </c>
      <c r="S142" s="4" t="str">
        <f>IFERROR(__xludf.DUMMYFUNCTION("GOOGLETRANSLATE(B142,""en"",""bn"")"),"পূর্বরূপ")</f>
        <v>পূর্বরূপ</v>
      </c>
      <c r="T142" s="4" t="str">
        <f>IFERROR(__xludf.DUMMYFUNCTION("GOOGLETRANSLATE(B142,""en"",""pa"")"),"ਝਲਕ")</f>
        <v>ਝਲਕ</v>
      </c>
      <c r="U142" s="4" t="str">
        <f>IFERROR(__xludf.DUMMYFUNCTION("GOOGLETRANSLATE(B142,""en"",""te"")"),"ప్రివ్యూ")</f>
        <v>ప్రివ్యూ</v>
      </c>
      <c r="V142" s="4" t="str">
        <f>IFERROR(__xludf.DUMMYFUNCTION("GOOGLETRANSLATE(B142,""en"",""kn"")"),"ಪೂರ್ವವೀಕ್ಷಣೆ")</f>
        <v>ಪೂರ್ವವೀಕ್ಷಣೆ</v>
      </c>
      <c r="W142" s="4" t="str">
        <f>IFERROR(__xludf.DUMMYFUNCTION("GOOGLETRANSLATE(B142,""en"",""ml"")"),"പ്രിവ്യൂ")</f>
        <v>പ്രിവ്യൂ</v>
      </c>
      <c r="X142" s="4" t="str">
        <f>IFERROR(__xludf.DUMMYFUNCTION("GOOGLETRANSLATE(B142,""en"",""th"")"),"ตัวอย่าง")</f>
        <v>ตัวอย่าง</v>
      </c>
      <c r="Y142" s="4" t="str">
        <f>IFERROR(__xludf.DUMMYFUNCTION("GOOGLETRANSLATE(B142,""en"",""ko"")"),"시사")</f>
        <v>시사</v>
      </c>
      <c r="Z142" s="4" t="str">
        <f>IFERROR(__xludf.DUMMYFUNCTION("GOOGLETRANSLATE(B142,""en"",""zh"")"),"预览")</f>
        <v>预览</v>
      </c>
      <c r="AA142" s="4" t="str">
        <f>IFERROR(__xludf.DUMMYFUNCTION("GOOGLETRANSLATE(B142,""en"",""zh-TW"")"),"預覽")</f>
        <v>預覽</v>
      </c>
      <c r="AB142" s="4" t="str">
        <f>IFERROR(__xludf.DUMMYFUNCTION("GOOGLETRANSLATE(B142,""en"",""ja"")"),"プレビュー")</f>
        <v>プレビュー</v>
      </c>
      <c r="AC142" s="4" t="str">
        <f>IFERROR(__xludf.DUMMYFUNCTION("GOOGLETRANSLATE(B142,""en"",""bg"")"),"Преглед")</f>
        <v>Преглед</v>
      </c>
      <c r="AD142" s="4" t="str">
        <f>IFERROR(__xludf.DUMMYFUNCTION("GOOGLETRANSLATE(B142,""en"",""cs"")"),"Náhled")</f>
        <v>Náhled</v>
      </c>
      <c r="AE142" s="4" t="str">
        <f>IFERROR(__xludf.DUMMYFUNCTION("GOOGLETRANSLATE(B142,""en"",""da"")"),"Forhåndsvisning")</f>
        <v>Forhåndsvisning</v>
      </c>
      <c r="AF142" s="4" t="str">
        <f>IFERROR(__xludf.DUMMYFUNCTION("GOOGLETRANSLATE(B142,""en"",""el"")"),"Πρεμιέρα")</f>
        <v>Πρεμιέρα</v>
      </c>
      <c r="AG142" s="4" t="str">
        <f>IFERROR(__xludf.DUMMYFUNCTION("GOOGLETRANSLATE(B142,""en"",""et"")"),"Eelvaade")</f>
        <v>Eelvaade</v>
      </c>
      <c r="AH142" s="4" t="str">
        <f>IFERROR(__xludf.DUMMYFUNCTION("GOOGLETRANSLATE(B142,""en"",""fi"")"),"Esikatselu")</f>
        <v>Esikatselu</v>
      </c>
      <c r="AI142" s="4" t="str">
        <f>IFERROR(__xludf.DUMMYFUNCTION("GOOGLETRANSLATE(B142,""en"",""hr"")"),"Pregled")</f>
        <v>Pregled</v>
      </c>
      <c r="AJ142" s="4" t="str">
        <f>IFERROR(__xludf.DUMMYFUNCTION("GOOGLETRANSLATE(B142,""en"",""hu"")"),"Előnézet")</f>
        <v>Előnézet</v>
      </c>
      <c r="AK142" s="4" t="str">
        <f>IFERROR(__xludf.DUMMYFUNCTION("GOOGLETRANSLATE(B142,""en"",""hy"")"),"Նախադիտում")</f>
        <v>Նախադիտում</v>
      </c>
      <c r="AL142" s="4" t="str">
        <f>IFERROR(__xludf.DUMMYFUNCTION("GOOGLETRANSLATE(B142,""en"",""ca"")"),"Vista prèvia")</f>
        <v>Vista prèvia</v>
      </c>
      <c r="AM142" s="4" t="str">
        <f>IFERROR(__xludf.DUMMYFUNCTION("GOOGLETRANSLATE(B142,""en"",""nl"")"),"Voorvertoning")</f>
        <v>Voorvertoning</v>
      </c>
      <c r="AN142" s="4" t="str">
        <f>IFERROR(__xludf.DUMMYFUNCTION("GOOGLETRANSLATE(B142,""en"",""he"")"),"תצוגה מקדימה")</f>
        <v>תצוגה מקדימה</v>
      </c>
      <c r="AO142" s="4" t="str">
        <f>IFERROR(__xludf.DUMMYFUNCTION("GOOGLETRANSLATE(B142,""en"",""is"")"),"Forskoðun")</f>
        <v>Forskoðun</v>
      </c>
      <c r="AP142" s="4" t="str">
        <f>IFERROR(__xludf.DUMMYFUNCTION("GOOGLETRANSLATE(B142,""en"",""no"")"),"Forhåndsvisning")</f>
        <v>Forhåndsvisning</v>
      </c>
      <c r="AQ142" s="4" t="str">
        <f>IFERROR(__xludf.DUMMYFUNCTION("GOOGLETRANSLATE(B142,""en"",""fa"")"),"پیش نمایش")</f>
        <v>پیش نمایش</v>
      </c>
      <c r="AR142" s="4" t="str">
        <f>IFERROR(__xludf.DUMMYFUNCTION("GOOGLETRANSLATE(B142,""en"",""pl"")"),"Zapowiedź")</f>
        <v>Zapowiedź</v>
      </c>
      <c r="AS142" s="4" t="str">
        <f>IFERROR(__xludf.DUMMYFUNCTION("GOOGLETRANSLATE(B142,""en"",""sv"")"),"Förhandsvisning")</f>
        <v>Förhandsvisning</v>
      </c>
      <c r="AT142" s="4" t="str">
        <f>IFERROR(__xludf.DUMMYFUNCTION("GOOGLETRANSLATE(B142,""en"",""uk"")"),"Попередній перегляд")</f>
        <v>Попередній перегляд</v>
      </c>
      <c r="AU142" s="4" t="str">
        <f>IFERROR(__xludf.DUMMYFUNCTION("GOOGLETRANSLATE(B142,""en"",""zu"")"),"Buka kuqala")</f>
        <v>Buka kuqala</v>
      </c>
      <c r="AV142" s="4" t="str">
        <f>IFERROR(__xludf.DUMMYFUNCTION("GOOGLETRANSLATE(B142,""en"",""sr"")"),"Преглед")</f>
        <v>Преглед</v>
      </c>
    </row>
    <row r="143">
      <c r="A143" s="3" t="s">
        <v>318</v>
      </c>
      <c r="B143" s="3" t="s">
        <v>81</v>
      </c>
      <c r="C143" s="4" t="str">
        <f>IFERROR(__xludf.DUMMYFUNCTION("GOOGLETRANSLATE(B143,""en"",""ta"")"),"மூடு")</f>
        <v>மூடு</v>
      </c>
      <c r="D143" s="4" t="str">
        <f>IFERROR(__xludf.DUMMYFUNCTION("GOOGLETRANSLATE(B143,""en"",""hi"")"),"बंद करना")</f>
        <v>बंद करना</v>
      </c>
      <c r="E143" s="4" t="str">
        <f>IFERROR(__xludf.DUMMYFUNCTION("GOOGLETRANSLATE(B143,""en"",""id"")"),"Menutup")</f>
        <v>Menutup</v>
      </c>
      <c r="F143" s="4" t="str">
        <f>IFERROR(__xludf.DUMMYFUNCTION("GOOGLETRANSLATE(B143,""en"",""ms"")"),"tutup")</f>
        <v>tutup</v>
      </c>
      <c r="G143" s="4" t="str">
        <f>IFERROR(__xludf.DUMMYFUNCTION("GOOGLETRANSLATE(B143,""en"",""de"")"),"Schließen")</f>
        <v>Schließen</v>
      </c>
      <c r="H143" s="4" t="str">
        <f>IFERROR(__xludf.DUMMYFUNCTION("GOOGLETRANSLATE(B143,""en"",""es"")"),"Cerca")</f>
        <v>Cerca</v>
      </c>
      <c r="I143" s="4" t="str">
        <f>IFERROR(__xludf.DUMMYFUNCTION("GOOGLETRANSLATE(B143,""en"",""fr"")"),"Fermer")</f>
        <v>Fermer</v>
      </c>
      <c r="J143" s="4" t="str">
        <f>IFERROR(__xludf.DUMMYFUNCTION("GOOGLETRANSLATE(B143,""en"",""it"")"),"Vicino")</f>
        <v>Vicino</v>
      </c>
      <c r="K143" s="4" t="str">
        <f>IFERROR(__xludf.DUMMYFUNCTION("GOOGLETRANSLATE(B143,""en"",""pt"")"),"Fechar")</f>
        <v>Fechar</v>
      </c>
      <c r="L143" s="4" t="str">
        <f>IFERROR(__xludf.DUMMYFUNCTION("GOOGLETRANSLATE(B143,""en"",""ro"")"),"Aproape")</f>
        <v>Aproape</v>
      </c>
      <c r="M143" s="4" t="str">
        <f>IFERROR(__xludf.DUMMYFUNCTION("GOOGLETRANSLATE(B143,""en"",""vi"")"),"Đóng")</f>
        <v>Đóng</v>
      </c>
      <c r="N143" s="4" t="str">
        <f>IFERROR(__xludf.DUMMYFUNCTION("GOOGLETRANSLATE(B143,""en"",""ru"")"),"Закрывать")</f>
        <v>Закрывать</v>
      </c>
      <c r="O143" s="4" t="str">
        <f>IFERROR(__xludf.DUMMYFUNCTION("GOOGLETRANSLATE(B143,""en"",""tr"")"),"Kapalı")</f>
        <v>Kapalı</v>
      </c>
      <c r="P143" s="4" t="str">
        <f>IFERROR(__xludf.DUMMYFUNCTION("GOOGLETRANSLATE(B143,""en"",""ar"")"),"يغلق")</f>
        <v>يغلق</v>
      </c>
      <c r="Q143" s="4" t="str">
        <f>IFERROR(__xludf.DUMMYFUNCTION("GOOGLETRANSLATE(B143,""en"",""mr"")"),"बंद करा")</f>
        <v>बंद करा</v>
      </c>
      <c r="R143" s="4" t="str">
        <f>IFERROR(__xludf.DUMMYFUNCTION("GOOGLETRANSLATE(B143,""en"",""gu"")"),"બંધ કરો")</f>
        <v>બંધ કરો</v>
      </c>
      <c r="S143" s="4" t="str">
        <f>IFERROR(__xludf.DUMMYFUNCTION("GOOGLETRANSLATE(B143,""en"",""bn"")"),"বন্ধ")</f>
        <v>বন্ধ</v>
      </c>
      <c r="T143" s="4" t="str">
        <f>IFERROR(__xludf.DUMMYFUNCTION("GOOGLETRANSLATE(B143,""en"",""pa"")"),"ਬੰਦ ਕਰੋ")</f>
        <v>ਬੰਦ ਕਰੋ</v>
      </c>
      <c r="U143" s="4" t="str">
        <f>IFERROR(__xludf.DUMMYFUNCTION("GOOGLETRANSLATE(B143,""en"",""te"")"),"మూసివేయి")</f>
        <v>మూసివేయి</v>
      </c>
      <c r="V143" s="4" t="str">
        <f>IFERROR(__xludf.DUMMYFUNCTION("GOOGLETRANSLATE(B143,""en"",""kn"")"),"ಮುಚ್ಚಿ")</f>
        <v>ಮುಚ್ಚಿ</v>
      </c>
      <c r="W143" s="4" t="str">
        <f>IFERROR(__xludf.DUMMYFUNCTION("GOOGLETRANSLATE(B143,""en"",""ml"")"),"അടയ്ക്കുക")</f>
        <v>അടയ്ക്കുക</v>
      </c>
      <c r="X143" s="4" t="str">
        <f>IFERROR(__xludf.DUMMYFUNCTION("GOOGLETRANSLATE(B143,""en"",""th"")"),"ปิด")</f>
        <v>ปิด</v>
      </c>
      <c r="Y143" s="4" t="str">
        <f>IFERROR(__xludf.DUMMYFUNCTION("GOOGLETRANSLATE(B143,""en"",""ko"")"),"닫다")</f>
        <v>닫다</v>
      </c>
      <c r="Z143" s="4" t="str">
        <f>IFERROR(__xludf.DUMMYFUNCTION("GOOGLETRANSLATE(B143,""en"",""zh"")"),"关闭")</f>
        <v>关闭</v>
      </c>
      <c r="AA143" s="4" t="str">
        <f>IFERROR(__xludf.DUMMYFUNCTION("GOOGLETRANSLATE(B143,""en"",""zh-TW"")"),"關閉")</f>
        <v>關閉</v>
      </c>
      <c r="AB143" s="4" t="str">
        <f>IFERROR(__xludf.DUMMYFUNCTION("GOOGLETRANSLATE(B143,""en"",""ja"")"),"近い")</f>
        <v>近い</v>
      </c>
      <c r="AC143" s="4" t="str">
        <f>IFERROR(__xludf.DUMMYFUNCTION("GOOGLETRANSLATE(B143,""en"",""bg"")"),"затвори")</f>
        <v>затвори</v>
      </c>
      <c r="AD143" s="4" t="str">
        <f>IFERROR(__xludf.DUMMYFUNCTION("GOOGLETRANSLATE(B143,""en"",""cs"")"),"Blízko")</f>
        <v>Blízko</v>
      </c>
      <c r="AE143" s="4" t="str">
        <f>IFERROR(__xludf.DUMMYFUNCTION("GOOGLETRANSLATE(B143,""en"",""da"")"),"Tæt")</f>
        <v>Tæt</v>
      </c>
      <c r="AF143" s="4" t="str">
        <f>IFERROR(__xludf.DUMMYFUNCTION("GOOGLETRANSLATE(B143,""en"",""el"")"),"Κοντά")</f>
        <v>Κοντά</v>
      </c>
      <c r="AG143" s="4" t="str">
        <f>IFERROR(__xludf.DUMMYFUNCTION("GOOGLETRANSLATE(B143,""en"",""et"")"),"Sule")</f>
        <v>Sule</v>
      </c>
      <c r="AH143" s="4" t="str">
        <f>IFERROR(__xludf.DUMMYFUNCTION("GOOGLETRANSLATE(B143,""en"",""fi"")"),"Lähellä")</f>
        <v>Lähellä</v>
      </c>
      <c r="AI143" s="4" t="str">
        <f>IFERROR(__xludf.DUMMYFUNCTION("GOOGLETRANSLATE(B143,""en"",""hr"")"),"Zatvoriti")</f>
        <v>Zatvoriti</v>
      </c>
      <c r="AJ143" s="4" t="str">
        <f>IFERROR(__xludf.DUMMYFUNCTION("GOOGLETRANSLATE(B143,""en"",""hu"")"),"Közeli")</f>
        <v>Közeli</v>
      </c>
      <c r="AK143" s="4" t="str">
        <f>IFERROR(__xludf.DUMMYFUNCTION("GOOGLETRANSLATE(B143,""en"",""hy"")"),"Փակել")</f>
        <v>Փակել</v>
      </c>
      <c r="AL143" s="4" t="str">
        <f>IFERROR(__xludf.DUMMYFUNCTION("GOOGLETRANSLATE(B143,""en"",""ca"")"),"Tancar")</f>
        <v>Tancar</v>
      </c>
      <c r="AM143" s="4" t="str">
        <f>IFERROR(__xludf.DUMMYFUNCTION("GOOGLETRANSLATE(B143,""en"",""nl"")"),"Dichtbij")</f>
        <v>Dichtbij</v>
      </c>
      <c r="AN143" s="4" t="str">
        <f>IFERROR(__xludf.DUMMYFUNCTION("GOOGLETRANSLATE(B143,""en"",""he"")"),"לִסְגוֹר")</f>
        <v>לִסְגוֹר</v>
      </c>
      <c r="AO143" s="4" t="str">
        <f>IFERROR(__xludf.DUMMYFUNCTION("GOOGLETRANSLATE(B143,""en"",""is"")"),"Loka")</f>
        <v>Loka</v>
      </c>
      <c r="AP143" s="4" t="str">
        <f>IFERROR(__xludf.DUMMYFUNCTION("GOOGLETRANSLATE(B143,""en"",""no"")"),"Lukke")</f>
        <v>Lukke</v>
      </c>
      <c r="AQ143" s="4" t="str">
        <f>IFERROR(__xludf.DUMMYFUNCTION("GOOGLETRANSLATE(B143,""en"",""fa"")"),"بستن")</f>
        <v>بستن</v>
      </c>
      <c r="AR143" s="4" t="str">
        <f>IFERROR(__xludf.DUMMYFUNCTION("GOOGLETRANSLATE(B143,""en"",""pl"")"),"Zamknąć")</f>
        <v>Zamknąć</v>
      </c>
      <c r="AS143" s="4" t="str">
        <f>IFERROR(__xludf.DUMMYFUNCTION("GOOGLETRANSLATE(B143,""en"",""sv"")"),"Nära")</f>
        <v>Nära</v>
      </c>
      <c r="AT143" s="4" t="str">
        <f>IFERROR(__xludf.DUMMYFUNCTION("GOOGLETRANSLATE(B143,""en"",""uk"")"),"Закрити")</f>
        <v>Закрити</v>
      </c>
      <c r="AU143" s="4" t="str">
        <f>IFERROR(__xludf.DUMMYFUNCTION("GOOGLETRANSLATE(B143,""en"",""zu"")"),"Vala")</f>
        <v>Vala</v>
      </c>
      <c r="AV143" s="4" t="str">
        <f>IFERROR(__xludf.DUMMYFUNCTION("GOOGLETRANSLATE(B143,""en"",""sr"")"),"Затвори")</f>
        <v>Затвори</v>
      </c>
    </row>
    <row r="144">
      <c r="A144" s="3" t="s">
        <v>319</v>
      </c>
      <c r="B144" s="3" t="s">
        <v>320</v>
      </c>
      <c r="C144" s="4" t="str">
        <f>IFERROR(__xludf.DUMMYFUNCTION("GOOGLETRANSLATE(B144,""en"",""ta"")"),"பின்னணி அமைக்கப்பட்டது வெற்றிகரமாக!")</f>
        <v>பின்னணி அமைக்கப்பட்டது வெற்றிகரமாக!</v>
      </c>
      <c r="D144" s="4" t="str">
        <f>IFERROR(__xludf.DUMMYFUNCTION("GOOGLETRANSLATE(B144,""en"",""hi"")"),"पृष्ठभूमि सफलतापूर्वक सेट हो गई!")</f>
        <v>पृष्ठभूमि सफलतापूर्वक सेट हो गई!</v>
      </c>
      <c r="E144" s="4" t="str">
        <f>IFERROR(__xludf.DUMMYFUNCTION("GOOGLETRANSLATE(B144,""en"",""id"")"),"Latar Belakang Berhasil Ditetapkan!")</f>
        <v>Latar Belakang Berhasil Ditetapkan!</v>
      </c>
      <c r="F144" s="4" t="str">
        <f>IFERROR(__xludf.DUMMYFUNCTION("GOOGLETRANSLATE(B144,""en"",""ms"")"),"Latar Belakang Berjaya Ditetapkan!")</f>
        <v>Latar Belakang Berjaya Ditetapkan!</v>
      </c>
      <c r="G144" s="4" t="str">
        <f>IFERROR(__xludf.DUMMYFUNCTION("GOOGLETRANSLATE(B144,""en"",""de"")"),"Hintergrund erfolgreich festgelegt!")</f>
        <v>Hintergrund erfolgreich festgelegt!</v>
      </c>
      <c r="H144" s="4" t="str">
        <f>IFERROR(__xludf.DUMMYFUNCTION("GOOGLETRANSLATE(B144,""en"",""es"")"),"¡Fondo establecido exitosamente!")</f>
        <v>¡Fondo establecido exitosamente!</v>
      </c>
      <c r="I144" s="4" t="str">
        <f>IFERROR(__xludf.DUMMYFUNCTION("GOOGLETRANSLATE(B144,""en"",""fr"")"),"L'arrière-plan a été défini avec succès !")</f>
        <v>L'arrière-plan a été défini avec succès !</v>
      </c>
      <c r="J144" s="4" t="str">
        <f>IFERROR(__xludf.DUMMYFUNCTION("GOOGLETRANSLATE(B144,""en"",""it"")"),"Sfondo impostato con successo!")</f>
        <v>Sfondo impostato con successo!</v>
      </c>
      <c r="K144" s="4" t="str">
        <f>IFERROR(__xludf.DUMMYFUNCTION("GOOGLETRANSLATE(B144,""en"",""pt"")"),"Plano de fundo definido com sucesso!")</f>
        <v>Plano de fundo definido com sucesso!</v>
      </c>
      <c r="L144" s="4" t="str">
        <f>IFERROR(__xludf.DUMMYFUNCTION("GOOGLETRANSLATE(B144,""en"",""ro"")"),"Fundal setat cu succes!")</f>
        <v>Fundal setat cu succes!</v>
      </c>
      <c r="M144" s="4" t="str">
        <f>IFERROR(__xludf.DUMMYFUNCTION("GOOGLETRANSLATE(B144,""en"",""vi"")"),"Đã thiết lập nền thành công!")</f>
        <v>Đã thiết lập nền thành công!</v>
      </c>
      <c r="N144" s="4" t="str">
        <f>IFERROR(__xludf.DUMMYFUNCTION("GOOGLETRANSLATE(B144,""en"",""ru"")"),"Фон успешно установлен!")</f>
        <v>Фон успешно установлен!</v>
      </c>
      <c r="O144" s="4" t="str">
        <f>IFERROR(__xludf.DUMMYFUNCTION("GOOGLETRANSLATE(B144,""en"",""tr"")"),"Arka Plan Başarıyla Ayarlandı!")</f>
        <v>Arka Plan Başarıyla Ayarlandı!</v>
      </c>
      <c r="P144" s="4" t="str">
        <f>IFERROR(__xludf.DUMMYFUNCTION("GOOGLETRANSLATE(B144,""en"",""ar"")"),"تم تعيين الخلفية بنجاح!")</f>
        <v>تم تعيين الخلفية بنجاح!</v>
      </c>
      <c r="Q144" s="4" t="str">
        <f>IFERROR(__xludf.DUMMYFUNCTION("GOOGLETRANSLATE(B144,""en"",""mr"")"),"पार्श्वभूमी यशस्वीरित्या सेट!")</f>
        <v>पार्श्वभूमी यशस्वीरित्या सेट!</v>
      </c>
      <c r="R144" s="4" t="str">
        <f>IFERROR(__xludf.DUMMYFUNCTION("GOOGLETRANSLATE(B144,""en"",""gu"")"),"પૃષ્ઠભૂમિ સફળતાપૂર્વક સેટ!")</f>
        <v>પૃષ્ઠભૂમિ સફળતાપૂર્વક સેટ!</v>
      </c>
      <c r="S144" s="4" t="str">
        <f>IFERROR(__xludf.DUMMYFUNCTION("GOOGLETRANSLATE(B144,""en"",""bn"")"),"পটভূমি সফলভাবে সেট!")</f>
        <v>পটভূমি সফলভাবে সেট!</v>
      </c>
      <c r="T144" s="4" t="str">
        <f>IFERROR(__xludf.DUMMYFUNCTION("GOOGLETRANSLATE(B144,""en"",""pa"")"),"ਬੈਕਗ੍ਰਾਊਂਡ ਸਫਲਤਾਪੂਰਵਕ ਸੈੱਟ ਕੀਤਾ ਗਿਆ!")</f>
        <v>ਬੈਕਗ੍ਰਾਊਂਡ ਸਫਲਤਾਪੂਰਵਕ ਸੈੱਟ ਕੀਤਾ ਗਿਆ!</v>
      </c>
      <c r="U144" s="4" t="str">
        <f>IFERROR(__xludf.DUMMYFUNCTION("GOOGLETRANSLATE(B144,""en"",""te"")"),"బ్యాక్‌గ్రౌండ్ సెట్ విజయవంతంగా!")</f>
        <v>బ్యాక్‌గ్రౌండ్ సెట్ విజయవంతంగా!</v>
      </c>
      <c r="V144" s="4" t="str">
        <f>IFERROR(__xludf.DUMMYFUNCTION("GOOGLETRANSLATE(B144,""en"",""kn"")"),"ಹಿನ್ನೆಲೆ ಹೊಂದಿಸುವಿಕೆ ಯಶಸ್ವಿಯಾಗಿ!")</f>
        <v>ಹಿನ್ನೆಲೆ ಹೊಂದಿಸುವಿಕೆ ಯಶಸ್ವಿಯಾಗಿ!</v>
      </c>
      <c r="W144" s="4" t="str">
        <f>IFERROR(__xludf.DUMMYFUNCTION("GOOGLETRANSLATE(B144,""en"",""ml"")"),"പശ്ചാത്തല സജ്ജീകരണം വിജയകരമായി!")</f>
        <v>പശ്ചാത്തല സജ്ജീകരണം വിജയകരമായി!</v>
      </c>
      <c r="X144" s="4" t="str">
        <f>IFERROR(__xludf.DUMMYFUNCTION("GOOGLETRANSLATE(B144,""en"",""th"")"),"ตั้งค่าพื้นหลังสำเร็จแล้ว!")</f>
        <v>ตั้งค่าพื้นหลังสำเร็จแล้ว!</v>
      </c>
      <c r="Y144" s="4" t="str">
        <f>IFERROR(__xludf.DUMMYFUNCTION("GOOGLETRANSLATE(B144,""en"",""ko"")"),"배경이 성공적으로 설정되었습니다!")</f>
        <v>배경이 성공적으로 설정되었습니다!</v>
      </c>
      <c r="Z144" s="4" t="str">
        <f>IFERROR(__xludf.DUMMYFUNCTION("GOOGLETRANSLATE(B144,""en"",""zh"")"),"背景设置成功！")</f>
        <v>背景设置成功！</v>
      </c>
      <c r="AA144" s="4" t="str">
        <f>IFERROR(__xludf.DUMMYFUNCTION("GOOGLETRANSLATE(B144,""en"",""zh-TW"")"),"背景設定成功！")</f>
        <v>背景設定成功！</v>
      </c>
      <c r="AB144" s="4" t="str">
        <f>IFERROR(__xludf.DUMMYFUNCTION("GOOGLETRANSLATE(B144,""en"",""ja"")"),"背景設定に成功しました！")</f>
        <v>背景設定に成功しました！</v>
      </c>
      <c r="AC144" s="4" t="str">
        <f>IFERROR(__xludf.DUMMYFUNCTION("GOOGLETRANSLATE(B144,""en"",""bg"")"),"Фонът е зададен успешно!")</f>
        <v>Фонът е зададен успешно!</v>
      </c>
      <c r="AD144" s="4" t="str">
        <f>IFERROR(__xludf.DUMMYFUNCTION("GOOGLETRANSLATE(B144,""en"",""cs"")"),"Pozadí bylo úspěšně nastaveno!")</f>
        <v>Pozadí bylo úspěšně nastaveno!</v>
      </c>
      <c r="AE144" s="4" t="str">
        <f>IFERROR(__xludf.DUMMYFUNCTION("GOOGLETRANSLATE(B144,""en"",""da"")"),"Baggrundsindstilling med succes!")</f>
        <v>Baggrundsindstilling med succes!</v>
      </c>
      <c r="AF144" s="4" t="str">
        <f>IFERROR(__xludf.DUMMYFUNCTION("GOOGLETRANSLATE(B144,""en"",""el"")"),"Το φόντο ορίστηκε με επιτυχία!")</f>
        <v>Το φόντο ορίστηκε με επιτυχία!</v>
      </c>
      <c r="AG144" s="4" t="str">
        <f>IFERROR(__xludf.DUMMYFUNCTION("GOOGLETRANSLATE(B144,""en"",""et"")"),"Taustakomplekt õnnestus!")</f>
        <v>Taustakomplekt õnnestus!</v>
      </c>
      <c r="AH144" s="4" t="str">
        <f>IFERROR(__xludf.DUMMYFUNCTION("GOOGLETRANSLATE(B144,""en"",""fi"")"),"Taustan asettaminen onnistui!")</f>
        <v>Taustan asettaminen onnistui!</v>
      </c>
      <c r="AI144" s="4" t="str">
        <f>IFERROR(__xludf.DUMMYFUNCTION("GOOGLETRANSLATE(B144,""en"",""hr"")"),"Pozadina je uspješno postavljena!")</f>
        <v>Pozadina je uspješno postavljena!</v>
      </c>
      <c r="AJ144" s="4" t="str">
        <f>IFERROR(__xludf.DUMMYFUNCTION("GOOGLETRANSLATE(B144,""en"",""hu"")"),"A háttér beállítása sikeres!")</f>
        <v>A háttér beállítása sikeres!</v>
      </c>
      <c r="AK144" s="4" t="str">
        <f>IFERROR(__xludf.DUMMYFUNCTION("GOOGLETRANSLATE(B144,""en"",""hy"")"),"Նախապատմությունը հաջողությամբ սահմանվեց:")</f>
        <v>Նախապատմությունը հաջողությամբ սահմանվեց:</v>
      </c>
      <c r="AL144" s="4" t="str">
        <f>IFERROR(__xludf.DUMMYFUNCTION("GOOGLETRANSLATE(B144,""en"",""ca"")"),"S'ha establert el fons correctament!")</f>
        <v>S'ha establert el fons correctament!</v>
      </c>
      <c r="AM144" s="4" t="str">
        <f>IFERROR(__xludf.DUMMYFUNCTION("GOOGLETRANSLATE(B144,""en"",""nl"")"),"Achtergrond succesvol ingesteld!")</f>
        <v>Achtergrond succesvol ingesteld!</v>
      </c>
      <c r="AN144" s="4" t="str">
        <f>IFERROR(__xludf.DUMMYFUNCTION("GOOGLETRANSLATE(B144,""en"",""he"")"),"הוגדר רקע בהצלחה!")</f>
        <v>הוגדר רקע בהצלחה!</v>
      </c>
      <c r="AO144" s="4" t="str">
        <f>IFERROR(__xludf.DUMMYFUNCTION("GOOGLETRANSLATE(B144,""en"",""is"")"),"Bakgrunnsstilling tókst!")</f>
        <v>Bakgrunnsstilling tókst!</v>
      </c>
      <c r="AP144" s="4" t="str">
        <f>IFERROR(__xludf.DUMMYFUNCTION("GOOGLETRANSLATE(B144,""en"",""no"")"),"Bakgrunn satt vellykket!")</f>
        <v>Bakgrunn satt vellykket!</v>
      </c>
      <c r="AQ144" s="4" t="str">
        <f>IFERROR(__xludf.DUMMYFUNCTION("GOOGLETRANSLATE(B144,""en"",""fa"")"),"پس زمینه با موفقیت تنظیم شد!")</f>
        <v>پس زمینه با موفقیت تنظیم شد!</v>
      </c>
      <c r="AR144" s="4" t="str">
        <f>IFERROR(__xludf.DUMMYFUNCTION("GOOGLETRANSLATE(B144,""en"",""pl"")"),"Tło ustawiono pomyślnie!")</f>
        <v>Tło ustawiono pomyślnie!</v>
      </c>
      <c r="AS144" s="4" t="str">
        <f>IFERROR(__xludf.DUMMYFUNCTION("GOOGLETRANSLATE(B144,""en"",""sv"")"),"Bakgrundsuppsättning framgångsrikt!")</f>
        <v>Bakgrundsuppsättning framgångsrikt!</v>
      </c>
      <c r="AT144" s="4" t="str">
        <f>IFERROR(__xludf.DUMMYFUNCTION("GOOGLETRANSLATE(B144,""en"",""uk"")"),"Фон налаштовано успішно!")</f>
        <v>Фон налаштовано успішно!</v>
      </c>
      <c r="AU144" s="4" t="str">
        <f>IFERROR(__xludf.DUMMYFUNCTION("GOOGLETRANSLATE(B144,""en"",""zu"")"),"Ingemuva Limiswe Ngempumelelo!")</f>
        <v>Ingemuva Limiswe Ngempumelelo!</v>
      </c>
      <c r="AV144" s="4" t="str">
        <f>IFERROR(__xludf.DUMMYFUNCTION("GOOGLETRANSLATE(B144,""en"",""sr"")"),"Позадина је постављена успешно!")</f>
        <v>Позадина је постављена успешно!</v>
      </c>
    </row>
    <row r="145">
      <c r="A145" s="3" t="s">
        <v>321</v>
      </c>
      <c r="B145" s="3" t="s">
        <v>322</v>
      </c>
      <c r="C145" s="4" t="str">
        <f>IFERROR(__xludf.DUMMYFUNCTION("GOOGLETRANSLATE(B145,""en"",""ta"")"),"திசைகாட்டி அமைப்புகள்")</f>
        <v>திசைகாட்டி அமைப்புகள்</v>
      </c>
      <c r="D145" s="4" t="str">
        <f>IFERROR(__xludf.DUMMYFUNCTION("GOOGLETRANSLATE(B145,""en"",""hi"")"),"कम्पास सेटिंग्स")</f>
        <v>कम्पास सेटिंग्स</v>
      </c>
      <c r="E145" s="4" t="str">
        <f>IFERROR(__xludf.DUMMYFUNCTION("GOOGLETRANSLATE(B145,""en"",""id"")"),"Pengaturan Kompas")</f>
        <v>Pengaturan Kompas</v>
      </c>
      <c r="F145" s="4" t="str">
        <f>IFERROR(__xludf.DUMMYFUNCTION("GOOGLETRANSLATE(B145,""en"",""ms"")"),"Tetapan Kompas")</f>
        <v>Tetapan Kompas</v>
      </c>
      <c r="G145" s="4" t="str">
        <f>IFERROR(__xludf.DUMMYFUNCTION("GOOGLETRANSLATE(B145,""en"",""de"")"),"Kompasseinstellungen")</f>
        <v>Kompasseinstellungen</v>
      </c>
      <c r="H145" s="4" t="str">
        <f>IFERROR(__xludf.DUMMYFUNCTION("GOOGLETRANSLATE(B145,""en"",""es"")"),"Configuración de la brújula")</f>
        <v>Configuración de la brújula</v>
      </c>
      <c r="I145" s="4" t="str">
        <f>IFERROR(__xludf.DUMMYFUNCTION("GOOGLETRANSLATE(B145,""en"",""fr"")"),"Paramètres de la boussole")</f>
        <v>Paramètres de la boussole</v>
      </c>
      <c r="J145" s="4" t="str">
        <f>IFERROR(__xludf.DUMMYFUNCTION("GOOGLETRANSLATE(B145,""en"",""it"")"),"Impostazioni della bussola")</f>
        <v>Impostazioni della bussola</v>
      </c>
      <c r="K145" s="4" t="str">
        <f>IFERROR(__xludf.DUMMYFUNCTION("GOOGLETRANSLATE(B145,""en"",""pt"")"),"Configurações da bússola")</f>
        <v>Configurações da bússola</v>
      </c>
      <c r="L145" s="4" t="str">
        <f>IFERROR(__xludf.DUMMYFUNCTION("GOOGLETRANSLATE(B145,""en"",""ro"")"),"Setări busolă")</f>
        <v>Setări busolă</v>
      </c>
      <c r="M145" s="4" t="str">
        <f>IFERROR(__xludf.DUMMYFUNCTION("GOOGLETRANSLATE(B145,""en"",""vi"")"),"Cài đặt la bàn")</f>
        <v>Cài đặt la bàn</v>
      </c>
      <c r="N145" s="4" t="str">
        <f>IFERROR(__xludf.DUMMYFUNCTION("GOOGLETRANSLATE(B145,""en"",""ru"")"),"Настройки компаса")</f>
        <v>Настройки компаса</v>
      </c>
      <c r="O145" s="4" t="str">
        <f>IFERROR(__xludf.DUMMYFUNCTION("GOOGLETRANSLATE(B145,""en"",""tr"")"),"Pusula Ayarları")</f>
        <v>Pusula Ayarları</v>
      </c>
      <c r="P145" s="4" t="str">
        <f>IFERROR(__xludf.DUMMYFUNCTION("GOOGLETRANSLATE(B145,""en"",""ar"")"),"إعدادات البوصلة")</f>
        <v>إعدادات البوصلة</v>
      </c>
      <c r="Q145" s="4" t="str">
        <f>IFERROR(__xludf.DUMMYFUNCTION("GOOGLETRANSLATE(B145,""en"",""mr"")"),"कंपास सेटिंग्ज")</f>
        <v>कंपास सेटिंग्ज</v>
      </c>
      <c r="R145" s="4" t="str">
        <f>IFERROR(__xludf.DUMMYFUNCTION("GOOGLETRANSLATE(B145,""en"",""gu"")"),"હોકાયંત્ર સેટિંગ્સ")</f>
        <v>હોકાયંત્ર સેટિંગ્સ</v>
      </c>
      <c r="S145" s="4" t="str">
        <f>IFERROR(__xludf.DUMMYFUNCTION("GOOGLETRANSLATE(B145,""en"",""bn"")"),"কম্পাস সেটিংস")</f>
        <v>কম্পাস সেটিংস</v>
      </c>
      <c r="T145" s="4" t="str">
        <f>IFERROR(__xludf.DUMMYFUNCTION("GOOGLETRANSLATE(B145,""en"",""pa"")"),"ਕੰਪਾਸ ਸੈਟਿੰਗਾਂ")</f>
        <v>ਕੰਪਾਸ ਸੈਟਿੰਗਾਂ</v>
      </c>
      <c r="U145" s="4" t="str">
        <f>IFERROR(__xludf.DUMMYFUNCTION("GOOGLETRANSLATE(B145,""en"",""te"")"),"కంపాస్ సెట్టింగ్‌లు")</f>
        <v>కంపాస్ సెట్టింగ్‌లు</v>
      </c>
      <c r="V145" s="4" t="str">
        <f>IFERROR(__xludf.DUMMYFUNCTION("GOOGLETRANSLATE(B145,""en"",""kn"")"),"ಕಂಪಾಸ್ ಸೆಟ್ಟಿಂಗ್‌ಗಳು")</f>
        <v>ಕಂಪಾಸ್ ಸೆಟ್ಟಿಂಗ್‌ಗಳು</v>
      </c>
      <c r="W145" s="4" t="str">
        <f>IFERROR(__xludf.DUMMYFUNCTION("GOOGLETRANSLATE(B145,""en"",""ml"")"),"കോമ്പസ് ക്രമീകരണങ്ങൾ")</f>
        <v>കോമ്പസ് ക്രമീകരണങ്ങൾ</v>
      </c>
      <c r="X145" s="4" t="str">
        <f>IFERROR(__xludf.DUMMYFUNCTION("GOOGLETRANSLATE(B145,""en"",""th"")"),"การตั้งค่าเข็มทิศ")</f>
        <v>การตั้งค่าเข็มทิศ</v>
      </c>
      <c r="Y145" s="4" t="str">
        <f>IFERROR(__xludf.DUMMYFUNCTION("GOOGLETRANSLATE(B145,""en"",""ko"")"),"나침반 설정")</f>
        <v>나침반 설정</v>
      </c>
      <c r="Z145" s="4" t="str">
        <f>IFERROR(__xludf.DUMMYFUNCTION("GOOGLETRANSLATE(B145,""en"",""zh"")"),"指南针设置")</f>
        <v>指南针设置</v>
      </c>
      <c r="AA145" s="4" t="str">
        <f>IFERROR(__xludf.DUMMYFUNCTION("GOOGLETRANSLATE(B145,""en"",""zh-TW"")"),"指南針設置")</f>
        <v>指南針設置</v>
      </c>
      <c r="AB145" s="4" t="str">
        <f>IFERROR(__xludf.DUMMYFUNCTION("GOOGLETRANSLATE(B145,""en"",""ja"")"),"コンパス設定")</f>
        <v>コンパス設定</v>
      </c>
      <c r="AC145" s="4" t="str">
        <f>IFERROR(__xludf.DUMMYFUNCTION("GOOGLETRANSLATE(B145,""en"",""bg"")"),"Настройки на компаса")</f>
        <v>Настройки на компаса</v>
      </c>
      <c r="AD145" s="4" t="str">
        <f>IFERROR(__xludf.DUMMYFUNCTION("GOOGLETRANSLATE(B145,""en"",""cs"")"),"Nastavení kompasu")</f>
        <v>Nastavení kompasu</v>
      </c>
      <c r="AE145" s="4" t="str">
        <f>IFERROR(__xludf.DUMMYFUNCTION("GOOGLETRANSLATE(B145,""en"",""da"")"),"Kompasindstillinger")</f>
        <v>Kompasindstillinger</v>
      </c>
      <c r="AF145" s="4" t="str">
        <f>IFERROR(__xludf.DUMMYFUNCTION("GOOGLETRANSLATE(B145,""en"",""el"")"),"Ρυθμίσεις πυξίδας")</f>
        <v>Ρυθμίσεις πυξίδας</v>
      </c>
      <c r="AG145" s="4" t="str">
        <f>IFERROR(__xludf.DUMMYFUNCTION("GOOGLETRANSLATE(B145,""en"",""et"")"),"Kompassi seaded")</f>
        <v>Kompassi seaded</v>
      </c>
      <c r="AH145" s="4" t="str">
        <f>IFERROR(__xludf.DUMMYFUNCTION("GOOGLETRANSLATE(B145,""en"",""fi"")"),"Kompassin asetukset")</f>
        <v>Kompassin asetukset</v>
      </c>
      <c r="AI145" s="4" t="str">
        <f>IFERROR(__xludf.DUMMYFUNCTION("GOOGLETRANSLATE(B145,""en"",""hr"")"),"Postavke kompasa")</f>
        <v>Postavke kompasa</v>
      </c>
      <c r="AJ145" s="4" t="str">
        <f>IFERROR(__xludf.DUMMYFUNCTION("GOOGLETRANSLATE(B145,""en"",""hu"")"),"Iránytű beállításai")</f>
        <v>Iránytű beállításai</v>
      </c>
      <c r="AK145" s="4" t="str">
        <f>IFERROR(__xludf.DUMMYFUNCTION("GOOGLETRANSLATE(B145,""en"",""hy"")"),"Կողմնացույցի կարգավորումներ")</f>
        <v>Կողմնացույցի կարգավորումներ</v>
      </c>
      <c r="AL145" s="4" t="str">
        <f>IFERROR(__xludf.DUMMYFUNCTION("GOOGLETRANSLATE(B145,""en"",""ca"")"),"Configuració de la brúixola")</f>
        <v>Configuració de la brúixola</v>
      </c>
      <c r="AM145" s="4" t="str">
        <f>IFERROR(__xludf.DUMMYFUNCTION("GOOGLETRANSLATE(B145,""en"",""nl"")"),"Kompasinstellingen")</f>
        <v>Kompasinstellingen</v>
      </c>
      <c r="AN145" s="4" t="str">
        <f>IFERROR(__xludf.DUMMYFUNCTION("GOOGLETRANSLATE(B145,""en"",""he"")"),"הגדרות מצפן")</f>
        <v>הגדרות מצפן</v>
      </c>
      <c r="AO145" s="4" t="str">
        <f>IFERROR(__xludf.DUMMYFUNCTION("GOOGLETRANSLATE(B145,""en"",""is"")"),"Stillingar áttavita")</f>
        <v>Stillingar áttavita</v>
      </c>
      <c r="AP145" s="4" t="str">
        <f>IFERROR(__xludf.DUMMYFUNCTION("GOOGLETRANSLATE(B145,""en"",""no"")"),"Kompassinnstillinger")</f>
        <v>Kompassinnstillinger</v>
      </c>
      <c r="AQ145" s="4" t="str">
        <f>IFERROR(__xludf.DUMMYFUNCTION("GOOGLETRANSLATE(B145,""en"",""fa"")"),"تنظیمات قطب نما")</f>
        <v>تنظیمات قطب نما</v>
      </c>
      <c r="AR145" s="4" t="str">
        <f>IFERROR(__xludf.DUMMYFUNCTION("GOOGLETRANSLATE(B145,""en"",""pl"")"),"Ustawienia kompasu")</f>
        <v>Ustawienia kompasu</v>
      </c>
      <c r="AS145" s="4" t="str">
        <f>IFERROR(__xludf.DUMMYFUNCTION("GOOGLETRANSLATE(B145,""en"",""sv"")"),"Kompassinställningar")</f>
        <v>Kompassinställningar</v>
      </c>
      <c r="AT145" s="4" t="str">
        <f>IFERROR(__xludf.DUMMYFUNCTION("GOOGLETRANSLATE(B145,""en"",""uk"")"),"Налаштування компаса")</f>
        <v>Налаштування компаса</v>
      </c>
      <c r="AU145" s="4" t="str">
        <f>IFERROR(__xludf.DUMMYFUNCTION("GOOGLETRANSLATE(B145,""en"",""zu"")"),"Izilungiselelo zekhampasi")</f>
        <v>Izilungiselelo zekhampasi</v>
      </c>
      <c r="AV145" s="4" t="str">
        <f>IFERROR(__xludf.DUMMYFUNCTION("GOOGLETRANSLATE(B145,""en"",""sr"")"),"Подешавања компаса")</f>
        <v>Подешавања компаса</v>
      </c>
    </row>
    <row r="146">
      <c r="A146" s="3" t="s">
        <v>323</v>
      </c>
      <c r="B146" s="3" t="s">
        <v>324</v>
      </c>
      <c r="C146" s="4" t="str">
        <f>IFERROR(__xludf.DUMMYFUNCTION("GOOGLETRANSLATE(B146,""en"",""ta"")"),"உங்கள் திசைகாட்டி தோற்றத்தைத் தனிப்பயனாக்குங்கள்")</f>
        <v>உங்கள் திசைகாட்டி தோற்றத்தைத் தனிப்பயனாக்குங்கள்</v>
      </c>
      <c r="D146" s="4" t="str">
        <f>IFERROR(__xludf.DUMMYFUNCTION("GOOGLETRANSLATE(B146,""en"",""hi"")"),"अपने कम्पास का स्वरूप अनुकूलित करें")</f>
        <v>अपने कम्पास का स्वरूप अनुकूलित करें</v>
      </c>
      <c r="E146" s="4" t="str">
        <f>IFERROR(__xludf.DUMMYFUNCTION("GOOGLETRANSLATE(B146,""en"",""id"")"),"Sesuaikan tampilan kompas Anda")</f>
        <v>Sesuaikan tampilan kompas Anda</v>
      </c>
      <c r="F146" s="4" t="str">
        <f>IFERROR(__xludf.DUMMYFUNCTION("GOOGLETRANSLATE(B146,""en"",""ms"")"),"Sesuaikan penampilan kompas anda")</f>
        <v>Sesuaikan penampilan kompas anda</v>
      </c>
      <c r="G146" s="4" t="str">
        <f>IFERROR(__xludf.DUMMYFUNCTION("GOOGLETRANSLATE(B146,""en"",""de"")"),"Passen Sie das Erscheinungsbild Ihres Kompasses an")</f>
        <v>Passen Sie das Erscheinungsbild Ihres Kompasses an</v>
      </c>
      <c r="H146" s="4" t="str">
        <f>IFERROR(__xludf.DUMMYFUNCTION("GOOGLETRANSLATE(B146,""en"",""es"")"),"Personaliza la apariencia de tu brújula")</f>
        <v>Personaliza la apariencia de tu brújula</v>
      </c>
      <c r="I146" s="4" t="str">
        <f>IFERROR(__xludf.DUMMYFUNCTION("GOOGLETRANSLATE(B146,""en"",""fr"")"),"Personnalisez l'apparence de votre boussole")</f>
        <v>Personnalisez l'apparence de votre boussole</v>
      </c>
      <c r="J146" s="4" t="str">
        <f>IFERROR(__xludf.DUMMYFUNCTION("GOOGLETRANSLATE(B146,""en"",""it"")"),"Personalizza l'aspetto della tua bussola")</f>
        <v>Personalizza l'aspetto della tua bussola</v>
      </c>
      <c r="K146" s="4" t="str">
        <f>IFERROR(__xludf.DUMMYFUNCTION("GOOGLETRANSLATE(B146,""en"",""pt"")"),"Personalize a aparência da sua bússola")</f>
        <v>Personalize a aparência da sua bússola</v>
      </c>
      <c r="L146" s="4" t="str">
        <f>IFERROR(__xludf.DUMMYFUNCTION("GOOGLETRANSLATE(B146,""en"",""ro"")"),"Personalizați-vă aspectul busolei")</f>
        <v>Personalizați-vă aspectul busolei</v>
      </c>
      <c r="M146" s="4" t="str">
        <f>IFERROR(__xludf.DUMMYFUNCTION("GOOGLETRANSLATE(B146,""en"",""vi"")"),"Tùy chỉnh giao diện la bàn của bạn")</f>
        <v>Tùy chỉnh giao diện la bàn của bạn</v>
      </c>
      <c r="N146" s="4" t="str">
        <f>IFERROR(__xludf.DUMMYFUNCTION("GOOGLETRANSLATE(B146,""en"",""ru"")"),"Настройте внешний вид компаса")</f>
        <v>Настройте внешний вид компаса</v>
      </c>
      <c r="O146" s="4" t="str">
        <f>IFERROR(__xludf.DUMMYFUNCTION("GOOGLETRANSLATE(B146,""en"",""tr"")"),"Pusulanızın görünümünü özelleştirin")</f>
        <v>Pusulanızın görünümünü özelleştirin</v>
      </c>
      <c r="P146" s="4" t="str">
        <f>IFERROR(__xludf.DUMMYFUNCTION("GOOGLETRANSLATE(B146,""en"",""ar"")"),"تخصيص مظهر البوصلة الخاصة بك")</f>
        <v>تخصيص مظهر البوصلة الخاصة بك</v>
      </c>
      <c r="Q146" s="4" t="str">
        <f>IFERROR(__xludf.DUMMYFUNCTION("GOOGLETRANSLATE(B146,""en"",""mr"")"),"तुमचे कंपास स्वरूप सानुकूलित करा")</f>
        <v>तुमचे कंपास स्वरूप सानुकूलित करा</v>
      </c>
      <c r="R146" s="4" t="str">
        <f>IFERROR(__xludf.DUMMYFUNCTION("GOOGLETRANSLATE(B146,""en"",""gu"")"),"તમારા હોકાયંત્ર દેખાવને કસ્ટમાઇઝ કરો")</f>
        <v>તમારા હોકાયંત્ર દેખાવને કસ્ટમાઇઝ કરો</v>
      </c>
      <c r="S146" s="4" t="str">
        <f>IFERROR(__xludf.DUMMYFUNCTION("GOOGLETRANSLATE(B146,""en"",""bn"")"),"আপনার কম্পাস চেহারা কাস্টমাইজ করুন")</f>
        <v>আপনার কম্পাস চেহারা কাস্টমাইজ করুন</v>
      </c>
      <c r="T146" s="4" t="str">
        <f>IFERROR(__xludf.DUMMYFUNCTION("GOOGLETRANSLATE(B146,""en"",""pa"")"),"ਆਪਣੀ ਕੰਪਾਸ ਦਿੱਖ ਨੂੰ ਅਨੁਕੂਲਿਤ ਕਰੋ")</f>
        <v>ਆਪਣੀ ਕੰਪਾਸ ਦਿੱਖ ਨੂੰ ਅਨੁਕੂਲਿਤ ਕਰੋ</v>
      </c>
      <c r="U146" s="4" t="str">
        <f>IFERROR(__xludf.DUMMYFUNCTION("GOOGLETRANSLATE(B146,""en"",""te"")"),"మీ దిక్సూచి రూపాన్ని అనుకూలీకరించండి")</f>
        <v>మీ దిక్సూచి రూపాన్ని అనుకూలీకరించండి</v>
      </c>
      <c r="V146" s="4" t="str">
        <f>IFERROR(__xludf.DUMMYFUNCTION("GOOGLETRANSLATE(B146,""en"",""kn"")"),"ನಿಮ್ಮ ದಿಕ್ಸೂಚಿ ನೋಟವನ್ನು ಕಸ್ಟಮೈಸ್ ಮಾಡಿ")</f>
        <v>ನಿಮ್ಮ ದಿಕ್ಸೂಚಿ ನೋಟವನ್ನು ಕಸ್ಟಮೈಸ್ ಮಾಡಿ</v>
      </c>
      <c r="W146" s="4" t="str">
        <f>IFERROR(__xludf.DUMMYFUNCTION("GOOGLETRANSLATE(B146,""en"",""ml"")"),"നിങ്ങളുടെ കോമ്പസ് രൂപം ഇഷ്ടാനുസൃതമാക്കുക")</f>
        <v>നിങ്ങളുടെ കോമ്പസ് രൂപം ഇഷ്ടാനുസൃതമാക്കുക</v>
      </c>
      <c r="X146" s="4" t="str">
        <f>IFERROR(__xludf.DUMMYFUNCTION("GOOGLETRANSLATE(B146,""en"",""th"")"),"ปรับแต่งรูปลักษณ์เข็มทิศของคุณ")</f>
        <v>ปรับแต่งรูปลักษณ์เข็มทิศของคุณ</v>
      </c>
      <c r="Y146" s="4" t="str">
        <f>IFERROR(__xludf.DUMMYFUNCTION("GOOGLETRANSLATE(B146,""en"",""ko"")"),"나침반 모양 사용자 지정")</f>
        <v>나침반 모양 사용자 지정</v>
      </c>
      <c r="Z146" s="4" t="str">
        <f>IFERROR(__xludf.DUMMYFUNCTION("GOOGLETRANSLATE(B146,""en"",""zh"")"),"自定义指南针的外观")</f>
        <v>自定义指南针的外观</v>
      </c>
      <c r="AA146" s="4" t="str">
        <f>IFERROR(__xludf.DUMMYFUNCTION("GOOGLETRANSLATE(B146,""en"",""zh-TW"")"),"自訂指南針的外觀")</f>
        <v>自訂指南針的外觀</v>
      </c>
      <c r="AB146" s="4" t="str">
        <f>IFERROR(__xludf.DUMMYFUNCTION("GOOGLETRANSLATE(B146,""en"",""ja"")"),"コンパスの外観をカスタマイズする")</f>
        <v>コンパスの外観をカスタマイズする</v>
      </c>
      <c r="AC146" s="4" t="str">
        <f>IFERROR(__xludf.DUMMYFUNCTION("GOOGLETRANSLATE(B146,""en"",""bg"")"),"Персонализирайте външния вид на своя компас")</f>
        <v>Персонализирайте външния вид на своя компас</v>
      </c>
      <c r="AD146" s="4" t="str">
        <f>IFERROR(__xludf.DUMMYFUNCTION("GOOGLETRANSLATE(B146,""en"",""cs"")"),"Přizpůsobte si vzhled kompasu")</f>
        <v>Přizpůsobte si vzhled kompasu</v>
      </c>
      <c r="AE146" s="4" t="str">
        <f>IFERROR(__xludf.DUMMYFUNCTION("GOOGLETRANSLATE(B146,""en"",""da"")"),"Tilpas dit kompas udseende")</f>
        <v>Tilpas dit kompas udseende</v>
      </c>
      <c r="AF146" s="4" t="str">
        <f>IFERROR(__xludf.DUMMYFUNCTION("GOOGLETRANSLATE(B146,""en"",""el"")"),"Προσαρμόστε την εμφάνιση της πυξίδας σας")</f>
        <v>Προσαρμόστε την εμφάνιση της πυξίδας σας</v>
      </c>
      <c r="AG146" s="4" t="str">
        <f>IFERROR(__xludf.DUMMYFUNCTION("GOOGLETRANSLATE(B146,""en"",""et"")"),"Kohandage oma kompassi välimust")</f>
        <v>Kohandage oma kompassi välimust</v>
      </c>
      <c r="AH146" s="4" t="str">
        <f>IFERROR(__xludf.DUMMYFUNCTION("GOOGLETRANSLATE(B146,""en"",""fi"")"),"Mukauta kompassi ulkonäköä")</f>
        <v>Mukauta kompassi ulkonäköä</v>
      </c>
      <c r="AI146" s="4" t="str">
        <f>IFERROR(__xludf.DUMMYFUNCTION("GOOGLETRANSLATE(B146,""en"",""hr"")"),"Prilagodite izgled svog kompasa")</f>
        <v>Prilagodite izgled svog kompasa</v>
      </c>
      <c r="AJ146" s="4" t="str">
        <f>IFERROR(__xludf.DUMMYFUNCTION("GOOGLETRANSLATE(B146,""en"",""hu"")"),"Szabja személyre az iránytű megjelenését")</f>
        <v>Szabja személyre az iránytű megjelenését</v>
      </c>
      <c r="AK146" s="4" t="str">
        <f>IFERROR(__xludf.DUMMYFUNCTION("GOOGLETRANSLATE(B146,""en"",""hy"")"),"Անհատականացրեք ձեր կողմնացույցի տեսքը")</f>
        <v>Անհատականացրեք ձեր կողմնացույցի տեսքը</v>
      </c>
      <c r="AL146" s="4" t="str">
        <f>IFERROR(__xludf.DUMMYFUNCTION("GOOGLETRANSLATE(B146,""en"",""ca"")"),"Personalitza l'aspecte de la brúixola")</f>
        <v>Personalitza l'aspecte de la brúixola</v>
      </c>
      <c r="AM146" s="4" t="str">
        <f>IFERROR(__xludf.DUMMYFUNCTION("GOOGLETRANSLATE(B146,""en"",""nl"")"),"Pas het uiterlijk van uw kompas aan")</f>
        <v>Pas het uiterlijk van uw kompas aan</v>
      </c>
      <c r="AN146" s="4" t="str">
        <f>IFERROR(__xludf.DUMMYFUNCTION("GOOGLETRANSLATE(B146,""en"",""he"")"),"התאם אישית את מראה המצפן שלך")</f>
        <v>התאם אישית את מראה המצפן שלך</v>
      </c>
      <c r="AO146" s="4" t="str">
        <f>IFERROR(__xludf.DUMMYFUNCTION("GOOGLETRANSLATE(B146,""en"",""is"")"),"Sérsníddu áttavitaútlitið þitt")</f>
        <v>Sérsníddu áttavitaútlitið þitt</v>
      </c>
      <c r="AP146" s="4" t="str">
        <f>IFERROR(__xludf.DUMMYFUNCTION("GOOGLETRANSLATE(B146,""en"",""no"")"),"Tilpass kompassets utseende")</f>
        <v>Tilpass kompassets utseende</v>
      </c>
      <c r="AQ146" s="4" t="str">
        <f>IFERROR(__xludf.DUMMYFUNCTION("GOOGLETRANSLATE(B146,""en"",""fa"")"),"ظاهر قطب نما خود را سفارشی کنید")</f>
        <v>ظاهر قطب نما خود را سفارشی کنید</v>
      </c>
      <c r="AR146" s="4" t="str">
        <f>IFERROR(__xludf.DUMMYFUNCTION("GOOGLETRANSLATE(B146,""en"",""pl"")"),"Dostosuj wygląd swojego kompasu")</f>
        <v>Dostosuj wygląd swojego kompasu</v>
      </c>
      <c r="AS146" s="4" t="str">
        <f>IFERROR(__xludf.DUMMYFUNCTION("GOOGLETRANSLATE(B146,""en"",""sv"")"),"Anpassa din kompass utseende")</f>
        <v>Anpassa din kompass utseende</v>
      </c>
      <c r="AT146" s="4" t="str">
        <f>IFERROR(__xludf.DUMMYFUNCTION("GOOGLETRANSLATE(B146,""en"",""uk"")"),"Налаштуйте зовнішній вигляд компаса")</f>
        <v>Налаштуйте зовнішній вигляд компаса</v>
      </c>
      <c r="AU146" s="4" t="str">
        <f>IFERROR(__xludf.DUMMYFUNCTION("GOOGLETRANSLATE(B146,""en"",""zu"")"),"Enza ngendlela oyifisayo ukubukeka kwekhampasi yakho")</f>
        <v>Enza ngendlela oyifisayo ukubukeka kwekhampasi yakho</v>
      </c>
      <c r="AV146" s="4" t="str">
        <f>IFERROR(__xludf.DUMMYFUNCTION("GOOGLETRANSLATE(B146,""en"",""sr"")"),"Прилагодите изглед компаса")</f>
        <v>Прилагодите изглед компаса</v>
      </c>
    </row>
    <row r="147">
      <c r="A147" s="3" t="s">
        <v>325</v>
      </c>
      <c r="B147" s="3" t="s">
        <v>326</v>
      </c>
      <c r="C147" s="4" t="str">
        <f>IFERROR(__xludf.DUMMYFUNCTION("GOOGLETRANSLATE(B147,""en"",""ta"")"),"திசைகாட்டி உடை")</f>
        <v>திசைகாட்டி உடை</v>
      </c>
      <c r="D147" s="4" t="str">
        <f>IFERROR(__xludf.DUMMYFUNCTION("GOOGLETRANSLATE(B147,""en"",""hi"")"),"कम्पास शैली")</f>
        <v>कम्पास शैली</v>
      </c>
      <c r="E147" s="4" t="str">
        <f>IFERROR(__xludf.DUMMYFUNCTION("GOOGLETRANSLATE(B147,""en"",""id"")"),"Gaya Kompas")</f>
        <v>Gaya Kompas</v>
      </c>
      <c r="F147" s="4" t="str">
        <f>IFERROR(__xludf.DUMMYFUNCTION("GOOGLETRANSLATE(B147,""en"",""ms"")"),"Gaya Kompas")</f>
        <v>Gaya Kompas</v>
      </c>
      <c r="G147" s="4" t="str">
        <f>IFERROR(__xludf.DUMMYFUNCTION("GOOGLETRANSLATE(B147,""en"",""de"")"),"Kompassstil")</f>
        <v>Kompassstil</v>
      </c>
      <c r="H147" s="4" t="str">
        <f>IFERROR(__xludf.DUMMYFUNCTION("GOOGLETRANSLATE(B147,""en"",""es"")"),"Estilo brújula")</f>
        <v>Estilo brújula</v>
      </c>
      <c r="I147" s="4" t="str">
        <f>IFERROR(__xludf.DUMMYFUNCTION("GOOGLETRANSLATE(B147,""en"",""fr"")"),"Style de boussole")</f>
        <v>Style de boussole</v>
      </c>
      <c r="J147" s="4" t="str">
        <f>IFERROR(__xludf.DUMMYFUNCTION("GOOGLETRANSLATE(B147,""en"",""it"")"),"Stile bussola")</f>
        <v>Stile bussola</v>
      </c>
      <c r="K147" s="4" t="str">
        <f>IFERROR(__xludf.DUMMYFUNCTION("GOOGLETRANSLATE(B147,""en"",""pt"")"),"Estilo Bússola")</f>
        <v>Estilo Bússola</v>
      </c>
      <c r="L147" s="4" t="str">
        <f>IFERROR(__xludf.DUMMYFUNCTION("GOOGLETRANSLATE(B147,""en"",""ro"")"),"Stil busolă")</f>
        <v>Stil busolă</v>
      </c>
      <c r="M147" s="4" t="str">
        <f>IFERROR(__xludf.DUMMYFUNCTION("GOOGLETRANSLATE(B147,""en"",""vi"")"),"Kiểu La Bàn")</f>
        <v>Kiểu La Bàn</v>
      </c>
      <c r="N147" s="4" t="str">
        <f>IFERROR(__xludf.DUMMYFUNCTION("GOOGLETRANSLATE(B147,""en"",""ru"")"),"Стиль компаса")</f>
        <v>Стиль компаса</v>
      </c>
      <c r="O147" s="4" t="str">
        <f>IFERROR(__xludf.DUMMYFUNCTION("GOOGLETRANSLATE(B147,""en"",""tr"")"),"Pusula Stili")</f>
        <v>Pusula Stili</v>
      </c>
      <c r="P147" s="4" t="str">
        <f>IFERROR(__xludf.DUMMYFUNCTION("GOOGLETRANSLATE(B147,""en"",""ar"")"),"نمط البوصلة")</f>
        <v>نمط البوصلة</v>
      </c>
      <c r="Q147" s="4" t="str">
        <f>IFERROR(__xludf.DUMMYFUNCTION("GOOGLETRANSLATE(B147,""en"",""mr"")"),"कंपास शैली")</f>
        <v>कंपास शैली</v>
      </c>
      <c r="R147" s="4" t="str">
        <f>IFERROR(__xludf.DUMMYFUNCTION("GOOGLETRANSLATE(B147,""en"",""gu"")"),"હોકાયંત્ર શૈલી")</f>
        <v>હોકાયંત્ર શૈલી</v>
      </c>
      <c r="S147" s="4" t="str">
        <f>IFERROR(__xludf.DUMMYFUNCTION("GOOGLETRANSLATE(B147,""en"",""bn"")"),"কম্পাস শৈলী")</f>
        <v>কম্পাস শৈলী</v>
      </c>
      <c r="T147" s="4" t="str">
        <f>IFERROR(__xludf.DUMMYFUNCTION("GOOGLETRANSLATE(B147,""en"",""pa"")"),"ਕੰਪਾਸ ਸ਼ੈਲੀ")</f>
        <v>ਕੰਪਾਸ ਸ਼ੈਲੀ</v>
      </c>
      <c r="U147" s="4" t="str">
        <f>IFERROR(__xludf.DUMMYFUNCTION("GOOGLETRANSLATE(B147,""en"",""te"")"),"కంపాస్ శైలి")</f>
        <v>కంపాస్ శైలి</v>
      </c>
      <c r="V147" s="4" t="str">
        <f>IFERROR(__xludf.DUMMYFUNCTION("GOOGLETRANSLATE(B147,""en"",""kn"")"),"ದಿಕ್ಸೂಚಿ ಶೈಲಿ")</f>
        <v>ದಿಕ್ಸೂಚಿ ಶೈಲಿ</v>
      </c>
      <c r="W147" s="4" t="str">
        <f>IFERROR(__xludf.DUMMYFUNCTION("GOOGLETRANSLATE(B147,""en"",""ml"")"),"കോമ്പസ് ശൈലി")</f>
        <v>കോമ്പസ് ശൈലി</v>
      </c>
      <c r="X147" s="4" t="str">
        <f>IFERROR(__xludf.DUMMYFUNCTION("GOOGLETRANSLATE(B147,""en"",""th"")"),"สไตล์เข็มทิศ")</f>
        <v>สไตล์เข็มทิศ</v>
      </c>
      <c r="Y147" s="4" t="str">
        <f>IFERROR(__xludf.DUMMYFUNCTION("GOOGLETRANSLATE(B147,""en"",""ko"")"),"나침반 스타일")</f>
        <v>나침반 스타일</v>
      </c>
      <c r="Z147" s="4" t="str">
        <f>IFERROR(__xludf.DUMMYFUNCTION("GOOGLETRANSLATE(B147,""en"",""zh"")"),"指南针风格")</f>
        <v>指南针风格</v>
      </c>
      <c r="AA147" s="4" t="str">
        <f>IFERROR(__xludf.DUMMYFUNCTION("GOOGLETRANSLATE(B147,""en"",""zh-TW"")"),"指南針風格")</f>
        <v>指南針風格</v>
      </c>
      <c r="AB147" s="4" t="str">
        <f>IFERROR(__xludf.DUMMYFUNCTION("GOOGLETRANSLATE(B147,""en"",""ja"")"),"コンパススタイル")</f>
        <v>コンパススタイル</v>
      </c>
      <c r="AC147" s="4" t="str">
        <f>IFERROR(__xludf.DUMMYFUNCTION("GOOGLETRANSLATE(B147,""en"",""bg"")"),"Компас Стил")</f>
        <v>Компас Стил</v>
      </c>
      <c r="AD147" s="4" t="str">
        <f>IFERROR(__xludf.DUMMYFUNCTION("GOOGLETRANSLATE(B147,""en"",""cs"")"),"Styl kompasu")</f>
        <v>Styl kompasu</v>
      </c>
      <c r="AE147" s="4" t="str">
        <f>IFERROR(__xludf.DUMMYFUNCTION("GOOGLETRANSLATE(B147,""en"",""da"")"),"Kompas stil")</f>
        <v>Kompas stil</v>
      </c>
      <c r="AF147" s="4" t="str">
        <f>IFERROR(__xludf.DUMMYFUNCTION("GOOGLETRANSLATE(B147,""en"",""el"")"),"Στυλ πυξίδας")</f>
        <v>Στυλ πυξίδας</v>
      </c>
      <c r="AG147" s="4" t="str">
        <f>IFERROR(__xludf.DUMMYFUNCTION("GOOGLETRANSLATE(B147,""en"",""et"")"),"Kompassi stiil")</f>
        <v>Kompassi stiil</v>
      </c>
      <c r="AH147" s="4" t="str">
        <f>IFERROR(__xludf.DUMMYFUNCTION("GOOGLETRANSLATE(B147,""en"",""fi"")"),"Kompassin tyyli")</f>
        <v>Kompassin tyyli</v>
      </c>
      <c r="AI147" s="4" t="str">
        <f>IFERROR(__xludf.DUMMYFUNCTION("GOOGLETRANSLATE(B147,""en"",""hr"")"),"Stil kompasa")</f>
        <v>Stil kompasa</v>
      </c>
      <c r="AJ147" s="4" t="str">
        <f>IFERROR(__xludf.DUMMYFUNCTION("GOOGLETRANSLATE(B147,""en"",""hu"")"),"Iránytű stílus")</f>
        <v>Iránytű stílus</v>
      </c>
      <c r="AK147" s="4" t="str">
        <f>IFERROR(__xludf.DUMMYFUNCTION("GOOGLETRANSLATE(B147,""en"",""hy"")"),"Կողմնացույցի ոճ")</f>
        <v>Կողմնացույցի ոճ</v>
      </c>
      <c r="AL147" s="4" t="str">
        <f>IFERROR(__xludf.DUMMYFUNCTION("GOOGLETRANSLATE(B147,""en"",""ca"")"),"Estil Compàs")</f>
        <v>Estil Compàs</v>
      </c>
      <c r="AM147" s="4" t="str">
        <f>IFERROR(__xludf.DUMMYFUNCTION("GOOGLETRANSLATE(B147,""en"",""nl"")"),"Kompasstijl")</f>
        <v>Kompasstijl</v>
      </c>
      <c r="AN147" s="4" t="str">
        <f>IFERROR(__xludf.DUMMYFUNCTION("GOOGLETRANSLATE(B147,""en"",""he"")"),"סגנון מצפן")</f>
        <v>סגנון מצפן</v>
      </c>
      <c r="AO147" s="4" t="str">
        <f>IFERROR(__xludf.DUMMYFUNCTION("GOOGLETRANSLATE(B147,""en"",""is"")"),"Áttavita Stíll")</f>
        <v>Áttavita Stíll</v>
      </c>
      <c r="AP147" s="4" t="str">
        <f>IFERROR(__xludf.DUMMYFUNCTION("GOOGLETRANSLATE(B147,""en"",""no"")"),"Kompassstil")</f>
        <v>Kompassstil</v>
      </c>
      <c r="AQ147" s="4" t="str">
        <f>IFERROR(__xludf.DUMMYFUNCTION("GOOGLETRANSLATE(B147,""en"",""fa"")"),"سبک قطب نما")</f>
        <v>سبک قطب نما</v>
      </c>
      <c r="AR147" s="4" t="str">
        <f>IFERROR(__xludf.DUMMYFUNCTION("GOOGLETRANSLATE(B147,""en"",""pl"")"),"Styl kompasu")</f>
        <v>Styl kompasu</v>
      </c>
      <c r="AS147" s="4" t="str">
        <f>IFERROR(__xludf.DUMMYFUNCTION("GOOGLETRANSLATE(B147,""en"",""sv"")"),"Kompass stil")</f>
        <v>Kompass stil</v>
      </c>
      <c r="AT147" s="4" t="str">
        <f>IFERROR(__xludf.DUMMYFUNCTION("GOOGLETRANSLATE(B147,""en"",""uk"")"),"Компас Стиль")</f>
        <v>Компас Стиль</v>
      </c>
      <c r="AU147" s="4" t="str">
        <f>IFERROR(__xludf.DUMMYFUNCTION("GOOGLETRANSLATE(B147,""en"",""zu"")"),"Isitayela sekhampasi")</f>
        <v>Isitayela sekhampasi</v>
      </c>
      <c r="AV147" s="4" t="str">
        <f>IFERROR(__xludf.DUMMYFUNCTION("GOOGLETRANSLATE(B147,""en"",""sr"")"),"Компас стил")</f>
        <v>Компас стил</v>
      </c>
    </row>
    <row r="148">
      <c r="A148" s="3" t="s">
        <v>327</v>
      </c>
      <c r="B148" s="3" t="s">
        <v>328</v>
      </c>
      <c r="C148" s="4" t="str">
        <f>IFERROR(__xludf.DUMMYFUNCTION("GOOGLETRANSLATE(B148,""en"",""ta"")"),"தீம்")</f>
        <v>தீம்</v>
      </c>
      <c r="D148" s="4" t="str">
        <f>IFERROR(__xludf.DUMMYFUNCTION("GOOGLETRANSLATE(B148,""en"",""hi"")"),"विषय")</f>
        <v>विषय</v>
      </c>
      <c r="E148" s="4" t="str">
        <f>IFERROR(__xludf.DUMMYFUNCTION("GOOGLETRANSLATE(B148,""en"",""id"")"),"Tema")</f>
        <v>Tema</v>
      </c>
      <c r="F148" s="4" t="str">
        <f>IFERROR(__xludf.DUMMYFUNCTION("GOOGLETRANSLATE(B148,""en"",""ms"")"),"Tema")</f>
        <v>Tema</v>
      </c>
      <c r="G148" s="4" t="str">
        <f>IFERROR(__xludf.DUMMYFUNCTION("GOOGLETRANSLATE(B148,""en"",""de"")"),"Thema")</f>
        <v>Thema</v>
      </c>
      <c r="H148" s="4" t="str">
        <f>IFERROR(__xludf.DUMMYFUNCTION("GOOGLETRANSLATE(B148,""en"",""es"")"),"Tema")</f>
        <v>Tema</v>
      </c>
      <c r="I148" s="4" t="str">
        <f>IFERROR(__xludf.DUMMYFUNCTION("GOOGLETRANSLATE(B148,""en"",""fr"")"),"Thème")</f>
        <v>Thème</v>
      </c>
      <c r="J148" s="4" t="str">
        <f>IFERROR(__xludf.DUMMYFUNCTION("GOOGLETRANSLATE(B148,""en"",""it"")"),"Tema")</f>
        <v>Tema</v>
      </c>
      <c r="K148" s="4" t="str">
        <f>IFERROR(__xludf.DUMMYFUNCTION("GOOGLETRANSLATE(B148,""en"",""pt"")"),"Tema")</f>
        <v>Tema</v>
      </c>
      <c r="L148" s="4" t="str">
        <f>IFERROR(__xludf.DUMMYFUNCTION("GOOGLETRANSLATE(B148,""en"",""ro"")"),"Temă")</f>
        <v>Temă</v>
      </c>
      <c r="M148" s="4" t="str">
        <f>IFERROR(__xludf.DUMMYFUNCTION("GOOGLETRANSLATE(B148,""en"",""vi"")"),"Chủ đề")</f>
        <v>Chủ đề</v>
      </c>
      <c r="N148" s="4" t="str">
        <f>IFERROR(__xludf.DUMMYFUNCTION("GOOGLETRANSLATE(B148,""en"",""ru"")"),"Тема")</f>
        <v>Тема</v>
      </c>
      <c r="O148" s="4" t="str">
        <f>IFERROR(__xludf.DUMMYFUNCTION("GOOGLETRANSLATE(B148,""en"",""tr"")"),"Tema")</f>
        <v>Tema</v>
      </c>
      <c r="P148" s="4" t="str">
        <f>IFERROR(__xludf.DUMMYFUNCTION("GOOGLETRANSLATE(B148,""en"",""ar"")"),"سمة")</f>
        <v>سمة</v>
      </c>
      <c r="Q148" s="4" t="str">
        <f>IFERROR(__xludf.DUMMYFUNCTION("GOOGLETRANSLATE(B148,""en"",""mr"")"),"थीम")</f>
        <v>थीम</v>
      </c>
      <c r="R148" s="4" t="str">
        <f>IFERROR(__xludf.DUMMYFUNCTION("GOOGLETRANSLATE(B148,""en"",""gu"")"),"થીમ")</f>
        <v>થીમ</v>
      </c>
      <c r="S148" s="4" t="str">
        <f>IFERROR(__xludf.DUMMYFUNCTION("GOOGLETRANSLATE(B148,""en"",""bn"")"),"থিম")</f>
        <v>থিম</v>
      </c>
      <c r="T148" s="4" t="str">
        <f>IFERROR(__xludf.DUMMYFUNCTION("GOOGLETRANSLATE(B148,""en"",""pa"")"),"ਥੀਮ")</f>
        <v>ਥੀਮ</v>
      </c>
      <c r="U148" s="4" t="str">
        <f>IFERROR(__xludf.DUMMYFUNCTION("GOOGLETRANSLATE(B148,""en"",""te"")"),"థీమ్")</f>
        <v>థీమ్</v>
      </c>
      <c r="V148" s="4" t="str">
        <f>IFERROR(__xludf.DUMMYFUNCTION("GOOGLETRANSLATE(B148,""en"",""kn"")"),"ಥೀಮ್")</f>
        <v>ಥೀಮ್</v>
      </c>
      <c r="W148" s="4" t="str">
        <f>IFERROR(__xludf.DUMMYFUNCTION("GOOGLETRANSLATE(B148,""en"",""ml"")"),"തീം")</f>
        <v>തീം</v>
      </c>
      <c r="X148" s="4" t="str">
        <f>IFERROR(__xludf.DUMMYFUNCTION("GOOGLETRANSLATE(B148,""en"",""th"")"),"ธีม")</f>
        <v>ธีม</v>
      </c>
      <c r="Y148" s="4" t="str">
        <f>IFERROR(__xludf.DUMMYFUNCTION("GOOGLETRANSLATE(B148,""en"",""ko"")"),"주제")</f>
        <v>주제</v>
      </c>
      <c r="Z148" s="4" t="str">
        <f>IFERROR(__xludf.DUMMYFUNCTION("GOOGLETRANSLATE(B148,""en"",""zh"")"),"主题")</f>
        <v>主题</v>
      </c>
      <c r="AA148" s="4" t="str">
        <f>IFERROR(__xludf.DUMMYFUNCTION("GOOGLETRANSLATE(B148,""en"",""zh-TW"")"),"主題")</f>
        <v>主題</v>
      </c>
      <c r="AB148" s="4" t="str">
        <f>IFERROR(__xludf.DUMMYFUNCTION("GOOGLETRANSLATE(B148,""en"",""ja"")"),"テーマ")</f>
        <v>テーマ</v>
      </c>
      <c r="AC148" s="4" t="str">
        <f>IFERROR(__xludf.DUMMYFUNCTION("GOOGLETRANSLATE(B148,""en"",""bg"")"),"Тема")</f>
        <v>Тема</v>
      </c>
      <c r="AD148" s="4" t="str">
        <f>IFERROR(__xludf.DUMMYFUNCTION("GOOGLETRANSLATE(B148,""en"",""cs"")"),"Téma")</f>
        <v>Téma</v>
      </c>
      <c r="AE148" s="4" t="str">
        <f>IFERROR(__xludf.DUMMYFUNCTION("GOOGLETRANSLATE(B148,""en"",""da"")"),"Tema")</f>
        <v>Tema</v>
      </c>
      <c r="AF148" s="4" t="str">
        <f>IFERROR(__xludf.DUMMYFUNCTION("GOOGLETRANSLATE(B148,""en"",""el"")"),"Θέμα")</f>
        <v>Θέμα</v>
      </c>
      <c r="AG148" s="4" t="str">
        <f>IFERROR(__xludf.DUMMYFUNCTION("GOOGLETRANSLATE(B148,""en"",""et"")"),"Teema")</f>
        <v>Teema</v>
      </c>
      <c r="AH148" s="4" t="str">
        <f>IFERROR(__xludf.DUMMYFUNCTION("GOOGLETRANSLATE(B148,""en"",""fi"")"),"Teema")</f>
        <v>Teema</v>
      </c>
      <c r="AI148" s="4" t="str">
        <f>IFERROR(__xludf.DUMMYFUNCTION("GOOGLETRANSLATE(B148,""en"",""hr"")"),"Tema")</f>
        <v>Tema</v>
      </c>
      <c r="AJ148" s="4" t="str">
        <f>IFERROR(__xludf.DUMMYFUNCTION("GOOGLETRANSLATE(B148,""en"",""hu"")"),"Téma")</f>
        <v>Téma</v>
      </c>
      <c r="AK148" s="4" t="str">
        <f>IFERROR(__xludf.DUMMYFUNCTION("GOOGLETRANSLATE(B148,""en"",""hy"")"),"Թեմա")</f>
        <v>Թեմա</v>
      </c>
      <c r="AL148" s="4" t="str">
        <f>IFERROR(__xludf.DUMMYFUNCTION("GOOGLETRANSLATE(B148,""en"",""ca"")"),"Tema")</f>
        <v>Tema</v>
      </c>
      <c r="AM148" s="4" t="str">
        <f>IFERROR(__xludf.DUMMYFUNCTION("GOOGLETRANSLATE(B148,""en"",""nl"")"),"Thema")</f>
        <v>Thema</v>
      </c>
      <c r="AN148" s="4" t="str">
        <f>IFERROR(__xludf.DUMMYFUNCTION("GOOGLETRANSLATE(B148,""en"",""he"")"),"נוֹשֵׂא")</f>
        <v>נוֹשֵׂא</v>
      </c>
      <c r="AO148" s="4" t="str">
        <f>IFERROR(__xludf.DUMMYFUNCTION("GOOGLETRANSLATE(B148,""en"",""is"")"),"Þema")</f>
        <v>Þema</v>
      </c>
      <c r="AP148" s="4" t="str">
        <f>IFERROR(__xludf.DUMMYFUNCTION("GOOGLETRANSLATE(B148,""en"",""no"")"),"Tema")</f>
        <v>Tema</v>
      </c>
      <c r="AQ148" s="4" t="str">
        <f>IFERROR(__xludf.DUMMYFUNCTION("GOOGLETRANSLATE(B148,""en"",""fa"")"),"موضوع")</f>
        <v>موضوع</v>
      </c>
      <c r="AR148" s="4" t="str">
        <f>IFERROR(__xludf.DUMMYFUNCTION("GOOGLETRANSLATE(B148,""en"",""pl"")"),"Temat")</f>
        <v>Temat</v>
      </c>
      <c r="AS148" s="4" t="str">
        <f>IFERROR(__xludf.DUMMYFUNCTION("GOOGLETRANSLATE(B148,""en"",""sv"")"),"Tema")</f>
        <v>Tema</v>
      </c>
      <c r="AT148" s="4" t="str">
        <f>IFERROR(__xludf.DUMMYFUNCTION("GOOGLETRANSLATE(B148,""en"",""uk"")"),"Тема")</f>
        <v>Тема</v>
      </c>
      <c r="AU148" s="4" t="str">
        <f>IFERROR(__xludf.DUMMYFUNCTION("GOOGLETRANSLATE(B148,""en"",""zu"")"),"Itimu")</f>
        <v>Itimu</v>
      </c>
      <c r="AV148" s="4" t="str">
        <f>IFERROR(__xludf.DUMMYFUNCTION("GOOGLETRANSLATE(B148,""en"",""sr"")"),"Тема")</f>
        <v>Тема</v>
      </c>
    </row>
    <row r="149">
      <c r="A149" s="3" t="s">
        <v>329</v>
      </c>
      <c r="B149" s="3" t="s">
        <v>330</v>
      </c>
      <c r="C149" s="4" t="str">
        <f>IFERROR(__xludf.DUMMYFUNCTION("GOOGLETRANSLATE(B149,""en"",""ta"")"),"அளவு")</f>
        <v>அளவு</v>
      </c>
      <c r="D149" s="4" t="str">
        <f>IFERROR(__xludf.DUMMYFUNCTION("GOOGLETRANSLATE(B149,""en"",""hi"")"),"आकार")</f>
        <v>आकार</v>
      </c>
      <c r="E149" s="4" t="str">
        <f>IFERROR(__xludf.DUMMYFUNCTION("GOOGLETRANSLATE(B149,""en"",""id"")"),"Ukuran")</f>
        <v>Ukuran</v>
      </c>
      <c r="F149" s="4" t="str">
        <f>IFERROR(__xludf.DUMMYFUNCTION("GOOGLETRANSLATE(B149,""en"",""ms"")"),"Saiz")</f>
        <v>Saiz</v>
      </c>
      <c r="G149" s="4" t="str">
        <f>IFERROR(__xludf.DUMMYFUNCTION("GOOGLETRANSLATE(B149,""en"",""de"")"),"Größe")</f>
        <v>Größe</v>
      </c>
      <c r="H149" s="4" t="str">
        <f>IFERROR(__xludf.DUMMYFUNCTION("GOOGLETRANSLATE(B149,""en"",""es"")"),"Tamaño")</f>
        <v>Tamaño</v>
      </c>
      <c r="I149" s="4" t="str">
        <f>IFERROR(__xludf.DUMMYFUNCTION("GOOGLETRANSLATE(B149,""en"",""fr"")"),"Taille")</f>
        <v>Taille</v>
      </c>
      <c r="J149" s="4" t="str">
        <f>IFERROR(__xludf.DUMMYFUNCTION("GOOGLETRANSLATE(B149,""en"",""it"")"),"Misurare")</f>
        <v>Misurare</v>
      </c>
      <c r="K149" s="4" t="str">
        <f>IFERROR(__xludf.DUMMYFUNCTION("GOOGLETRANSLATE(B149,""en"",""pt"")"),"Tamanho")</f>
        <v>Tamanho</v>
      </c>
      <c r="L149" s="4" t="str">
        <f>IFERROR(__xludf.DUMMYFUNCTION("GOOGLETRANSLATE(B149,""en"",""ro"")"),"Dimensiune")</f>
        <v>Dimensiune</v>
      </c>
      <c r="M149" s="4" t="str">
        <f>IFERROR(__xludf.DUMMYFUNCTION("GOOGLETRANSLATE(B149,""en"",""vi"")"),"Kích cỡ")</f>
        <v>Kích cỡ</v>
      </c>
      <c r="N149" s="4" t="str">
        <f>IFERROR(__xludf.DUMMYFUNCTION("GOOGLETRANSLATE(B149,""en"",""ru"")"),"Размер")</f>
        <v>Размер</v>
      </c>
      <c r="O149" s="4" t="str">
        <f>IFERROR(__xludf.DUMMYFUNCTION("GOOGLETRANSLATE(B149,""en"",""tr"")"),"Boyut")</f>
        <v>Boyut</v>
      </c>
      <c r="P149" s="4" t="str">
        <f>IFERROR(__xludf.DUMMYFUNCTION("GOOGLETRANSLATE(B149,""en"",""ar"")"),"مقاس")</f>
        <v>مقاس</v>
      </c>
      <c r="Q149" s="4" t="str">
        <f>IFERROR(__xludf.DUMMYFUNCTION("GOOGLETRANSLATE(B149,""en"",""mr"")"),"आकार")</f>
        <v>आकार</v>
      </c>
      <c r="R149" s="4" t="str">
        <f>IFERROR(__xludf.DUMMYFUNCTION("GOOGLETRANSLATE(B149,""en"",""gu"")"),"કદ")</f>
        <v>કદ</v>
      </c>
      <c r="S149" s="4" t="str">
        <f>IFERROR(__xludf.DUMMYFUNCTION("GOOGLETRANSLATE(B149,""en"",""bn"")"),"আকার")</f>
        <v>আকার</v>
      </c>
      <c r="T149" s="4" t="str">
        <f>IFERROR(__xludf.DUMMYFUNCTION("GOOGLETRANSLATE(B149,""en"",""pa"")"),"ਆਕਾਰ")</f>
        <v>ਆਕਾਰ</v>
      </c>
      <c r="U149" s="4" t="str">
        <f>IFERROR(__xludf.DUMMYFUNCTION("GOOGLETRANSLATE(B149,""en"",""te"")"),"పరిమాణం")</f>
        <v>పరిమాణం</v>
      </c>
      <c r="V149" s="4" t="str">
        <f>IFERROR(__xludf.DUMMYFUNCTION("GOOGLETRANSLATE(B149,""en"",""kn"")"),"ಗಾತ್ರ")</f>
        <v>ಗಾತ್ರ</v>
      </c>
      <c r="W149" s="4" t="str">
        <f>IFERROR(__xludf.DUMMYFUNCTION("GOOGLETRANSLATE(B149,""en"",""ml"")"),"വലിപ്പം")</f>
        <v>വലിപ്പം</v>
      </c>
      <c r="X149" s="4" t="str">
        <f>IFERROR(__xludf.DUMMYFUNCTION("GOOGLETRANSLATE(B149,""en"",""th"")"),"ขนาด")</f>
        <v>ขนาด</v>
      </c>
      <c r="Y149" s="4" t="str">
        <f>IFERROR(__xludf.DUMMYFUNCTION("GOOGLETRANSLATE(B149,""en"",""ko"")"),"크기")</f>
        <v>크기</v>
      </c>
      <c r="Z149" s="4" t="str">
        <f>IFERROR(__xludf.DUMMYFUNCTION("GOOGLETRANSLATE(B149,""en"",""zh"")"),"尺寸")</f>
        <v>尺寸</v>
      </c>
      <c r="AA149" s="4" t="str">
        <f>IFERROR(__xludf.DUMMYFUNCTION("GOOGLETRANSLATE(B149,""en"",""zh-TW"")"),"尺寸")</f>
        <v>尺寸</v>
      </c>
      <c r="AB149" s="4" t="str">
        <f>IFERROR(__xludf.DUMMYFUNCTION("GOOGLETRANSLATE(B149,""en"",""ja"")"),"サイズ")</f>
        <v>サイズ</v>
      </c>
      <c r="AC149" s="4" t="str">
        <f>IFERROR(__xludf.DUMMYFUNCTION("GOOGLETRANSLATE(B149,""en"",""bg"")"),"Размер")</f>
        <v>Размер</v>
      </c>
      <c r="AD149" s="4" t="str">
        <f>IFERROR(__xludf.DUMMYFUNCTION("GOOGLETRANSLATE(B149,""en"",""cs"")"),"Velikost")</f>
        <v>Velikost</v>
      </c>
      <c r="AE149" s="4" t="str">
        <f>IFERROR(__xludf.DUMMYFUNCTION("GOOGLETRANSLATE(B149,""en"",""da"")"),"Størrelse")</f>
        <v>Størrelse</v>
      </c>
      <c r="AF149" s="4" t="str">
        <f>IFERROR(__xludf.DUMMYFUNCTION("GOOGLETRANSLATE(B149,""en"",""el"")"),"Μέγεθος")</f>
        <v>Μέγεθος</v>
      </c>
      <c r="AG149" s="4" t="str">
        <f>IFERROR(__xludf.DUMMYFUNCTION("GOOGLETRANSLATE(B149,""en"",""et"")"),"Suurus")</f>
        <v>Suurus</v>
      </c>
      <c r="AH149" s="4" t="str">
        <f>IFERROR(__xludf.DUMMYFUNCTION("GOOGLETRANSLATE(B149,""en"",""fi"")"),"Koko")</f>
        <v>Koko</v>
      </c>
      <c r="AI149" s="4" t="str">
        <f>IFERROR(__xludf.DUMMYFUNCTION("GOOGLETRANSLATE(B149,""en"",""hr"")"),"Veličina")</f>
        <v>Veličina</v>
      </c>
      <c r="AJ149" s="4" t="str">
        <f>IFERROR(__xludf.DUMMYFUNCTION("GOOGLETRANSLATE(B149,""en"",""hu"")"),"Méret")</f>
        <v>Méret</v>
      </c>
      <c r="AK149" s="4" t="str">
        <f>IFERROR(__xludf.DUMMYFUNCTION("GOOGLETRANSLATE(B149,""en"",""hy"")"),"Չափը")</f>
        <v>Չափը</v>
      </c>
      <c r="AL149" s="4" t="str">
        <f>IFERROR(__xludf.DUMMYFUNCTION("GOOGLETRANSLATE(B149,""en"",""ca"")"),"Mida")</f>
        <v>Mida</v>
      </c>
      <c r="AM149" s="4" t="str">
        <f>IFERROR(__xludf.DUMMYFUNCTION("GOOGLETRANSLATE(B149,""en"",""nl"")"),"Maat")</f>
        <v>Maat</v>
      </c>
      <c r="AN149" s="4" t="str">
        <f>IFERROR(__xludf.DUMMYFUNCTION("GOOGLETRANSLATE(B149,""en"",""he"")"),"גוֹדֶל")</f>
        <v>גוֹדֶל</v>
      </c>
      <c r="AO149" s="4" t="str">
        <f>IFERROR(__xludf.DUMMYFUNCTION("GOOGLETRANSLATE(B149,""en"",""is"")"),"Stærð")</f>
        <v>Stærð</v>
      </c>
      <c r="AP149" s="4" t="str">
        <f>IFERROR(__xludf.DUMMYFUNCTION("GOOGLETRANSLATE(B149,""en"",""no"")"),"Størrelse")</f>
        <v>Størrelse</v>
      </c>
      <c r="AQ149" s="4" t="str">
        <f>IFERROR(__xludf.DUMMYFUNCTION("GOOGLETRANSLATE(B149,""en"",""fa"")"),"اندازه")</f>
        <v>اندازه</v>
      </c>
      <c r="AR149" s="4" t="str">
        <f>IFERROR(__xludf.DUMMYFUNCTION("GOOGLETRANSLATE(B149,""en"",""pl"")"),"Rozmiar")</f>
        <v>Rozmiar</v>
      </c>
      <c r="AS149" s="4" t="str">
        <f>IFERROR(__xludf.DUMMYFUNCTION("GOOGLETRANSLATE(B149,""en"",""sv"")"),"Storlek")</f>
        <v>Storlek</v>
      </c>
      <c r="AT149" s="4" t="str">
        <f>IFERROR(__xludf.DUMMYFUNCTION("GOOGLETRANSLATE(B149,""en"",""uk"")"),"Розмір")</f>
        <v>Розмір</v>
      </c>
      <c r="AU149" s="4" t="str">
        <f>IFERROR(__xludf.DUMMYFUNCTION("GOOGLETRANSLATE(B149,""en"",""zu"")"),"Usayizi")</f>
        <v>Usayizi</v>
      </c>
      <c r="AV149" s="4" t="str">
        <f>IFERROR(__xludf.DUMMYFUNCTION("GOOGLETRANSLATE(B149,""en"",""sr"")"),"Величина")</f>
        <v>Величина</v>
      </c>
    </row>
    <row r="150">
      <c r="A150" s="3" t="s">
        <v>331</v>
      </c>
      <c r="B150" s="3" t="s">
        <v>332</v>
      </c>
      <c r="C150" s="4" t="str">
        <f>IFERROR(__xludf.DUMMYFUNCTION("GOOGLETRANSLATE(B150,""en"",""ta"")"),"ஒளிபுகாநிலை")</f>
        <v>ஒளிபுகாநிலை</v>
      </c>
      <c r="D150" s="4" t="str">
        <f>IFERROR(__xludf.DUMMYFUNCTION("GOOGLETRANSLATE(B150,""en"",""hi"")"),"अस्पष्टता")</f>
        <v>अस्पष्टता</v>
      </c>
      <c r="E150" s="4" t="str">
        <f>IFERROR(__xludf.DUMMYFUNCTION("GOOGLETRANSLATE(B150,""en"",""id"")"),"Kegelapan")</f>
        <v>Kegelapan</v>
      </c>
      <c r="F150" s="4" t="str">
        <f>IFERROR(__xludf.DUMMYFUNCTION("GOOGLETRANSLATE(B150,""en"",""ms"")"),"Kelegapan")</f>
        <v>Kelegapan</v>
      </c>
      <c r="G150" s="4" t="str">
        <f>IFERROR(__xludf.DUMMYFUNCTION("GOOGLETRANSLATE(B150,""en"",""de"")"),"Opazität")</f>
        <v>Opazität</v>
      </c>
      <c r="H150" s="4" t="str">
        <f>IFERROR(__xludf.DUMMYFUNCTION("GOOGLETRANSLATE(B150,""en"",""es"")"),"Opacidad")</f>
        <v>Opacidad</v>
      </c>
      <c r="I150" s="4" t="str">
        <f>IFERROR(__xludf.DUMMYFUNCTION("GOOGLETRANSLATE(B150,""en"",""fr"")"),"Opacité")</f>
        <v>Opacité</v>
      </c>
      <c r="J150" s="4" t="str">
        <f>IFERROR(__xludf.DUMMYFUNCTION("GOOGLETRANSLATE(B150,""en"",""it"")"),"Opacità")</f>
        <v>Opacità</v>
      </c>
      <c r="K150" s="4" t="str">
        <f>IFERROR(__xludf.DUMMYFUNCTION("GOOGLETRANSLATE(B150,""en"",""pt"")"),"Opacidade")</f>
        <v>Opacidade</v>
      </c>
      <c r="L150" s="4" t="str">
        <f>IFERROR(__xludf.DUMMYFUNCTION("GOOGLETRANSLATE(B150,""en"",""ro"")"),"Opacitate")</f>
        <v>Opacitate</v>
      </c>
      <c r="M150" s="4" t="str">
        <f>IFERROR(__xludf.DUMMYFUNCTION("GOOGLETRANSLATE(B150,""en"",""vi"")"),"Độ mờ đục")</f>
        <v>Độ mờ đục</v>
      </c>
      <c r="N150" s="4" t="str">
        <f>IFERROR(__xludf.DUMMYFUNCTION("GOOGLETRANSLATE(B150,""en"",""ru"")"),"Непрозрачность")</f>
        <v>Непрозрачность</v>
      </c>
      <c r="O150" s="4" t="str">
        <f>IFERROR(__xludf.DUMMYFUNCTION("GOOGLETRANSLATE(B150,""en"",""tr"")"),"Opaklık")</f>
        <v>Opaklık</v>
      </c>
      <c r="P150" s="4" t="str">
        <f>IFERROR(__xludf.DUMMYFUNCTION("GOOGLETRANSLATE(B150,""en"",""ar"")"),"العتامة")</f>
        <v>العتامة</v>
      </c>
      <c r="Q150" s="4" t="str">
        <f>IFERROR(__xludf.DUMMYFUNCTION("GOOGLETRANSLATE(B150,""en"",""mr"")"),"अपारदर्शकता")</f>
        <v>अपारदर्शकता</v>
      </c>
      <c r="R150" s="4" t="str">
        <f>IFERROR(__xludf.DUMMYFUNCTION("GOOGLETRANSLATE(B150,""en"",""gu"")"),"અસ્પષ્ટતા")</f>
        <v>અસ્પષ્ટતા</v>
      </c>
      <c r="S150" s="4" t="str">
        <f>IFERROR(__xludf.DUMMYFUNCTION("GOOGLETRANSLATE(B150,""en"",""bn"")"),"অস্বচ্ছতা")</f>
        <v>অস্বচ্ছতা</v>
      </c>
      <c r="T150" s="4" t="str">
        <f>IFERROR(__xludf.DUMMYFUNCTION("GOOGLETRANSLATE(B150,""en"",""pa"")"),"ਧੁੰਦਲਾਪਨ")</f>
        <v>ਧੁੰਦਲਾਪਨ</v>
      </c>
      <c r="U150" s="4" t="str">
        <f>IFERROR(__xludf.DUMMYFUNCTION("GOOGLETRANSLATE(B150,""en"",""te"")"),"అస్పష్టత")</f>
        <v>అస్పష్టత</v>
      </c>
      <c r="V150" s="4" t="str">
        <f>IFERROR(__xludf.DUMMYFUNCTION("GOOGLETRANSLATE(B150,""en"",""kn"")"),"ಅಪಾರದರ್ಶಕತೆ")</f>
        <v>ಅಪಾರದರ್ಶಕತೆ</v>
      </c>
      <c r="W150" s="4" t="str">
        <f>IFERROR(__xludf.DUMMYFUNCTION("GOOGLETRANSLATE(B150,""en"",""ml"")"),"അതാര്യത")</f>
        <v>അതാര്യത</v>
      </c>
      <c r="X150" s="4" t="str">
        <f>IFERROR(__xludf.DUMMYFUNCTION("GOOGLETRANSLATE(B150,""en"",""th"")"),"ความทึบแสง")</f>
        <v>ความทึบแสง</v>
      </c>
      <c r="Y150" s="4" t="str">
        <f>IFERROR(__xludf.DUMMYFUNCTION("GOOGLETRANSLATE(B150,""en"",""ko"")"),"불투명")</f>
        <v>불투명</v>
      </c>
      <c r="Z150" s="4" t="str">
        <f>IFERROR(__xludf.DUMMYFUNCTION("GOOGLETRANSLATE(B150,""en"",""zh"")"),"不透明度")</f>
        <v>不透明度</v>
      </c>
      <c r="AA150" s="4" t="str">
        <f>IFERROR(__xludf.DUMMYFUNCTION("GOOGLETRANSLATE(B150,""en"",""zh-TW"")"),"不透明度")</f>
        <v>不透明度</v>
      </c>
      <c r="AB150" s="4" t="str">
        <f>IFERROR(__xludf.DUMMYFUNCTION("GOOGLETRANSLATE(B150,""en"",""ja"")"),"不透明度")</f>
        <v>不透明度</v>
      </c>
      <c r="AC150" s="4" t="str">
        <f>IFERROR(__xludf.DUMMYFUNCTION("GOOGLETRANSLATE(B150,""en"",""bg"")"),"Непрозрачност")</f>
        <v>Непрозрачност</v>
      </c>
      <c r="AD150" s="4" t="str">
        <f>IFERROR(__xludf.DUMMYFUNCTION("GOOGLETRANSLATE(B150,""en"",""cs"")"),"Neprůhlednost")</f>
        <v>Neprůhlednost</v>
      </c>
      <c r="AE150" s="4" t="str">
        <f>IFERROR(__xludf.DUMMYFUNCTION("GOOGLETRANSLATE(B150,""en"",""da"")"),"Opacitet")</f>
        <v>Opacitet</v>
      </c>
      <c r="AF150" s="4" t="str">
        <f>IFERROR(__xludf.DUMMYFUNCTION("GOOGLETRANSLATE(B150,""en"",""el"")"),"Αδιαφάνεια")</f>
        <v>Αδιαφάνεια</v>
      </c>
      <c r="AG150" s="4" t="str">
        <f>IFERROR(__xludf.DUMMYFUNCTION("GOOGLETRANSLATE(B150,""en"",""et"")"),"Läbipaistmatus")</f>
        <v>Läbipaistmatus</v>
      </c>
      <c r="AH150" s="4" t="str">
        <f>IFERROR(__xludf.DUMMYFUNCTION("GOOGLETRANSLATE(B150,""en"",""fi"")"),"Peittävyys")</f>
        <v>Peittävyys</v>
      </c>
      <c r="AI150" s="4" t="str">
        <f>IFERROR(__xludf.DUMMYFUNCTION("GOOGLETRANSLATE(B150,""en"",""hr"")"),"Neprozirnost")</f>
        <v>Neprozirnost</v>
      </c>
      <c r="AJ150" s="4" t="str">
        <f>IFERROR(__xludf.DUMMYFUNCTION("GOOGLETRANSLATE(B150,""en"",""hu"")"),"Átlátszatlanság")</f>
        <v>Átlátszatlanság</v>
      </c>
      <c r="AK150" s="4" t="str">
        <f>IFERROR(__xludf.DUMMYFUNCTION("GOOGLETRANSLATE(B150,""en"",""hy"")"),"Անթափանցիկություն")</f>
        <v>Անթափանցիկություն</v>
      </c>
      <c r="AL150" s="4" t="str">
        <f>IFERROR(__xludf.DUMMYFUNCTION("GOOGLETRANSLATE(B150,""en"",""ca"")"),"Opacitat")</f>
        <v>Opacitat</v>
      </c>
      <c r="AM150" s="4" t="str">
        <f>IFERROR(__xludf.DUMMYFUNCTION("GOOGLETRANSLATE(B150,""en"",""nl"")"),"Dekking")</f>
        <v>Dekking</v>
      </c>
      <c r="AN150" s="4" t="str">
        <f>IFERROR(__xludf.DUMMYFUNCTION("GOOGLETRANSLATE(B150,""en"",""he"")"),"אֲטִימוּת")</f>
        <v>אֲטִימוּת</v>
      </c>
      <c r="AO150" s="4" t="str">
        <f>IFERROR(__xludf.DUMMYFUNCTION("GOOGLETRANSLATE(B150,""en"",""is"")"),"Ógegnsæi")</f>
        <v>Ógegnsæi</v>
      </c>
      <c r="AP150" s="4" t="str">
        <f>IFERROR(__xludf.DUMMYFUNCTION("GOOGLETRANSLATE(B150,""en"",""no"")"),"Opasitet")</f>
        <v>Opasitet</v>
      </c>
      <c r="AQ150" s="4" t="str">
        <f>IFERROR(__xludf.DUMMYFUNCTION("GOOGLETRANSLATE(B150,""en"",""fa"")"),"کدورت")</f>
        <v>کدورت</v>
      </c>
      <c r="AR150" s="4" t="str">
        <f>IFERROR(__xludf.DUMMYFUNCTION("GOOGLETRANSLATE(B150,""en"",""pl"")"),"Nieprzezroczystość")</f>
        <v>Nieprzezroczystość</v>
      </c>
      <c r="AS150" s="4" t="str">
        <f>IFERROR(__xludf.DUMMYFUNCTION("GOOGLETRANSLATE(B150,""en"",""sv"")"),"Opacitet")</f>
        <v>Opacitet</v>
      </c>
      <c r="AT150" s="4" t="str">
        <f>IFERROR(__xludf.DUMMYFUNCTION("GOOGLETRANSLATE(B150,""en"",""uk"")"),"Непрозорість")</f>
        <v>Непрозорість</v>
      </c>
      <c r="AU150" s="4" t="str">
        <f>IFERROR(__xludf.DUMMYFUNCTION("GOOGLETRANSLATE(B150,""en"",""zu"")"),"Ukungaboni kahle")</f>
        <v>Ukungaboni kahle</v>
      </c>
      <c r="AV150" s="4" t="str">
        <f>IFERROR(__xludf.DUMMYFUNCTION("GOOGLETRANSLATE(B150,""en"",""sr"")"),"Опацити")</f>
        <v>Опацити</v>
      </c>
    </row>
    <row r="151">
      <c r="A151" s="3" t="s">
        <v>333</v>
      </c>
      <c r="B151" s="3" t="s">
        <v>334</v>
      </c>
      <c r="C151" s="4" t="str">
        <f>IFERROR(__xludf.DUMMYFUNCTION("GOOGLETRANSLATE(B151,""en"",""ta"")"),"வண்ண அமைப்புகள்")</f>
        <v>வண்ண அமைப்புகள்</v>
      </c>
      <c r="D151" s="4" t="str">
        <f>IFERROR(__xludf.DUMMYFUNCTION("GOOGLETRANSLATE(B151,""en"",""hi"")"),"रंग सेटिंग्स")</f>
        <v>रंग सेटिंग्स</v>
      </c>
      <c r="E151" s="4" t="str">
        <f>IFERROR(__xludf.DUMMYFUNCTION("GOOGLETRANSLATE(B151,""en"",""id"")"),"Pengaturan Warna")</f>
        <v>Pengaturan Warna</v>
      </c>
      <c r="F151" s="4" t="str">
        <f>IFERROR(__xludf.DUMMYFUNCTION("GOOGLETRANSLATE(B151,""en"",""ms"")"),"Tetapan Warna")</f>
        <v>Tetapan Warna</v>
      </c>
      <c r="G151" s="4" t="str">
        <f>IFERROR(__xludf.DUMMYFUNCTION("GOOGLETRANSLATE(B151,""en"",""de"")"),"Farbeinstellungen")</f>
        <v>Farbeinstellungen</v>
      </c>
      <c r="H151" s="4" t="str">
        <f>IFERROR(__xludf.DUMMYFUNCTION("GOOGLETRANSLATE(B151,""en"",""es"")"),"Ajustes de color")</f>
        <v>Ajustes de color</v>
      </c>
      <c r="I151" s="4" t="str">
        <f>IFERROR(__xludf.DUMMYFUNCTION("GOOGLETRANSLATE(B151,""en"",""fr"")"),"Paramètres de couleur")</f>
        <v>Paramètres de couleur</v>
      </c>
      <c r="J151" s="4" t="str">
        <f>IFERROR(__xludf.DUMMYFUNCTION("GOOGLETRANSLATE(B151,""en"",""it"")"),"Impostazioni colore")</f>
        <v>Impostazioni colore</v>
      </c>
      <c r="K151" s="4" t="str">
        <f>IFERROR(__xludf.DUMMYFUNCTION("GOOGLETRANSLATE(B151,""en"",""pt"")"),"Configurações de cor")</f>
        <v>Configurações de cor</v>
      </c>
      <c r="L151" s="4" t="str">
        <f>IFERROR(__xludf.DUMMYFUNCTION("GOOGLETRANSLATE(B151,""en"",""ro"")"),"Setări de culoare")</f>
        <v>Setări de culoare</v>
      </c>
      <c r="M151" s="4" t="str">
        <f>IFERROR(__xludf.DUMMYFUNCTION("GOOGLETRANSLATE(B151,""en"",""vi"")"),"Cài đặt màu sắc")</f>
        <v>Cài đặt màu sắc</v>
      </c>
      <c r="N151" s="4" t="str">
        <f>IFERROR(__xludf.DUMMYFUNCTION("GOOGLETRANSLATE(B151,""en"",""ru"")"),"Настройки цвета")</f>
        <v>Настройки цвета</v>
      </c>
      <c r="O151" s="4" t="str">
        <f>IFERROR(__xludf.DUMMYFUNCTION("GOOGLETRANSLATE(B151,""en"",""tr"")"),"Renk Ayarları")</f>
        <v>Renk Ayarları</v>
      </c>
      <c r="P151" s="4" t="str">
        <f>IFERROR(__xludf.DUMMYFUNCTION("GOOGLETRANSLATE(B151,""en"",""ar"")"),"إعدادات الألوان")</f>
        <v>إعدادات الألوان</v>
      </c>
      <c r="Q151" s="4" t="str">
        <f>IFERROR(__xludf.DUMMYFUNCTION("GOOGLETRANSLATE(B151,""en"",""mr"")"),"रंग सेटिंग्ज")</f>
        <v>रंग सेटिंग्ज</v>
      </c>
      <c r="R151" s="4" t="str">
        <f>IFERROR(__xludf.DUMMYFUNCTION("GOOGLETRANSLATE(B151,""en"",""gu"")"),"રંગ સેટિંગ્સ")</f>
        <v>રંગ સેટિંગ્સ</v>
      </c>
      <c r="S151" s="4" t="str">
        <f>IFERROR(__xludf.DUMMYFUNCTION("GOOGLETRANSLATE(B151,""en"",""bn"")"),"রঙের সেটিংস")</f>
        <v>রঙের সেটিংস</v>
      </c>
      <c r="T151" s="4" t="str">
        <f>IFERROR(__xludf.DUMMYFUNCTION("GOOGLETRANSLATE(B151,""en"",""pa"")"),"ਰੰਗ ਸੈਟਿੰਗਾਂ")</f>
        <v>ਰੰਗ ਸੈਟਿੰਗਾਂ</v>
      </c>
      <c r="U151" s="4" t="str">
        <f>IFERROR(__xludf.DUMMYFUNCTION("GOOGLETRANSLATE(B151,""en"",""te"")"),"రంగు సెట్టింగులు")</f>
        <v>రంగు సెట్టింగులు</v>
      </c>
      <c r="V151" s="4" t="str">
        <f>IFERROR(__xludf.DUMMYFUNCTION("GOOGLETRANSLATE(B151,""en"",""kn"")"),"ಬಣ್ಣ ಸೆಟ್ಟಿಂಗ್‌ಗಳು")</f>
        <v>ಬಣ್ಣ ಸೆಟ್ಟಿಂಗ್‌ಗಳು</v>
      </c>
      <c r="W151" s="4" t="str">
        <f>IFERROR(__xludf.DUMMYFUNCTION("GOOGLETRANSLATE(B151,""en"",""ml"")"),"വർണ്ണ ക്രമീകരണങ്ങൾ")</f>
        <v>വർണ്ണ ക്രമീകരണങ്ങൾ</v>
      </c>
      <c r="X151" s="4" t="str">
        <f>IFERROR(__xludf.DUMMYFUNCTION("GOOGLETRANSLATE(B151,""en"",""th"")"),"การตั้งค่าสี")</f>
        <v>การตั้งค่าสี</v>
      </c>
      <c r="Y151" s="4" t="str">
        <f>IFERROR(__xludf.DUMMYFUNCTION("GOOGLETRANSLATE(B151,""en"",""ko"")"),"색상 설정")</f>
        <v>색상 설정</v>
      </c>
      <c r="Z151" s="4" t="str">
        <f>IFERROR(__xludf.DUMMYFUNCTION("GOOGLETRANSLATE(B151,""en"",""zh"")"),"颜色设置")</f>
        <v>颜色设置</v>
      </c>
      <c r="AA151" s="4" t="str">
        <f>IFERROR(__xludf.DUMMYFUNCTION("GOOGLETRANSLATE(B151,""en"",""zh-TW"")"),"顏色設定")</f>
        <v>顏色設定</v>
      </c>
      <c r="AB151" s="4" t="str">
        <f>IFERROR(__xludf.DUMMYFUNCTION("GOOGLETRANSLATE(B151,""en"",""ja"")"),"カラー設定")</f>
        <v>カラー設定</v>
      </c>
      <c r="AC151" s="4" t="str">
        <f>IFERROR(__xludf.DUMMYFUNCTION("GOOGLETRANSLATE(B151,""en"",""bg"")"),"Настройки на цвета")</f>
        <v>Настройки на цвета</v>
      </c>
      <c r="AD151" s="4" t="str">
        <f>IFERROR(__xludf.DUMMYFUNCTION("GOOGLETRANSLATE(B151,""en"",""cs"")"),"Nastavení barev")</f>
        <v>Nastavení barev</v>
      </c>
      <c r="AE151" s="4" t="str">
        <f>IFERROR(__xludf.DUMMYFUNCTION("GOOGLETRANSLATE(B151,""en"",""da"")"),"Farveindstillinger")</f>
        <v>Farveindstillinger</v>
      </c>
      <c r="AF151" s="4" t="str">
        <f>IFERROR(__xludf.DUMMYFUNCTION("GOOGLETRANSLATE(B151,""en"",""el"")"),"Ρυθμίσεις χρώματος")</f>
        <v>Ρυθμίσεις χρώματος</v>
      </c>
      <c r="AG151" s="4" t="str">
        <f>IFERROR(__xludf.DUMMYFUNCTION("GOOGLETRANSLATE(B151,""en"",""et"")"),"Värviseaded")</f>
        <v>Värviseaded</v>
      </c>
      <c r="AH151" s="4" t="str">
        <f>IFERROR(__xludf.DUMMYFUNCTION("GOOGLETRANSLATE(B151,""en"",""fi"")"),"Väriasetukset")</f>
        <v>Väriasetukset</v>
      </c>
      <c r="AI151" s="4" t="str">
        <f>IFERROR(__xludf.DUMMYFUNCTION("GOOGLETRANSLATE(B151,""en"",""hr"")"),"Postavke boja")</f>
        <v>Postavke boja</v>
      </c>
      <c r="AJ151" s="4" t="str">
        <f>IFERROR(__xludf.DUMMYFUNCTION("GOOGLETRANSLATE(B151,""en"",""hu"")"),"Színbeállítások")</f>
        <v>Színbeállítások</v>
      </c>
      <c r="AK151" s="4" t="str">
        <f>IFERROR(__xludf.DUMMYFUNCTION("GOOGLETRANSLATE(B151,""en"",""hy"")"),"Գույնի կարգավորումներ")</f>
        <v>Գույնի կարգավորումներ</v>
      </c>
      <c r="AL151" s="4" t="str">
        <f>IFERROR(__xludf.DUMMYFUNCTION("GOOGLETRANSLATE(B151,""en"",""ca"")"),"Configuració de color")</f>
        <v>Configuració de color</v>
      </c>
      <c r="AM151" s="4" t="str">
        <f>IFERROR(__xludf.DUMMYFUNCTION("GOOGLETRANSLATE(B151,""en"",""nl"")"),"Kleurinstellingen")</f>
        <v>Kleurinstellingen</v>
      </c>
      <c r="AN151" s="4" t="str">
        <f>IFERROR(__xludf.DUMMYFUNCTION("GOOGLETRANSLATE(B151,""en"",""he"")"),"הגדרות צבע")</f>
        <v>הגדרות צבע</v>
      </c>
      <c r="AO151" s="4" t="str">
        <f>IFERROR(__xludf.DUMMYFUNCTION("GOOGLETRANSLATE(B151,""en"",""is"")"),"Litastillingar")</f>
        <v>Litastillingar</v>
      </c>
      <c r="AP151" s="4" t="str">
        <f>IFERROR(__xludf.DUMMYFUNCTION("GOOGLETRANSLATE(B151,""en"",""no"")"),"Fargeinnstillinger")</f>
        <v>Fargeinnstillinger</v>
      </c>
      <c r="AQ151" s="4" t="str">
        <f>IFERROR(__xludf.DUMMYFUNCTION("GOOGLETRANSLATE(B151,""en"",""fa"")"),"تنظیمات رنگ")</f>
        <v>تنظیمات رنگ</v>
      </c>
      <c r="AR151" s="4" t="str">
        <f>IFERROR(__xludf.DUMMYFUNCTION("GOOGLETRANSLATE(B151,""en"",""pl"")"),"Ustawienia kolorów")</f>
        <v>Ustawienia kolorów</v>
      </c>
      <c r="AS151" s="4" t="str">
        <f>IFERROR(__xludf.DUMMYFUNCTION("GOOGLETRANSLATE(B151,""en"",""sv"")"),"Färginställningar")</f>
        <v>Färginställningar</v>
      </c>
      <c r="AT151" s="4" t="str">
        <f>IFERROR(__xludf.DUMMYFUNCTION("GOOGLETRANSLATE(B151,""en"",""uk"")"),"Параметри кольору")</f>
        <v>Параметри кольору</v>
      </c>
      <c r="AU151" s="4" t="str">
        <f>IFERROR(__xludf.DUMMYFUNCTION("GOOGLETRANSLATE(B151,""en"",""zu"")"),"Izilungiselelo Zombala")</f>
        <v>Izilungiselelo Zombala</v>
      </c>
      <c r="AV151" s="4" t="str">
        <f>IFERROR(__xludf.DUMMYFUNCTION("GOOGLETRANSLATE(B151,""en"",""sr"")"),"Подешавања боја")</f>
        <v>Подешавања боја</v>
      </c>
    </row>
    <row r="152">
      <c r="A152" s="3" t="s">
        <v>335</v>
      </c>
      <c r="B152" s="3" t="s">
        <v>336</v>
      </c>
      <c r="C152" s="4" t="str">
        <f>IFERROR(__xludf.DUMMYFUNCTION("GOOGLETRANSLATE(B152,""en"",""ta"")"),"உங்கள் பயன்பாட்டின் வண்ணங்களைத் தனிப்பயனாக்குங்கள்")</f>
        <v>உங்கள் பயன்பாட்டின் வண்ணங்களைத் தனிப்பயனாக்குங்கள்</v>
      </c>
      <c r="D152" s="4" t="str">
        <f>IFERROR(__xludf.DUMMYFUNCTION("GOOGLETRANSLATE(B152,""en"",""hi"")"),"अपने ऐप के रंग कस्टमाइज़ करें")</f>
        <v>अपने ऐप के रंग कस्टमाइज़ करें</v>
      </c>
      <c r="E152" s="4" t="str">
        <f>IFERROR(__xludf.DUMMYFUNCTION("GOOGLETRANSLATE(B152,""en"",""id"")"),"Sesuaikan warna aplikasi Anda")</f>
        <v>Sesuaikan warna aplikasi Anda</v>
      </c>
      <c r="F152" s="4" t="str">
        <f>IFERROR(__xludf.DUMMYFUNCTION("GOOGLETRANSLATE(B152,""en"",""ms"")"),"Sesuaikan warna apl anda")</f>
        <v>Sesuaikan warna apl anda</v>
      </c>
      <c r="G152" s="4" t="str">
        <f>IFERROR(__xludf.DUMMYFUNCTION("GOOGLETRANSLATE(B152,""en"",""de"")"),"Passen Sie Ihre App-Farben an")</f>
        <v>Passen Sie Ihre App-Farben an</v>
      </c>
      <c r="H152" s="4" t="str">
        <f>IFERROR(__xludf.DUMMYFUNCTION("GOOGLETRANSLATE(B152,""en"",""es"")"),"Personaliza los colores de tu aplicación")</f>
        <v>Personaliza los colores de tu aplicación</v>
      </c>
      <c r="I152" s="4" t="str">
        <f>IFERROR(__xludf.DUMMYFUNCTION("GOOGLETRANSLATE(B152,""en"",""fr"")"),"Personnalisez les couleurs de votre application")</f>
        <v>Personnalisez les couleurs de votre application</v>
      </c>
      <c r="J152" s="4" t="str">
        <f>IFERROR(__xludf.DUMMYFUNCTION("GOOGLETRANSLATE(B152,""en"",""it"")"),"Personalizza i colori della tua app")</f>
        <v>Personalizza i colori della tua app</v>
      </c>
      <c r="K152" s="4" t="str">
        <f>IFERROR(__xludf.DUMMYFUNCTION("GOOGLETRANSLATE(B152,""en"",""pt"")"),"Personalize as cores do seu aplicativo")</f>
        <v>Personalize as cores do seu aplicativo</v>
      </c>
      <c r="L152" s="4" t="str">
        <f>IFERROR(__xludf.DUMMYFUNCTION("GOOGLETRANSLATE(B152,""en"",""ro"")"),"Personalizați culorile aplicației dvs")</f>
        <v>Personalizați culorile aplicației dvs</v>
      </c>
      <c r="M152" s="4" t="str">
        <f>IFERROR(__xludf.DUMMYFUNCTION("GOOGLETRANSLATE(B152,""en"",""vi"")"),"Tùy chỉnh màu sắc ứng dụng của bạn")</f>
        <v>Tùy chỉnh màu sắc ứng dụng của bạn</v>
      </c>
      <c r="N152" s="4" t="str">
        <f>IFERROR(__xludf.DUMMYFUNCTION("GOOGLETRANSLATE(B152,""en"",""ru"")"),"Настройте цвета вашего приложения")</f>
        <v>Настройте цвета вашего приложения</v>
      </c>
      <c r="O152" s="4" t="str">
        <f>IFERROR(__xludf.DUMMYFUNCTION("GOOGLETRANSLATE(B152,""en"",""tr"")"),"Uygulama renklerinizi özelleştirin")</f>
        <v>Uygulama renklerinizi özelleştirin</v>
      </c>
      <c r="P152" s="4" t="str">
        <f>IFERROR(__xludf.DUMMYFUNCTION("GOOGLETRANSLATE(B152,""en"",""ar"")"),"تخصيص ألوان التطبيق الخاص بك")</f>
        <v>تخصيص ألوان التطبيق الخاص بك</v>
      </c>
      <c r="Q152" s="4" t="str">
        <f>IFERROR(__xludf.DUMMYFUNCTION("GOOGLETRANSLATE(B152,""en"",""mr"")"),"तुमचे ॲप रंग सानुकूलित करा")</f>
        <v>तुमचे ॲप रंग सानुकूलित करा</v>
      </c>
      <c r="R152" s="4" t="str">
        <f>IFERROR(__xludf.DUMMYFUNCTION("GOOGLETRANSLATE(B152,""en"",""gu"")"),"તમારી એપ્લિકેશન રંગો કસ્ટમાઇઝ કરો")</f>
        <v>તમારી એપ્લિકેશન રંગો કસ્ટમાઇઝ કરો</v>
      </c>
      <c r="S152" s="4" t="str">
        <f>IFERROR(__xludf.DUMMYFUNCTION("GOOGLETRANSLATE(B152,""en"",""bn"")"),"আপনার অ্যাপের রং কাস্টমাইজ করুন")</f>
        <v>আপনার অ্যাপের রং কাস্টমাইজ করুন</v>
      </c>
      <c r="T152" s="4" t="str">
        <f>IFERROR(__xludf.DUMMYFUNCTION("GOOGLETRANSLATE(B152,""en"",""pa"")"),"ਆਪਣੇ ਐਪ ਦੇ ਰੰਗਾਂ ਨੂੰ ਅਨੁਕੂਲਿਤ ਕਰੋ")</f>
        <v>ਆਪਣੇ ਐਪ ਦੇ ਰੰਗਾਂ ਨੂੰ ਅਨੁਕੂਲਿਤ ਕਰੋ</v>
      </c>
      <c r="U152" s="4" t="str">
        <f>IFERROR(__xludf.DUMMYFUNCTION("GOOGLETRANSLATE(B152,""en"",""te"")"),"మీ యాప్ రంగులను అనుకూలీకరించండి")</f>
        <v>మీ యాప్ రంగులను అనుకూలీకరించండి</v>
      </c>
      <c r="V152" s="4" t="str">
        <f>IFERROR(__xludf.DUMMYFUNCTION("GOOGLETRANSLATE(B152,""en"",""kn"")"),"ನಿಮ್ಮ ಅಪ್ಲಿಕೇಶನ್ ಬಣ್ಣಗಳನ್ನು ಕಸ್ಟಮೈಸ್ ಮಾಡಿ")</f>
        <v>ನಿಮ್ಮ ಅಪ್ಲಿಕೇಶನ್ ಬಣ್ಣಗಳನ್ನು ಕಸ್ಟಮೈಸ್ ಮಾಡಿ</v>
      </c>
      <c r="W152" s="4" t="str">
        <f>IFERROR(__xludf.DUMMYFUNCTION("GOOGLETRANSLATE(B152,""en"",""ml"")"),"നിങ്ങളുടെ ആപ്പ് നിറങ്ങൾ ഇഷ്ടാനുസൃതമാക്കുക")</f>
        <v>നിങ്ങളുടെ ആപ്പ് നിറങ്ങൾ ഇഷ്ടാനുസൃതമാക്കുക</v>
      </c>
      <c r="X152" s="4" t="str">
        <f>IFERROR(__xludf.DUMMYFUNCTION("GOOGLETRANSLATE(B152,""en"",""th"")"),"ปรับแต่งสีแอปของคุณ")</f>
        <v>ปรับแต่งสีแอปของคุณ</v>
      </c>
      <c r="Y152" s="4" t="str">
        <f>IFERROR(__xludf.DUMMYFUNCTION("GOOGLETRANSLATE(B152,""en"",""ko"")"),"앱 색상 사용자 지정")</f>
        <v>앱 색상 사용자 지정</v>
      </c>
      <c r="Z152" s="4" t="str">
        <f>IFERROR(__xludf.DUMMYFUNCTION("GOOGLETRANSLATE(B152,""en"",""zh"")"),"自定义您的应用颜色")</f>
        <v>自定义您的应用颜色</v>
      </c>
      <c r="AA152" s="4" t="str">
        <f>IFERROR(__xludf.DUMMYFUNCTION("GOOGLETRANSLATE(B152,""en"",""zh-TW"")"),"自訂您的應用程式顏色")</f>
        <v>自訂您的應用程式顏色</v>
      </c>
      <c r="AB152" s="4" t="str">
        <f>IFERROR(__xludf.DUMMYFUNCTION("GOOGLETRANSLATE(B152,""en"",""ja"")"),"アプリの色をカスタマイズする")</f>
        <v>アプリの色をカスタマイズする</v>
      </c>
      <c r="AC152" s="4" t="str">
        <f>IFERROR(__xludf.DUMMYFUNCTION("GOOGLETRANSLATE(B152,""en"",""bg"")"),"Персонализирайте цветовете на приложението си")</f>
        <v>Персонализирайте цветовете на приложението си</v>
      </c>
      <c r="AD152" s="4" t="str">
        <f>IFERROR(__xludf.DUMMYFUNCTION("GOOGLETRANSLATE(B152,""en"",""cs"")"),"Přizpůsobte si barvy aplikace")</f>
        <v>Přizpůsobte si barvy aplikace</v>
      </c>
      <c r="AE152" s="4" t="str">
        <f>IFERROR(__xludf.DUMMYFUNCTION("GOOGLETRANSLATE(B152,""en"",""da"")"),"Tilpas dine app-farver")</f>
        <v>Tilpas dine app-farver</v>
      </c>
      <c r="AF152" s="4" t="str">
        <f>IFERROR(__xludf.DUMMYFUNCTION("GOOGLETRANSLATE(B152,""en"",""el"")"),"Προσαρμόστε τα χρώματα της εφαρμογής σας")</f>
        <v>Προσαρμόστε τα χρώματα της εφαρμογής σας</v>
      </c>
      <c r="AG152" s="4" t="str">
        <f>IFERROR(__xludf.DUMMYFUNCTION("GOOGLETRANSLATE(B152,""en"",""et"")"),"Kohandage oma rakenduse värve")</f>
        <v>Kohandage oma rakenduse värve</v>
      </c>
      <c r="AH152" s="4" t="str">
        <f>IFERROR(__xludf.DUMMYFUNCTION("GOOGLETRANSLATE(B152,""en"",""fi"")"),"Mukauta sovelluksesi värejä")</f>
        <v>Mukauta sovelluksesi värejä</v>
      </c>
      <c r="AI152" s="4" t="str">
        <f>IFERROR(__xludf.DUMMYFUNCTION("GOOGLETRANSLATE(B152,""en"",""hr"")"),"Prilagodite boje svoje aplikacije")</f>
        <v>Prilagodite boje svoje aplikacije</v>
      </c>
      <c r="AJ152" s="4" t="str">
        <f>IFERROR(__xludf.DUMMYFUNCTION("GOOGLETRANSLATE(B152,""en"",""hu"")"),"Testreszabhatja az alkalmazás színeit")</f>
        <v>Testreszabhatja az alkalmazás színeit</v>
      </c>
      <c r="AK152" s="4" t="str">
        <f>IFERROR(__xludf.DUMMYFUNCTION("GOOGLETRANSLATE(B152,""en"",""hy"")"),"Անհատականացրեք ձեր հավելվածի գույները")</f>
        <v>Անհատականացրեք ձեր հավելվածի գույները</v>
      </c>
      <c r="AL152" s="4" t="str">
        <f>IFERROR(__xludf.DUMMYFUNCTION("GOOGLETRANSLATE(B152,""en"",""ca"")"),"Personalitza els colors de l'aplicació")</f>
        <v>Personalitza els colors de l'aplicació</v>
      </c>
      <c r="AM152" s="4" t="str">
        <f>IFERROR(__xludf.DUMMYFUNCTION("GOOGLETRANSLATE(B152,""en"",""nl"")"),"Pas de kleuren van uw app aan")</f>
        <v>Pas de kleuren van uw app aan</v>
      </c>
      <c r="AN152" s="4" t="str">
        <f>IFERROR(__xludf.DUMMYFUNCTION("GOOGLETRANSLATE(B152,""en"",""he"")"),"התאם אישית את צבעי האפליקציה שלך")</f>
        <v>התאם אישית את צבעי האפליקציה שלך</v>
      </c>
      <c r="AO152" s="4" t="str">
        <f>IFERROR(__xludf.DUMMYFUNCTION("GOOGLETRANSLATE(B152,""en"",""is"")"),"Sérsníddu liti appsins þíns")</f>
        <v>Sérsníddu liti appsins þíns</v>
      </c>
      <c r="AP152" s="4" t="str">
        <f>IFERROR(__xludf.DUMMYFUNCTION("GOOGLETRANSLATE(B152,""en"",""no"")"),"Tilpass appfargene dine")</f>
        <v>Tilpass appfargene dine</v>
      </c>
      <c r="AQ152" s="4" t="str">
        <f>IFERROR(__xludf.DUMMYFUNCTION("GOOGLETRANSLATE(B152,""en"",""fa"")"),"رنگ های برنامه خود را سفارشی کنید")</f>
        <v>رنگ های برنامه خود را سفارشی کنید</v>
      </c>
      <c r="AR152" s="4" t="str">
        <f>IFERROR(__xludf.DUMMYFUNCTION("GOOGLETRANSLATE(B152,""en"",""pl"")"),"Dostosuj kolory swojej aplikacji")</f>
        <v>Dostosuj kolory swojej aplikacji</v>
      </c>
      <c r="AS152" s="4" t="str">
        <f>IFERROR(__xludf.DUMMYFUNCTION("GOOGLETRANSLATE(B152,""en"",""sv"")"),"Anpassa dina appfärger")</f>
        <v>Anpassa dina appfärger</v>
      </c>
      <c r="AT152" s="4" t="str">
        <f>IFERROR(__xludf.DUMMYFUNCTION("GOOGLETRANSLATE(B152,""en"",""uk"")"),"Налаштуйте кольори програми")</f>
        <v>Налаштуйте кольори програми</v>
      </c>
      <c r="AU152" s="4" t="str">
        <f>IFERROR(__xludf.DUMMYFUNCTION("GOOGLETRANSLATE(B152,""en"",""zu"")"),"Yenza ngokwezifiso imibala yohlelo lwakho lokusebenza")</f>
        <v>Yenza ngokwezifiso imibala yohlelo lwakho lokusebenza</v>
      </c>
      <c r="AV152" s="4" t="str">
        <f>IFERROR(__xludf.DUMMYFUNCTION("GOOGLETRANSLATE(B152,""en"",""sr"")"),"Прилагодите боје апликације")</f>
        <v>Прилагодите боје апликације</v>
      </c>
    </row>
    <row r="153">
      <c r="A153" s="3" t="s">
        <v>337</v>
      </c>
      <c r="B153" s="3" t="s">
        <v>338</v>
      </c>
      <c r="C153" s="4" t="str">
        <f>IFERROR(__xludf.DUMMYFUNCTION("GOOGLETRANSLATE(B153,""en"",""ta"")"),"முதன்மை நிறம்")</f>
        <v>முதன்மை நிறம்</v>
      </c>
      <c r="D153" s="4" t="str">
        <f>IFERROR(__xludf.DUMMYFUNCTION("GOOGLETRANSLATE(B153,""en"",""hi"")"),"प्राथमिक रंग")</f>
        <v>प्राथमिक रंग</v>
      </c>
      <c r="E153" s="4" t="str">
        <f>IFERROR(__xludf.DUMMYFUNCTION("GOOGLETRANSLATE(B153,""en"",""id"")"),"Warna Primer")</f>
        <v>Warna Primer</v>
      </c>
      <c r="F153" s="4" t="str">
        <f>IFERROR(__xludf.DUMMYFUNCTION("GOOGLETRANSLATE(B153,""en"",""ms"")"),"Warna Utama")</f>
        <v>Warna Utama</v>
      </c>
      <c r="G153" s="4" t="str">
        <f>IFERROR(__xludf.DUMMYFUNCTION("GOOGLETRANSLATE(B153,""en"",""de"")"),"Grundfarbe")</f>
        <v>Grundfarbe</v>
      </c>
      <c r="H153" s="4" t="str">
        <f>IFERROR(__xludf.DUMMYFUNCTION("GOOGLETRANSLATE(B153,""en"",""es"")"),"Color primario")</f>
        <v>Color primario</v>
      </c>
      <c r="I153" s="4" t="str">
        <f>IFERROR(__xludf.DUMMYFUNCTION("GOOGLETRANSLATE(B153,""en"",""fr"")"),"Couleur primaire")</f>
        <v>Couleur primaire</v>
      </c>
      <c r="J153" s="4" t="str">
        <f>IFERROR(__xludf.DUMMYFUNCTION("GOOGLETRANSLATE(B153,""en"",""it"")"),"Colore primario")</f>
        <v>Colore primario</v>
      </c>
      <c r="K153" s="4" t="str">
        <f>IFERROR(__xludf.DUMMYFUNCTION("GOOGLETRANSLATE(B153,""en"",""pt"")"),"Cor primária")</f>
        <v>Cor primária</v>
      </c>
      <c r="L153" s="4" t="str">
        <f>IFERROR(__xludf.DUMMYFUNCTION("GOOGLETRANSLATE(B153,""en"",""ro"")"),"Culoare primară")</f>
        <v>Culoare primară</v>
      </c>
      <c r="M153" s="4" t="str">
        <f>IFERROR(__xludf.DUMMYFUNCTION("GOOGLETRANSLATE(B153,""en"",""vi"")"),"Màu cơ bản")</f>
        <v>Màu cơ bản</v>
      </c>
      <c r="N153" s="4" t="str">
        <f>IFERROR(__xludf.DUMMYFUNCTION("GOOGLETRANSLATE(B153,""en"",""ru"")"),"Основной цвет")</f>
        <v>Основной цвет</v>
      </c>
      <c r="O153" s="4" t="str">
        <f>IFERROR(__xludf.DUMMYFUNCTION("GOOGLETRANSLATE(B153,""en"",""tr"")"),"Birincil Renk")</f>
        <v>Birincil Renk</v>
      </c>
      <c r="P153" s="4" t="str">
        <f>IFERROR(__xludf.DUMMYFUNCTION("GOOGLETRANSLATE(B153,""en"",""ar"")"),"اللون الأساسي")</f>
        <v>اللون الأساسي</v>
      </c>
      <c r="Q153" s="4" t="str">
        <f>IFERROR(__xludf.DUMMYFUNCTION("GOOGLETRANSLATE(B153,""en"",""mr"")"),"प्राथमिक रंग")</f>
        <v>प्राथमिक रंग</v>
      </c>
      <c r="R153" s="4" t="str">
        <f>IFERROR(__xludf.DUMMYFUNCTION("GOOGLETRANSLATE(B153,""en"",""gu"")"),"પ્રાથમિક રંગ")</f>
        <v>પ્રાથમિક રંગ</v>
      </c>
      <c r="S153" s="4" t="str">
        <f>IFERROR(__xludf.DUMMYFUNCTION("GOOGLETRANSLATE(B153,""en"",""bn"")"),"প্রাথমিক রঙ")</f>
        <v>প্রাথমিক রঙ</v>
      </c>
      <c r="T153" s="4" t="str">
        <f>IFERROR(__xludf.DUMMYFUNCTION("GOOGLETRANSLATE(B153,""en"",""pa"")"),"ਪ੍ਰਾਇਮਰੀ ਰੰਗ")</f>
        <v>ਪ੍ਰਾਇਮਰੀ ਰੰਗ</v>
      </c>
      <c r="U153" s="4" t="str">
        <f>IFERROR(__xludf.DUMMYFUNCTION("GOOGLETRANSLATE(B153,""en"",""te"")"),"ప్రాథమిక రంగు")</f>
        <v>ప్రాథమిక రంగు</v>
      </c>
      <c r="V153" s="4" t="str">
        <f>IFERROR(__xludf.DUMMYFUNCTION("GOOGLETRANSLATE(B153,""en"",""kn"")"),"ಪ್ರಾಥಮಿಕ ಬಣ್ಣ")</f>
        <v>ಪ್ರಾಥಮಿಕ ಬಣ್ಣ</v>
      </c>
      <c r="W153" s="4" t="str">
        <f>IFERROR(__xludf.DUMMYFUNCTION("GOOGLETRANSLATE(B153,""en"",""ml"")"),"പ്രാഥമിക നിറം")</f>
        <v>പ്രാഥമിക നിറം</v>
      </c>
      <c r="X153" s="4" t="str">
        <f>IFERROR(__xludf.DUMMYFUNCTION("GOOGLETRANSLATE(B153,""en"",""th"")"),"สีหลัก")</f>
        <v>สีหลัก</v>
      </c>
      <c r="Y153" s="4" t="str">
        <f>IFERROR(__xludf.DUMMYFUNCTION("GOOGLETRANSLATE(B153,""en"",""ko"")"),"원색")</f>
        <v>원색</v>
      </c>
      <c r="Z153" s="4" t="str">
        <f>IFERROR(__xludf.DUMMYFUNCTION("GOOGLETRANSLATE(B153,""en"",""zh"")"),"原色")</f>
        <v>原色</v>
      </c>
      <c r="AA153" s="4" t="str">
        <f>IFERROR(__xludf.DUMMYFUNCTION("GOOGLETRANSLATE(B153,""en"",""zh-TW"")"),"原色")</f>
        <v>原色</v>
      </c>
      <c r="AB153" s="4" t="str">
        <f>IFERROR(__xludf.DUMMYFUNCTION("GOOGLETRANSLATE(B153,""en"",""ja"")"),"原色")</f>
        <v>原色</v>
      </c>
      <c r="AC153" s="4" t="str">
        <f>IFERROR(__xludf.DUMMYFUNCTION("GOOGLETRANSLATE(B153,""en"",""bg"")"),"Основен цвят")</f>
        <v>Основен цвят</v>
      </c>
      <c r="AD153" s="4" t="str">
        <f>IFERROR(__xludf.DUMMYFUNCTION("GOOGLETRANSLATE(B153,""en"",""cs"")"),"Základní barva")</f>
        <v>Základní barva</v>
      </c>
      <c r="AE153" s="4" t="str">
        <f>IFERROR(__xludf.DUMMYFUNCTION("GOOGLETRANSLATE(B153,""en"",""da"")"),"Primær farve")</f>
        <v>Primær farve</v>
      </c>
      <c r="AF153" s="4" t="str">
        <f>IFERROR(__xludf.DUMMYFUNCTION("GOOGLETRANSLATE(B153,""en"",""el"")"),"Πρωτεύον χρώμα")</f>
        <v>Πρωτεύον χρώμα</v>
      </c>
      <c r="AG153" s="4" t="str">
        <f>IFERROR(__xludf.DUMMYFUNCTION("GOOGLETRANSLATE(B153,""en"",""et"")"),"Esmane värv")</f>
        <v>Esmane värv</v>
      </c>
      <c r="AH153" s="4" t="str">
        <f>IFERROR(__xludf.DUMMYFUNCTION("GOOGLETRANSLATE(B153,""en"",""fi"")"),"Ensisijainen väri")</f>
        <v>Ensisijainen väri</v>
      </c>
      <c r="AI153" s="4" t="str">
        <f>IFERROR(__xludf.DUMMYFUNCTION("GOOGLETRANSLATE(B153,""en"",""hr"")"),"Primarna boja")</f>
        <v>Primarna boja</v>
      </c>
      <c r="AJ153" s="4" t="str">
        <f>IFERROR(__xludf.DUMMYFUNCTION("GOOGLETRANSLATE(B153,""en"",""hu"")"),"Elsődleges szín")</f>
        <v>Elsődleges szín</v>
      </c>
      <c r="AK153" s="4" t="str">
        <f>IFERROR(__xludf.DUMMYFUNCTION("GOOGLETRANSLATE(B153,""en"",""hy"")"),"Առաջնային գույն")</f>
        <v>Առաջնային գույն</v>
      </c>
      <c r="AL153" s="4" t="str">
        <f>IFERROR(__xludf.DUMMYFUNCTION("GOOGLETRANSLATE(B153,""en"",""ca"")"),"Color primari")</f>
        <v>Color primari</v>
      </c>
      <c r="AM153" s="4" t="str">
        <f>IFERROR(__xludf.DUMMYFUNCTION("GOOGLETRANSLATE(B153,""en"",""nl"")"),"Primaire kleur")</f>
        <v>Primaire kleur</v>
      </c>
      <c r="AN153" s="4" t="str">
        <f>IFERROR(__xludf.DUMMYFUNCTION("GOOGLETRANSLATE(B153,""en"",""he"")"),"צבע ראשי")</f>
        <v>צבע ראשי</v>
      </c>
      <c r="AO153" s="4" t="str">
        <f>IFERROR(__xludf.DUMMYFUNCTION("GOOGLETRANSLATE(B153,""en"",""is"")"),"Aðal litur")</f>
        <v>Aðal litur</v>
      </c>
      <c r="AP153" s="4" t="str">
        <f>IFERROR(__xludf.DUMMYFUNCTION("GOOGLETRANSLATE(B153,""en"",""no"")"),"Primærfarge")</f>
        <v>Primærfarge</v>
      </c>
      <c r="AQ153" s="4" t="str">
        <f>IFERROR(__xludf.DUMMYFUNCTION("GOOGLETRANSLATE(B153,""en"",""fa"")"),"رنگ اولیه")</f>
        <v>رنگ اولیه</v>
      </c>
      <c r="AR153" s="4" t="str">
        <f>IFERROR(__xludf.DUMMYFUNCTION("GOOGLETRANSLATE(B153,""en"",""pl"")"),"Kolor podstawowy")</f>
        <v>Kolor podstawowy</v>
      </c>
      <c r="AS153" s="4" t="str">
        <f>IFERROR(__xludf.DUMMYFUNCTION("GOOGLETRANSLATE(B153,""en"",""sv"")"),"Grundfärg")</f>
        <v>Grundfärg</v>
      </c>
      <c r="AT153" s="4" t="str">
        <f>IFERROR(__xludf.DUMMYFUNCTION("GOOGLETRANSLATE(B153,""en"",""uk"")"),"Основний колір")</f>
        <v>Основний колір</v>
      </c>
      <c r="AU153" s="4" t="str">
        <f>IFERROR(__xludf.DUMMYFUNCTION("GOOGLETRANSLATE(B153,""en"",""zu"")"),"Umbala Oyinhloko")</f>
        <v>Umbala Oyinhloko</v>
      </c>
      <c r="AV153" s="4" t="str">
        <f>IFERROR(__xludf.DUMMYFUNCTION("GOOGLETRANSLATE(B153,""en"",""sr"")"),"Примари Цолор")</f>
        <v>Примари Цолор</v>
      </c>
    </row>
    <row r="154">
      <c r="A154" s="3" t="s">
        <v>339</v>
      </c>
      <c r="B154" s="3" t="s">
        <v>340</v>
      </c>
      <c r="C154" s="4" t="str">
        <f>IFERROR(__xludf.DUMMYFUNCTION("GOOGLETRANSLATE(B154,""en"",""ta"")"),"இரண்டாம் நிலை நிறம்")</f>
        <v>இரண்டாம் நிலை நிறம்</v>
      </c>
      <c r="D154" s="4" t="str">
        <f>IFERROR(__xludf.DUMMYFUNCTION("GOOGLETRANSLATE(B154,""en"",""hi"")"),"द्वितीयक रंग")</f>
        <v>द्वितीयक रंग</v>
      </c>
      <c r="E154" s="4" t="str">
        <f>IFERROR(__xludf.DUMMYFUNCTION("GOOGLETRANSLATE(B154,""en"",""id"")"),"Warna Sekunder")</f>
        <v>Warna Sekunder</v>
      </c>
      <c r="F154" s="4" t="str">
        <f>IFERROR(__xludf.DUMMYFUNCTION("GOOGLETRANSLATE(B154,""en"",""ms"")"),"Warna Sekunder")</f>
        <v>Warna Sekunder</v>
      </c>
      <c r="G154" s="4" t="str">
        <f>IFERROR(__xludf.DUMMYFUNCTION("GOOGLETRANSLATE(B154,""en"",""de"")"),"Sekundärfarbe")</f>
        <v>Sekundärfarbe</v>
      </c>
      <c r="H154" s="4" t="str">
        <f>IFERROR(__xludf.DUMMYFUNCTION("GOOGLETRANSLATE(B154,""en"",""es"")"),"Color secundario")</f>
        <v>Color secundario</v>
      </c>
      <c r="I154" s="4" t="str">
        <f>IFERROR(__xludf.DUMMYFUNCTION("GOOGLETRANSLATE(B154,""en"",""fr"")"),"Couleur secondaire")</f>
        <v>Couleur secondaire</v>
      </c>
      <c r="J154" s="4" t="str">
        <f>IFERROR(__xludf.DUMMYFUNCTION("GOOGLETRANSLATE(B154,""en"",""it"")"),"Colore secondario")</f>
        <v>Colore secondario</v>
      </c>
      <c r="K154" s="4" t="str">
        <f>IFERROR(__xludf.DUMMYFUNCTION("GOOGLETRANSLATE(B154,""en"",""pt"")"),"Cor secundária")</f>
        <v>Cor secundária</v>
      </c>
      <c r="L154" s="4" t="str">
        <f>IFERROR(__xludf.DUMMYFUNCTION("GOOGLETRANSLATE(B154,""en"",""ro"")"),"Culoare secundară")</f>
        <v>Culoare secundară</v>
      </c>
      <c r="M154" s="4" t="str">
        <f>IFERROR(__xludf.DUMMYFUNCTION("GOOGLETRANSLATE(B154,""en"",""vi"")"),"Màu thứ cấp")</f>
        <v>Màu thứ cấp</v>
      </c>
      <c r="N154" s="4" t="str">
        <f>IFERROR(__xludf.DUMMYFUNCTION("GOOGLETRANSLATE(B154,""en"",""ru"")"),"Вторичный цвет")</f>
        <v>Вторичный цвет</v>
      </c>
      <c r="O154" s="4" t="str">
        <f>IFERROR(__xludf.DUMMYFUNCTION("GOOGLETRANSLATE(B154,""en"",""tr"")"),"İkincil Renk")</f>
        <v>İkincil Renk</v>
      </c>
      <c r="P154" s="4" t="str">
        <f>IFERROR(__xludf.DUMMYFUNCTION("GOOGLETRANSLATE(B154,""en"",""ar"")"),"اللون الثانوي")</f>
        <v>اللون الثانوي</v>
      </c>
      <c r="Q154" s="4" t="str">
        <f>IFERROR(__xludf.DUMMYFUNCTION("GOOGLETRANSLATE(B154,""en"",""mr"")"),"दुय्यम रंग")</f>
        <v>दुय्यम रंग</v>
      </c>
      <c r="R154" s="4" t="str">
        <f>IFERROR(__xludf.DUMMYFUNCTION("GOOGLETRANSLATE(B154,""en"",""gu"")"),"ગૌણ રંગ")</f>
        <v>ગૌણ રંગ</v>
      </c>
      <c r="S154" s="4" t="str">
        <f>IFERROR(__xludf.DUMMYFUNCTION("GOOGLETRANSLATE(B154,""en"",""bn"")"),"সেকেন্ডারি কালার")</f>
        <v>সেকেন্ডারি কালার</v>
      </c>
      <c r="T154" s="4" t="str">
        <f>IFERROR(__xludf.DUMMYFUNCTION("GOOGLETRANSLATE(B154,""en"",""pa"")"),"ਸੈਕੰਡਰੀ ਰੰਗ")</f>
        <v>ਸੈਕੰਡਰੀ ਰੰਗ</v>
      </c>
      <c r="U154" s="4" t="str">
        <f>IFERROR(__xludf.DUMMYFUNCTION("GOOGLETRANSLATE(B154,""en"",""te"")"),"ద్వితీయ రంగు")</f>
        <v>ద్వితీయ రంగు</v>
      </c>
      <c r="V154" s="4" t="str">
        <f>IFERROR(__xludf.DUMMYFUNCTION("GOOGLETRANSLATE(B154,""en"",""kn"")"),"ದ್ವಿತೀಯ ಬಣ್ಣ")</f>
        <v>ದ್ವಿತೀಯ ಬಣ್ಣ</v>
      </c>
      <c r="W154" s="4" t="str">
        <f>IFERROR(__xludf.DUMMYFUNCTION("GOOGLETRANSLATE(B154,""en"",""ml"")"),"ദ്വിതീയ നിറം")</f>
        <v>ദ്വിതീയ നിറം</v>
      </c>
      <c r="X154" s="4" t="str">
        <f>IFERROR(__xludf.DUMMYFUNCTION("GOOGLETRANSLATE(B154,""en"",""th"")"),"สีรอง")</f>
        <v>สีรอง</v>
      </c>
      <c r="Y154" s="4" t="str">
        <f>IFERROR(__xludf.DUMMYFUNCTION("GOOGLETRANSLATE(B154,""en"",""ko"")"),"보조 색상")</f>
        <v>보조 색상</v>
      </c>
      <c r="Z154" s="4" t="str">
        <f>IFERROR(__xludf.DUMMYFUNCTION("GOOGLETRANSLATE(B154,""en"",""zh"")"),"辅助颜色")</f>
        <v>辅助颜色</v>
      </c>
      <c r="AA154" s="4" t="str">
        <f>IFERROR(__xludf.DUMMYFUNCTION("GOOGLETRANSLATE(B154,""en"",""zh-TW"")"),"輔助色彩")</f>
        <v>輔助色彩</v>
      </c>
      <c r="AB154" s="4" t="str">
        <f>IFERROR(__xludf.DUMMYFUNCTION("GOOGLETRANSLATE(B154,""en"",""ja"")"),"二次色")</f>
        <v>二次色</v>
      </c>
      <c r="AC154" s="4" t="str">
        <f>IFERROR(__xludf.DUMMYFUNCTION("GOOGLETRANSLATE(B154,""en"",""bg"")"),"Вторичен цвят")</f>
        <v>Вторичен цвят</v>
      </c>
      <c r="AD154" s="4" t="str">
        <f>IFERROR(__xludf.DUMMYFUNCTION("GOOGLETRANSLATE(B154,""en"",""cs"")"),"Sekundární barva")</f>
        <v>Sekundární barva</v>
      </c>
      <c r="AE154" s="4" t="str">
        <f>IFERROR(__xludf.DUMMYFUNCTION("GOOGLETRANSLATE(B154,""en"",""da"")"),"Sekundær farve")</f>
        <v>Sekundær farve</v>
      </c>
      <c r="AF154" s="4" t="str">
        <f>IFERROR(__xludf.DUMMYFUNCTION("GOOGLETRANSLATE(B154,""en"",""el"")"),"Δευτερεύον Χρώμα")</f>
        <v>Δευτερεύον Χρώμα</v>
      </c>
      <c r="AG154" s="4" t="str">
        <f>IFERROR(__xludf.DUMMYFUNCTION("GOOGLETRANSLATE(B154,""en"",""et"")"),"Sekundaarne värv")</f>
        <v>Sekundaarne värv</v>
      </c>
      <c r="AH154" s="4" t="str">
        <f>IFERROR(__xludf.DUMMYFUNCTION("GOOGLETRANSLATE(B154,""en"",""fi"")"),"Toissijainen väri")</f>
        <v>Toissijainen väri</v>
      </c>
      <c r="AI154" s="4" t="str">
        <f>IFERROR(__xludf.DUMMYFUNCTION("GOOGLETRANSLATE(B154,""en"",""hr"")"),"Sekundarna boja")</f>
        <v>Sekundarna boja</v>
      </c>
      <c r="AJ154" s="4" t="str">
        <f>IFERROR(__xludf.DUMMYFUNCTION("GOOGLETRANSLATE(B154,""en"",""hu"")"),"Másodlagos szín")</f>
        <v>Másodlagos szín</v>
      </c>
      <c r="AK154" s="4" t="str">
        <f>IFERROR(__xludf.DUMMYFUNCTION("GOOGLETRANSLATE(B154,""en"",""hy"")"),"Երկրորդական գույն")</f>
        <v>Երկրորդական գույն</v>
      </c>
      <c r="AL154" s="4" t="str">
        <f>IFERROR(__xludf.DUMMYFUNCTION("GOOGLETRANSLATE(B154,""en"",""ca"")"),"Color secundari")</f>
        <v>Color secundari</v>
      </c>
      <c r="AM154" s="4" t="str">
        <f>IFERROR(__xludf.DUMMYFUNCTION("GOOGLETRANSLATE(B154,""en"",""nl"")"),"Secundaire kleur")</f>
        <v>Secundaire kleur</v>
      </c>
      <c r="AN154" s="4" t="str">
        <f>IFERROR(__xludf.DUMMYFUNCTION("GOOGLETRANSLATE(B154,""en"",""he"")"),"צבע משני")</f>
        <v>צבע משני</v>
      </c>
      <c r="AO154" s="4" t="str">
        <f>IFERROR(__xludf.DUMMYFUNCTION("GOOGLETRANSLATE(B154,""en"",""is"")"),"Secondary Litur")</f>
        <v>Secondary Litur</v>
      </c>
      <c r="AP154" s="4" t="str">
        <f>IFERROR(__xludf.DUMMYFUNCTION("GOOGLETRANSLATE(B154,""en"",""no"")"),"Sekundær farge")</f>
        <v>Sekundær farge</v>
      </c>
      <c r="AQ154" s="4" t="str">
        <f>IFERROR(__xludf.DUMMYFUNCTION("GOOGLETRANSLATE(B154,""en"",""fa"")"),"رنگ ثانویه")</f>
        <v>رنگ ثانویه</v>
      </c>
      <c r="AR154" s="4" t="str">
        <f>IFERROR(__xludf.DUMMYFUNCTION("GOOGLETRANSLATE(B154,""en"",""pl"")"),"Kolor drugorzędny")</f>
        <v>Kolor drugorzędny</v>
      </c>
      <c r="AS154" s="4" t="str">
        <f>IFERROR(__xludf.DUMMYFUNCTION("GOOGLETRANSLATE(B154,""en"",""sv"")"),"Sekundär färg")</f>
        <v>Sekundär färg</v>
      </c>
      <c r="AT154" s="4" t="str">
        <f>IFERROR(__xludf.DUMMYFUNCTION("GOOGLETRANSLATE(B154,""en"",""uk"")"),"Вторинний колір")</f>
        <v>Вторинний колір</v>
      </c>
      <c r="AU154" s="4" t="str">
        <f>IFERROR(__xludf.DUMMYFUNCTION("GOOGLETRANSLATE(B154,""en"",""zu"")"),"Umbala Wesibili")</f>
        <v>Umbala Wesibili</v>
      </c>
      <c r="AV154" s="4" t="str">
        <f>IFERROR(__xludf.DUMMYFUNCTION("GOOGLETRANSLATE(B154,""en"",""sr"")"),"Секундарна боја")</f>
        <v>Секундарна боја</v>
      </c>
    </row>
    <row r="155">
      <c r="A155" s="3" t="s">
        <v>341</v>
      </c>
      <c r="B155" s="3" t="s">
        <v>342</v>
      </c>
      <c r="C155" s="4" t="str">
        <f>IFERROR(__xludf.DUMMYFUNCTION("GOOGLETRANSLATE(B155,""en"",""ta"")"),"உச்சரிப்பு நிறம்")</f>
        <v>உச்சரிப்பு நிறம்</v>
      </c>
      <c r="D155" s="4" t="str">
        <f>IFERROR(__xludf.DUMMYFUNCTION("GOOGLETRANSLATE(B155,""en"",""hi"")"),"उच्चारण रंग")</f>
        <v>उच्चारण रंग</v>
      </c>
      <c r="E155" s="4" t="str">
        <f>IFERROR(__xludf.DUMMYFUNCTION("GOOGLETRANSLATE(B155,""en"",""id"")"),"Warna Aksen")</f>
        <v>Warna Aksen</v>
      </c>
      <c r="F155" s="4" t="str">
        <f>IFERROR(__xludf.DUMMYFUNCTION("GOOGLETRANSLATE(B155,""en"",""ms"")"),"Warna Aksen")</f>
        <v>Warna Aksen</v>
      </c>
      <c r="G155" s="4" t="str">
        <f>IFERROR(__xludf.DUMMYFUNCTION("GOOGLETRANSLATE(B155,""en"",""de"")"),"Akzentfarbe")</f>
        <v>Akzentfarbe</v>
      </c>
      <c r="H155" s="4" t="str">
        <f>IFERROR(__xludf.DUMMYFUNCTION("GOOGLETRANSLATE(B155,""en"",""es"")"),"Color de acento")</f>
        <v>Color de acento</v>
      </c>
      <c r="I155" s="4" t="str">
        <f>IFERROR(__xludf.DUMMYFUNCTION("GOOGLETRANSLATE(B155,""en"",""fr"")"),"Couleur d'accent")</f>
        <v>Couleur d'accent</v>
      </c>
      <c r="J155" s="4" t="str">
        <f>IFERROR(__xludf.DUMMYFUNCTION("GOOGLETRANSLATE(B155,""en"",""it"")"),"Colore di accento")</f>
        <v>Colore di accento</v>
      </c>
      <c r="K155" s="4" t="str">
        <f>IFERROR(__xludf.DUMMYFUNCTION("GOOGLETRANSLATE(B155,""en"",""pt"")"),"Cor de destaque")</f>
        <v>Cor de destaque</v>
      </c>
      <c r="L155" s="4" t="str">
        <f>IFERROR(__xludf.DUMMYFUNCTION("GOOGLETRANSLATE(B155,""en"",""ro"")"),"Culoare de accent")</f>
        <v>Culoare de accent</v>
      </c>
      <c r="M155" s="4" t="str">
        <f>IFERROR(__xludf.DUMMYFUNCTION("GOOGLETRANSLATE(B155,""en"",""vi"")"),"Màu nhấn")</f>
        <v>Màu nhấn</v>
      </c>
      <c r="N155" s="4" t="str">
        <f>IFERROR(__xludf.DUMMYFUNCTION("GOOGLETRANSLATE(B155,""en"",""ru"")"),"Цвет акцента")</f>
        <v>Цвет акцента</v>
      </c>
      <c r="O155" s="4" t="str">
        <f>IFERROR(__xludf.DUMMYFUNCTION("GOOGLETRANSLATE(B155,""en"",""tr"")"),"Vurgu Rengi")</f>
        <v>Vurgu Rengi</v>
      </c>
      <c r="P155" s="4" t="str">
        <f>IFERROR(__xludf.DUMMYFUNCTION("GOOGLETRANSLATE(B155,""en"",""ar"")"),"لون مميز")</f>
        <v>لون مميز</v>
      </c>
      <c r="Q155" s="4" t="str">
        <f>IFERROR(__xludf.DUMMYFUNCTION("GOOGLETRANSLATE(B155,""en"",""mr"")"),"उच्चारण रंग")</f>
        <v>उच्चारण रंग</v>
      </c>
      <c r="R155" s="4" t="str">
        <f>IFERROR(__xludf.DUMMYFUNCTION("GOOGLETRANSLATE(B155,""en"",""gu"")"),"ઉચ્ચાર રંગ")</f>
        <v>ઉચ્ચાર રંગ</v>
      </c>
      <c r="S155" s="4" t="str">
        <f>IFERROR(__xludf.DUMMYFUNCTION("GOOGLETRANSLATE(B155,""en"",""bn"")"),"অ্যাকসেন্ট রঙ")</f>
        <v>অ্যাকসেন্ট রঙ</v>
      </c>
      <c r="T155" s="4" t="str">
        <f>IFERROR(__xludf.DUMMYFUNCTION("GOOGLETRANSLATE(B155,""en"",""pa"")"),"ਐਕਸੈਂਟ ਰੰਗ")</f>
        <v>ਐਕਸੈਂਟ ਰੰਗ</v>
      </c>
      <c r="U155" s="4" t="str">
        <f>IFERROR(__xludf.DUMMYFUNCTION("GOOGLETRANSLATE(B155,""en"",""te"")"),"యాస రంగు")</f>
        <v>యాస రంగు</v>
      </c>
      <c r="V155" s="4" t="str">
        <f>IFERROR(__xludf.DUMMYFUNCTION("GOOGLETRANSLATE(B155,""en"",""kn"")"),"ಉಚ್ಚಾರಣೆ ಬಣ್ಣ")</f>
        <v>ಉಚ್ಚಾರಣೆ ಬಣ್ಣ</v>
      </c>
      <c r="W155" s="4" t="str">
        <f>IFERROR(__xludf.DUMMYFUNCTION("GOOGLETRANSLATE(B155,""en"",""ml"")"),"ആക്സൻ്റ് നിറം")</f>
        <v>ആക്സൻ്റ് നിറം</v>
      </c>
      <c r="X155" s="4" t="str">
        <f>IFERROR(__xludf.DUMMYFUNCTION("GOOGLETRANSLATE(B155,""en"",""th"")"),"สีเน้น")</f>
        <v>สีเน้น</v>
      </c>
      <c r="Y155" s="4" t="str">
        <f>IFERROR(__xludf.DUMMYFUNCTION("GOOGLETRANSLATE(B155,""en"",""ko"")"),"악센트 컬러")</f>
        <v>악센트 컬러</v>
      </c>
      <c r="Z155" s="4" t="str">
        <f>IFERROR(__xludf.DUMMYFUNCTION("GOOGLETRANSLATE(B155,""en"",""zh"")"),"强调色")</f>
        <v>强调色</v>
      </c>
      <c r="AA155" s="4" t="str">
        <f>IFERROR(__xludf.DUMMYFUNCTION("GOOGLETRANSLATE(B155,""en"",""zh-TW"")"),"強調色")</f>
        <v>強調色</v>
      </c>
      <c r="AB155" s="4" t="str">
        <f>IFERROR(__xludf.DUMMYFUNCTION("GOOGLETRANSLATE(B155,""en"",""ja"")"),"アクセントカラー")</f>
        <v>アクセントカラー</v>
      </c>
      <c r="AC155" s="4" t="str">
        <f>IFERROR(__xludf.DUMMYFUNCTION("GOOGLETRANSLATE(B155,""en"",""bg"")"),"Цвят на акцента")</f>
        <v>Цвят на акцента</v>
      </c>
      <c r="AD155" s="4" t="str">
        <f>IFERROR(__xludf.DUMMYFUNCTION("GOOGLETRANSLATE(B155,""en"",""cs"")"),"Barva přízvuku")</f>
        <v>Barva přízvuku</v>
      </c>
      <c r="AE155" s="4" t="str">
        <f>IFERROR(__xludf.DUMMYFUNCTION("GOOGLETRANSLATE(B155,""en"",""da"")"),"Accent farve")</f>
        <v>Accent farve</v>
      </c>
      <c r="AF155" s="4" t="str">
        <f>IFERROR(__xludf.DUMMYFUNCTION("GOOGLETRANSLATE(B155,""en"",""el"")"),"Χρώμα έμφασης")</f>
        <v>Χρώμα έμφασης</v>
      </c>
      <c r="AG155" s="4" t="str">
        <f>IFERROR(__xludf.DUMMYFUNCTION("GOOGLETRANSLATE(B155,""en"",""et"")"),"Aktsentvärv")</f>
        <v>Aktsentvärv</v>
      </c>
      <c r="AH155" s="4" t="str">
        <f>IFERROR(__xludf.DUMMYFUNCTION("GOOGLETRANSLATE(B155,""en"",""fi"")"),"Aksenttiväri")</f>
        <v>Aksenttiväri</v>
      </c>
      <c r="AI155" s="4" t="str">
        <f>IFERROR(__xludf.DUMMYFUNCTION("GOOGLETRANSLATE(B155,""en"",""hr"")"),"Boja akcenta")</f>
        <v>Boja akcenta</v>
      </c>
      <c r="AJ155" s="4" t="str">
        <f>IFERROR(__xludf.DUMMYFUNCTION("GOOGLETRANSLATE(B155,""en"",""hu"")"),"Kiemelt szín")</f>
        <v>Kiemelt szín</v>
      </c>
      <c r="AK155" s="4" t="str">
        <f>IFERROR(__xludf.DUMMYFUNCTION("GOOGLETRANSLATE(B155,""en"",""hy"")"),"Առոգանության գույն")</f>
        <v>Առոգանության գույն</v>
      </c>
      <c r="AL155" s="4" t="str">
        <f>IFERROR(__xludf.DUMMYFUNCTION("GOOGLETRANSLATE(B155,""en"",""ca"")"),"Color d'accent")</f>
        <v>Color d'accent</v>
      </c>
      <c r="AM155" s="4" t="str">
        <f>IFERROR(__xludf.DUMMYFUNCTION("GOOGLETRANSLATE(B155,""en"",""nl"")"),"Accentkleur")</f>
        <v>Accentkleur</v>
      </c>
      <c r="AN155" s="4" t="str">
        <f>IFERROR(__xludf.DUMMYFUNCTION("GOOGLETRANSLATE(B155,""en"",""he"")"),"צבע מבטא")</f>
        <v>צבע מבטא</v>
      </c>
      <c r="AO155" s="4" t="str">
        <f>IFERROR(__xludf.DUMMYFUNCTION("GOOGLETRANSLATE(B155,""en"",""is"")"),"Hreim litur")</f>
        <v>Hreim litur</v>
      </c>
      <c r="AP155" s="4" t="str">
        <f>IFERROR(__xludf.DUMMYFUNCTION("GOOGLETRANSLATE(B155,""en"",""no"")"),"Aksentfarge")</f>
        <v>Aksentfarge</v>
      </c>
      <c r="AQ155" s="4" t="str">
        <f>IFERROR(__xludf.DUMMYFUNCTION("GOOGLETRANSLATE(B155,""en"",""fa"")"),"رنگ تاکیدی")</f>
        <v>رنگ تاکیدی</v>
      </c>
      <c r="AR155" s="4" t="str">
        <f>IFERROR(__xludf.DUMMYFUNCTION("GOOGLETRANSLATE(B155,""en"",""pl"")"),"Kolor akcentowy")</f>
        <v>Kolor akcentowy</v>
      </c>
      <c r="AS155" s="4" t="str">
        <f>IFERROR(__xludf.DUMMYFUNCTION("GOOGLETRANSLATE(B155,""en"",""sv"")"),"Accent färg")</f>
        <v>Accent färg</v>
      </c>
      <c r="AT155" s="4" t="str">
        <f>IFERROR(__xludf.DUMMYFUNCTION("GOOGLETRANSLATE(B155,""en"",""uk"")"),"Колір акценту")</f>
        <v>Колір акценту</v>
      </c>
      <c r="AU155" s="4" t="str">
        <f>IFERROR(__xludf.DUMMYFUNCTION("GOOGLETRANSLATE(B155,""en"",""zu"")"),"Umbala Wokugcizelela")</f>
        <v>Umbala Wokugcizelela</v>
      </c>
      <c r="AV155" s="4" t="str">
        <f>IFERROR(__xludf.DUMMYFUNCTION("GOOGLETRANSLATE(B155,""en"",""sr"")"),"Аццент Цолор")</f>
        <v>Аццент Цолор</v>
      </c>
    </row>
    <row r="156">
      <c r="A156" s="3" t="s">
        <v>343</v>
      </c>
      <c r="B156" s="3" t="s">
        <v>344</v>
      </c>
      <c r="C156" s="4" t="str">
        <f>IFERROR(__xludf.DUMMYFUNCTION("GOOGLETRANSLATE(B156,""en"",""ta"")"),"உரை நிறம்")</f>
        <v>உரை நிறம்</v>
      </c>
      <c r="D156" s="4" t="str">
        <f>IFERROR(__xludf.DUMMYFUNCTION("GOOGLETRANSLATE(B156,""en"",""hi"")"),"पाठ का रंग")</f>
        <v>पाठ का रंग</v>
      </c>
      <c r="E156" s="4" t="str">
        <f>IFERROR(__xludf.DUMMYFUNCTION("GOOGLETRANSLATE(B156,""en"",""id"")"),"Warna Teks")</f>
        <v>Warna Teks</v>
      </c>
      <c r="F156" s="4" t="str">
        <f>IFERROR(__xludf.DUMMYFUNCTION("GOOGLETRANSLATE(B156,""en"",""ms"")"),"Warna Teks")</f>
        <v>Warna Teks</v>
      </c>
      <c r="G156" s="4" t="str">
        <f>IFERROR(__xludf.DUMMYFUNCTION("GOOGLETRANSLATE(B156,""en"",""de"")"),"Textfarbe")</f>
        <v>Textfarbe</v>
      </c>
      <c r="H156" s="4" t="str">
        <f>IFERROR(__xludf.DUMMYFUNCTION("GOOGLETRANSLATE(B156,""en"",""es"")"),"Color del texto")</f>
        <v>Color del texto</v>
      </c>
      <c r="I156" s="4" t="str">
        <f>IFERROR(__xludf.DUMMYFUNCTION("GOOGLETRANSLATE(B156,""en"",""fr"")"),"Couleur du texte")</f>
        <v>Couleur du texte</v>
      </c>
      <c r="J156" s="4" t="str">
        <f>IFERROR(__xludf.DUMMYFUNCTION("GOOGLETRANSLATE(B156,""en"",""it"")"),"Colore del testo")</f>
        <v>Colore del testo</v>
      </c>
      <c r="K156" s="4" t="str">
        <f>IFERROR(__xludf.DUMMYFUNCTION("GOOGLETRANSLATE(B156,""en"",""pt"")"),"Cor do texto")</f>
        <v>Cor do texto</v>
      </c>
      <c r="L156" s="4" t="str">
        <f>IFERROR(__xludf.DUMMYFUNCTION("GOOGLETRANSLATE(B156,""en"",""ro"")"),"Culoare text")</f>
        <v>Culoare text</v>
      </c>
      <c r="M156" s="4" t="str">
        <f>IFERROR(__xludf.DUMMYFUNCTION("GOOGLETRANSLATE(B156,""en"",""vi"")"),"Màu chữ")</f>
        <v>Màu chữ</v>
      </c>
      <c r="N156" s="4" t="str">
        <f>IFERROR(__xludf.DUMMYFUNCTION("GOOGLETRANSLATE(B156,""en"",""ru"")"),"Цвет текста")</f>
        <v>Цвет текста</v>
      </c>
      <c r="O156" s="4" t="str">
        <f>IFERROR(__xludf.DUMMYFUNCTION("GOOGLETRANSLATE(B156,""en"",""tr"")"),"Metin Rengi")</f>
        <v>Metin Rengi</v>
      </c>
      <c r="P156" s="4" t="str">
        <f>IFERROR(__xludf.DUMMYFUNCTION("GOOGLETRANSLATE(B156,""en"",""ar"")"),"لون النص")</f>
        <v>لون النص</v>
      </c>
      <c r="Q156" s="4" t="str">
        <f>IFERROR(__xludf.DUMMYFUNCTION("GOOGLETRANSLATE(B156,""en"",""mr"")"),"मजकूर रंग")</f>
        <v>मजकूर रंग</v>
      </c>
      <c r="R156" s="4" t="str">
        <f>IFERROR(__xludf.DUMMYFUNCTION("GOOGLETRANSLATE(B156,""en"",""gu"")"),"ટેક્સ્ટનો રંગ")</f>
        <v>ટેક્સ્ટનો રંગ</v>
      </c>
      <c r="S156" s="4" t="str">
        <f>IFERROR(__xludf.DUMMYFUNCTION("GOOGLETRANSLATE(B156,""en"",""bn"")"),"পাঠ্যের রঙ")</f>
        <v>পাঠ্যের রঙ</v>
      </c>
      <c r="T156" s="4" t="str">
        <f>IFERROR(__xludf.DUMMYFUNCTION("GOOGLETRANSLATE(B156,""en"",""pa"")"),"ਟੈਕਸਟ ਦਾ ਰੰਗ")</f>
        <v>ਟੈਕਸਟ ਦਾ ਰੰਗ</v>
      </c>
      <c r="U156" s="4" t="str">
        <f>IFERROR(__xludf.DUMMYFUNCTION("GOOGLETRANSLATE(B156,""en"",""te"")"),"టెక్స్ట్ రంగు")</f>
        <v>టెక్స్ట్ రంగు</v>
      </c>
      <c r="V156" s="4" t="str">
        <f>IFERROR(__xludf.DUMMYFUNCTION("GOOGLETRANSLATE(B156,""en"",""kn"")"),"ಪಠ್ಯದ ಬಣ್ಣ")</f>
        <v>ಪಠ್ಯದ ಬಣ್ಣ</v>
      </c>
      <c r="W156" s="4" t="str">
        <f>IFERROR(__xludf.DUMMYFUNCTION("GOOGLETRANSLATE(B156,""en"",""ml"")"),"വാചക നിറം")</f>
        <v>വാചക നിറം</v>
      </c>
      <c r="X156" s="4" t="str">
        <f>IFERROR(__xludf.DUMMYFUNCTION("GOOGLETRANSLATE(B156,""en"",""th"")"),"สีข้อความ")</f>
        <v>สีข้อความ</v>
      </c>
      <c r="Y156" s="4" t="str">
        <f>IFERROR(__xludf.DUMMYFUNCTION("GOOGLETRANSLATE(B156,""en"",""ko"")"),"텍스트 색상")</f>
        <v>텍스트 색상</v>
      </c>
      <c r="Z156" s="4" t="str">
        <f>IFERROR(__xludf.DUMMYFUNCTION("GOOGLETRANSLATE(B156,""en"",""zh"")"),"文本颜色")</f>
        <v>文本颜色</v>
      </c>
      <c r="AA156" s="4" t="str">
        <f>IFERROR(__xludf.DUMMYFUNCTION("GOOGLETRANSLATE(B156,""en"",""zh-TW"")"),"文字顏色")</f>
        <v>文字顏色</v>
      </c>
      <c r="AB156" s="4" t="str">
        <f>IFERROR(__xludf.DUMMYFUNCTION("GOOGLETRANSLATE(B156,""en"",""ja"")"),"テキストの色")</f>
        <v>テキストの色</v>
      </c>
      <c r="AC156" s="4" t="str">
        <f>IFERROR(__xludf.DUMMYFUNCTION("GOOGLETRANSLATE(B156,""en"",""bg"")"),"Цвят на текста")</f>
        <v>Цвят на текста</v>
      </c>
      <c r="AD156" s="4" t="str">
        <f>IFERROR(__xludf.DUMMYFUNCTION("GOOGLETRANSLATE(B156,""en"",""cs"")"),"Barva textu")</f>
        <v>Barva textu</v>
      </c>
      <c r="AE156" s="4" t="str">
        <f>IFERROR(__xludf.DUMMYFUNCTION("GOOGLETRANSLATE(B156,""en"",""da"")"),"Tekst farve")</f>
        <v>Tekst farve</v>
      </c>
      <c r="AF156" s="4" t="str">
        <f>IFERROR(__xludf.DUMMYFUNCTION("GOOGLETRANSLATE(B156,""en"",""el"")"),"Χρώμα κειμένου")</f>
        <v>Χρώμα κειμένου</v>
      </c>
      <c r="AG156" s="4" t="str">
        <f>IFERROR(__xludf.DUMMYFUNCTION("GOOGLETRANSLATE(B156,""en"",""et"")"),"Teksti värv")</f>
        <v>Teksti värv</v>
      </c>
      <c r="AH156" s="4" t="str">
        <f>IFERROR(__xludf.DUMMYFUNCTION("GOOGLETRANSLATE(B156,""en"",""fi"")"),"Tekstin väri")</f>
        <v>Tekstin väri</v>
      </c>
      <c r="AI156" s="4" t="str">
        <f>IFERROR(__xludf.DUMMYFUNCTION("GOOGLETRANSLATE(B156,""en"",""hr"")"),"Boja teksta")</f>
        <v>Boja teksta</v>
      </c>
      <c r="AJ156" s="4" t="str">
        <f>IFERROR(__xludf.DUMMYFUNCTION("GOOGLETRANSLATE(B156,""en"",""hu"")"),"Szöveg színe")</f>
        <v>Szöveg színe</v>
      </c>
      <c r="AK156" s="4" t="str">
        <f>IFERROR(__xludf.DUMMYFUNCTION("GOOGLETRANSLATE(B156,""en"",""hy"")"),"Տեքստի գույն")</f>
        <v>Տեքստի գույն</v>
      </c>
      <c r="AL156" s="4" t="str">
        <f>IFERROR(__xludf.DUMMYFUNCTION("GOOGLETRANSLATE(B156,""en"",""ca"")"),"Color del text")</f>
        <v>Color del text</v>
      </c>
      <c r="AM156" s="4" t="str">
        <f>IFERROR(__xludf.DUMMYFUNCTION("GOOGLETRANSLATE(B156,""en"",""nl"")"),"Tekstkleur")</f>
        <v>Tekstkleur</v>
      </c>
      <c r="AN156" s="4" t="str">
        <f>IFERROR(__xludf.DUMMYFUNCTION("GOOGLETRANSLATE(B156,""en"",""he"")"),"צבע טקסט")</f>
        <v>צבע טקסט</v>
      </c>
      <c r="AO156" s="4" t="str">
        <f>IFERROR(__xludf.DUMMYFUNCTION("GOOGLETRANSLATE(B156,""en"",""is"")"),"Litur texta")</f>
        <v>Litur texta</v>
      </c>
      <c r="AP156" s="4" t="str">
        <f>IFERROR(__xludf.DUMMYFUNCTION("GOOGLETRANSLATE(B156,""en"",""no"")"),"Tekstfarge")</f>
        <v>Tekstfarge</v>
      </c>
      <c r="AQ156" s="4" t="str">
        <f>IFERROR(__xludf.DUMMYFUNCTION("GOOGLETRANSLATE(B156,""en"",""fa"")"),"رنگ متن")</f>
        <v>رنگ متن</v>
      </c>
      <c r="AR156" s="4" t="str">
        <f>IFERROR(__xludf.DUMMYFUNCTION("GOOGLETRANSLATE(B156,""en"",""pl"")"),"Kolor tekstu")</f>
        <v>Kolor tekstu</v>
      </c>
      <c r="AS156" s="4" t="str">
        <f>IFERROR(__xludf.DUMMYFUNCTION("GOOGLETRANSLATE(B156,""en"",""sv"")"),"Text färg")</f>
        <v>Text färg</v>
      </c>
      <c r="AT156" s="4" t="str">
        <f>IFERROR(__xludf.DUMMYFUNCTION("GOOGLETRANSLATE(B156,""en"",""uk"")"),"Колір тексту")</f>
        <v>Колір тексту</v>
      </c>
      <c r="AU156" s="4" t="str">
        <f>IFERROR(__xludf.DUMMYFUNCTION("GOOGLETRANSLATE(B156,""en"",""zu"")"),"Umbala Wombhalo")</f>
        <v>Umbala Wombhalo</v>
      </c>
      <c r="AV156" s="4" t="str">
        <f>IFERROR(__xludf.DUMMYFUNCTION("GOOGLETRANSLATE(B156,""en"",""sr"")"),"Боја текста")</f>
        <v>Боја текста</v>
      </c>
    </row>
    <row r="157">
      <c r="A157" s="3" t="s">
        <v>345</v>
      </c>
      <c r="B157" s="3" t="s">
        <v>346</v>
      </c>
      <c r="C157" s="4" t="str">
        <f>IFERROR(__xludf.DUMMYFUNCTION("GOOGLETRANSLATE(B157,""en"",""ta"")"),"பின்னணி நிறம்")</f>
        <v>பின்னணி நிறம்</v>
      </c>
      <c r="D157" s="4" t="str">
        <f>IFERROR(__xludf.DUMMYFUNCTION("GOOGLETRANSLATE(B157,""en"",""hi"")"),"पृष्ठभूमि का रंग")</f>
        <v>पृष्ठभूमि का रंग</v>
      </c>
      <c r="E157" s="4" t="str">
        <f>IFERROR(__xludf.DUMMYFUNCTION("GOOGLETRANSLATE(B157,""en"",""id"")"),"Warna Latar Belakang")</f>
        <v>Warna Latar Belakang</v>
      </c>
      <c r="F157" s="4" t="str">
        <f>IFERROR(__xludf.DUMMYFUNCTION("GOOGLETRANSLATE(B157,""en"",""ms"")"),"Warna Latar Belakang")</f>
        <v>Warna Latar Belakang</v>
      </c>
      <c r="G157" s="4" t="str">
        <f>IFERROR(__xludf.DUMMYFUNCTION("GOOGLETRANSLATE(B157,""en"",""de"")"),"Hintergrundfarbe")</f>
        <v>Hintergrundfarbe</v>
      </c>
      <c r="H157" s="4" t="str">
        <f>IFERROR(__xludf.DUMMYFUNCTION("GOOGLETRANSLATE(B157,""en"",""es"")"),"Color de fondo")</f>
        <v>Color de fondo</v>
      </c>
      <c r="I157" s="4" t="str">
        <f>IFERROR(__xludf.DUMMYFUNCTION("GOOGLETRANSLATE(B157,""en"",""fr"")"),"Couleur d'arrière-plan")</f>
        <v>Couleur d'arrière-plan</v>
      </c>
      <c r="J157" s="4" t="str">
        <f>IFERROR(__xludf.DUMMYFUNCTION("GOOGLETRANSLATE(B157,""en"",""it"")"),"Colore di sfondo")</f>
        <v>Colore di sfondo</v>
      </c>
      <c r="K157" s="4" t="str">
        <f>IFERROR(__xludf.DUMMYFUNCTION("GOOGLETRANSLATE(B157,""en"",""pt"")"),"Cor de fundo")</f>
        <v>Cor de fundo</v>
      </c>
      <c r="L157" s="4" t="str">
        <f>IFERROR(__xludf.DUMMYFUNCTION("GOOGLETRANSLATE(B157,""en"",""ro"")"),"Culoare de fundal")</f>
        <v>Culoare de fundal</v>
      </c>
      <c r="M157" s="4" t="str">
        <f>IFERROR(__xludf.DUMMYFUNCTION("GOOGLETRANSLATE(B157,""en"",""vi"")"),"Màu nền")</f>
        <v>Màu nền</v>
      </c>
      <c r="N157" s="4" t="str">
        <f>IFERROR(__xludf.DUMMYFUNCTION("GOOGLETRANSLATE(B157,""en"",""ru"")"),"Цвет фона")</f>
        <v>Цвет фона</v>
      </c>
      <c r="O157" s="4" t="str">
        <f>IFERROR(__xludf.DUMMYFUNCTION("GOOGLETRANSLATE(B157,""en"",""tr"")"),"Arkaplan Rengi")</f>
        <v>Arkaplan Rengi</v>
      </c>
      <c r="P157" s="4" t="str">
        <f>IFERROR(__xludf.DUMMYFUNCTION("GOOGLETRANSLATE(B157,""en"",""ar"")"),"لون الخلفية")</f>
        <v>لون الخلفية</v>
      </c>
      <c r="Q157" s="4" t="str">
        <f>IFERROR(__xludf.DUMMYFUNCTION("GOOGLETRANSLATE(B157,""en"",""mr"")"),"पार्श्वभूमी रंग")</f>
        <v>पार्श्वभूमी रंग</v>
      </c>
      <c r="R157" s="4" t="str">
        <f>IFERROR(__xludf.DUMMYFUNCTION("GOOGLETRANSLATE(B157,""en"",""gu"")"),"પૃષ્ઠભૂમિ રંગ")</f>
        <v>પૃષ્ઠભૂમિ રંગ</v>
      </c>
      <c r="S157" s="4" t="str">
        <f>IFERROR(__xludf.DUMMYFUNCTION("GOOGLETRANSLATE(B157,""en"",""bn"")"),"পটভূমির রঙ")</f>
        <v>পটভূমির রঙ</v>
      </c>
      <c r="T157" s="4" t="str">
        <f>IFERROR(__xludf.DUMMYFUNCTION("GOOGLETRANSLATE(B157,""en"",""pa"")"),"ਬੈਕਗ੍ਰਾਊਂਡ ਦਾ ਰੰਗ")</f>
        <v>ਬੈਕਗ੍ਰਾਊਂਡ ਦਾ ਰੰਗ</v>
      </c>
      <c r="U157" s="4" t="str">
        <f>IFERROR(__xludf.DUMMYFUNCTION("GOOGLETRANSLATE(B157,""en"",""te"")"),"నేపథ్య రంగు")</f>
        <v>నేపథ్య రంగు</v>
      </c>
      <c r="V157" s="4" t="str">
        <f>IFERROR(__xludf.DUMMYFUNCTION("GOOGLETRANSLATE(B157,""en"",""kn"")"),"ಹಿನ್ನೆಲೆ ಬಣ್ಣ")</f>
        <v>ಹಿನ್ನೆಲೆ ಬಣ್ಣ</v>
      </c>
      <c r="W157" s="4" t="str">
        <f>IFERROR(__xludf.DUMMYFUNCTION("GOOGLETRANSLATE(B157,""en"",""ml"")"),"പശ്ചാത്തല നിറം")</f>
        <v>പശ്ചാത്തല നിറം</v>
      </c>
      <c r="X157" s="4" t="str">
        <f>IFERROR(__xludf.DUMMYFUNCTION("GOOGLETRANSLATE(B157,""en"",""th"")"),"สีพื้นหลัง")</f>
        <v>สีพื้นหลัง</v>
      </c>
      <c r="Y157" s="4" t="str">
        <f>IFERROR(__xludf.DUMMYFUNCTION("GOOGLETRANSLATE(B157,""en"",""ko"")"),"배경색")</f>
        <v>배경색</v>
      </c>
      <c r="Z157" s="4" t="str">
        <f>IFERROR(__xludf.DUMMYFUNCTION("GOOGLETRANSLATE(B157,""en"",""zh"")"),"背景颜色")</f>
        <v>背景颜色</v>
      </c>
      <c r="AA157" s="4" t="str">
        <f>IFERROR(__xludf.DUMMYFUNCTION("GOOGLETRANSLATE(B157,""en"",""zh-TW"")"),"背景顏色")</f>
        <v>背景顏色</v>
      </c>
      <c r="AB157" s="4" t="str">
        <f>IFERROR(__xludf.DUMMYFUNCTION("GOOGLETRANSLATE(B157,""en"",""ja"")"),"背景色")</f>
        <v>背景色</v>
      </c>
      <c r="AC157" s="4" t="str">
        <f>IFERROR(__xludf.DUMMYFUNCTION("GOOGLETRANSLATE(B157,""en"",""bg"")"),"Цвят на фона")</f>
        <v>Цвят на фона</v>
      </c>
      <c r="AD157" s="4" t="str">
        <f>IFERROR(__xludf.DUMMYFUNCTION("GOOGLETRANSLATE(B157,""en"",""cs"")"),"Barva pozadí")</f>
        <v>Barva pozadí</v>
      </c>
      <c r="AE157" s="4" t="str">
        <f>IFERROR(__xludf.DUMMYFUNCTION("GOOGLETRANSLATE(B157,""en"",""da"")"),"Baggrundsfarve")</f>
        <v>Baggrundsfarve</v>
      </c>
      <c r="AF157" s="4" t="str">
        <f>IFERROR(__xludf.DUMMYFUNCTION("GOOGLETRANSLATE(B157,""en"",""el"")"),"Χρώμα φόντου")</f>
        <v>Χρώμα φόντου</v>
      </c>
      <c r="AG157" s="4" t="str">
        <f>IFERROR(__xludf.DUMMYFUNCTION("GOOGLETRANSLATE(B157,""en"",""et"")"),"Taustavärv")</f>
        <v>Taustavärv</v>
      </c>
      <c r="AH157" s="4" t="str">
        <f>IFERROR(__xludf.DUMMYFUNCTION("GOOGLETRANSLATE(B157,""en"",""fi"")"),"Taustaväri")</f>
        <v>Taustaväri</v>
      </c>
      <c r="AI157" s="4" t="str">
        <f>IFERROR(__xludf.DUMMYFUNCTION("GOOGLETRANSLATE(B157,""en"",""hr"")"),"Boja pozadine")</f>
        <v>Boja pozadine</v>
      </c>
      <c r="AJ157" s="4" t="str">
        <f>IFERROR(__xludf.DUMMYFUNCTION("GOOGLETRANSLATE(B157,""en"",""hu"")"),"Háttérszín")</f>
        <v>Háttérszín</v>
      </c>
      <c r="AK157" s="4" t="str">
        <f>IFERROR(__xludf.DUMMYFUNCTION("GOOGLETRANSLATE(B157,""en"",""hy"")"),"Ֆոնի գույնը")</f>
        <v>Ֆոնի գույնը</v>
      </c>
      <c r="AL157" s="4" t="str">
        <f>IFERROR(__xludf.DUMMYFUNCTION("GOOGLETRANSLATE(B157,""en"",""ca"")"),"Color de fons")</f>
        <v>Color de fons</v>
      </c>
      <c r="AM157" s="4" t="str">
        <f>IFERROR(__xludf.DUMMYFUNCTION("GOOGLETRANSLATE(B157,""en"",""nl"")"),"Achtergrondkleur")</f>
        <v>Achtergrondkleur</v>
      </c>
      <c r="AN157" s="4" t="str">
        <f>IFERROR(__xludf.DUMMYFUNCTION("GOOGLETRANSLATE(B157,""en"",""he"")"),"צבע רקע")</f>
        <v>צבע רקע</v>
      </c>
      <c r="AO157" s="4" t="str">
        <f>IFERROR(__xludf.DUMMYFUNCTION("GOOGLETRANSLATE(B157,""en"",""is"")"),"Bakgrunnslitur")</f>
        <v>Bakgrunnslitur</v>
      </c>
      <c r="AP157" s="4" t="str">
        <f>IFERROR(__xludf.DUMMYFUNCTION("GOOGLETRANSLATE(B157,""en"",""no"")"),"Bakgrunnsfarge")</f>
        <v>Bakgrunnsfarge</v>
      </c>
      <c r="AQ157" s="4" t="str">
        <f>IFERROR(__xludf.DUMMYFUNCTION("GOOGLETRANSLATE(B157,""en"",""fa"")"),"رنگ پس زمینه")</f>
        <v>رنگ پس زمینه</v>
      </c>
      <c r="AR157" s="4" t="str">
        <f>IFERROR(__xludf.DUMMYFUNCTION("GOOGLETRANSLATE(B157,""en"",""pl"")"),"Kolor tła")</f>
        <v>Kolor tła</v>
      </c>
      <c r="AS157" s="4" t="str">
        <f>IFERROR(__xludf.DUMMYFUNCTION("GOOGLETRANSLATE(B157,""en"",""sv"")"),"Bakgrundsfärg")</f>
        <v>Bakgrundsfärg</v>
      </c>
      <c r="AT157" s="4" t="str">
        <f>IFERROR(__xludf.DUMMYFUNCTION("GOOGLETRANSLATE(B157,""en"",""uk"")"),"Колір фону")</f>
        <v>Колір фону</v>
      </c>
      <c r="AU157" s="4" t="str">
        <f>IFERROR(__xludf.DUMMYFUNCTION("GOOGLETRANSLATE(B157,""en"",""zu"")"),"Umbala Ongemuva")</f>
        <v>Umbala Ongemuva</v>
      </c>
      <c r="AV157" s="4" t="str">
        <f>IFERROR(__xludf.DUMMYFUNCTION("GOOGLETRANSLATE(B157,""en"",""sr"")"),"Боја позадине")</f>
        <v>Боја позадине</v>
      </c>
    </row>
    <row r="158">
      <c r="A158" s="3" t="s">
        <v>347</v>
      </c>
      <c r="B158" s="3" t="s">
        <v>348</v>
      </c>
      <c r="C158" s="4" t="str">
        <f>IFERROR(__xludf.DUMMYFUNCTION("GOOGLETRANSLATE(B158,""en"",""ta"")"),"இயல்புநிலைக்கு மீட்டமைக்கவும்")</f>
        <v>இயல்புநிலைக்கு மீட்டமைக்கவும்</v>
      </c>
      <c r="D158" s="4" t="str">
        <f>IFERROR(__xludf.DUMMYFUNCTION("GOOGLETRANSLATE(B158,""en"",""hi"")"),"वितथ पर ले जाएं")</f>
        <v>वितथ पर ले जाएं</v>
      </c>
      <c r="E158" s="4" t="str">
        <f>IFERROR(__xludf.DUMMYFUNCTION("GOOGLETRANSLATE(B158,""en"",""id"")"),"Setel Ulang ke Default")</f>
        <v>Setel Ulang ke Default</v>
      </c>
      <c r="F158" s="4" t="str">
        <f>IFERROR(__xludf.DUMMYFUNCTION("GOOGLETRANSLATE(B158,""en"",""ms"")"),"Tetapkan semula kepada Lalai")</f>
        <v>Tetapkan semula kepada Lalai</v>
      </c>
      <c r="G158" s="4" t="str">
        <f>IFERROR(__xludf.DUMMYFUNCTION("GOOGLETRANSLATE(B158,""en"",""de"")"),"Auf Standard zurücksetzen")</f>
        <v>Auf Standard zurücksetzen</v>
      </c>
      <c r="H158" s="4" t="str">
        <f>IFERROR(__xludf.DUMMYFUNCTION("GOOGLETRANSLATE(B158,""en"",""es"")"),"Restablecer a valores predeterminados")</f>
        <v>Restablecer a valores predeterminados</v>
      </c>
      <c r="I158" s="4" t="str">
        <f>IFERROR(__xludf.DUMMYFUNCTION("GOOGLETRANSLATE(B158,""en"",""fr"")"),"Réinitialiser aux paramètres par défaut")</f>
        <v>Réinitialiser aux paramètres par défaut</v>
      </c>
      <c r="J158" s="4" t="str">
        <f>IFERROR(__xludf.DUMMYFUNCTION("GOOGLETRANSLATE(B158,""en"",""it"")"),"Ripristina impostazioni predefinite")</f>
        <v>Ripristina impostazioni predefinite</v>
      </c>
      <c r="K158" s="4" t="str">
        <f>IFERROR(__xludf.DUMMYFUNCTION("GOOGLETRANSLATE(B158,""en"",""pt"")"),"Redefinir para o padrão")</f>
        <v>Redefinir para o padrão</v>
      </c>
      <c r="L158" s="4" t="str">
        <f>IFERROR(__xludf.DUMMYFUNCTION("GOOGLETRANSLATE(B158,""en"",""ro"")"),"Resetați la valoarea implicită")</f>
        <v>Resetați la valoarea implicită</v>
      </c>
      <c r="M158" s="4" t="str">
        <f>IFERROR(__xludf.DUMMYFUNCTION("GOOGLETRANSLATE(B158,""en"",""vi"")"),"Đặt lại về mặc định")</f>
        <v>Đặt lại về mặc định</v>
      </c>
      <c r="N158" s="4" t="str">
        <f>IFERROR(__xludf.DUMMYFUNCTION("GOOGLETRANSLATE(B158,""en"",""ru"")"),"Сброс к настройкам по умолчанию")</f>
        <v>Сброс к настройкам по умолчанию</v>
      </c>
      <c r="O158" s="4" t="str">
        <f>IFERROR(__xludf.DUMMYFUNCTION("GOOGLETRANSLATE(B158,""en"",""tr"")"),"Varsayılana Sıfırla")</f>
        <v>Varsayılana Sıfırla</v>
      </c>
      <c r="P158" s="4" t="str">
        <f>IFERROR(__xludf.DUMMYFUNCTION("GOOGLETRANSLATE(B158,""en"",""ar"")"),"إعادة التعيين إلى الوضع الافتراضي")</f>
        <v>إعادة التعيين إلى الوضع الافتراضي</v>
      </c>
      <c r="Q158" s="4" t="str">
        <f>IFERROR(__xludf.DUMMYFUNCTION("GOOGLETRANSLATE(B158,""en"",""mr"")"),"डीफॉल्टवर रीसेट करा")</f>
        <v>डीफॉल्टवर रीसेट करा</v>
      </c>
      <c r="R158" s="4" t="str">
        <f>IFERROR(__xludf.DUMMYFUNCTION("GOOGLETRANSLATE(B158,""en"",""gu"")"),"ડિફૉલ્ટ પર ફરીથી સેટ કરો")</f>
        <v>ડિફૉલ્ટ પર ફરીથી સેટ કરો</v>
      </c>
      <c r="S158" s="4" t="str">
        <f>IFERROR(__xludf.DUMMYFUNCTION("GOOGLETRANSLATE(B158,""en"",""bn"")"),"ডিফল্টে রিসেট করুন")</f>
        <v>ডিফল্টে রিসেট করুন</v>
      </c>
      <c r="T158" s="4" t="str">
        <f>IFERROR(__xludf.DUMMYFUNCTION("GOOGLETRANSLATE(B158,""en"",""pa"")"),"ਡਿਫੌਲਟ 'ਤੇ ਰੀਸੈਟ ਕਰੋ")</f>
        <v>ਡਿਫੌਲਟ 'ਤੇ ਰੀਸੈਟ ਕਰੋ</v>
      </c>
      <c r="U158" s="4" t="str">
        <f>IFERROR(__xludf.DUMMYFUNCTION("GOOGLETRANSLATE(B158,""en"",""te"")"),"డిఫాల్ట్‌కి రీసెట్ చేయండి")</f>
        <v>డిఫాల్ట్‌కి రీసెట్ చేయండి</v>
      </c>
      <c r="V158" s="4" t="str">
        <f>IFERROR(__xludf.DUMMYFUNCTION("GOOGLETRANSLATE(B158,""en"",""kn"")"),"ಡೀಫಾಲ್ಟ್‌ಗೆ ಮರುಹೊಂದಿಸಿ")</f>
        <v>ಡೀಫಾಲ್ಟ್‌ಗೆ ಮರುಹೊಂದಿಸಿ</v>
      </c>
      <c r="W158" s="4" t="str">
        <f>IFERROR(__xludf.DUMMYFUNCTION("GOOGLETRANSLATE(B158,""en"",""ml"")"),"ഡിഫോൾട്ടിലേക്ക് പുനഃസജ്ജമാക്കുക")</f>
        <v>ഡിഫോൾട്ടിലേക്ക് പുനഃസജ്ജമാക്കുക</v>
      </c>
      <c r="X158" s="4" t="str">
        <f>IFERROR(__xludf.DUMMYFUNCTION("GOOGLETRANSLATE(B158,""en"",""th"")"),"รีเซ็ตเป็นค่าเริ่มต้น")</f>
        <v>รีเซ็ตเป็นค่าเริ่มต้น</v>
      </c>
      <c r="Y158" s="4" t="str">
        <f>IFERROR(__xludf.DUMMYFUNCTION("GOOGLETRANSLATE(B158,""en"",""ko"")"),"기본값으로 재설정")</f>
        <v>기본값으로 재설정</v>
      </c>
      <c r="Z158" s="4" t="str">
        <f>IFERROR(__xludf.DUMMYFUNCTION("GOOGLETRANSLATE(B158,""en"",""zh"")"),"重置为默认值")</f>
        <v>重置为默认值</v>
      </c>
      <c r="AA158" s="4" t="str">
        <f>IFERROR(__xludf.DUMMYFUNCTION("GOOGLETRANSLATE(B158,""en"",""zh-TW"")"),"重設為預設值")</f>
        <v>重設為預設值</v>
      </c>
      <c r="AB158" s="4" t="str">
        <f>IFERROR(__xludf.DUMMYFUNCTION("GOOGLETRANSLATE(B158,""en"",""ja"")"),"デフォルトにリセット")</f>
        <v>デフォルトにリセット</v>
      </c>
      <c r="AC158" s="4" t="str">
        <f>IFERROR(__xludf.DUMMYFUNCTION("GOOGLETRANSLATE(B158,""en"",""bg"")"),"Възстановяване на настройките по подразбиране")</f>
        <v>Възстановяване на настройките по подразбиране</v>
      </c>
      <c r="AD158" s="4" t="str">
        <f>IFERROR(__xludf.DUMMYFUNCTION("GOOGLETRANSLATE(B158,""en"",""cs"")"),"Obnovit výchozí")</f>
        <v>Obnovit výchozí</v>
      </c>
      <c r="AE158" s="4" t="str">
        <f>IFERROR(__xludf.DUMMYFUNCTION("GOOGLETRANSLATE(B158,""en"",""da"")"),"Nulstil til standard")</f>
        <v>Nulstil til standard</v>
      </c>
      <c r="AF158" s="4" t="str">
        <f>IFERROR(__xludf.DUMMYFUNCTION("GOOGLETRANSLATE(B158,""en"",""el"")"),"Επαναφορά στην προεπιλογή")</f>
        <v>Επαναφορά στην προεπιλογή</v>
      </c>
      <c r="AG158" s="4" t="str">
        <f>IFERROR(__xludf.DUMMYFUNCTION("GOOGLETRANSLATE(B158,""en"",""et"")"),"Lähtestage vaikeseadetele")</f>
        <v>Lähtestage vaikeseadetele</v>
      </c>
      <c r="AH158" s="4" t="str">
        <f>IFERROR(__xludf.DUMMYFUNCTION("GOOGLETRANSLATE(B158,""en"",""fi"")"),"Palauta oletusarvo")</f>
        <v>Palauta oletusarvo</v>
      </c>
      <c r="AI158" s="4" t="str">
        <f>IFERROR(__xludf.DUMMYFUNCTION("GOOGLETRANSLATE(B158,""en"",""hr"")"),"Vrati na zadano")</f>
        <v>Vrati na zadano</v>
      </c>
      <c r="AJ158" s="4" t="str">
        <f>IFERROR(__xludf.DUMMYFUNCTION("GOOGLETRANSLATE(B158,""en"",""hu"")"),"Visszaállítás alapértelmezettre")</f>
        <v>Visszaállítás alapértelmezettre</v>
      </c>
      <c r="AK158" s="4" t="str">
        <f>IFERROR(__xludf.DUMMYFUNCTION("GOOGLETRANSLATE(B158,""en"",""hy"")"),"Վերականգնել լռելյայն")</f>
        <v>Վերականգնել լռելյայն</v>
      </c>
      <c r="AL158" s="4" t="str">
        <f>IFERROR(__xludf.DUMMYFUNCTION("GOOGLETRANSLATE(B158,""en"",""ca"")"),"Restableix al valor predeterminat")</f>
        <v>Restableix al valor predeterminat</v>
      </c>
      <c r="AM158" s="4" t="str">
        <f>IFERROR(__xludf.DUMMYFUNCTION("GOOGLETRANSLATE(B158,""en"",""nl"")"),"Resetten naar standaard")</f>
        <v>Resetten naar standaard</v>
      </c>
      <c r="AN158" s="4" t="str">
        <f>IFERROR(__xludf.DUMMYFUNCTION("GOOGLETRANSLATE(B158,""en"",""he"")"),"אפס לברירת מחדל")</f>
        <v>אפס לברירת מחדל</v>
      </c>
      <c r="AO158" s="4" t="str">
        <f>IFERROR(__xludf.DUMMYFUNCTION("GOOGLETRANSLATE(B158,""en"",""is"")"),"Endurstilla í sjálfgefið")</f>
        <v>Endurstilla í sjálfgefið</v>
      </c>
      <c r="AP158" s="4" t="str">
        <f>IFERROR(__xludf.DUMMYFUNCTION("GOOGLETRANSLATE(B158,""en"",""no"")"),"Tilbakestill til standard")</f>
        <v>Tilbakestill til standard</v>
      </c>
      <c r="AQ158" s="4" t="str">
        <f>IFERROR(__xludf.DUMMYFUNCTION("GOOGLETRANSLATE(B158,""en"",""fa"")"),"بازنشانی به حالت پیش فرض")</f>
        <v>بازنشانی به حالت پیش فرض</v>
      </c>
      <c r="AR158" s="4" t="str">
        <f>IFERROR(__xludf.DUMMYFUNCTION("GOOGLETRANSLATE(B158,""en"",""pl"")"),"Przywróć domyślne")</f>
        <v>Przywróć domyślne</v>
      </c>
      <c r="AS158" s="4" t="str">
        <f>IFERROR(__xludf.DUMMYFUNCTION("GOOGLETRANSLATE(B158,""en"",""sv"")"),"Återställ till standard")</f>
        <v>Återställ till standard</v>
      </c>
      <c r="AT158" s="4" t="str">
        <f>IFERROR(__xludf.DUMMYFUNCTION("GOOGLETRANSLATE(B158,""en"",""uk"")"),"Скинути до замовчування")</f>
        <v>Скинути до замовчування</v>
      </c>
      <c r="AU158" s="4" t="str">
        <f>IFERROR(__xludf.DUMMYFUNCTION("GOOGLETRANSLATE(B158,""en"",""zu"")"),"Setha kabusha kokuthi Okuzenzakalelayo")</f>
        <v>Setha kabusha kokuthi Okuzenzakalelayo</v>
      </c>
      <c r="AV158" s="4" t="str">
        <f>IFERROR(__xludf.DUMMYFUNCTION("GOOGLETRANSLATE(B158,""en"",""sr"")"),"Ресетујте на подразумевано")</f>
        <v>Ресетујте на подразумевано</v>
      </c>
    </row>
    <row r="159">
      <c r="A159" s="3" t="s">
        <v>349</v>
      </c>
      <c r="B159" s="3" t="s">
        <v>350</v>
      </c>
      <c r="C159" s="4" t="str">
        <f>IFERROR(__xludf.DUMMYFUNCTION("GOOGLETRANSLATE(B159,""en"",""ta"")"),"வண்ணங்களைச் சேமிக்கவும்")</f>
        <v>வண்ணங்களைச் சேமிக்கவும்</v>
      </c>
      <c r="D159" s="4" t="str">
        <f>IFERROR(__xludf.DUMMYFUNCTION("GOOGLETRANSLATE(B159,""en"",""hi"")"),"रंग सहेजें")</f>
        <v>रंग सहेजें</v>
      </c>
      <c r="E159" s="4" t="str">
        <f>IFERROR(__xludf.DUMMYFUNCTION("GOOGLETRANSLATE(B159,""en"",""id"")"),"Simpan Warna")</f>
        <v>Simpan Warna</v>
      </c>
      <c r="F159" s="4" t="str">
        <f>IFERROR(__xludf.DUMMYFUNCTION("GOOGLETRANSLATE(B159,""en"",""ms"")"),"Simpan Warna")</f>
        <v>Simpan Warna</v>
      </c>
      <c r="G159" s="4" t="str">
        <f>IFERROR(__xludf.DUMMYFUNCTION("GOOGLETRANSLATE(B159,""en"",""de"")"),"Farben speichern")</f>
        <v>Farben speichern</v>
      </c>
      <c r="H159" s="4" t="str">
        <f>IFERROR(__xludf.DUMMYFUNCTION("GOOGLETRANSLATE(B159,""en"",""es"")"),"Guardar colores")</f>
        <v>Guardar colores</v>
      </c>
      <c r="I159" s="4" t="str">
        <f>IFERROR(__xludf.DUMMYFUNCTION("GOOGLETRANSLATE(B159,""en"",""fr"")"),"Enregistrer les couleurs")</f>
        <v>Enregistrer les couleurs</v>
      </c>
      <c r="J159" s="4" t="str">
        <f>IFERROR(__xludf.DUMMYFUNCTION("GOOGLETRANSLATE(B159,""en"",""it"")"),"Salva colori")</f>
        <v>Salva colori</v>
      </c>
      <c r="K159" s="4" t="str">
        <f>IFERROR(__xludf.DUMMYFUNCTION("GOOGLETRANSLATE(B159,""en"",""pt"")"),"Salvar cores")</f>
        <v>Salvar cores</v>
      </c>
      <c r="L159" s="4" t="str">
        <f>IFERROR(__xludf.DUMMYFUNCTION("GOOGLETRANSLATE(B159,""en"",""ro"")"),"Salvați culorile")</f>
        <v>Salvați culorile</v>
      </c>
      <c r="M159" s="4" t="str">
        <f>IFERROR(__xludf.DUMMYFUNCTION("GOOGLETRANSLATE(B159,""en"",""vi"")"),"Lưu màu")</f>
        <v>Lưu màu</v>
      </c>
      <c r="N159" s="4" t="str">
        <f>IFERROR(__xludf.DUMMYFUNCTION("GOOGLETRANSLATE(B159,""en"",""ru"")"),"Сохранить цвета")</f>
        <v>Сохранить цвета</v>
      </c>
      <c r="O159" s="4" t="str">
        <f>IFERROR(__xludf.DUMMYFUNCTION("GOOGLETRANSLATE(B159,""en"",""tr"")"),"Renkleri Kaydet")</f>
        <v>Renkleri Kaydet</v>
      </c>
      <c r="P159" s="4" t="str">
        <f>IFERROR(__xludf.DUMMYFUNCTION("GOOGLETRANSLATE(B159,""en"",""ar"")"),"حفظ الألوان")</f>
        <v>حفظ الألوان</v>
      </c>
      <c r="Q159" s="4" t="str">
        <f>IFERROR(__xludf.DUMMYFUNCTION("GOOGLETRANSLATE(B159,""en"",""mr"")"),"रंग जतन करा")</f>
        <v>रंग जतन करा</v>
      </c>
      <c r="R159" s="4" t="str">
        <f>IFERROR(__xludf.DUMMYFUNCTION("GOOGLETRANSLATE(B159,""en"",""gu"")"),"રંગો સાચવો")</f>
        <v>રંગો સાચવો</v>
      </c>
      <c r="S159" s="4" t="str">
        <f>IFERROR(__xludf.DUMMYFUNCTION("GOOGLETRANSLATE(B159,""en"",""bn"")"),"রং সংরক্ষণ করুন")</f>
        <v>রং সংরক্ষণ করুন</v>
      </c>
      <c r="T159" s="4" t="str">
        <f>IFERROR(__xludf.DUMMYFUNCTION("GOOGLETRANSLATE(B159,""en"",""pa"")"),"ਰੰਗ ਬਚਾਓ")</f>
        <v>ਰੰਗ ਬਚਾਓ</v>
      </c>
      <c r="U159" s="4" t="str">
        <f>IFERROR(__xludf.DUMMYFUNCTION("GOOGLETRANSLATE(B159,""en"",""te"")"),"రంగులను సేవ్ చేయండి")</f>
        <v>రంగులను సేవ్ చేయండి</v>
      </c>
      <c r="V159" s="4" t="str">
        <f>IFERROR(__xludf.DUMMYFUNCTION("GOOGLETRANSLATE(B159,""en"",""kn"")"),"ಬಣ್ಣಗಳನ್ನು ಉಳಿಸಿ")</f>
        <v>ಬಣ್ಣಗಳನ್ನು ಉಳಿಸಿ</v>
      </c>
      <c r="W159" s="4" t="str">
        <f>IFERROR(__xludf.DUMMYFUNCTION("GOOGLETRANSLATE(B159,""en"",""ml"")"),"നിറങ്ങൾ സംരക്ഷിക്കുക")</f>
        <v>നിറങ്ങൾ സംരക്ഷിക്കുക</v>
      </c>
      <c r="X159" s="4" t="str">
        <f>IFERROR(__xludf.DUMMYFUNCTION("GOOGLETRANSLATE(B159,""en"",""th"")"),"บันทึกสี")</f>
        <v>บันทึกสี</v>
      </c>
      <c r="Y159" s="4" t="str">
        <f>IFERROR(__xludf.DUMMYFUNCTION("GOOGLETRANSLATE(B159,""en"",""ko"")"),"색상 저장")</f>
        <v>색상 저장</v>
      </c>
      <c r="Z159" s="4" t="str">
        <f>IFERROR(__xludf.DUMMYFUNCTION("GOOGLETRANSLATE(B159,""en"",""zh"")"),"保存颜色")</f>
        <v>保存颜色</v>
      </c>
      <c r="AA159" s="4" t="str">
        <f>IFERROR(__xludf.DUMMYFUNCTION("GOOGLETRANSLATE(B159,""en"",""zh-TW"")"),"儲存顏色")</f>
        <v>儲存顏色</v>
      </c>
      <c r="AB159" s="4" t="str">
        <f>IFERROR(__xludf.DUMMYFUNCTION("GOOGLETRANSLATE(B159,""en"",""ja"")"),"色を保存")</f>
        <v>色を保存</v>
      </c>
      <c r="AC159" s="4" t="str">
        <f>IFERROR(__xludf.DUMMYFUNCTION("GOOGLETRANSLATE(B159,""en"",""bg"")"),"Запазване на цветовете")</f>
        <v>Запазване на цветовете</v>
      </c>
      <c r="AD159" s="4" t="str">
        <f>IFERROR(__xludf.DUMMYFUNCTION("GOOGLETRANSLATE(B159,""en"",""cs"")"),"Uložit barvy")</f>
        <v>Uložit barvy</v>
      </c>
      <c r="AE159" s="4" t="str">
        <f>IFERROR(__xludf.DUMMYFUNCTION("GOOGLETRANSLATE(B159,""en"",""da"")"),"Gem farver")</f>
        <v>Gem farver</v>
      </c>
      <c r="AF159" s="4" t="str">
        <f>IFERROR(__xludf.DUMMYFUNCTION("GOOGLETRANSLATE(B159,""en"",""el"")"),"Αποθήκευση χρωμάτων")</f>
        <v>Αποθήκευση χρωμάτων</v>
      </c>
      <c r="AG159" s="4" t="str">
        <f>IFERROR(__xludf.DUMMYFUNCTION("GOOGLETRANSLATE(B159,""en"",""et"")"),"Salvesta värvid")</f>
        <v>Salvesta värvid</v>
      </c>
      <c r="AH159" s="4" t="str">
        <f>IFERROR(__xludf.DUMMYFUNCTION("GOOGLETRANSLATE(B159,""en"",""fi"")"),"Tallenna värit")</f>
        <v>Tallenna värit</v>
      </c>
      <c r="AI159" s="4" t="str">
        <f>IFERROR(__xludf.DUMMYFUNCTION("GOOGLETRANSLATE(B159,""en"",""hr"")"),"Spremi boje")</f>
        <v>Spremi boje</v>
      </c>
      <c r="AJ159" s="4" t="str">
        <f>IFERROR(__xludf.DUMMYFUNCTION("GOOGLETRANSLATE(B159,""en"",""hu"")"),"Színek mentése")</f>
        <v>Színek mentése</v>
      </c>
      <c r="AK159" s="4" t="str">
        <f>IFERROR(__xludf.DUMMYFUNCTION("GOOGLETRANSLATE(B159,""en"",""hy"")"),"Պահպանել գույները")</f>
        <v>Պահպանել գույները</v>
      </c>
      <c r="AL159" s="4" t="str">
        <f>IFERROR(__xludf.DUMMYFUNCTION("GOOGLETRANSLATE(B159,""en"",""ca"")"),"Guarda els colors")</f>
        <v>Guarda els colors</v>
      </c>
      <c r="AM159" s="4" t="str">
        <f>IFERROR(__xludf.DUMMYFUNCTION("GOOGLETRANSLATE(B159,""en"",""nl"")"),"Kleuren opslaan")</f>
        <v>Kleuren opslaan</v>
      </c>
      <c r="AN159" s="4" t="str">
        <f>IFERROR(__xludf.DUMMYFUNCTION("GOOGLETRANSLATE(B159,""en"",""he"")"),"שמור צבעים")</f>
        <v>שמור צבעים</v>
      </c>
      <c r="AO159" s="4" t="str">
        <f>IFERROR(__xludf.DUMMYFUNCTION("GOOGLETRANSLATE(B159,""en"",""is"")"),"Vista liti")</f>
        <v>Vista liti</v>
      </c>
      <c r="AP159" s="4" t="str">
        <f>IFERROR(__xludf.DUMMYFUNCTION("GOOGLETRANSLATE(B159,""en"",""no"")"),"Lagre farger")</f>
        <v>Lagre farger</v>
      </c>
      <c r="AQ159" s="4" t="str">
        <f>IFERROR(__xludf.DUMMYFUNCTION("GOOGLETRANSLATE(B159,""en"",""fa"")"),"ذخیره رنگ ها")</f>
        <v>ذخیره رنگ ها</v>
      </c>
      <c r="AR159" s="4" t="str">
        <f>IFERROR(__xludf.DUMMYFUNCTION("GOOGLETRANSLATE(B159,""en"",""pl"")"),"Zapisz kolory")</f>
        <v>Zapisz kolory</v>
      </c>
      <c r="AS159" s="4" t="str">
        <f>IFERROR(__xludf.DUMMYFUNCTION("GOOGLETRANSLATE(B159,""en"",""sv"")"),"Spara färger")</f>
        <v>Spara färger</v>
      </c>
      <c r="AT159" s="4" t="str">
        <f>IFERROR(__xludf.DUMMYFUNCTION("GOOGLETRANSLATE(B159,""en"",""uk"")"),"Зберегти кольори")</f>
        <v>Зберегти кольори</v>
      </c>
      <c r="AU159" s="4" t="str">
        <f>IFERROR(__xludf.DUMMYFUNCTION("GOOGLETRANSLATE(B159,""en"",""zu"")"),"Londoloza Imibala")</f>
        <v>Londoloza Imibala</v>
      </c>
      <c r="AV159" s="4" t="str">
        <f>IFERROR(__xludf.DUMMYFUNCTION("GOOGLETRANSLATE(B159,""en"",""sr"")"),"Сачувај боје")</f>
        <v>Сачувај боје</v>
      </c>
    </row>
    <row r="160">
      <c r="A160" s="3" t="s">
        <v>351</v>
      </c>
      <c r="B160" s="3" t="s">
        <v>352</v>
      </c>
      <c r="C160" s="4" t="str">
        <f>IFERROR(__xludf.DUMMYFUNCTION("GOOGLETRANSLATE(B160,""en"",""ta"")"),"விண்ணப்பிக்கவும்")</f>
        <v>விண்ணப்பிக்கவும்</v>
      </c>
      <c r="D160" s="4" t="str">
        <f>IFERROR(__xludf.DUMMYFUNCTION("GOOGLETRANSLATE(B160,""en"",""hi"")"),"आवेदन करना")</f>
        <v>आवेदन करना</v>
      </c>
      <c r="E160" s="4" t="str">
        <f>IFERROR(__xludf.DUMMYFUNCTION("GOOGLETRANSLATE(B160,""en"",""id"")"),"Menerapkan")</f>
        <v>Menerapkan</v>
      </c>
      <c r="F160" s="4" t="str">
        <f>IFERROR(__xludf.DUMMYFUNCTION("GOOGLETRANSLATE(B160,""en"",""ms"")"),"Mohon")</f>
        <v>Mohon</v>
      </c>
      <c r="G160" s="4" t="str">
        <f>IFERROR(__xludf.DUMMYFUNCTION("GOOGLETRANSLATE(B160,""en"",""de"")"),"Anwenden")</f>
        <v>Anwenden</v>
      </c>
      <c r="H160" s="4" t="str">
        <f>IFERROR(__xludf.DUMMYFUNCTION("GOOGLETRANSLATE(B160,""en"",""es"")"),"Aplicar")</f>
        <v>Aplicar</v>
      </c>
      <c r="I160" s="4" t="str">
        <f>IFERROR(__xludf.DUMMYFUNCTION("GOOGLETRANSLATE(B160,""en"",""fr"")"),"Appliquer")</f>
        <v>Appliquer</v>
      </c>
      <c r="J160" s="4" t="str">
        <f>IFERROR(__xludf.DUMMYFUNCTION("GOOGLETRANSLATE(B160,""en"",""it"")"),"Fare domanda a")</f>
        <v>Fare domanda a</v>
      </c>
      <c r="K160" s="4" t="str">
        <f>IFERROR(__xludf.DUMMYFUNCTION("GOOGLETRANSLATE(B160,""en"",""pt"")"),"Aplicar")</f>
        <v>Aplicar</v>
      </c>
      <c r="L160" s="4" t="str">
        <f>IFERROR(__xludf.DUMMYFUNCTION("GOOGLETRANSLATE(B160,""en"",""ro"")"),"Aplicați")</f>
        <v>Aplicați</v>
      </c>
      <c r="M160" s="4" t="str">
        <f>IFERROR(__xludf.DUMMYFUNCTION("GOOGLETRANSLATE(B160,""en"",""vi"")"),"Áp dụng")</f>
        <v>Áp dụng</v>
      </c>
      <c r="N160" s="4" t="str">
        <f>IFERROR(__xludf.DUMMYFUNCTION("GOOGLETRANSLATE(B160,""en"",""ru"")"),"Применять")</f>
        <v>Применять</v>
      </c>
      <c r="O160" s="4" t="str">
        <f>IFERROR(__xludf.DUMMYFUNCTION("GOOGLETRANSLATE(B160,""en"",""tr"")"),"Uygula")</f>
        <v>Uygula</v>
      </c>
      <c r="P160" s="4" t="str">
        <f>IFERROR(__xludf.DUMMYFUNCTION("GOOGLETRANSLATE(B160,""en"",""ar"")"),"يتقدم")</f>
        <v>يتقدم</v>
      </c>
      <c r="Q160" s="4" t="str">
        <f>IFERROR(__xludf.DUMMYFUNCTION("GOOGLETRANSLATE(B160,""en"",""mr"")"),"अर्ज करा")</f>
        <v>अर्ज करा</v>
      </c>
      <c r="R160" s="4" t="str">
        <f>IFERROR(__xludf.DUMMYFUNCTION("GOOGLETRANSLATE(B160,""en"",""gu"")"),"અરજી કરો")</f>
        <v>અરજી કરો</v>
      </c>
      <c r="S160" s="4" t="str">
        <f>IFERROR(__xludf.DUMMYFUNCTION("GOOGLETRANSLATE(B160,""en"",""bn"")"),"আবেদন করুন")</f>
        <v>আবেদন করুন</v>
      </c>
      <c r="T160" s="4" t="str">
        <f>IFERROR(__xludf.DUMMYFUNCTION("GOOGLETRANSLATE(B160,""en"",""pa"")"),"ਲਾਗੂ ਕਰੋ")</f>
        <v>ਲਾਗੂ ਕਰੋ</v>
      </c>
      <c r="U160" s="4" t="str">
        <f>IFERROR(__xludf.DUMMYFUNCTION("GOOGLETRANSLATE(B160,""en"",""te"")"),"దరఖాస్తు చేసుకోండి")</f>
        <v>దరఖాస్తు చేసుకోండి</v>
      </c>
      <c r="V160" s="4" t="str">
        <f>IFERROR(__xludf.DUMMYFUNCTION("GOOGLETRANSLATE(B160,""en"",""kn"")"),"ಅನ್ವಯಿಸು")</f>
        <v>ಅನ್ವಯಿಸು</v>
      </c>
      <c r="W160" s="4" t="str">
        <f>IFERROR(__xludf.DUMMYFUNCTION("GOOGLETRANSLATE(B160,""en"",""ml"")"),"അപേക്ഷിക്കുക")</f>
        <v>അപേക്ഷിക്കുക</v>
      </c>
      <c r="X160" s="4" t="str">
        <f>IFERROR(__xludf.DUMMYFUNCTION("GOOGLETRANSLATE(B160,""en"",""th"")"),"นำมาใช้")</f>
        <v>นำมาใช้</v>
      </c>
      <c r="Y160" s="4" t="str">
        <f>IFERROR(__xludf.DUMMYFUNCTION("GOOGLETRANSLATE(B160,""en"",""ko"")"),"적용하다")</f>
        <v>적용하다</v>
      </c>
      <c r="Z160" s="4" t="str">
        <f>IFERROR(__xludf.DUMMYFUNCTION("GOOGLETRANSLATE(B160,""en"",""zh"")"),"申请")</f>
        <v>申请</v>
      </c>
      <c r="AA160" s="4" t="str">
        <f>IFERROR(__xludf.DUMMYFUNCTION("GOOGLETRANSLATE(B160,""en"",""zh-TW"")"),"申請")</f>
        <v>申請</v>
      </c>
      <c r="AB160" s="4" t="str">
        <f>IFERROR(__xludf.DUMMYFUNCTION("GOOGLETRANSLATE(B160,""en"",""ja"")"),"適用する")</f>
        <v>適用する</v>
      </c>
      <c r="AC160" s="4" t="str">
        <f>IFERROR(__xludf.DUMMYFUNCTION("GOOGLETRANSLATE(B160,""en"",""bg"")"),"Кандидатствайте")</f>
        <v>Кандидатствайте</v>
      </c>
      <c r="AD160" s="4" t="str">
        <f>IFERROR(__xludf.DUMMYFUNCTION("GOOGLETRANSLATE(B160,""en"",""cs"")"),"Použít")</f>
        <v>Použít</v>
      </c>
      <c r="AE160" s="4" t="str">
        <f>IFERROR(__xludf.DUMMYFUNCTION("GOOGLETRANSLATE(B160,""en"",""da"")"),"Anvende")</f>
        <v>Anvende</v>
      </c>
      <c r="AF160" s="4" t="str">
        <f>IFERROR(__xludf.DUMMYFUNCTION("GOOGLETRANSLATE(B160,""en"",""el"")"),"Εφαρμόζω")</f>
        <v>Εφαρμόζω</v>
      </c>
      <c r="AG160" s="4" t="str">
        <f>IFERROR(__xludf.DUMMYFUNCTION("GOOGLETRANSLATE(B160,""en"",""et"")"),"Rakenda")</f>
        <v>Rakenda</v>
      </c>
      <c r="AH160" s="4" t="str">
        <f>IFERROR(__xludf.DUMMYFUNCTION("GOOGLETRANSLATE(B160,""en"",""fi"")"),"Käytä")</f>
        <v>Käytä</v>
      </c>
      <c r="AI160" s="4" t="str">
        <f>IFERROR(__xludf.DUMMYFUNCTION("GOOGLETRANSLATE(B160,""en"",""hr"")"),"primijeniti")</f>
        <v>primijeniti</v>
      </c>
      <c r="AJ160" s="4" t="str">
        <f>IFERROR(__xludf.DUMMYFUNCTION("GOOGLETRANSLATE(B160,""en"",""hu"")"),"Alkalmazni")</f>
        <v>Alkalmazni</v>
      </c>
      <c r="AK160" s="4" t="str">
        <f>IFERROR(__xludf.DUMMYFUNCTION("GOOGLETRANSLATE(B160,""en"",""hy"")"),"Դիմել")</f>
        <v>Դիմել</v>
      </c>
      <c r="AL160" s="4" t="str">
        <f>IFERROR(__xludf.DUMMYFUNCTION("GOOGLETRANSLATE(B160,""en"",""ca"")"),"Aplicar")</f>
        <v>Aplicar</v>
      </c>
      <c r="AM160" s="4" t="str">
        <f>IFERROR(__xludf.DUMMYFUNCTION("GOOGLETRANSLATE(B160,""en"",""nl"")"),"Toepassen")</f>
        <v>Toepassen</v>
      </c>
      <c r="AN160" s="4" t="str">
        <f>IFERROR(__xludf.DUMMYFUNCTION("GOOGLETRANSLATE(B160,""en"",""he"")"),"לִפְנוֹת")</f>
        <v>לִפְנוֹת</v>
      </c>
      <c r="AO160" s="4" t="str">
        <f>IFERROR(__xludf.DUMMYFUNCTION("GOOGLETRANSLATE(B160,""en"",""is"")"),"Sækja um")</f>
        <v>Sækja um</v>
      </c>
      <c r="AP160" s="4" t="str">
        <f>IFERROR(__xludf.DUMMYFUNCTION("GOOGLETRANSLATE(B160,""en"",""no"")"),"Søke")</f>
        <v>Søke</v>
      </c>
      <c r="AQ160" s="4" t="str">
        <f>IFERROR(__xludf.DUMMYFUNCTION("GOOGLETRANSLATE(B160,""en"",""fa"")"),"درخواست کنید")</f>
        <v>درخواست کنید</v>
      </c>
      <c r="AR160" s="4" t="str">
        <f>IFERROR(__xludf.DUMMYFUNCTION("GOOGLETRANSLATE(B160,""en"",""pl"")"),"Stosować")</f>
        <v>Stosować</v>
      </c>
      <c r="AS160" s="4" t="str">
        <f>IFERROR(__xludf.DUMMYFUNCTION("GOOGLETRANSLATE(B160,""en"",""sv"")"),"Tillämpas")</f>
        <v>Tillämpas</v>
      </c>
      <c r="AT160" s="4" t="str">
        <f>IFERROR(__xludf.DUMMYFUNCTION("GOOGLETRANSLATE(B160,""en"",""uk"")"),"Застосувати")</f>
        <v>Застосувати</v>
      </c>
      <c r="AU160" s="4" t="str">
        <f>IFERROR(__xludf.DUMMYFUNCTION("GOOGLETRANSLATE(B160,""en"",""zu"")"),"Faka isicelo")</f>
        <v>Faka isicelo</v>
      </c>
      <c r="AV160" s="4" t="str">
        <f>IFERROR(__xludf.DUMMYFUNCTION("GOOGLETRANSLATE(B160,""en"",""sr"")"),"Пријавите се")</f>
        <v>Пријавите се</v>
      </c>
    </row>
    <row r="161">
      <c r="A161" s="3" t="s">
        <v>353</v>
      </c>
      <c r="B161" s="3" t="s">
        <v>316</v>
      </c>
      <c r="C161" s="4" t="str">
        <f>IFERROR(__xludf.DUMMYFUNCTION("GOOGLETRANSLATE(B161,""en"",""ta"")"),"அகற்று")</f>
        <v>அகற்று</v>
      </c>
      <c r="D161" s="4" t="str">
        <f>IFERROR(__xludf.DUMMYFUNCTION("GOOGLETRANSLATE(B161,""en"",""hi"")"),"निकालना")</f>
        <v>निकालना</v>
      </c>
      <c r="E161" s="4" t="str">
        <f>IFERROR(__xludf.DUMMYFUNCTION("GOOGLETRANSLATE(B161,""en"",""id"")"),"Menghapus")</f>
        <v>Menghapus</v>
      </c>
      <c r="F161" s="4" t="str">
        <f>IFERROR(__xludf.DUMMYFUNCTION("GOOGLETRANSLATE(B161,""en"",""ms"")"),"Alih keluar")</f>
        <v>Alih keluar</v>
      </c>
      <c r="G161" s="4" t="str">
        <f>IFERROR(__xludf.DUMMYFUNCTION("GOOGLETRANSLATE(B161,""en"",""de"")"),"Entfernen")</f>
        <v>Entfernen</v>
      </c>
      <c r="H161" s="4" t="str">
        <f>IFERROR(__xludf.DUMMYFUNCTION("GOOGLETRANSLATE(B161,""en"",""es"")"),"Eliminar")</f>
        <v>Eliminar</v>
      </c>
      <c r="I161" s="4" t="str">
        <f>IFERROR(__xludf.DUMMYFUNCTION("GOOGLETRANSLATE(B161,""en"",""fr"")"),"Retirer")</f>
        <v>Retirer</v>
      </c>
      <c r="J161" s="4" t="str">
        <f>IFERROR(__xludf.DUMMYFUNCTION("GOOGLETRANSLATE(B161,""en"",""it"")"),"Rimuovere")</f>
        <v>Rimuovere</v>
      </c>
      <c r="K161" s="4" t="str">
        <f>IFERROR(__xludf.DUMMYFUNCTION("GOOGLETRANSLATE(B161,""en"",""pt"")"),"Remover")</f>
        <v>Remover</v>
      </c>
      <c r="L161" s="4" t="str">
        <f>IFERROR(__xludf.DUMMYFUNCTION("GOOGLETRANSLATE(B161,""en"",""ro"")"),"Elimina")</f>
        <v>Elimina</v>
      </c>
      <c r="M161" s="4" t="str">
        <f>IFERROR(__xludf.DUMMYFUNCTION("GOOGLETRANSLATE(B161,""en"",""vi"")"),"Di dời")</f>
        <v>Di dời</v>
      </c>
      <c r="N161" s="4" t="str">
        <f>IFERROR(__xludf.DUMMYFUNCTION("GOOGLETRANSLATE(B161,""en"",""ru"")"),"Удалять")</f>
        <v>Удалять</v>
      </c>
      <c r="O161" s="4" t="str">
        <f>IFERROR(__xludf.DUMMYFUNCTION("GOOGLETRANSLATE(B161,""en"",""tr"")"),"Kaldırmak")</f>
        <v>Kaldırmak</v>
      </c>
      <c r="P161" s="4" t="str">
        <f>IFERROR(__xludf.DUMMYFUNCTION("GOOGLETRANSLATE(B161,""en"",""ar"")"),"يزيل")</f>
        <v>يزيل</v>
      </c>
      <c r="Q161" s="4" t="str">
        <f>IFERROR(__xludf.DUMMYFUNCTION("GOOGLETRANSLATE(B161,""en"",""mr"")"),"काढा")</f>
        <v>काढा</v>
      </c>
      <c r="R161" s="4" t="str">
        <f>IFERROR(__xludf.DUMMYFUNCTION("GOOGLETRANSLATE(B161,""en"",""gu"")"),"દૂર કરો")</f>
        <v>દૂર કરો</v>
      </c>
      <c r="S161" s="4" t="str">
        <f>IFERROR(__xludf.DUMMYFUNCTION("GOOGLETRANSLATE(B161,""en"",""bn"")"),"সরান")</f>
        <v>সরান</v>
      </c>
      <c r="T161" s="4" t="str">
        <f>IFERROR(__xludf.DUMMYFUNCTION("GOOGLETRANSLATE(B161,""en"",""pa"")"),"ਹਟਾਓ")</f>
        <v>ਹਟਾਓ</v>
      </c>
      <c r="U161" s="4" t="str">
        <f>IFERROR(__xludf.DUMMYFUNCTION("GOOGLETRANSLATE(B161,""en"",""te"")"),"తొలగించు")</f>
        <v>తొలగించు</v>
      </c>
      <c r="V161" s="4" t="str">
        <f>IFERROR(__xludf.DUMMYFUNCTION("GOOGLETRANSLATE(B161,""en"",""kn"")"),"ತೆಗೆದುಹಾಕಿ")</f>
        <v>ತೆಗೆದುಹಾಕಿ</v>
      </c>
      <c r="W161" s="4" t="str">
        <f>IFERROR(__xludf.DUMMYFUNCTION("GOOGLETRANSLATE(B161,""en"",""ml"")"),"നീക്കം ചെയ്യുക")</f>
        <v>നീക്കം ചെയ്യുക</v>
      </c>
      <c r="X161" s="4" t="str">
        <f>IFERROR(__xludf.DUMMYFUNCTION("GOOGLETRANSLATE(B161,""en"",""th"")"),"ลบ")</f>
        <v>ลบ</v>
      </c>
      <c r="Y161" s="4" t="str">
        <f>IFERROR(__xludf.DUMMYFUNCTION("GOOGLETRANSLATE(B161,""en"",""ko"")"),"제거하다")</f>
        <v>제거하다</v>
      </c>
      <c r="Z161" s="4" t="str">
        <f>IFERROR(__xludf.DUMMYFUNCTION("GOOGLETRANSLATE(B161,""en"",""zh"")"),"消除")</f>
        <v>消除</v>
      </c>
      <c r="AA161" s="4" t="str">
        <f>IFERROR(__xludf.DUMMYFUNCTION("GOOGLETRANSLATE(B161,""en"",""zh-TW"")"),"消除")</f>
        <v>消除</v>
      </c>
      <c r="AB161" s="4" t="str">
        <f>IFERROR(__xludf.DUMMYFUNCTION("GOOGLETRANSLATE(B161,""en"",""ja"")"),"取り除く")</f>
        <v>取り除く</v>
      </c>
      <c r="AC161" s="4" t="str">
        <f>IFERROR(__xludf.DUMMYFUNCTION("GOOGLETRANSLATE(B161,""en"",""bg"")"),"Премахнете")</f>
        <v>Премахнете</v>
      </c>
      <c r="AD161" s="4" t="str">
        <f>IFERROR(__xludf.DUMMYFUNCTION("GOOGLETRANSLATE(B161,""en"",""cs"")"),"Odstranit")</f>
        <v>Odstranit</v>
      </c>
      <c r="AE161" s="4" t="str">
        <f>IFERROR(__xludf.DUMMYFUNCTION("GOOGLETRANSLATE(B161,""en"",""da"")"),"Fjerne")</f>
        <v>Fjerne</v>
      </c>
      <c r="AF161" s="4" t="str">
        <f>IFERROR(__xludf.DUMMYFUNCTION("GOOGLETRANSLATE(B161,""en"",""el"")"),"Αφαιρώ")</f>
        <v>Αφαιρώ</v>
      </c>
      <c r="AG161" s="4" t="str">
        <f>IFERROR(__xludf.DUMMYFUNCTION("GOOGLETRANSLATE(B161,""en"",""et"")"),"Eemalda")</f>
        <v>Eemalda</v>
      </c>
      <c r="AH161" s="4" t="str">
        <f>IFERROR(__xludf.DUMMYFUNCTION("GOOGLETRANSLATE(B161,""en"",""fi"")"),"Poistaa")</f>
        <v>Poistaa</v>
      </c>
      <c r="AI161" s="4" t="str">
        <f>IFERROR(__xludf.DUMMYFUNCTION("GOOGLETRANSLATE(B161,""en"",""hr"")"),"Ukloniti")</f>
        <v>Ukloniti</v>
      </c>
      <c r="AJ161" s="4" t="str">
        <f>IFERROR(__xludf.DUMMYFUNCTION("GOOGLETRANSLATE(B161,""en"",""hu"")"),"Távolítsa el")</f>
        <v>Távolítsa el</v>
      </c>
      <c r="AK161" s="4" t="str">
        <f>IFERROR(__xludf.DUMMYFUNCTION("GOOGLETRANSLATE(B161,""en"",""hy"")"),"Հեռացնել")</f>
        <v>Հեռացնել</v>
      </c>
      <c r="AL161" s="4" t="str">
        <f>IFERROR(__xludf.DUMMYFUNCTION("GOOGLETRANSLATE(B161,""en"",""ca"")"),"Eliminar")</f>
        <v>Eliminar</v>
      </c>
      <c r="AM161" s="4" t="str">
        <f>IFERROR(__xludf.DUMMYFUNCTION("GOOGLETRANSLATE(B161,""en"",""nl"")"),"Verwijderen")</f>
        <v>Verwijderen</v>
      </c>
      <c r="AN161" s="4" t="str">
        <f>IFERROR(__xludf.DUMMYFUNCTION("GOOGLETRANSLATE(B161,""en"",""he"")"),"לְהַסִיר")</f>
        <v>לְהַסִיר</v>
      </c>
      <c r="AO161" s="4" t="str">
        <f>IFERROR(__xludf.DUMMYFUNCTION("GOOGLETRANSLATE(B161,""en"",""is"")"),"Fjarlægja")</f>
        <v>Fjarlægja</v>
      </c>
      <c r="AP161" s="4" t="str">
        <f>IFERROR(__xludf.DUMMYFUNCTION("GOOGLETRANSLATE(B161,""en"",""no"")"),"Fjerne")</f>
        <v>Fjerne</v>
      </c>
      <c r="AQ161" s="4" t="str">
        <f>IFERROR(__xludf.DUMMYFUNCTION("GOOGLETRANSLATE(B161,""en"",""fa"")"),"حذف کنید")</f>
        <v>حذف کنید</v>
      </c>
      <c r="AR161" s="4" t="str">
        <f>IFERROR(__xludf.DUMMYFUNCTION("GOOGLETRANSLATE(B161,""en"",""pl"")"),"Usunąć")</f>
        <v>Usunąć</v>
      </c>
      <c r="AS161" s="4" t="str">
        <f>IFERROR(__xludf.DUMMYFUNCTION("GOOGLETRANSLATE(B161,""en"",""sv"")"),"Ta bort")</f>
        <v>Ta bort</v>
      </c>
      <c r="AT161" s="4" t="str">
        <f>IFERROR(__xludf.DUMMYFUNCTION("GOOGLETRANSLATE(B161,""en"",""uk"")"),"видалити")</f>
        <v>видалити</v>
      </c>
      <c r="AU161" s="4" t="str">
        <f>IFERROR(__xludf.DUMMYFUNCTION("GOOGLETRANSLATE(B161,""en"",""zu"")"),"Susa")</f>
        <v>Susa</v>
      </c>
      <c r="AV161" s="4" t="str">
        <f>IFERROR(__xludf.DUMMYFUNCTION("GOOGLETRANSLATE(B161,""en"",""sr"")"),"Уклони")</f>
        <v>Уклони</v>
      </c>
    </row>
    <row r="162">
      <c r="A162" s="3" t="s">
        <v>354</v>
      </c>
      <c r="B162" s="3" t="s">
        <v>355</v>
      </c>
      <c r="C162" s="4" t="str">
        <f>IFERROR(__xludf.DUMMYFUNCTION("GOOGLETRANSLATE(B162,""en"",""ta"")"),"தேர்ந்தெடு")</f>
        <v>தேர்ந்தெடு</v>
      </c>
      <c r="D162" s="4" t="str">
        <f>IFERROR(__xludf.DUMMYFUNCTION("GOOGLETRANSLATE(B162,""en"",""hi"")"),"चुनना")</f>
        <v>चुनना</v>
      </c>
      <c r="E162" s="4" t="str">
        <f>IFERROR(__xludf.DUMMYFUNCTION("GOOGLETRANSLATE(B162,""en"",""id"")"),"Memilih")</f>
        <v>Memilih</v>
      </c>
      <c r="F162" s="4" t="str">
        <f>IFERROR(__xludf.DUMMYFUNCTION("GOOGLETRANSLATE(B162,""en"",""ms"")"),"Pilih")</f>
        <v>Pilih</v>
      </c>
      <c r="G162" s="4" t="str">
        <f>IFERROR(__xludf.DUMMYFUNCTION("GOOGLETRANSLATE(B162,""en"",""de"")"),"Wählen")</f>
        <v>Wählen</v>
      </c>
      <c r="H162" s="4" t="str">
        <f>IFERROR(__xludf.DUMMYFUNCTION("GOOGLETRANSLATE(B162,""en"",""es"")"),"Seleccionar")</f>
        <v>Seleccionar</v>
      </c>
      <c r="I162" s="4" t="str">
        <f>IFERROR(__xludf.DUMMYFUNCTION("GOOGLETRANSLATE(B162,""en"",""fr"")"),"Sélectionner")</f>
        <v>Sélectionner</v>
      </c>
      <c r="J162" s="4" t="str">
        <f>IFERROR(__xludf.DUMMYFUNCTION("GOOGLETRANSLATE(B162,""en"",""it"")"),"Selezionare")</f>
        <v>Selezionare</v>
      </c>
      <c r="K162" s="4" t="str">
        <f>IFERROR(__xludf.DUMMYFUNCTION("GOOGLETRANSLATE(B162,""en"",""pt"")"),"Selecione")</f>
        <v>Selecione</v>
      </c>
      <c r="L162" s="4" t="str">
        <f>IFERROR(__xludf.DUMMYFUNCTION("GOOGLETRANSLATE(B162,""en"",""ro"")"),"Selecta")</f>
        <v>Selecta</v>
      </c>
      <c r="M162" s="4" t="str">
        <f>IFERROR(__xludf.DUMMYFUNCTION("GOOGLETRANSLATE(B162,""en"",""vi"")"),"Lựa chọn")</f>
        <v>Lựa chọn</v>
      </c>
      <c r="N162" s="4" t="str">
        <f>IFERROR(__xludf.DUMMYFUNCTION("GOOGLETRANSLATE(B162,""en"",""ru"")"),"Выбирать")</f>
        <v>Выбирать</v>
      </c>
      <c r="O162" s="4" t="str">
        <f>IFERROR(__xludf.DUMMYFUNCTION("GOOGLETRANSLATE(B162,""en"",""tr"")"),"Seçme")</f>
        <v>Seçme</v>
      </c>
      <c r="P162" s="4" t="str">
        <f>IFERROR(__xludf.DUMMYFUNCTION("GOOGLETRANSLATE(B162,""en"",""ar"")"),"يختار")</f>
        <v>يختار</v>
      </c>
      <c r="Q162" s="4" t="str">
        <f>IFERROR(__xludf.DUMMYFUNCTION("GOOGLETRANSLATE(B162,""en"",""mr"")"),"निवडा")</f>
        <v>निवडा</v>
      </c>
      <c r="R162" s="4" t="str">
        <f>IFERROR(__xludf.DUMMYFUNCTION("GOOGLETRANSLATE(B162,""en"",""gu"")"),"પસંદ કરો")</f>
        <v>પસંદ કરો</v>
      </c>
      <c r="S162" s="4" t="str">
        <f>IFERROR(__xludf.DUMMYFUNCTION("GOOGLETRANSLATE(B162,""en"",""bn"")"),"নির্বাচন করুন")</f>
        <v>নির্বাচন করুন</v>
      </c>
      <c r="T162" s="4" t="str">
        <f>IFERROR(__xludf.DUMMYFUNCTION("GOOGLETRANSLATE(B162,""en"",""pa"")"),"ਚੁਣੋ")</f>
        <v>ਚੁਣੋ</v>
      </c>
      <c r="U162" s="4" t="str">
        <f>IFERROR(__xludf.DUMMYFUNCTION("GOOGLETRANSLATE(B162,""en"",""te"")"),"ఎంచుకోండి")</f>
        <v>ఎంచుకోండి</v>
      </c>
      <c r="V162" s="4" t="str">
        <f>IFERROR(__xludf.DUMMYFUNCTION("GOOGLETRANSLATE(B162,""en"",""kn"")"),"ಆಯ್ಕೆ ಮಾಡಿ")</f>
        <v>ಆಯ್ಕೆ ಮಾಡಿ</v>
      </c>
      <c r="W162" s="4" t="str">
        <f>IFERROR(__xludf.DUMMYFUNCTION("GOOGLETRANSLATE(B162,""en"",""ml"")"),"തിരഞ്ഞെടുക്കുക")</f>
        <v>തിരഞ്ഞെടുക്കുക</v>
      </c>
      <c r="X162" s="4" t="str">
        <f>IFERROR(__xludf.DUMMYFUNCTION("GOOGLETRANSLATE(B162,""en"",""th"")"),"เลือก")</f>
        <v>เลือก</v>
      </c>
      <c r="Y162" s="4" t="str">
        <f>IFERROR(__xludf.DUMMYFUNCTION("GOOGLETRANSLATE(B162,""en"",""ko"")"),"선택하다")</f>
        <v>선택하다</v>
      </c>
      <c r="Z162" s="4" t="str">
        <f>IFERROR(__xludf.DUMMYFUNCTION("GOOGLETRANSLATE(B162,""en"",""zh"")"),"选择")</f>
        <v>选择</v>
      </c>
      <c r="AA162" s="4" t="str">
        <f>IFERROR(__xludf.DUMMYFUNCTION("GOOGLETRANSLATE(B162,""en"",""zh-TW"")"),"選擇")</f>
        <v>選擇</v>
      </c>
      <c r="AB162" s="4" t="str">
        <f>IFERROR(__xludf.DUMMYFUNCTION("GOOGLETRANSLATE(B162,""en"",""ja"")"),"選択")</f>
        <v>選択</v>
      </c>
      <c r="AC162" s="4" t="str">
        <f>IFERROR(__xludf.DUMMYFUNCTION("GOOGLETRANSLATE(B162,""en"",""bg"")"),"Изберете")</f>
        <v>Изберете</v>
      </c>
      <c r="AD162" s="4" t="str">
        <f>IFERROR(__xludf.DUMMYFUNCTION("GOOGLETRANSLATE(B162,""en"",""cs"")"),"Vybrat")</f>
        <v>Vybrat</v>
      </c>
      <c r="AE162" s="4" t="str">
        <f>IFERROR(__xludf.DUMMYFUNCTION("GOOGLETRANSLATE(B162,""en"",""da"")"),"Vælge")</f>
        <v>Vælge</v>
      </c>
      <c r="AF162" s="4" t="str">
        <f>IFERROR(__xludf.DUMMYFUNCTION("GOOGLETRANSLATE(B162,""en"",""el"")"),"Επιλέγω")</f>
        <v>Επιλέγω</v>
      </c>
      <c r="AG162" s="4" t="str">
        <f>IFERROR(__xludf.DUMMYFUNCTION("GOOGLETRANSLATE(B162,""en"",""et"")"),"Valige")</f>
        <v>Valige</v>
      </c>
      <c r="AH162" s="4" t="str">
        <f>IFERROR(__xludf.DUMMYFUNCTION("GOOGLETRANSLATE(B162,""en"",""fi"")"),"Valitse")</f>
        <v>Valitse</v>
      </c>
      <c r="AI162" s="4" t="str">
        <f>IFERROR(__xludf.DUMMYFUNCTION("GOOGLETRANSLATE(B162,""en"",""hr"")"),"Odaberite")</f>
        <v>Odaberite</v>
      </c>
      <c r="AJ162" s="4" t="str">
        <f>IFERROR(__xludf.DUMMYFUNCTION("GOOGLETRANSLATE(B162,""en"",""hu"")"),"Válassza ki")</f>
        <v>Válassza ki</v>
      </c>
      <c r="AK162" s="4" t="str">
        <f>IFERROR(__xludf.DUMMYFUNCTION("GOOGLETRANSLATE(B162,""en"",""hy"")"),"Ընտրել")</f>
        <v>Ընտրել</v>
      </c>
      <c r="AL162" s="4" t="str">
        <f>IFERROR(__xludf.DUMMYFUNCTION("GOOGLETRANSLATE(B162,""en"",""ca"")"),"Seleccioneu")</f>
        <v>Seleccioneu</v>
      </c>
      <c r="AM162" s="4" t="str">
        <f>IFERROR(__xludf.DUMMYFUNCTION("GOOGLETRANSLATE(B162,""en"",""nl"")"),"Selecteer")</f>
        <v>Selecteer</v>
      </c>
      <c r="AN162" s="4" t="str">
        <f>IFERROR(__xludf.DUMMYFUNCTION("GOOGLETRANSLATE(B162,""en"",""he"")"),"לִבחוֹר")</f>
        <v>לִבחוֹר</v>
      </c>
      <c r="AO162" s="4" t="str">
        <f>IFERROR(__xludf.DUMMYFUNCTION("GOOGLETRANSLATE(B162,""en"",""is"")"),"Veldu")</f>
        <v>Veldu</v>
      </c>
      <c r="AP162" s="4" t="str">
        <f>IFERROR(__xludf.DUMMYFUNCTION("GOOGLETRANSLATE(B162,""en"",""no"")"),"Velge")</f>
        <v>Velge</v>
      </c>
      <c r="AQ162" s="4" t="str">
        <f>IFERROR(__xludf.DUMMYFUNCTION("GOOGLETRANSLATE(B162,""en"",""fa"")"),"انتخاب کنید")</f>
        <v>انتخاب کنید</v>
      </c>
      <c r="AR162" s="4" t="str">
        <f>IFERROR(__xludf.DUMMYFUNCTION("GOOGLETRANSLATE(B162,""en"",""pl"")"),"Wybierać")</f>
        <v>Wybierać</v>
      </c>
      <c r="AS162" s="4" t="str">
        <f>IFERROR(__xludf.DUMMYFUNCTION("GOOGLETRANSLATE(B162,""en"",""sv"")"),"Välja")</f>
        <v>Välja</v>
      </c>
      <c r="AT162" s="4" t="str">
        <f>IFERROR(__xludf.DUMMYFUNCTION("GOOGLETRANSLATE(B162,""en"",""uk"")"),"Виберіть")</f>
        <v>Виберіть</v>
      </c>
      <c r="AU162" s="4" t="str">
        <f>IFERROR(__xludf.DUMMYFUNCTION("GOOGLETRANSLATE(B162,""en"",""zu"")"),"Khetha")</f>
        <v>Khetha</v>
      </c>
      <c r="AV162" s="4" t="str">
        <f>IFERROR(__xludf.DUMMYFUNCTION("GOOGLETRANSLATE(B162,""en"",""sr"")"),"Изаберите")</f>
        <v>Изаберите</v>
      </c>
    </row>
    <row r="163">
      <c r="A163" s="3" t="s">
        <v>356</v>
      </c>
      <c r="B163" s="3" t="s">
        <v>357</v>
      </c>
      <c r="C163" s="4" t="str">
        <f>IFERROR(__xludf.DUMMYFUNCTION("GOOGLETRANSLATE(B163,""en"",""ta"")"),"ரத்து செய்")</f>
        <v>ரத்து செய்</v>
      </c>
      <c r="D163" s="4" t="str">
        <f>IFERROR(__xludf.DUMMYFUNCTION("GOOGLETRANSLATE(B163,""en"",""hi"")"),"रद्द करना")</f>
        <v>रद्द करना</v>
      </c>
      <c r="E163" s="4" t="str">
        <f>IFERROR(__xludf.DUMMYFUNCTION("GOOGLETRANSLATE(B163,""en"",""id"")"),"Membatalkan")</f>
        <v>Membatalkan</v>
      </c>
      <c r="F163" s="4" t="str">
        <f>IFERROR(__xludf.DUMMYFUNCTION("GOOGLETRANSLATE(B163,""en"",""ms"")"),"Batal")</f>
        <v>Batal</v>
      </c>
      <c r="G163" s="4" t="str">
        <f>IFERROR(__xludf.DUMMYFUNCTION("GOOGLETRANSLATE(B163,""en"",""de"")"),"Stornieren")</f>
        <v>Stornieren</v>
      </c>
      <c r="H163" s="4" t="str">
        <f>IFERROR(__xludf.DUMMYFUNCTION("GOOGLETRANSLATE(B163,""en"",""es"")"),"Cancelar")</f>
        <v>Cancelar</v>
      </c>
      <c r="I163" s="4" t="str">
        <f>IFERROR(__xludf.DUMMYFUNCTION("GOOGLETRANSLATE(B163,""en"",""fr"")"),"Annuler")</f>
        <v>Annuler</v>
      </c>
      <c r="J163" s="4" t="str">
        <f>IFERROR(__xludf.DUMMYFUNCTION("GOOGLETRANSLATE(B163,""en"",""it"")"),"Cancellare")</f>
        <v>Cancellare</v>
      </c>
      <c r="K163" s="4" t="str">
        <f>IFERROR(__xludf.DUMMYFUNCTION("GOOGLETRANSLATE(B163,""en"",""pt"")"),"Cancelar")</f>
        <v>Cancelar</v>
      </c>
      <c r="L163" s="4" t="str">
        <f>IFERROR(__xludf.DUMMYFUNCTION("GOOGLETRANSLATE(B163,""en"",""ro"")"),"Anula")</f>
        <v>Anula</v>
      </c>
      <c r="M163" s="4" t="str">
        <f>IFERROR(__xludf.DUMMYFUNCTION("GOOGLETRANSLATE(B163,""en"",""vi"")"),"Hủy bỏ")</f>
        <v>Hủy bỏ</v>
      </c>
      <c r="N163" s="4" t="str">
        <f>IFERROR(__xludf.DUMMYFUNCTION("GOOGLETRANSLATE(B163,""en"",""ru"")"),"Отмена")</f>
        <v>Отмена</v>
      </c>
      <c r="O163" s="4" t="str">
        <f>IFERROR(__xludf.DUMMYFUNCTION("GOOGLETRANSLATE(B163,""en"",""tr"")"),"İptal etmek")</f>
        <v>İptal etmek</v>
      </c>
      <c r="P163" s="4" t="str">
        <f>IFERROR(__xludf.DUMMYFUNCTION("GOOGLETRANSLATE(B163,""en"",""ar"")"),"يلغي")</f>
        <v>يلغي</v>
      </c>
      <c r="Q163" s="4" t="str">
        <f>IFERROR(__xludf.DUMMYFUNCTION("GOOGLETRANSLATE(B163,""en"",""mr"")"),"रद्द करा")</f>
        <v>रद्द करा</v>
      </c>
      <c r="R163" s="4" t="str">
        <f>IFERROR(__xludf.DUMMYFUNCTION("GOOGLETRANSLATE(B163,""en"",""gu"")"),"રદ કરો")</f>
        <v>રદ કરો</v>
      </c>
      <c r="S163" s="4" t="str">
        <f>IFERROR(__xludf.DUMMYFUNCTION("GOOGLETRANSLATE(B163,""en"",""bn"")"),"বাতিল করুন")</f>
        <v>বাতিল করুন</v>
      </c>
      <c r="T163" s="4" t="str">
        <f>IFERROR(__xludf.DUMMYFUNCTION("GOOGLETRANSLATE(B163,""en"",""pa"")"),"ਰੱਦ ਕਰੋ")</f>
        <v>ਰੱਦ ਕਰੋ</v>
      </c>
      <c r="U163" s="4" t="str">
        <f>IFERROR(__xludf.DUMMYFUNCTION("GOOGLETRANSLATE(B163,""en"",""te"")"),"రద్దు చేయి")</f>
        <v>రద్దు చేయి</v>
      </c>
      <c r="V163" s="4" t="str">
        <f>IFERROR(__xludf.DUMMYFUNCTION("GOOGLETRANSLATE(B163,""en"",""kn"")"),"ರದ್ದುಮಾಡು")</f>
        <v>ರದ್ದುಮಾಡು</v>
      </c>
      <c r="W163" s="4" t="str">
        <f>IFERROR(__xludf.DUMMYFUNCTION("GOOGLETRANSLATE(B163,""en"",""ml"")"),"റദ്ദാക്കുക")</f>
        <v>റദ്ദാക്കുക</v>
      </c>
      <c r="X163" s="4" t="str">
        <f>IFERROR(__xludf.DUMMYFUNCTION("GOOGLETRANSLATE(B163,""en"",""th"")"),"ยกเลิก")</f>
        <v>ยกเลิก</v>
      </c>
      <c r="Y163" s="4" t="str">
        <f>IFERROR(__xludf.DUMMYFUNCTION("GOOGLETRANSLATE(B163,""en"",""ko"")"),"취소")</f>
        <v>취소</v>
      </c>
      <c r="Z163" s="4" t="str">
        <f>IFERROR(__xludf.DUMMYFUNCTION("GOOGLETRANSLATE(B163,""en"",""zh"")"),"取消")</f>
        <v>取消</v>
      </c>
      <c r="AA163" s="4" t="str">
        <f>IFERROR(__xludf.DUMMYFUNCTION("GOOGLETRANSLATE(B163,""en"",""zh-TW"")"),"取消")</f>
        <v>取消</v>
      </c>
      <c r="AB163" s="4" t="str">
        <f>IFERROR(__xludf.DUMMYFUNCTION("GOOGLETRANSLATE(B163,""en"",""ja"")"),"キャンセル")</f>
        <v>キャンセル</v>
      </c>
      <c r="AC163" s="4" t="str">
        <f>IFERROR(__xludf.DUMMYFUNCTION("GOOGLETRANSLATE(B163,""en"",""bg"")"),"Отказ")</f>
        <v>Отказ</v>
      </c>
      <c r="AD163" s="4" t="str">
        <f>IFERROR(__xludf.DUMMYFUNCTION("GOOGLETRANSLATE(B163,""en"",""cs"")"),"Zrušit")</f>
        <v>Zrušit</v>
      </c>
      <c r="AE163" s="4" t="str">
        <f>IFERROR(__xludf.DUMMYFUNCTION("GOOGLETRANSLATE(B163,""en"",""da"")"),"Ophæve")</f>
        <v>Ophæve</v>
      </c>
      <c r="AF163" s="4" t="str">
        <f>IFERROR(__xludf.DUMMYFUNCTION("GOOGLETRANSLATE(B163,""en"",""el"")"),"Ματαίωση")</f>
        <v>Ματαίωση</v>
      </c>
      <c r="AG163" s="4" t="str">
        <f>IFERROR(__xludf.DUMMYFUNCTION("GOOGLETRANSLATE(B163,""en"",""et"")"),"Tühista")</f>
        <v>Tühista</v>
      </c>
      <c r="AH163" s="4" t="str">
        <f>IFERROR(__xludf.DUMMYFUNCTION("GOOGLETRANSLATE(B163,""en"",""fi"")"),"Peruuttaa")</f>
        <v>Peruuttaa</v>
      </c>
      <c r="AI163" s="4" t="str">
        <f>IFERROR(__xludf.DUMMYFUNCTION("GOOGLETRANSLATE(B163,""en"",""hr"")"),"Otkazati")</f>
        <v>Otkazati</v>
      </c>
      <c r="AJ163" s="4" t="str">
        <f>IFERROR(__xludf.DUMMYFUNCTION("GOOGLETRANSLATE(B163,""en"",""hu"")"),"Mégsem")</f>
        <v>Mégsem</v>
      </c>
      <c r="AK163" s="4" t="str">
        <f>IFERROR(__xludf.DUMMYFUNCTION("GOOGLETRANSLATE(B163,""en"",""hy"")"),"Չեղարկել")</f>
        <v>Չեղարկել</v>
      </c>
      <c r="AL163" s="4" t="str">
        <f>IFERROR(__xludf.DUMMYFUNCTION("GOOGLETRANSLATE(B163,""en"",""ca"")"),"Cancel·la")</f>
        <v>Cancel·la</v>
      </c>
      <c r="AM163" s="4" t="str">
        <f>IFERROR(__xludf.DUMMYFUNCTION("GOOGLETRANSLATE(B163,""en"",""nl"")"),"Annuleren")</f>
        <v>Annuleren</v>
      </c>
      <c r="AN163" s="4" t="str">
        <f>IFERROR(__xludf.DUMMYFUNCTION("GOOGLETRANSLATE(B163,""en"",""he"")"),"לְבַטֵל")</f>
        <v>לְבַטֵל</v>
      </c>
      <c r="AO163" s="4" t="str">
        <f>IFERROR(__xludf.DUMMYFUNCTION("GOOGLETRANSLATE(B163,""en"",""is"")"),"Hætta við")</f>
        <v>Hætta við</v>
      </c>
      <c r="AP163" s="4" t="str">
        <f>IFERROR(__xludf.DUMMYFUNCTION("GOOGLETRANSLATE(B163,""en"",""no"")"),"Kansellere")</f>
        <v>Kansellere</v>
      </c>
      <c r="AQ163" s="4" t="str">
        <f>IFERROR(__xludf.DUMMYFUNCTION("GOOGLETRANSLATE(B163,""en"",""fa"")"),"لغو کنید")</f>
        <v>لغو کنید</v>
      </c>
      <c r="AR163" s="4" t="str">
        <f>IFERROR(__xludf.DUMMYFUNCTION("GOOGLETRANSLATE(B163,""en"",""pl"")"),"Anulować")</f>
        <v>Anulować</v>
      </c>
      <c r="AS163" s="4" t="str">
        <f>IFERROR(__xludf.DUMMYFUNCTION("GOOGLETRANSLATE(B163,""en"",""sv"")"),"Avboka")</f>
        <v>Avboka</v>
      </c>
      <c r="AT163" s="4" t="str">
        <f>IFERROR(__xludf.DUMMYFUNCTION("GOOGLETRANSLATE(B163,""en"",""uk"")"),"Скасувати")</f>
        <v>Скасувати</v>
      </c>
      <c r="AU163" s="4" t="str">
        <f>IFERROR(__xludf.DUMMYFUNCTION("GOOGLETRANSLATE(B163,""en"",""zu"")"),"Khansela")</f>
        <v>Khansela</v>
      </c>
      <c r="AV163" s="4" t="str">
        <f>IFERROR(__xludf.DUMMYFUNCTION("GOOGLETRANSLATE(B163,""en"",""sr"")"),"Откажи")</f>
        <v>Откажи</v>
      </c>
    </row>
    <row r="164">
      <c r="A164" s="3" t="s">
        <v>358</v>
      </c>
      <c r="B164" s="3" t="s">
        <v>359</v>
      </c>
      <c r="C164" s="4" t="str">
        <f>IFERROR(__xludf.DUMMYFUNCTION("GOOGLETRANSLATE(B164,""en"",""ta"")"),"நிறத்தை அமைக்கவும்")</f>
        <v>நிறத்தை அமைக்கவும்</v>
      </c>
      <c r="D164" s="4" t="str">
        <f>IFERROR(__xludf.DUMMYFUNCTION("GOOGLETRANSLATE(B164,""en"",""hi"")"),"रंग सेट करें")</f>
        <v>रंग सेट करें</v>
      </c>
      <c r="E164" s="4" t="str">
        <f>IFERROR(__xludf.DUMMYFUNCTION("GOOGLETRANSLATE(B164,""en"",""id"")"),"Mengatur Warna")</f>
        <v>Mengatur Warna</v>
      </c>
      <c r="F164" s="4" t="str">
        <f>IFERROR(__xludf.DUMMYFUNCTION("GOOGLETRANSLATE(B164,""en"",""ms"")"),"Tetapkan Warna")</f>
        <v>Tetapkan Warna</v>
      </c>
      <c r="G164" s="4" t="str">
        <f>IFERROR(__xludf.DUMMYFUNCTION("GOOGLETRANSLATE(B164,""en"",""de"")"),"Farbe festlegen")</f>
        <v>Farbe festlegen</v>
      </c>
      <c r="H164" s="4" t="str">
        <f>IFERROR(__xludf.DUMMYFUNCTION("GOOGLETRANSLATE(B164,""en"",""es"")"),"Establecer color")</f>
        <v>Establecer color</v>
      </c>
      <c r="I164" s="4" t="str">
        <f>IFERROR(__xludf.DUMMYFUNCTION("GOOGLETRANSLATE(B164,""en"",""fr"")"),"Définir la couleur")</f>
        <v>Définir la couleur</v>
      </c>
      <c r="J164" s="4" t="str">
        <f>IFERROR(__xludf.DUMMYFUNCTION("GOOGLETRANSLATE(B164,""en"",""it"")"),"Imposta colore")</f>
        <v>Imposta colore</v>
      </c>
      <c r="K164" s="4" t="str">
        <f>IFERROR(__xludf.DUMMYFUNCTION("GOOGLETRANSLATE(B164,""en"",""pt"")"),"Definir cor")</f>
        <v>Definir cor</v>
      </c>
      <c r="L164" s="4" t="str">
        <f>IFERROR(__xludf.DUMMYFUNCTION("GOOGLETRANSLATE(B164,""en"",""ro"")"),"Setați culoarea")</f>
        <v>Setați culoarea</v>
      </c>
      <c r="M164" s="4" t="str">
        <f>IFERROR(__xludf.DUMMYFUNCTION("GOOGLETRANSLATE(B164,""en"",""vi"")"),"Đặt màu")</f>
        <v>Đặt màu</v>
      </c>
      <c r="N164" s="4" t="str">
        <f>IFERROR(__xludf.DUMMYFUNCTION("GOOGLETRANSLATE(B164,""en"",""ru"")"),"Установить цвет")</f>
        <v>Установить цвет</v>
      </c>
      <c r="O164" s="4" t="str">
        <f>IFERROR(__xludf.DUMMYFUNCTION("GOOGLETRANSLATE(B164,""en"",""tr"")"),"Renk Ayarla")</f>
        <v>Renk Ayarla</v>
      </c>
      <c r="P164" s="4" t="str">
        <f>IFERROR(__xludf.DUMMYFUNCTION("GOOGLETRANSLATE(B164,""en"",""ar"")"),"تعيين اللون")</f>
        <v>تعيين اللون</v>
      </c>
      <c r="Q164" s="4" t="str">
        <f>IFERROR(__xludf.DUMMYFUNCTION("GOOGLETRANSLATE(B164,""en"",""mr"")"),"रंग सेट करा")</f>
        <v>रंग सेट करा</v>
      </c>
      <c r="R164" s="4" t="str">
        <f>IFERROR(__xludf.DUMMYFUNCTION("GOOGLETRANSLATE(B164,""en"",""gu"")"),"રંગ સેટ કરો")</f>
        <v>રંગ સેટ કરો</v>
      </c>
      <c r="S164" s="4" t="str">
        <f>IFERROR(__xludf.DUMMYFUNCTION("GOOGLETRANSLATE(B164,""en"",""bn"")"),"রঙ সেট করুন")</f>
        <v>রঙ সেট করুন</v>
      </c>
      <c r="T164" s="4" t="str">
        <f>IFERROR(__xludf.DUMMYFUNCTION("GOOGLETRANSLATE(B164,""en"",""pa"")"),"ਰੰਗ ਸੈੱਟ ਕਰੋ")</f>
        <v>ਰੰਗ ਸੈੱਟ ਕਰੋ</v>
      </c>
      <c r="U164" s="4" t="str">
        <f>IFERROR(__xludf.DUMMYFUNCTION("GOOGLETRANSLATE(B164,""en"",""te"")"),"రంగును సెట్ చేయండి")</f>
        <v>రంగును సెట్ చేయండి</v>
      </c>
      <c r="V164" s="4" t="str">
        <f>IFERROR(__xludf.DUMMYFUNCTION("GOOGLETRANSLATE(B164,""en"",""kn"")"),"ಬಣ್ಣವನ್ನು ಹೊಂದಿಸಿ")</f>
        <v>ಬಣ್ಣವನ್ನು ಹೊಂದಿಸಿ</v>
      </c>
      <c r="W164" s="4" t="str">
        <f>IFERROR(__xludf.DUMMYFUNCTION("GOOGLETRANSLATE(B164,""en"",""ml"")"),"നിറം സജ്ജമാക്കുക")</f>
        <v>നിറം സജ്ജമാക്കുക</v>
      </c>
      <c r="X164" s="4" t="str">
        <f>IFERROR(__xludf.DUMMYFUNCTION("GOOGLETRANSLATE(B164,""en"",""th"")"),"ตั้งค่าสี")</f>
        <v>ตั้งค่าสี</v>
      </c>
      <c r="Y164" s="4" t="str">
        <f>IFERROR(__xludf.DUMMYFUNCTION("GOOGLETRANSLATE(B164,""en"",""ko"")"),"색상 설정")</f>
        <v>색상 설정</v>
      </c>
      <c r="Z164" s="4" t="str">
        <f>IFERROR(__xludf.DUMMYFUNCTION("GOOGLETRANSLATE(B164,""en"",""zh"")"),"设置颜色")</f>
        <v>设置颜色</v>
      </c>
      <c r="AA164" s="4" t="str">
        <f>IFERROR(__xludf.DUMMYFUNCTION("GOOGLETRANSLATE(B164,""en"",""zh-TW"")"),"設定顏色")</f>
        <v>設定顏色</v>
      </c>
      <c r="AB164" s="4" t="str">
        <f>IFERROR(__xludf.DUMMYFUNCTION("GOOGLETRANSLATE(B164,""en"",""ja"")"),"色を設定する")</f>
        <v>色を設定する</v>
      </c>
      <c r="AC164" s="4" t="str">
        <f>IFERROR(__xludf.DUMMYFUNCTION("GOOGLETRANSLATE(B164,""en"",""bg"")"),"Задаване на цвят")</f>
        <v>Задаване на цвят</v>
      </c>
      <c r="AD164" s="4" t="str">
        <f>IFERROR(__xludf.DUMMYFUNCTION("GOOGLETRANSLATE(B164,""en"",""cs"")"),"Nastavit barvu")</f>
        <v>Nastavit barvu</v>
      </c>
      <c r="AE164" s="4" t="str">
        <f>IFERROR(__xludf.DUMMYFUNCTION("GOOGLETRANSLATE(B164,""en"",""da"")"),"Indstil farve")</f>
        <v>Indstil farve</v>
      </c>
      <c r="AF164" s="4" t="str">
        <f>IFERROR(__xludf.DUMMYFUNCTION("GOOGLETRANSLATE(B164,""en"",""el"")"),"Ορισμός χρώματος")</f>
        <v>Ορισμός χρώματος</v>
      </c>
      <c r="AG164" s="4" t="str">
        <f>IFERROR(__xludf.DUMMYFUNCTION("GOOGLETRANSLATE(B164,""en"",""et"")"),"Määra värv")</f>
        <v>Määra värv</v>
      </c>
      <c r="AH164" s="4" t="str">
        <f>IFERROR(__xludf.DUMMYFUNCTION("GOOGLETRANSLATE(B164,""en"",""fi"")"),"Aseta väri")</f>
        <v>Aseta väri</v>
      </c>
      <c r="AI164" s="4" t="str">
        <f>IFERROR(__xludf.DUMMYFUNCTION("GOOGLETRANSLATE(B164,""en"",""hr"")"),"Postavi boju")</f>
        <v>Postavi boju</v>
      </c>
      <c r="AJ164" s="4" t="str">
        <f>IFERROR(__xludf.DUMMYFUNCTION("GOOGLETRANSLATE(B164,""en"",""hu"")"),"Szín beállítása")</f>
        <v>Szín beállítása</v>
      </c>
      <c r="AK164" s="4" t="str">
        <f>IFERROR(__xludf.DUMMYFUNCTION("GOOGLETRANSLATE(B164,""en"",""hy"")"),"Սահմանել գույնը")</f>
        <v>Սահմանել գույնը</v>
      </c>
      <c r="AL164" s="4" t="str">
        <f>IFERROR(__xludf.DUMMYFUNCTION("GOOGLETRANSLATE(B164,""en"",""ca"")"),"Estableix el color")</f>
        <v>Estableix el color</v>
      </c>
      <c r="AM164" s="4" t="str">
        <f>IFERROR(__xludf.DUMMYFUNCTION("GOOGLETRANSLATE(B164,""en"",""nl"")"),"Kleur instellen")</f>
        <v>Kleur instellen</v>
      </c>
      <c r="AN164" s="4" t="str">
        <f>IFERROR(__xludf.DUMMYFUNCTION("GOOGLETRANSLATE(B164,""en"",""he"")"),"הגדר צבע")</f>
        <v>הגדר צבע</v>
      </c>
      <c r="AO164" s="4" t="str">
        <f>IFERROR(__xludf.DUMMYFUNCTION("GOOGLETRANSLATE(B164,""en"",""is"")"),"Stilltu lit")</f>
        <v>Stilltu lit</v>
      </c>
      <c r="AP164" s="4" t="str">
        <f>IFERROR(__xludf.DUMMYFUNCTION("GOOGLETRANSLATE(B164,""en"",""no"")"),"Sett farge")</f>
        <v>Sett farge</v>
      </c>
      <c r="AQ164" s="4" t="str">
        <f>IFERROR(__xludf.DUMMYFUNCTION("GOOGLETRANSLATE(B164,""en"",""fa"")"),"تنظیم رنگ")</f>
        <v>تنظیم رنگ</v>
      </c>
      <c r="AR164" s="4" t="str">
        <f>IFERROR(__xludf.DUMMYFUNCTION("GOOGLETRANSLATE(B164,""en"",""pl"")"),"Ustaw kolor")</f>
        <v>Ustaw kolor</v>
      </c>
      <c r="AS164" s="4" t="str">
        <f>IFERROR(__xludf.DUMMYFUNCTION("GOOGLETRANSLATE(B164,""en"",""sv"")"),"Ställ in färg")</f>
        <v>Ställ in färg</v>
      </c>
      <c r="AT164" s="4" t="str">
        <f>IFERROR(__xludf.DUMMYFUNCTION("GOOGLETRANSLATE(B164,""en"",""uk"")"),"Встановити колір")</f>
        <v>Встановити колір</v>
      </c>
      <c r="AU164" s="4" t="str">
        <f>IFERROR(__xludf.DUMMYFUNCTION("GOOGLETRANSLATE(B164,""en"",""zu"")"),"Setha Umbala")</f>
        <v>Setha Umbala</v>
      </c>
      <c r="AV164" s="4" t="str">
        <f>IFERROR(__xludf.DUMMYFUNCTION("GOOGLETRANSLATE(B164,""en"",""sr"")"),"Подесите боју")</f>
        <v>Подесите боју</v>
      </c>
    </row>
    <row r="165">
      <c r="A165" s="3" t="s">
        <v>360</v>
      </c>
      <c r="B165" s="3" t="s">
        <v>361</v>
      </c>
      <c r="C165" s="4" t="str">
        <f>IFERROR(__xludf.DUMMYFUNCTION("GOOGLETRANSLATE(B165,""en"",""ta"")"),"வண்ணம் வெற்றிகரமாக பயன்படுத்தப்பட்டது!")</f>
        <v>வண்ணம் வெற்றிகரமாக பயன்படுத்தப்பட்டது!</v>
      </c>
      <c r="D165" s="4" t="str">
        <f>IFERROR(__xludf.DUMMYFUNCTION("GOOGLETRANSLATE(B165,""en"",""hi"")"),"रंग सफलतापूर्वक लागू किया गया!")</f>
        <v>रंग सफलतापूर्वक लागू किया गया!</v>
      </c>
      <c r="E165" s="4" t="str">
        <f>IFERROR(__xludf.DUMMYFUNCTION("GOOGLETRANSLATE(B165,""en"",""id"")"),"Warna Berhasil Diterapkan!")</f>
        <v>Warna Berhasil Diterapkan!</v>
      </c>
      <c r="F165" s="4" t="str">
        <f>IFERROR(__xludf.DUMMYFUNCTION("GOOGLETRANSLATE(B165,""en"",""ms"")"),"Warna Digunakan Berjaya!")</f>
        <v>Warna Digunakan Berjaya!</v>
      </c>
      <c r="G165" s="4" t="str">
        <f>IFERROR(__xludf.DUMMYFUNCTION("GOOGLETRANSLATE(B165,""en"",""de"")"),"Farbe erfolgreich angewendet!")</f>
        <v>Farbe erfolgreich angewendet!</v>
      </c>
      <c r="H165" s="4" t="str">
        <f>IFERROR(__xludf.DUMMYFUNCTION("GOOGLETRANSLATE(B165,""en"",""es"")"),"¡Color aplicado exitosamente!")</f>
        <v>¡Color aplicado exitosamente!</v>
      </c>
      <c r="I165" s="4" t="str">
        <f>IFERROR(__xludf.DUMMYFUNCTION("GOOGLETRANSLATE(B165,""en"",""fr"")"),"Couleur appliquée avec succès !")</f>
        <v>Couleur appliquée avec succès !</v>
      </c>
      <c r="J165" s="4" t="str">
        <f>IFERROR(__xludf.DUMMYFUNCTION("GOOGLETRANSLATE(B165,""en"",""it"")"),"Colore applicato con successo!")</f>
        <v>Colore applicato con successo!</v>
      </c>
      <c r="K165" s="4" t="str">
        <f>IFERROR(__xludf.DUMMYFUNCTION("GOOGLETRANSLATE(B165,""en"",""pt"")"),"Cor aplicada com sucesso!")</f>
        <v>Cor aplicada com sucesso!</v>
      </c>
      <c r="L165" s="4" t="str">
        <f>IFERROR(__xludf.DUMMYFUNCTION("GOOGLETRANSLATE(B165,""en"",""ro"")"),"Culoarea aplicată cu succes!")</f>
        <v>Culoarea aplicată cu succes!</v>
      </c>
      <c r="M165" s="4" t="str">
        <f>IFERROR(__xludf.DUMMYFUNCTION("GOOGLETRANSLATE(B165,""en"",""vi"")"),"Đã áp dụng màu thành công!")</f>
        <v>Đã áp dụng màu thành công!</v>
      </c>
      <c r="N165" s="4" t="str">
        <f>IFERROR(__xludf.DUMMYFUNCTION("GOOGLETRANSLATE(B165,""en"",""ru"")"),"Цвет успешно нанесен!")</f>
        <v>Цвет успешно нанесен!</v>
      </c>
      <c r="O165" s="4" t="str">
        <f>IFERROR(__xludf.DUMMYFUNCTION("GOOGLETRANSLATE(B165,""en"",""tr"")"),"Renk Başarıyla Uygulandı!")</f>
        <v>Renk Başarıyla Uygulandı!</v>
      </c>
      <c r="P165" s="4" t="str">
        <f>IFERROR(__xludf.DUMMYFUNCTION("GOOGLETRANSLATE(B165,""en"",""ar"")"),"تم تطبيق اللون بنجاح!")</f>
        <v>تم تطبيق اللون بنجاح!</v>
      </c>
      <c r="Q165" s="4" t="str">
        <f>IFERROR(__xludf.DUMMYFUNCTION("GOOGLETRANSLATE(B165,""en"",""mr"")"),"रंग यशस्वीरित्या लागू झाला!")</f>
        <v>रंग यशस्वीरित्या लागू झाला!</v>
      </c>
      <c r="R165" s="4" t="str">
        <f>IFERROR(__xludf.DUMMYFUNCTION("GOOGLETRANSLATE(B165,""en"",""gu"")"),"રંગ સફળતાપૂર્વક લાગુ થયો!")</f>
        <v>રંગ સફળતાપૂર્વક લાગુ થયો!</v>
      </c>
      <c r="S165" s="4" t="str">
        <f>IFERROR(__xludf.DUMMYFUNCTION("GOOGLETRANSLATE(B165,""en"",""bn"")"),"রঙ সফলভাবে প্রয়োগ করা হয়েছে!")</f>
        <v>রঙ সফলভাবে প্রয়োগ করা হয়েছে!</v>
      </c>
      <c r="T165" s="4" t="str">
        <f>IFERROR(__xludf.DUMMYFUNCTION("GOOGLETRANSLATE(B165,""en"",""pa"")"),"ਰੰਗ ਸਫਲਤਾਪੂਰਵਕ ਲਾਗੂ ਕੀਤਾ ਗਿਆ!")</f>
        <v>ਰੰਗ ਸਫਲਤਾਪੂਰਵਕ ਲਾਗੂ ਕੀਤਾ ਗਿਆ!</v>
      </c>
      <c r="U165" s="4" t="str">
        <f>IFERROR(__xludf.DUMMYFUNCTION("GOOGLETRANSLATE(B165,""en"",""te"")"),"రంగు విజయవంతంగా వర్తించబడింది!")</f>
        <v>రంగు విజయవంతంగా వర్తించబడింది!</v>
      </c>
      <c r="V165" s="4" t="str">
        <f>IFERROR(__xludf.DUMMYFUNCTION("GOOGLETRANSLATE(B165,""en"",""kn"")"),"ಬಣ್ಣವನ್ನು ಯಶಸ್ವಿಯಾಗಿ ಅನ್ವಯಿಸಲಾಗಿದೆ!")</f>
        <v>ಬಣ್ಣವನ್ನು ಯಶಸ್ವಿಯಾಗಿ ಅನ್ವಯಿಸಲಾಗಿದೆ!</v>
      </c>
      <c r="W165" s="4" t="str">
        <f>IFERROR(__xludf.DUMMYFUNCTION("GOOGLETRANSLATE(B165,""en"",""ml"")"),"നിറം പ്രയോഗിച്ചു!")</f>
        <v>നിറം പ്രയോഗിച്ചു!</v>
      </c>
      <c r="X165" s="4" t="str">
        <f>IFERROR(__xludf.DUMMYFUNCTION("GOOGLETRANSLATE(B165,""en"",""th"")"),"ใช้สีเรียบร้อยแล้ว!")</f>
        <v>ใช้สีเรียบร้อยแล้ว!</v>
      </c>
      <c r="Y165" s="4" t="str">
        <f>IFERROR(__xludf.DUMMYFUNCTION("GOOGLETRANSLATE(B165,""en"",""ko"")"),"색상이 성공적으로 적용되었습니다!")</f>
        <v>색상이 성공적으로 적용되었습니다!</v>
      </c>
      <c r="Z165" s="4" t="str">
        <f>IFERROR(__xludf.DUMMYFUNCTION("GOOGLETRANSLATE(B165,""en"",""zh"")"),"颜色应用成功！")</f>
        <v>颜色应用成功！</v>
      </c>
      <c r="AA165" s="4" t="str">
        <f>IFERROR(__xludf.DUMMYFUNCTION("GOOGLETRANSLATE(B165,""en"",""zh-TW"")"),"顏色應用成功！")</f>
        <v>顏色應用成功！</v>
      </c>
      <c r="AB165" s="4" t="str">
        <f>IFERROR(__xludf.DUMMYFUNCTION("GOOGLETRANSLATE(B165,""en"",""ja"")"),"色が正常に適用されました。")</f>
        <v>色が正常に適用されました。</v>
      </c>
      <c r="AC165" s="4" t="str">
        <f>IFERROR(__xludf.DUMMYFUNCTION("GOOGLETRANSLATE(B165,""en"",""bg"")"),"Цветът е приложен успешно!")</f>
        <v>Цветът е приложен успешно!</v>
      </c>
      <c r="AD165" s="4" t="str">
        <f>IFERROR(__xludf.DUMMYFUNCTION("GOOGLETRANSLATE(B165,""en"",""cs"")"),"Barva byla úspěšně použita!")</f>
        <v>Barva byla úspěšně použita!</v>
      </c>
      <c r="AE165" s="4" t="str">
        <f>IFERROR(__xludf.DUMMYFUNCTION("GOOGLETRANSLATE(B165,""en"",""da"")"),"Farve anvendt med succes!")</f>
        <v>Farve anvendt med succes!</v>
      </c>
      <c r="AF165" s="4" t="str">
        <f>IFERROR(__xludf.DUMMYFUNCTION("GOOGLETRANSLATE(B165,""en"",""el"")"),"Το χρώμα εφαρμόστηκε με επιτυχία!")</f>
        <v>Το χρώμα εφαρμόστηκε με επιτυχία!</v>
      </c>
      <c r="AG165" s="4" t="str">
        <f>IFERROR(__xludf.DUMMYFUNCTION("GOOGLETRANSLATE(B165,""en"",""et"")"),"Värvi rakendamine õnnestus!")</f>
        <v>Värvi rakendamine õnnestus!</v>
      </c>
      <c r="AH165" s="4" t="str">
        <f>IFERROR(__xludf.DUMMYFUNCTION("GOOGLETRANSLATE(B165,""en"",""fi"")"),"Värin käyttö onnistui!")</f>
        <v>Värin käyttö onnistui!</v>
      </c>
      <c r="AI165" s="4" t="str">
        <f>IFERROR(__xludf.DUMMYFUNCTION("GOOGLETRANSLATE(B165,""en"",""hr"")"),"Boja je uspješno primijenjena!")</f>
        <v>Boja je uspješno primijenjena!</v>
      </c>
      <c r="AJ165" s="4" t="str">
        <f>IFERROR(__xludf.DUMMYFUNCTION("GOOGLETRANSLATE(B165,""en"",""hu"")"),"Szín alkalmazása sikeresen!")</f>
        <v>Szín alkalmazása sikeresen!</v>
      </c>
      <c r="AK165" s="4" t="str">
        <f>IFERROR(__xludf.DUMMYFUNCTION("GOOGLETRANSLATE(B165,""en"",""hy"")"),"Գույնը հաջողությամբ կիրառվեց:")</f>
        <v>Գույնը հաջողությամբ կիրառվեց:</v>
      </c>
      <c r="AL165" s="4" t="str">
        <f>IFERROR(__xludf.DUMMYFUNCTION("GOOGLETRANSLATE(B165,""en"",""ca"")"),"Color aplicat amb èxit!")</f>
        <v>Color aplicat amb èxit!</v>
      </c>
      <c r="AM165" s="4" t="str">
        <f>IFERROR(__xludf.DUMMYFUNCTION("GOOGLETRANSLATE(B165,""en"",""nl"")"),"Kleur succesvol toegepast!")</f>
        <v>Kleur succesvol toegepast!</v>
      </c>
      <c r="AN165" s="4" t="str">
        <f>IFERROR(__xludf.DUMMYFUNCTION("GOOGLETRANSLATE(B165,""en"",""he"")"),"צבע הוחל בהצלחה!")</f>
        <v>צבע הוחל בהצלחה!</v>
      </c>
      <c r="AO165" s="4" t="str">
        <f>IFERROR(__xludf.DUMMYFUNCTION("GOOGLETRANSLATE(B165,""en"",""is"")"),"Litur notaður með góðum árangri!")</f>
        <v>Litur notaður með góðum árangri!</v>
      </c>
      <c r="AP165" s="4" t="str">
        <f>IFERROR(__xludf.DUMMYFUNCTION("GOOGLETRANSLATE(B165,""en"",""no"")"),"Farge påført vellykket!")</f>
        <v>Farge påført vellykket!</v>
      </c>
      <c r="AQ165" s="4" t="str">
        <f>IFERROR(__xludf.DUMMYFUNCTION("GOOGLETRANSLATE(B165,""en"",""fa"")"),"رنگ با موفقیت اعمال شد!")</f>
        <v>رنگ با موفقیت اعمال شد!</v>
      </c>
      <c r="AR165" s="4" t="str">
        <f>IFERROR(__xludf.DUMMYFUNCTION("GOOGLETRANSLATE(B165,""en"",""pl"")"),"Kolor zastosowany pomyślnie!")</f>
        <v>Kolor zastosowany pomyślnie!</v>
      </c>
      <c r="AS165" s="4" t="str">
        <f>IFERROR(__xludf.DUMMYFUNCTION("GOOGLETRANSLATE(B165,""en"",""sv"")"),"Färg applicerad framgångsrikt!")</f>
        <v>Färg applicerad framgångsrikt!</v>
      </c>
      <c r="AT165" s="4" t="str">
        <f>IFERROR(__xludf.DUMMYFUNCTION("GOOGLETRANSLATE(B165,""en"",""uk"")"),"Колір успішно застосовано!")</f>
        <v>Колір успішно застосовано!</v>
      </c>
      <c r="AU165" s="4" t="str">
        <f>IFERROR(__xludf.DUMMYFUNCTION("GOOGLETRANSLATE(B165,""en"",""zu"")"),"Umbala Usetshenziswe Ngempumelelo!")</f>
        <v>Umbala Usetshenziswe Ngempumelelo!</v>
      </c>
      <c r="AV165" s="4" t="str">
        <f>IFERROR(__xludf.DUMMYFUNCTION("GOOGLETRANSLATE(B165,""en"",""sr"")"),"Боја је успешно примењена!")</f>
        <v>Боја је успешно примењена!</v>
      </c>
    </row>
    <row r="166">
      <c r="A166" s="3" t="s">
        <v>362</v>
      </c>
      <c r="B166" s="3" t="s">
        <v>363</v>
      </c>
      <c r="C166" s="4" t="str">
        <f>IFERROR(__xludf.DUMMYFUNCTION("GOOGLETRANSLATE(B166,""en"",""ta"")"),"நேர வடிவம்")</f>
        <v>நேர வடிவம்</v>
      </c>
      <c r="D166" s="4" t="str">
        <f>IFERROR(__xludf.DUMMYFUNCTION("GOOGLETRANSLATE(B166,""en"",""hi"")"),"समय स्वरूप")</f>
        <v>समय स्वरूप</v>
      </c>
      <c r="E166" s="4" t="str">
        <f>IFERROR(__xludf.DUMMYFUNCTION("GOOGLETRANSLATE(B166,""en"",""id"")"),"Format Waktu")</f>
        <v>Format Waktu</v>
      </c>
      <c r="F166" s="4" t="str">
        <f>IFERROR(__xludf.DUMMYFUNCTION("GOOGLETRANSLATE(B166,""en"",""ms"")"),"Format Masa")</f>
        <v>Format Masa</v>
      </c>
      <c r="G166" s="4" t="str">
        <f>IFERROR(__xludf.DUMMYFUNCTION("GOOGLETRANSLATE(B166,""en"",""de"")"),"Zeitformat")</f>
        <v>Zeitformat</v>
      </c>
      <c r="H166" s="4" t="str">
        <f>IFERROR(__xludf.DUMMYFUNCTION("GOOGLETRANSLATE(B166,""en"",""es"")"),"Formato de hora")</f>
        <v>Formato de hora</v>
      </c>
      <c r="I166" s="4" t="str">
        <f>IFERROR(__xludf.DUMMYFUNCTION("GOOGLETRANSLATE(B166,""en"",""fr"")"),"Format de l'heure")</f>
        <v>Format de l'heure</v>
      </c>
      <c r="J166" s="4" t="str">
        <f>IFERROR(__xludf.DUMMYFUNCTION("GOOGLETRANSLATE(B166,""en"",""it"")"),"Formato ora")</f>
        <v>Formato ora</v>
      </c>
      <c r="K166" s="4" t="str">
        <f>IFERROR(__xludf.DUMMYFUNCTION("GOOGLETRANSLATE(B166,""en"",""pt"")"),"Formato de hora")</f>
        <v>Formato de hora</v>
      </c>
      <c r="L166" s="4" t="str">
        <f>IFERROR(__xludf.DUMMYFUNCTION("GOOGLETRANSLATE(B166,""en"",""ro"")"),"Format de timp")</f>
        <v>Format de timp</v>
      </c>
      <c r="M166" s="4" t="str">
        <f>IFERROR(__xludf.DUMMYFUNCTION("GOOGLETRANSLATE(B166,""en"",""vi"")"),"Định dạng thời gian")</f>
        <v>Định dạng thời gian</v>
      </c>
      <c r="N166" s="4" t="str">
        <f>IFERROR(__xludf.DUMMYFUNCTION("GOOGLETRANSLATE(B166,""en"",""ru"")"),"Формат времени")</f>
        <v>Формат времени</v>
      </c>
      <c r="O166" s="4" t="str">
        <f>IFERROR(__xludf.DUMMYFUNCTION("GOOGLETRANSLATE(B166,""en"",""tr"")"),"Zaman Biçimi")</f>
        <v>Zaman Biçimi</v>
      </c>
      <c r="P166" s="4" t="str">
        <f>IFERROR(__xludf.DUMMYFUNCTION("GOOGLETRANSLATE(B166,""en"",""ar"")"),"تنسيق الوقت")</f>
        <v>تنسيق الوقت</v>
      </c>
      <c r="Q166" s="4" t="str">
        <f>IFERROR(__xludf.DUMMYFUNCTION("GOOGLETRANSLATE(B166,""en"",""mr"")"),"वेळ स्वरूप")</f>
        <v>वेळ स्वरूप</v>
      </c>
      <c r="R166" s="4" t="str">
        <f>IFERROR(__xludf.DUMMYFUNCTION("GOOGLETRANSLATE(B166,""en"",""gu"")"),"સમય ફોર્મેટ")</f>
        <v>સમય ફોર્મેટ</v>
      </c>
      <c r="S166" s="4" t="str">
        <f>IFERROR(__xludf.DUMMYFUNCTION("GOOGLETRANSLATE(B166,""en"",""bn"")"),"সময় বিন্যাস")</f>
        <v>সময় বিন্যাস</v>
      </c>
      <c r="T166" s="4" t="str">
        <f>IFERROR(__xludf.DUMMYFUNCTION("GOOGLETRANSLATE(B166,""en"",""pa"")"),"ਸਮਾਂ ਫਾਰਮੈਟ")</f>
        <v>ਸਮਾਂ ਫਾਰਮੈਟ</v>
      </c>
      <c r="U166" s="4" t="str">
        <f>IFERROR(__xludf.DUMMYFUNCTION("GOOGLETRANSLATE(B166,""en"",""te"")"),"సమయ ఆకృతి")</f>
        <v>సమయ ఆకృతి</v>
      </c>
      <c r="V166" s="4" t="str">
        <f>IFERROR(__xludf.DUMMYFUNCTION("GOOGLETRANSLATE(B166,""en"",""kn"")"),"ಸಮಯ ಸ್ವರೂಪ")</f>
        <v>ಸಮಯ ಸ್ವರೂಪ</v>
      </c>
      <c r="W166" s="4" t="str">
        <f>IFERROR(__xludf.DUMMYFUNCTION("GOOGLETRANSLATE(B166,""en"",""ml"")"),"സമയ ഫോർമാറ്റ്")</f>
        <v>സമയ ഫോർമാറ്റ്</v>
      </c>
      <c r="X166" s="4" t="str">
        <f>IFERROR(__xludf.DUMMYFUNCTION("GOOGLETRANSLATE(B166,""en"",""th"")"),"รูปแบบเวลา")</f>
        <v>รูปแบบเวลา</v>
      </c>
      <c r="Y166" s="4" t="str">
        <f>IFERROR(__xludf.DUMMYFUNCTION("GOOGLETRANSLATE(B166,""en"",""ko"")"),"시간 형식")</f>
        <v>시간 형식</v>
      </c>
      <c r="Z166" s="4" t="str">
        <f>IFERROR(__xludf.DUMMYFUNCTION("GOOGLETRANSLATE(B166,""en"",""zh"")"),"时间格式")</f>
        <v>时间格式</v>
      </c>
      <c r="AA166" s="4" t="str">
        <f>IFERROR(__xludf.DUMMYFUNCTION("GOOGLETRANSLATE(B166,""en"",""zh-TW"")"),"時間格式")</f>
        <v>時間格式</v>
      </c>
      <c r="AB166" s="4" t="str">
        <f>IFERROR(__xludf.DUMMYFUNCTION("GOOGLETRANSLATE(B166,""en"",""ja"")"),"時刻形式")</f>
        <v>時刻形式</v>
      </c>
      <c r="AC166" s="4" t="str">
        <f>IFERROR(__xludf.DUMMYFUNCTION("GOOGLETRANSLATE(B166,""en"",""bg"")"),"Формат на времето")</f>
        <v>Формат на времето</v>
      </c>
      <c r="AD166" s="4" t="str">
        <f>IFERROR(__xludf.DUMMYFUNCTION("GOOGLETRANSLATE(B166,""en"",""cs"")"),"Formát času")</f>
        <v>Formát času</v>
      </c>
      <c r="AE166" s="4" t="str">
        <f>IFERROR(__xludf.DUMMYFUNCTION("GOOGLETRANSLATE(B166,""en"",""da"")"),"Tidsformat")</f>
        <v>Tidsformat</v>
      </c>
      <c r="AF166" s="4" t="str">
        <f>IFERROR(__xludf.DUMMYFUNCTION("GOOGLETRANSLATE(B166,""en"",""el"")"),"Μορφή χρόνου")</f>
        <v>Μορφή χρόνου</v>
      </c>
      <c r="AG166" s="4" t="str">
        <f>IFERROR(__xludf.DUMMYFUNCTION("GOOGLETRANSLATE(B166,""en"",""et"")"),"Aja vorming")</f>
        <v>Aja vorming</v>
      </c>
      <c r="AH166" s="4" t="str">
        <f>IFERROR(__xludf.DUMMYFUNCTION("GOOGLETRANSLATE(B166,""en"",""fi"")"),"Aikamuoto")</f>
        <v>Aikamuoto</v>
      </c>
      <c r="AI166" s="4" t="str">
        <f>IFERROR(__xludf.DUMMYFUNCTION("GOOGLETRANSLATE(B166,""en"",""hr"")"),"Format vremena")</f>
        <v>Format vremena</v>
      </c>
      <c r="AJ166" s="4" t="str">
        <f>IFERROR(__xludf.DUMMYFUNCTION("GOOGLETRANSLATE(B166,""en"",""hu"")"),"Időformátum")</f>
        <v>Időformátum</v>
      </c>
      <c r="AK166" s="4" t="str">
        <f>IFERROR(__xludf.DUMMYFUNCTION("GOOGLETRANSLATE(B166,""en"",""hy"")"),"Ժամանակի ձևաչափ")</f>
        <v>Ժամանակի ձևաչափ</v>
      </c>
      <c r="AL166" s="4" t="str">
        <f>IFERROR(__xludf.DUMMYFUNCTION("GOOGLETRANSLATE(B166,""en"",""ca"")"),"Format horari")</f>
        <v>Format horari</v>
      </c>
      <c r="AM166" s="4" t="str">
        <f>IFERROR(__xludf.DUMMYFUNCTION("GOOGLETRANSLATE(B166,""en"",""nl"")"),"Tijdformaat")</f>
        <v>Tijdformaat</v>
      </c>
      <c r="AN166" s="4" t="str">
        <f>IFERROR(__xludf.DUMMYFUNCTION("GOOGLETRANSLATE(B166,""en"",""he"")"),"פורמט זמן")</f>
        <v>פורמט זמן</v>
      </c>
      <c r="AO166" s="4" t="str">
        <f>IFERROR(__xludf.DUMMYFUNCTION("GOOGLETRANSLATE(B166,""en"",""is"")"),"Tímasnið")</f>
        <v>Tímasnið</v>
      </c>
      <c r="AP166" s="4" t="str">
        <f>IFERROR(__xludf.DUMMYFUNCTION("GOOGLETRANSLATE(B166,""en"",""no"")"),"Tidsformat")</f>
        <v>Tidsformat</v>
      </c>
      <c r="AQ166" s="4" t="str">
        <f>IFERROR(__xludf.DUMMYFUNCTION("GOOGLETRANSLATE(B166,""en"",""fa"")"),"فرمت زمان")</f>
        <v>فرمت زمان</v>
      </c>
      <c r="AR166" s="4" t="str">
        <f>IFERROR(__xludf.DUMMYFUNCTION("GOOGLETRANSLATE(B166,""en"",""pl"")"),"Format czasu")</f>
        <v>Format czasu</v>
      </c>
      <c r="AS166" s="4" t="str">
        <f>IFERROR(__xludf.DUMMYFUNCTION("GOOGLETRANSLATE(B166,""en"",""sv"")"),"Tidsformat")</f>
        <v>Tidsformat</v>
      </c>
      <c r="AT166" s="4" t="str">
        <f>IFERROR(__xludf.DUMMYFUNCTION("GOOGLETRANSLATE(B166,""en"",""uk"")"),"Формат часу")</f>
        <v>Формат часу</v>
      </c>
      <c r="AU166" s="4" t="str">
        <f>IFERROR(__xludf.DUMMYFUNCTION("GOOGLETRANSLATE(B166,""en"",""zu"")"),"Ifomethi Yesikhathi")</f>
        <v>Ifomethi Yesikhathi</v>
      </c>
      <c r="AV166" s="4" t="str">
        <f>IFERROR(__xludf.DUMMYFUNCTION("GOOGLETRANSLATE(B166,""en"",""sr"")"),"Формат времена")</f>
        <v>Формат времена</v>
      </c>
    </row>
    <row r="167">
      <c r="A167" s="3" t="s">
        <v>364</v>
      </c>
      <c r="B167" s="3" t="s">
        <v>365</v>
      </c>
      <c r="C167" s="4" t="str">
        <f>IFERROR(__xludf.DUMMYFUNCTION("GOOGLETRANSLATE(B167,""en"",""ta"")"),"வேக அலகு")</f>
        <v>வேக அலகு</v>
      </c>
      <c r="D167" s="4" t="str">
        <f>IFERROR(__xludf.DUMMYFUNCTION("GOOGLETRANSLATE(B167,""en"",""hi"")"),"गति इकाई")</f>
        <v>गति इकाई</v>
      </c>
      <c r="E167" s="4" t="str">
        <f>IFERROR(__xludf.DUMMYFUNCTION("GOOGLETRANSLATE(B167,""en"",""id"")"),"Satuan Kecepatan")</f>
        <v>Satuan Kecepatan</v>
      </c>
      <c r="F167" s="4" t="str">
        <f>IFERROR(__xludf.DUMMYFUNCTION("GOOGLETRANSLATE(B167,""en"",""ms"")"),"Unit Kelajuan")</f>
        <v>Unit Kelajuan</v>
      </c>
      <c r="G167" s="4" t="str">
        <f>IFERROR(__xludf.DUMMYFUNCTION("GOOGLETRANSLATE(B167,""en"",""de"")"),"Geschwindigkeitseinheit")</f>
        <v>Geschwindigkeitseinheit</v>
      </c>
      <c r="H167" s="4" t="str">
        <f>IFERROR(__xludf.DUMMYFUNCTION("GOOGLETRANSLATE(B167,""en"",""es"")"),"Unidad de velocidad")</f>
        <v>Unidad de velocidad</v>
      </c>
      <c r="I167" s="4" t="str">
        <f>IFERROR(__xludf.DUMMYFUNCTION("GOOGLETRANSLATE(B167,""en"",""fr"")"),"Unité de vitesse")</f>
        <v>Unité de vitesse</v>
      </c>
      <c r="J167" s="4" t="str">
        <f>IFERROR(__xludf.DUMMYFUNCTION("GOOGLETRANSLATE(B167,""en"",""it"")"),"Unità di velocità")</f>
        <v>Unità di velocità</v>
      </c>
      <c r="K167" s="4" t="str">
        <f>IFERROR(__xludf.DUMMYFUNCTION("GOOGLETRANSLATE(B167,""en"",""pt"")"),"Unidade de velocidade")</f>
        <v>Unidade de velocidade</v>
      </c>
      <c r="L167" s="4" t="str">
        <f>IFERROR(__xludf.DUMMYFUNCTION("GOOGLETRANSLATE(B167,""en"",""ro"")"),"Unitate de viteză")</f>
        <v>Unitate de viteză</v>
      </c>
      <c r="M167" s="4" t="str">
        <f>IFERROR(__xludf.DUMMYFUNCTION("GOOGLETRANSLATE(B167,""en"",""vi"")"),"Đơn vị tốc độ")</f>
        <v>Đơn vị tốc độ</v>
      </c>
      <c r="N167" s="4" t="str">
        <f>IFERROR(__xludf.DUMMYFUNCTION("GOOGLETRANSLATE(B167,""en"",""ru"")"),"Единица измерения скорости")</f>
        <v>Единица измерения скорости</v>
      </c>
      <c r="O167" s="4" t="str">
        <f>IFERROR(__xludf.DUMMYFUNCTION("GOOGLETRANSLATE(B167,""en"",""tr"")"),"Hız Birimi")</f>
        <v>Hız Birimi</v>
      </c>
      <c r="P167" s="4" t="str">
        <f>IFERROR(__xludf.DUMMYFUNCTION("GOOGLETRANSLATE(B167,""en"",""ar"")"),"وحدة السرعة")</f>
        <v>وحدة السرعة</v>
      </c>
      <c r="Q167" s="4" t="str">
        <f>IFERROR(__xludf.DUMMYFUNCTION("GOOGLETRANSLATE(B167,""en"",""mr"")"),"स्पीड युनिट")</f>
        <v>स्पीड युनिट</v>
      </c>
      <c r="R167" s="4" t="str">
        <f>IFERROR(__xludf.DUMMYFUNCTION("GOOGLETRANSLATE(B167,""en"",""gu"")"),"સ્પીડ યુનિટ")</f>
        <v>સ્પીડ યુનિટ</v>
      </c>
      <c r="S167" s="4" t="str">
        <f>IFERROR(__xludf.DUMMYFUNCTION("GOOGLETRANSLATE(B167,""en"",""bn"")"),"গতি ইউনিট")</f>
        <v>গতি ইউনিট</v>
      </c>
      <c r="T167" s="4" t="str">
        <f>IFERROR(__xludf.DUMMYFUNCTION("GOOGLETRANSLATE(B167,""en"",""pa"")"),"ਸਪੀਡ ਯੂਨਿਟ")</f>
        <v>ਸਪੀਡ ਯੂਨਿਟ</v>
      </c>
      <c r="U167" s="4" t="str">
        <f>IFERROR(__xludf.DUMMYFUNCTION("GOOGLETRANSLATE(B167,""en"",""te"")"),"స్పీడ్ యూనిట్")</f>
        <v>స్పీడ్ యూనిట్</v>
      </c>
      <c r="V167" s="4" t="str">
        <f>IFERROR(__xludf.DUMMYFUNCTION("GOOGLETRANSLATE(B167,""en"",""kn"")"),"ವೇಗದ ಘಟಕ")</f>
        <v>ವೇಗದ ಘಟಕ</v>
      </c>
      <c r="W167" s="4" t="str">
        <f>IFERROR(__xludf.DUMMYFUNCTION("GOOGLETRANSLATE(B167,""en"",""ml"")"),"സ്പീഡ് യൂണിറ്റ്")</f>
        <v>സ്പീഡ് യൂണിറ്റ്</v>
      </c>
      <c r="X167" s="4" t="str">
        <f>IFERROR(__xludf.DUMMYFUNCTION("GOOGLETRANSLATE(B167,""en"",""th"")"),"หน่วยความเร็ว")</f>
        <v>หน่วยความเร็ว</v>
      </c>
      <c r="Y167" s="4" t="str">
        <f>IFERROR(__xludf.DUMMYFUNCTION("GOOGLETRANSLATE(B167,""en"",""ko"")"),"속도 단위")</f>
        <v>속도 단위</v>
      </c>
      <c r="Z167" s="4" t="str">
        <f>IFERROR(__xludf.DUMMYFUNCTION("GOOGLETRANSLATE(B167,""en"",""zh"")"),"速度单位")</f>
        <v>速度单位</v>
      </c>
      <c r="AA167" s="4" t="str">
        <f>IFERROR(__xludf.DUMMYFUNCTION("GOOGLETRANSLATE(B167,""en"",""zh-TW"")"),"速度單位")</f>
        <v>速度單位</v>
      </c>
      <c r="AB167" s="4" t="str">
        <f>IFERROR(__xludf.DUMMYFUNCTION("GOOGLETRANSLATE(B167,""en"",""ja"")"),"スピードユニット")</f>
        <v>スピードユニット</v>
      </c>
      <c r="AC167" s="4" t="str">
        <f>IFERROR(__xludf.DUMMYFUNCTION("GOOGLETRANSLATE(B167,""en"",""bg"")"),"Единица за скорост")</f>
        <v>Единица за скорост</v>
      </c>
      <c r="AD167" s="4" t="str">
        <f>IFERROR(__xludf.DUMMYFUNCTION("GOOGLETRANSLATE(B167,""en"",""cs"")"),"Jednotka rychlosti")</f>
        <v>Jednotka rychlosti</v>
      </c>
      <c r="AE167" s="4" t="str">
        <f>IFERROR(__xludf.DUMMYFUNCTION("GOOGLETRANSLATE(B167,""en"",""da"")"),"Hastighedsenhed")</f>
        <v>Hastighedsenhed</v>
      </c>
      <c r="AF167" s="4" t="str">
        <f>IFERROR(__xludf.DUMMYFUNCTION("GOOGLETRANSLATE(B167,""en"",""el"")"),"Μονάδα Ταχύτητας")</f>
        <v>Μονάδα Ταχύτητας</v>
      </c>
      <c r="AG167" s="4" t="str">
        <f>IFERROR(__xludf.DUMMYFUNCTION("GOOGLETRANSLATE(B167,""en"",""et"")"),"Kiiruse mõõtühik")</f>
        <v>Kiiruse mõõtühik</v>
      </c>
      <c r="AH167" s="4" t="str">
        <f>IFERROR(__xludf.DUMMYFUNCTION("GOOGLETRANSLATE(B167,""en"",""fi"")"),"Nopeusyksikkö")</f>
        <v>Nopeusyksikkö</v>
      </c>
      <c r="AI167" s="4" t="str">
        <f>IFERROR(__xludf.DUMMYFUNCTION("GOOGLETRANSLATE(B167,""en"",""hr"")"),"Jedinica brzine")</f>
        <v>Jedinica brzine</v>
      </c>
      <c r="AJ167" s="4" t="str">
        <f>IFERROR(__xludf.DUMMYFUNCTION("GOOGLETRANSLATE(B167,""en"",""hu"")"),"Sebesség egység")</f>
        <v>Sebesség egység</v>
      </c>
      <c r="AK167" s="4" t="str">
        <f>IFERROR(__xludf.DUMMYFUNCTION("GOOGLETRANSLATE(B167,""en"",""hy"")"),"Արագության միավոր")</f>
        <v>Արագության միավոր</v>
      </c>
      <c r="AL167" s="4" t="str">
        <f>IFERROR(__xludf.DUMMYFUNCTION("GOOGLETRANSLATE(B167,""en"",""ca"")"),"Unitat de velocitat")</f>
        <v>Unitat de velocitat</v>
      </c>
      <c r="AM167" s="4" t="str">
        <f>IFERROR(__xludf.DUMMYFUNCTION("GOOGLETRANSLATE(B167,""en"",""nl"")"),"Snelheidseenheid")</f>
        <v>Snelheidseenheid</v>
      </c>
      <c r="AN167" s="4" t="str">
        <f>IFERROR(__xludf.DUMMYFUNCTION("GOOGLETRANSLATE(B167,""en"",""he"")"),"יחידת מהירות")</f>
        <v>יחידת מהירות</v>
      </c>
      <c r="AO167" s="4" t="str">
        <f>IFERROR(__xludf.DUMMYFUNCTION("GOOGLETRANSLATE(B167,""en"",""is"")"),"Hraðaeining")</f>
        <v>Hraðaeining</v>
      </c>
      <c r="AP167" s="4" t="str">
        <f>IFERROR(__xludf.DUMMYFUNCTION("GOOGLETRANSLATE(B167,""en"",""no"")"),"Hastighetsenhet")</f>
        <v>Hastighetsenhet</v>
      </c>
      <c r="AQ167" s="4" t="str">
        <f>IFERROR(__xludf.DUMMYFUNCTION("GOOGLETRANSLATE(B167,""en"",""fa"")"),"واحد سرعت")</f>
        <v>واحد سرعت</v>
      </c>
      <c r="AR167" s="4" t="str">
        <f>IFERROR(__xludf.DUMMYFUNCTION("GOOGLETRANSLATE(B167,""en"",""pl"")"),"Jednostka prędkości")</f>
        <v>Jednostka prędkości</v>
      </c>
      <c r="AS167" s="4" t="str">
        <f>IFERROR(__xludf.DUMMYFUNCTION("GOOGLETRANSLATE(B167,""en"",""sv"")"),"Hastighetsenhet")</f>
        <v>Hastighetsenhet</v>
      </c>
      <c r="AT167" s="4" t="str">
        <f>IFERROR(__xludf.DUMMYFUNCTION("GOOGLETRANSLATE(B167,""en"",""uk"")"),"Одиниця швидкості")</f>
        <v>Одиниця швидкості</v>
      </c>
      <c r="AU167" s="4" t="str">
        <f>IFERROR(__xludf.DUMMYFUNCTION("GOOGLETRANSLATE(B167,""en"",""zu"")"),"Iyunithi Yesivinini")</f>
        <v>Iyunithi Yesivinini</v>
      </c>
      <c r="AV167" s="4" t="str">
        <f>IFERROR(__xludf.DUMMYFUNCTION("GOOGLETRANSLATE(B167,""en"",""sr"")"),"Јединица брзине")</f>
        <v>Јединица брзине</v>
      </c>
    </row>
    <row r="168">
      <c r="A168" s="3" t="s">
        <v>366</v>
      </c>
      <c r="B168" s="3" t="s">
        <v>367</v>
      </c>
      <c r="C168" s="4" t="str">
        <f>IFERROR(__xludf.DUMMYFUNCTION("GOOGLETRANSLATE(B168,""en"",""ta"")"),"தொலைவு அலகு")</f>
        <v>தொலைவு அலகு</v>
      </c>
      <c r="D168" s="4" t="str">
        <f>IFERROR(__xludf.DUMMYFUNCTION("GOOGLETRANSLATE(B168,""en"",""hi"")"),"दूरी इकाई")</f>
        <v>दूरी इकाई</v>
      </c>
      <c r="E168" s="4" t="str">
        <f>IFERROR(__xludf.DUMMYFUNCTION("GOOGLETRANSLATE(B168,""en"",""id"")"),"Satuan Jarak")</f>
        <v>Satuan Jarak</v>
      </c>
      <c r="F168" s="4" t="str">
        <f>IFERROR(__xludf.DUMMYFUNCTION("GOOGLETRANSLATE(B168,""en"",""ms"")"),"Unit Jarak")</f>
        <v>Unit Jarak</v>
      </c>
      <c r="G168" s="4" t="str">
        <f>IFERROR(__xludf.DUMMYFUNCTION("GOOGLETRANSLATE(B168,""en"",""de"")"),"Entfernungseinheit")</f>
        <v>Entfernungseinheit</v>
      </c>
      <c r="H168" s="4" t="str">
        <f>IFERROR(__xludf.DUMMYFUNCTION("GOOGLETRANSLATE(B168,""en"",""es"")"),"Unidad de distancia")</f>
        <v>Unidad de distancia</v>
      </c>
      <c r="I168" s="4" t="str">
        <f>IFERROR(__xludf.DUMMYFUNCTION("GOOGLETRANSLATE(B168,""en"",""fr"")"),"Unité de distance")</f>
        <v>Unité de distance</v>
      </c>
      <c r="J168" s="4" t="str">
        <f>IFERROR(__xludf.DUMMYFUNCTION("GOOGLETRANSLATE(B168,""en"",""it"")"),"Unità di distanza")</f>
        <v>Unità di distanza</v>
      </c>
      <c r="K168" s="4" t="str">
        <f>IFERROR(__xludf.DUMMYFUNCTION("GOOGLETRANSLATE(B168,""en"",""pt"")"),"Unidade de distância")</f>
        <v>Unidade de distância</v>
      </c>
      <c r="L168" s="4" t="str">
        <f>IFERROR(__xludf.DUMMYFUNCTION("GOOGLETRANSLATE(B168,""en"",""ro"")"),"Unitatea de Distanță")</f>
        <v>Unitatea de Distanță</v>
      </c>
      <c r="M168" s="4" t="str">
        <f>IFERROR(__xludf.DUMMYFUNCTION("GOOGLETRANSLATE(B168,""en"",""vi"")"),"Đơn vị khoảng cách")</f>
        <v>Đơn vị khoảng cách</v>
      </c>
      <c r="N168" s="4" t="str">
        <f>IFERROR(__xludf.DUMMYFUNCTION("GOOGLETRANSLATE(B168,""en"",""ru"")"),"Единица измерения расстояния")</f>
        <v>Единица измерения расстояния</v>
      </c>
      <c r="O168" s="4" t="str">
        <f>IFERROR(__xludf.DUMMYFUNCTION("GOOGLETRANSLATE(B168,""en"",""tr"")"),"Mesafe Birimi")</f>
        <v>Mesafe Birimi</v>
      </c>
      <c r="P168" s="4" t="str">
        <f>IFERROR(__xludf.DUMMYFUNCTION("GOOGLETRANSLATE(B168,""en"",""ar"")"),"وحدة المسافة")</f>
        <v>وحدة المسافة</v>
      </c>
      <c r="Q168" s="4" t="str">
        <f>IFERROR(__xludf.DUMMYFUNCTION("GOOGLETRANSLATE(B168,""en"",""mr"")"),"अंतर एकक")</f>
        <v>अंतर एकक</v>
      </c>
      <c r="R168" s="4" t="str">
        <f>IFERROR(__xludf.DUMMYFUNCTION("GOOGLETRANSLATE(B168,""en"",""gu"")"),"અંતર એકમ")</f>
        <v>અંતર એકમ</v>
      </c>
      <c r="S168" s="4" t="str">
        <f>IFERROR(__xludf.DUMMYFUNCTION("GOOGLETRANSLATE(B168,""en"",""bn"")"),"দূরত্ব ইউনিট")</f>
        <v>দূরত্ব ইউনিট</v>
      </c>
      <c r="T168" s="4" t="str">
        <f>IFERROR(__xludf.DUMMYFUNCTION("GOOGLETRANSLATE(B168,""en"",""pa"")"),"ਦੂਰੀ ਯੂਨਿਟ")</f>
        <v>ਦੂਰੀ ਯੂਨਿਟ</v>
      </c>
      <c r="U168" s="4" t="str">
        <f>IFERROR(__xludf.DUMMYFUNCTION("GOOGLETRANSLATE(B168,""en"",""te"")"),"దూర యూనిట్")</f>
        <v>దూర యూనిట్</v>
      </c>
      <c r="V168" s="4" t="str">
        <f>IFERROR(__xludf.DUMMYFUNCTION("GOOGLETRANSLATE(B168,""en"",""kn"")"),"ದೂರ ಘಟಕ")</f>
        <v>ದೂರ ಘಟಕ</v>
      </c>
      <c r="W168" s="4" t="str">
        <f>IFERROR(__xludf.DUMMYFUNCTION("GOOGLETRANSLATE(B168,""en"",""ml"")"),"വിദൂര യൂണിറ്റ്")</f>
        <v>വിദൂര യൂണിറ്റ്</v>
      </c>
      <c r="X168" s="4" t="str">
        <f>IFERROR(__xludf.DUMMYFUNCTION("GOOGLETRANSLATE(B168,""en"",""th"")"),"หน่วยระยะทาง")</f>
        <v>หน่วยระยะทาง</v>
      </c>
      <c r="Y168" s="4" t="str">
        <f>IFERROR(__xludf.DUMMYFUNCTION("GOOGLETRANSLATE(B168,""en"",""ko"")"),"거리 단위")</f>
        <v>거리 단위</v>
      </c>
      <c r="Z168" s="4" t="str">
        <f>IFERROR(__xludf.DUMMYFUNCTION("GOOGLETRANSLATE(B168,""en"",""zh"")"),"距离单位")</f>
        <v>距离单位</v>
      </c>
      <c r="AA168" s="4" t="str">
        <f>IFERROR(__xludf.DUMMYFUNCTION("GOOGLETRANSLATE(B168,""en"",""zh-TW"")"),"距離單位")</f>
        <v>距離單位</v>
      </c>
      <c r="AB168" s="4" t="str">
        <f>IFERROR(__xludf.DUMMYFUNCTION("GOOGLETRANSLATE(B168,""en"",""ja"")"),"距離単位")</f>
        <v>距離単位</v>
      </c>
      <c r="AC168" s="4" t="str">
        <f>IFERROR(__xludf.DUMMYFUNCTION("GOOGLETRANSLATE(B168,""en"",""bg"")"),"Единица за разстояние")</f>
        <v>Единица за разстояние</v>
      </c>
      <c r="AD168" s="4" t="str">
        <f>IFERROR(__xludf.DUMMYFUNCTION("GOOGLETRANSLATE(B168,""en"",""cs"")"),"Jednotka vzdálenosti")</f>
        <v>Jednotka vzdálenosti</v>
      </c>
      <c r="AE168" s="4" t="str">
        <f>IFERROR(__xludf.DUMMYFUNCTION("GOOGLETRANSLATE(B168,""en"",""da"")"),"Afstandsenhed")</f>
        <v>Afstandsenhed</v>
      </c>
      <c r="AF168" s="4" t="str">
        <f>IFERROR(__xludf.DUMMYFUNCTION("GOOGLETRANSLATE(B168,""en"",""el"")"),"Μονάδα απόστασης")</f>
        <v>Μονάδα απόστασης</v>
      </c>
      <c r="AG168" s="4" t="str">
        <f>IFERROR(__xludf.DUMMYFUNCTION("GOOGLETRANSLATE(B168,""en"",""et"")"),"Kaugusühik")</f>
        <v>Kaugusühik</v>
      </c>
      <c r="AH168" s="4" t="str">
        <f>IFERROR(__xludf.DUMMYFUNCTION("GOOGLETRANSLATE(B168,""en"",""fi"")"),"Etäisyysyksikkö")</f>
        <v>Etäisyysyksikkö</v>
      </c>
      <c r="AI168" s="4" t="str">
        <f>IFERROR(__xludf.DUMMYFUNCTION("GOOGLETRANSLATE(B168,""en"",""hr"")"),"Jedinica udaljenosti")</f>
        <v>Jedinica udaljenosti</v>
      </c>
      <c r="AJ168" s="4" t="str">
        <f>IFERROR(__xludf.DUMMYFUNCTION("GOOGLETRANSLATE(B168,""en"",""hu"")"),"Távolság mértékegysége")</f>
        <v>Távolság mértékegysége</v>
      </c>
      <c r="AK168" s="4" t="str">
        <f>IFERROR(__xludf.DUMMYFUNCTION("GOOGLETRANSLATE(B168,""en"",""hy"")"),"Հեռավորության միավոր")</f>
        <v>Հեռավորության միավոր</v>
      </c>
      <c r="AL168" s="4" t="str">
        <f>IFERROR(__xludf.DUMMYFUNCTION("GOOGLETRANSLATE(B168,""en"",""ca"")"),"Unitat de distància")</f>
        <v>Unitat de distància</v>
      </c>
      <c r="AM168" s="4" t="str">
        <f>IFERROR(__xludf.DUMMYFUNCTION("GOOGLETRANSLATE(B168,""en"",""nl"")"),"Afstandseenheid")</f>
        <v>Afstandseenheid</v>
      </c>
      <c r="AN168" s="4" t="str">
        <f>IFERROR(__xludf.DUMMYFUNCTION("GOOGLETRANSLATE(B168,""en"",""he"")"),"יחידת מרחק")</f>
        <v>יחידת מרחק</v>
      </c>
      <c r="AO168" s="4" t="str">
        <f>IFERROR(__xludf.DUMMYFUNCTION("GOOGLETRANSLATE(B168,""en"",""is"")"),"Fjarlægðareining")</f>
        <v>Fjarlægðareining</v>
      </c>
      <c r="AP168" s="4" t="str">
        <f>IFERROR(__xludf.DUMMYFUNCTION("GOOGLETRANSLATE(B168,""en"",""no"")"),"Avstandsenhet")</f>
        <v>Avstandsenhet</v>
      </c>
      <c r="AQ168" s="4" t="str">
        <f>IFERROR(__xludf.DUMMYFUNCTION("GOOGLETRANSLATE(B168,""en"",""fa"")"),"واحد فاصله")</f>
        <v>واحد فاصله</v>
      </c>
      <c r="AR168" s="4" t="str">
        <f>IFERROR(__xludf.DUMMYFUNCTION("GOOGLETRANSLATE(B168,""en"",""pl"")"),"Jednostka odległości")</f>
        <v>Jednostka odległości</v>
      </c>
      <c r="AS168" s="4" t="str">
        <f>IFERROR(__xludf.DUMMYFUNCTION("GOOGLETRANSLATE(B168,""en"",""sv"")"),"Avståndsenhet")</f>
        <v>Avståndsenhet</v>
      </c>
      <c r="AT168" s="4" t="str">
        <f>IFERROR(__xludf.DUMMYFUNCTION("GOOGLETRANSLATE(B168,""en"",""uk"")"),"Одиниця відстані")</f>
        <v>Одиниця відстані</v>
      </c>
      <c r="AU168" s="4" t="str">
        <f>IFERROR(__xludf.DUMMYFUNCTION("GOOGLETRANSLATE(B168,""en"",""zu"")"),"Iyunithi Yebanga")</f>
        <v>Iyunithi Yebanga</v>
      </c>
      <c r="AV168" s="4" t="str">
        <f>IFERROR(__xludf.DUMMYFUNCTION("GOOGLETRANSLATE(B168,""en"",""sr"")"),"Јединица удаљености")</f>
        <v>Јединица удаљености</v>
      </c>
    </row>
    <row r="169">
      <c r="A169" s="3" t="s">
        <v>368</v>
      </c>
      <c r="B169" s="3" t="s">
        <v>369</v>
      </c>
      <c r="C169" s="4" t="str">
        <f>IFERROR(__xludf.DUMMYFUNCTION("GOOGLETRANSLATE(B169,""en"",""ta"")"),"உயர அலகு")</f>
        <v>உயர அலகு</v>
      </c>
      <c r="D169" s="4" t="str">
        <f>IFERROR(__xludf.DUMMYFUNCTION("GOOGLETRANSLATE(B169,""en"",""hi"")"),"ऊंचाई इकाई")</f>
        <v>ऊंचाई इकाई</v>
      </c>
      <c r="E169" s="4" t="str">
        <f>IFERROR(__xludf.DUMMYFUNCTION("GOOGLETRANSLATE(B169,""en"",""id"")"),"Satuan Ketinggian")</f>
        <v>Satuan Ketinggian</v>
      </c>
      <c r="F169" s="4" t="str">
        <f>IFERROR(__xludf.DUMMYFUNCTION("GOOGLETRANSLATE(B169,""en"",""ms"")"),"Unit Ketinggian")</f>
        <v>Unit Ketinggian</v>
      </c>
      <c r="G169" s="4" t="str">
        <f>IFERROR(__xludf.DUMMYFUNCTION("GOOGLETRANSLATE(B169,""en"",""de"")"),"Höheneinheit")</f>
        <v>Höheneinheit</v>
      </c>
      <c r="H169" s="4" t="str">
        <f>IFERROR(__xludf.DUMMYFUNCTION("GOOGLETRANSLATE(B169,""en"",""es"")"),"Unidad de altitud")</f>
        <v>Unidad de altitud</v>
      </c>
      <c r="I169" s="4" t="str">
        <f>IFERROR(__xludf.DUMMYFUNCTION("GOOGLETRANSLATE(B169,""en"",""fr"")"),"Unité d'altitude")</f>
        <v>Unité d'altitude</v>
      </c>
      <c r="J169" s="4" t="str">
        <f>IFERROR(__xludf.DUMMYFUNCTION("GOOGLETRANSLATE(B169,""en"",""it"")"),"Unità di altitudine")</f>
        <v>Unità di altitudine</v>
      </c>
      <c r="K169" s="4" t="str">
        <f>IFERROR(__xludf.DUMMYFUNCTION("GOOGLETRANSLATE(B169,""en"",""pt"")"),"Unidade de altitude")</f>
        <v>Unidade de altitude</v>
      </c>
      <c r="L169" s="4" t="str">
        <f>IFERROR(__xludf.DUMMYFUNCTION("GOOGLETRANSLATE(B169,""en"",""ro"")"),"Unitate de altitudine")</f>
        <v>Unitate de altitudine</v>
      </c>
      <c r="M169" s="4" t="str">
        <f>IFERROR(__xludf.DUMMYFUNCTION("GOOGLETRANSLATE(B169,""en"",""vi"")"),"Đơn vị độ cao")</f>
        <v>Đơn vị độ cao</v>
      </c>
      <c r="N169" s="4" t="str">
        <f>IFERROR(__xludf.DUMMYFUNCTION("GOOGLETRANSLATE(B169,""en"",""ru"")"),"Единица измерения высоты")</f>
        <v>Единица измерения высоты</v>
      </c>
      <c r="O169" s="4" t="str">
        <f>IFERROR(__xludf.DUMMYFUNCTION("GOOGLETRANSLATE(B169,""en"",""tr"")"),"Yükseklik Birimi")</f>
        <v>Yükseklik Birimi</v>
      </c>
      <c r="P169" s="4" t="str">
        <f>IFERROR(__xludf.DUMMYFUNCTION("GOOGLETRANSLATE(B169,""en"",""ar"")"),"وحدة الارتفاع")</f>
        <v>وحدة الارتفاع</v>
      </c>
      <c r="Q169" s="4" t="str">
        <f>IFERROR(__xludf.DUMMYFUNCTION("GOOGLETRANSLATE(B169,""en"",""mr"")"),"उंची युनिट")</f>
        <v>उंची युनिट</v>
      </c>
      <c r="R169" s="4" t="str">
        <f>IFERROR(__xludf.DUMMYFUNCTION("GOOGLETRANSLATE(B169,""en"",""gu"")"),"ઊંચાઈ એકમ")</f>
        <v>ઊંચાઈ એકમ</v>
      </c>
      <c r="S169" s="4" t="str">
        <f>IFERROR(__xludf.DUMMYFUNCTION("GOOGLETRANSLATE(B169,""en"",""bn"")"),"উচ্চতা ইউনিট")</f>
        <v>উচ্চতা ইউনিট</v>
      </c>
      <c r="T169" s="4" t="str">
        <f>IFERROR(__xludf.DUMMYFUNCTION("GOOGLETRANSLATE(B169,""en"",""pa"")"),"ਉਚਾਈ ਯੂਨਿਟ")</f>
        <v>ਉਚਾਈ ਯੂਨਿਟ</v>
      </c>
      <c r="U169" s="4" t="str">
        <f>IFERROR(__xludf.DUMMYFUNCTION("GOOGLETRANSLATE(B169,""en"",""te"")"),"ఎత్తు యూనిట్")</f>
        <v>ఎత్తు యూనిట్</v>
      </c>
      <c r="V169" s="4" t="str">
        <f>IFERROR(__xludf.DUMMYFUNCTION("GOOGLETRANSLATE(B169,""en"",""kn"")"),"ಎತ್ತರದ ಘಟಕ")</f>
        <v>ಎತ್ತರದ ಘಟಕ</v>
      </c>
      <c r="W169" s="4" t="str">
        <f>IFERROR(__xludf.DUMMYFUNCTION("GOOGLETRANSLATE(B169,""en"",""ml"")"),"ആൾട്ടിറ്റ്യൂഡ് യൂണിറ്റ്")</f>
        <v>ആൾട്ടിറ്റ്യൂഡ് യൂണിറ്റ്</v>
      </c>
      <c r="X169" s="4" t="str">
        <f>IFERROR(__xludf.DUMMYFUNCTION("GOOGLETRANSLATE(B169,""en"",""th"")"),"หน่วยความสูง")</f>
        <v>หน่วยความสูง</v>
      </c>
      <c r="Y169" s="4" t="str">
        <f>IFERROR(__xludf.DUMMYFUNCTION("GOOGLETRANSLATE(B169,""en"",""ko"")"),"고도 단위")</f>
        <v>고도 단위</v>
      </c>
      <c r="Z169" s="4" t="str">
        <f>IFERROR(__xludf.DUMMYFUNCTION("GOOGLETRANSLATE(B169,""en"",""zh"")"),"海拔单位")</f>
        <v>海拔单位</v>
      </c>
      <c r="AA169" s="4" t="str">
        <f>IFERROR(__xludf.DUMMYFUNCTION("GOOGLETRANSLATE(B169,""en"",""zh-TW"")"),"海拔單位")</f>
        <v>海拔單位</v>
      </c>
      <c r="AB169" s="4" t="str">
        <f>IFERROR(__xludf.DUMMYFUNCTION("GOOGLETRANSLATE(B169,""en"",""ja"")"),"高度単位")</f>
        <v>高度単位</v>
      </c>
      <c r="AC169" s="4" t="str">
        <f>IFERROR(__xludf.DUMMYFUNCTION("GOOGLETRANSLATE(B169,""en"",""bg"")"),"Единица за надморска височина")</f>
        <v>Единица за надморска височина</v>
      </c>
      <c r="AD169" s="4" t="str">
        <f>IFERROR(__xludf.DUMMYFUNCTION("GOOGLETRANSLATE(B169,""en"",""cs"")"),"Výšková jednotka")</f>
        <v>Výšková jednotka</v>
      </c>
      <c r="AE169" s="4" t="str">
        <f>IFERROR(__xludf.DUMMYFUNCTION("GOOGLETRANSLATE(B169,""en"",""da"")"),"Højdeenhed")</f>
        <v>Højdeenhed</v>
      </c>
      <c r="AF169" s="4" t="str">
        <f>IFERROR(__xludf.DUMMYFUNCTION("GOOGLETRANSLATE(B169,""en"",""el"")"),"Υψομετρική Μονάδα")</f>
        <v>Υψομετρική Μονάδα</v>
      </c>
      <c r="AG169" s="4" t="str">
        <f>IFERROR(__xludf.DUMMYFUNCTION("GOOGLETRANSLATE(B169,""en"",""et"")"),"Kõrguse ühik")</f>
        <v>Kõrguse ühik</v>
      </c>
      <c r="AH169" s="4" t="str">
        <f>IFERROR(__xludf.DUMMYFUNCTION("GOOGLETRANSLATE(B169,""en"",""fi"")"),"Korkeusyksikkö")</f>
        <v>Korkeusyksikkö</v>
      </c>
      <c r="AI169" s="4" t="str">
        <f>IFERROR(__xludf.DUMMYFUNCTION("GOOGLETRANSLATE(B169,""en"",""hr"")"),"Jedinica nadmorske visine")</f>
        <v>Jedinica nadmorske visine</v>
      </c>
      <c r="AJ169" s="4" t="str">
        <f>IFERROR(__xludf.DUMMYFUNCTION("GOOGLETRANSLATE(B169,""en"",""hu"")"),"Magassági egység")</f>
        <v>Magassági egység</v>
      </c>
      <c r="AK169" s="4" t="str">
        <f>IFERROR(__xludf.DUMMYFUNCTION("GOOGLETRANSLATE(B169,""en"",""hy"")"),"Բարձրության միավոր")</f>
        <v>Բարձրության միավոր</v>
      </c>
      <c r="AL169" s="4" t="str">
        <f>IFERROR(__xludf.DUMMYFUNCTION("GOOGLETRANSLATE(B169,""en"",""ca"")"),"Unitat d'altitud")</f>
        <v>Unitat d'altitud</v>
      </c>
      <c r="AM169" s="4" t="str">
        <f>IFERROR(__xludf.DUMMYFUNCTION("GOOGLETRANSLATE(B169,""en"",""nl"")"),"Hoogte-eenheid")</f>
        <v>Hoogte-eenheid</v>
      </c>
      <c r="AN169" s="4" t="str">
        <f>IFERROR(__xludf.DUMMYFUNCTION("GOOGLETRANSLATE(B169,""en"",""he"")"),"יחידת גובה")</f>
        <v>יחידת גובה</v>
      </c>
      <c r="AO169" s="4" t="str">
        <f>IFERROR(__xludf.DUMMYFUNCTION("GOOGLETRANSLATE(B169,""en"",""is"")"),"Hæðareining")</f>
        <v>Hæðareining</v>
      </c>
      <c r="AP169" s="4" t="str">
        <f>IFERROR(__xludf.DUMMYFUNCTION("GOOGLETRANSLATE(B169,""en"",""no"")"),"Høydeenhet")</f>
        <v>Høydeenhet</v>
      </c>
      <c r="AQ169" s="4" t="str">
        <f>IFERROR(__xludf.DUMMYFUNCTION("GOOGLETRANSLATE(B169,""en"",""fa"")"),"واحد ارتفاع")</f>
        <v>واحد ارتفاع</v>
      </c>
      <c r="AR169" s="4" t="str">
        <f>IFERROR(__xludf.DUMMYFUNCTION("GOOGLETRANSLATE(B169,""en"",""pl"")"),"Jednostka wysokości")</f>
        <v>Jednostka wysokości</v>
      </c>
      <c r="AS169" s="4" t="str">
        <f>IFERROR(__xludf.DUMMYFUNCTION("GOOGLETRANSLATE(B169,""en"",""sv"")"),"Höjdenhet")</f>
        <v>Höjdenhet</v>
      </c>
      <c r="AT169" s="4" t="str">
        <f>IFERROR(__xludf.DUMMYFUNCTION("GOOGLETRANSLATE(B169,""en"",""uk"")"),"Одиниця висоти")</f>
        <v>Одиниця висоти</v>
      </c>
      <c r="AU169" s="4" t="str">
        <f>IFERROR(__xludf.DUMMYFUNCTION("GOOGLETRANSLATE(B169,""en"",""zu"")"),"Iyunithi ye-Altitude")</f>
        <v>Iyunithi ye-Altitude</v>
      </c>
      <c r="AV169" s="4" t="str">
        <f>IFERROR(__xludf.DUMMYFUNCTION("GOOGLETRANSLATE(B169,""en"",""sr"")"),"Алтитуде Унит")</f>
        <v>Алтитуде Унит</v>
      </c>
    </row>
    <row r="170">
      <c r="A170" s="3" t="s">
        <v>370</v>
      </c>
      <c r="B170" s="3" t="s">
        <v>371</v>
      </c>
      <c r="C170" s="4" t="str">
        <f>IFERROR(__xludf.DUMMYFUNCTION("GOOGLETRANSLATE(B170,""en"",""ta"")"),"வெப்பநிலை அலகு")</f>
        <v>வெப்பநிலை அலகு</v>
      </c>
      <c r="D170" s="4" t="str">
        <f>IFERROR(__xludf.DUMMYFUNCTION("GOOGLETRANSLATE(B170,""en"",""hi"")"),"तापमान इकाई")</f>
        <v>तापमान इकाई</v>
      </c>
      <c r="E170" s="4" t="str">
        <f>IFERROR(__xludf.DUMMYFUNCTION("GOOGLETRANSLATE(B170,""en"",""id"")"),"Satuan Suhu")</f>
        <v>Satuan Suhu</v>
      </c>
      <c r="F170" s="4" t="str">
        <f>IFERROR(__xludf.DUMMYFUNCTION("GOOGLETRANSLATE(B170,""en"",""ms"")"),"Unit Suhu")</f>
        <v>Unit Suhu</v>
      </c>
      <c r="G170" s="4" t="str">
        <f>IFERROR(__xludf.DUMMYFUNCTION("GOOGLETRANSLATE(B170,""en"",""de"")"),"Temperatureinheit")</f>
        <v>Temperatureinheit</v>
      </c>
      <c r="H170" s="4" t="str">
        <f>IFERROR(__xludf.DUMMYFUNCTION("GOOGLETRANSLATE(B170,""en"",""es"")"),"Unidad de temperatura")</f>
        <v>Unidad de temperatura</v>
      </c>
      <c r="I170" s="4" t="str">
        <f>IFERROR(__xludf.DUMMYFUNCTION("GOOGLETRANSLATE(B170,""en"",""fr"")"),"Unité de température")</f>
        <v>Unité de température</v>
      </c>
      <c r="J170" s="4" t="str">
        <f>IFERROR(__xludf.DUMMYFUNCTION("GOOGLETRANSLATE(B170,""en"",""it"")"),"Unità di temperatura")</f>
        <v>Unità di temperatura</v>
      </c>
      <c r="K170" s="4" t="str">
        <f>IFERROR(__xludf.DUMMYFUNCTION("GOOGLETRANSLATE(B170,""en"",""pt"")"),"Unidade de temperatura")</f>
        <v>Unidade de temperatura</v>
      </c>
      <c r="L170" s="4" t="str">
        <f>IFERROR(__xludf.DUMMYFUNCTION("GOOGLETRANSLATE(B170,""en"",""ro"")"),"Unitate de temperatură")</f>
        <v>Unitate de temperatură</v>
      </c>
      <c r="M170" s="4" t="str">
        <f>IFERROR(__xludf.DUMMYFUNCTION("GOOGLETRANSLATE(B170,""en"",""vi"")"),"Đơn vị nhiệt độ")</f>
        <v>Đơn vị nhiệt độ</v>
      </c>
      <c r="N170" s="4" t="str">
        <f>IFERROR(__xludf.DUMMYFUNCTION("GOOGLETRANSLATE(B170,""en"",""ru"")"),"Единица измерения температуры")</f>
        <v>Единица измерения температуры</v>
      </c>
      <c r="O170" s="4" t="str">
        <f>IFERROR(__xludf.DUMMYFUNCTION("GOOGLETRANSLATE(B170,""en"",""tr"")"),"Sıcaklık Birimi")</f>
        <v>Sıcaklık Birimi</v>
      </c>
      <c r="P170" s="4" t="str">
        <f>IFERROR(__xludf.DUMMYFUNCTION("GOOGLETRANSLATE(B170,""en"",""ar"")"),"وحدة درجة الحرارة")</f>
        <v>وحدة درجة الحرارة</v>
      </c>
      <c r="Q170" s="4" t="str">
        <f>IFERROR(__xludf.DUMMYFUNCTION("GOOGLETRANSLATE(B170,""en"",""mr"")"),"तापमान युनिट")</f>
        <v>तापमान युनिट</v>
      </c>
      <c r="R170" s="4" t="str">
        <f>IFERROR(__xludf.DUMMYFUNCTION("GOOGLETRANSLATE(B170,""en"",""gu"")"),"તાપમાન એકમ")</f>
        <v>તાપમાન એકમ</v>
      </c>
      <c r="S170" s="4" t="str">
        <f>IFERROR(__xludf.DUMMYFUNCTION("GOOGLETRANSLATE(B170,""en"",""bn"")"),"তাপমাত্রা ইউনিট")</f>
        <v>তাপমাত্রা ইউনিট</v>
      </c>
      <c r="T170" s="4" t="str">
        <f>IFERROR(__xludf.DUMMYFUNCTION("GOOGLETRANSLATE(B170,""en"",""pa"")"),"ਤਾਪਮਾਨ ਯੂਨਿਟ")</f>
        <v>ਤਾਪਮਾਨ ਯੂਨਿਟ</v>
      </c>
      <c r="U170" s="4" t="str">
        <f>IFERROR(__xludf.DUMMYFUNCTION("GOOGLETRANSLATE(B170,""en"",""te"")"),"ఉష్ణోగ్రత యూనిట్")</f>
        <v>ఉష్ణోగ్రత యూనిట్</v>
      </c>
      <c r="V170" s="4" t="str">
        <f>IFERROR(__xludf.DUMMYFUNCTION("GOOGLETRANSLATE(B170,""en"",""kn"")"),"ತಾಪಮಾನ ಘಟಕ")</f>
        <v>ತಾಪಮಾನ ಘಟಕ</v>
      </c>
      <c r="W170" s="4" t="str">
        <f>IFERROR(__xludf.DUMMYFUNCTION("GOOGLETRANSLATE(B170,""en"",""ml"")"),"താപനില യൂണിറ്റ്")</f>
        <v>താപനില യൂണിറ്റ്</v>
      </c>
      <c r="X170" s="4" t="str">
        <f>IFERROR(__xludf.DUMMYFUNCTION("GOOGLETRANSLATE(B170,""en"",""th"")"),"หน่วยอุณหภูมิ")</f>
        <v>หน่วยอุณหภูมิ</v>
      </c>
      <c r="Y170" s="4" t="str">
        <f>IFERROR(__xludf.DUMMYFUNCTION("GOOGLETRANSLATE(B170,""en"",""ko"")"),"온도 단위")</f>
        <v>온도 단위</v>
      </c>
      <c r="Z170" s="4" t="str">
        <f>IFERROR(__xludf.DUMMYFUNCTION("GOOGLETRANSLATE(B170,""en"",""zh"")"),"温度单位")</f>
        <v>温度单位</v>
      </c>
      <c r="AA170" s="4" t="str">
        <f>IFERROR(__xludf.DUMMYFUNCTION("GOOGLETRANSLATE(B170,""en"",""zh-TW"")"),"溫度單位")</f>
        <v>溫度單位</v>
      </c>
      <c r="AB170" s="4" t="str">
        <f>IFERROR(__xludf.DUMMYFUNCTION("GOOGLETRANSLATE(B170,""en"",""ja"")"),"温度単位")</f>
        <v>温度単位</v>
      </c>
      <c r="AC170" s="4" t="str">
        <f>IFERROR(__xludf.DUMMYFUNCTION("GOOGLETRANSLATE(B170,""en"",""bg"")"),"Температурна единица")</f>
        <v>Температурна единица</v>
      </c>
      <c r="AD170" s="4" t="str">
        <f>IFERROR(__xludf.DUMMYFUNCTION("GOOGLETRANSLATE(B170,""en"",""cs"")"),"Jednotka teploty")</f>
        <v>Jednotka teploty</v>
      </c>
      <c r="AE170" s="4" t="str">
        <f>IFERROR(__xludf.DUMMYFUNCTION("GOOGLETRANSLATE(B170,""en"",""da"")"),"Temperaturenhed")</f>
        <v>Temperaturenhed</v>
      </c>
      <c r="AF170" s="4" t="str">
        <f>IFERROR(__xludf.DUMMYFUNCTION("GOOGLETRANSLATE(B170,""en"",""el"")"),"Μονάδα Θερμοκρασίας")</f>
        <v>Μονάδα Θερμοκρασίας</v>
      </c>
      <c r="AG170" s="4" t="str">
        <f>IFERROR(__xludf.DUMMYFUNCTION("GOOGLETRANSLATE(B170,""en"",""et"")"),"Temperatuuri ühik")</f>
        <v>Temperatuuri ühik</v>
      </c>
      <c r="AH170" s="4" t="str">
        <f>IFERROR(__xludf.DUMMYFUNCTION("GOOGLETRANSLATE(B170,""en"",""fi"")"),"Lämpötilayksikkö")</f>
        <v>Lämpötilayksikkö</v>
      </c>
      <c r="AI170" s="4" t="str">
        <f>IFERROR(__xludf.DUMMYFUNCTION("GOOGLETRANSLATE(B170,""en"",""hr"")"),"Jedinica za temperaturu")</f>
        <v>Jedinica za temperaturu</v>
      </c>
      <c r="AJ170" s="4" t="str">
        <f>IFERROR(__xludf.DUMMYFUNCTION("GOOGLETRANSLATE(B170,""en"",""hu"")"),"Hőmérséklet mértékegysége")</f>
        <v>Hőmérséklet mértékegysége</v>
      </c>
      <c r="AK170" s="4" t="str">
        <f>IFERROR(__xludf.DUMMYFUNCTION("GOOGLETRANSLATE(B170,""en"",""hy"")"),"Ջերմաստիճանի միավոր")</f>
        <v>Ջերմաստիճանի միավոր</v>
      </c>
      <c r="AL170" s="4" t="str">
        <f>IFERROR(__xludf.DUMMYFUNCTION("GOOGLETRANSLATE(B170,""en"",""ca"")"),"Unitat de temperatura")</f>
        <v>Unitat de temperatura</v>
      </c>
      <c r="AM170" s="4" t="str">
        <f>IFERROR(__xludf.DUMMYFUNCTION("GOOGLETRANSLATE(B170,""en"",""nl"")"),"Temperatuureenheid")</f>
        <v>Temperatuureenheid</v>
      </c>
      <c r="AN170" s="4" t="str">
        <f>IFERROR(__xludf.DUMMYFUNCTION("GOOGLETRANSLATE(B170,""en"",""he"")"),"יחידת טמפרטורה")</f>
        <v>יחידת טמפרטורה</v>
      </c>
      <c r="AO170" s="4" t="str">
        <f>IFERROR(__xludf.DUMMYFUNCTION("GOOGLETRANSLATE(B170,""en"",""is"")"),"Hitastigseining")</f>
        <v>Hitastigseining</v>
      </c>
      <c r="AP170" s="4" t="str">
        <f>IFERROR(__xludf.DUMMYFUNCTION("GOOGLETRANSLATE(B170,""en"",""no"")"),"Temperaturenhet")</f>
        <v>Temperaturenhet</v>
      </c>
      <c r="AQ170" s="4" t="str">
        <f>IFERROR(__xludf.DUMMYFUNCTION("GOOGLETRANSLATE(B170,""en"",""fa"")"),"واحد دما")</f>
        <v>واحد دما</v>
      </c>
      <c r="AR170" s="4" t="str">
        <f>IFERROR(__xludf.DUMMYFUNCTION("GOOGLETRANSLATE(B170,""en"",""pl"")"),"Jednostka temperatury")</f>
        <v>Jednostka temperatury</v>
      </c>
      <c r="AS170" s="4" t="str">
        <f>IFERROR(__xludf.DUMMYFUNCTION("GOOGLETRANSLATE(B170,""en"",""sv"")"),"Temperaturenhet")</f>
        <v>Temperaturenhet</v>
      </c>
      <c r="AT170" s="4" t="str">
        <f>IFERROR(__xludf.DUMMYFUNCTION("GOOGLETRANSLATE(B170,""en"",""uk"")"),"Одиниця вимірювання температури")</f>
        <v>Одиниця вимірювання температури</v>
      </c>
      <c r="AU170" s="4" t="str">
        <f>IFERROR(__xludf.DUMMYFUNCTION("GOOGLETRANSLATE(B170,""en"",""zu"")"),"Iyunithi Yezinga lokushisa")</f>
        <v>Iyunithi Yezinga lokushisa</v>
      </c>
      <c r="AV170" s="4" t="str">
        <f>IFERROR(__xludf.DUMMYFUNCTION("GOOGLETRANSLATE(B170,""en"",""sr"")"),"Јединица температуре")</f>
        <v>Јединица температуре</v>
      </c>
    </row>
    <row r="171">
      <c r="A171" s="3" t="s">
        <v>372</v>
      </c>
      <c r="B171" s="3" t="s">
        <v>373</v>
      </c>
      <c r="C171" s="4" t="str">
        <f>IFERROR(__xludf.DUMMYFUNCTION("GOOGLETRANSLATE(B171,""en"",""ta"")"),"அழுத்தம் அலகு")</f>
        <v>அழுத்தம் அலகு</v>
      </c>
      <c r="D171" s="4" t="str">
        <f>IFERROR(__xludf.DUMMYFUNCTION("GOOGLETRANSLATE(B171,""en"",""hi"")"),"दबाव इकाई")</f>
        <v>दबाव इकाई</v>
      </c>
      <c r="E171" s="4" t="str">
        <f>IFERROR(__xludf.DUMMYFUNCTION("GOOGLETRANSLATE(B171,""en"",""id"")"),"Satuan Tekanan")</f>
        <v>Satuan Tekanan</v>
      </c>
      <c r="F171" s="4" t="str">
        <f>IFERROR(__xludf.DUMMYFUNCTION("GOOGLETRANSLATE(B171,""en"",""ms"")"),"Unit Tekanan")</f>
        <v>Unit Tekanan</v>
      </c>
      <c r="G171" s="4" t="str">
        <f>IFERROR(__xludf.DUMMYFUNCTION("GOOGLETRANSLATE(B171,""en"",""de"")"),"Druckeinheit")</f>
        <v>Druckeinheit</v>
      </c>
      <c r="H171" s="4" t="str">
        <f>IFERROR(__xludf.DUMMYFUNCTION("GOOGLETRANSLATE(B171,""en"",""es"")"),"Unidad de presión")</f>
        <v>Unidad de presión</v>
      </c>
      <c r="I171" s="4" t="str">
        <f>IFERROR(__xludf.DUMMYFUNCTION("GOOGLETRANSLATE(B171,""en"",""fr"")"),"Unité de pression")</f>
        <v>Unité de pression</v>
      </c>
      <c r="J171" s="4" t="str">
        <f>IFERROR(__xludf.DUMMYFUNCTION("GOOGLETRANSLATE(B171,""en"",""it"")"),"Unità di pressione")</f>
        <v>Unità di pressione</v>
      </c>
      <c r="K171" s="4" t="str">
        <f>IFERROR(__xludf.DUMMYFUNCTION("GOOGLETRANSLATE(B171,""en"",""pt"")"),"Unidade de Pressão")</f>
        <v>Unidade de Pressão</v>
      </c>
      <c r="L171" s="4" t="str">
        <f>IFERROR(__xludf.DUMMYFUNCTION("GOOGLETRANSLATE(B171,""en"",""ro"")"),"Unitate de presiune")</f>
        <v>Unitate de presiune</v>
      </c>
      <c r="M171" s="4" t="str">
        <f>IFERROR(__xludf.DUMMYFUNCTION("GOOGLETRANSLATE(B171,""en"",""vi"")"),"Đơn vị áp suất")</f>
        <v>Đơn vị áp suất</v>
      </c>
      <c r="N171" s="4" t="str">
        <f>IFERROR(__xludf.DUMMYFUNCTION("GOOGLETRANSLATE(B171,""en"",""ru"")"),"Единица измерения давления")</f>
        <v>Единица измерения давления</v>
      </c>
      <c r="O171" s="4" t="str">
        <f>IFERROR(__xludf.DUMMYFUNCTION("GOOGLETRANSLATE(B171,""en"",""tr"")"),"Basınç Birimi")</f>
        <v>Basınç Birimi</v>
      </c>
      <c r="P171" s="4" t="str">
        <f>IFERROR(__xludf.DUMMYFUNCTION("GOOGLETRANSLATE(B171,""en"",""ar"")"),"وحدة الضغط")</f>
        <v>وحدة الضغط</v>
      </c>
      <c r="Q171" s="4" t="str">
        <f>IFERROR(__xludf.DUMMYFUNCTION("GOOGLETRANSLATE(B171,""en"",""mr"")"),"प्रेशर युनिट")</f>
        <v>प्रेशर युनिट</v>
      </c>
      <c r="R171" s="4" t="str">
        <f>IFERROR(__xludf.DUMMYFUNCTION("GOOGLETRANSLATE(B171,""en"",""gu"")"),"દબાણ એકમ")</f>
        <v>દબાણ એકમ</v>
      </c>
      <c r="S171" s="4" t="str">
        <f>IFERROR(__xludf.DUMMYFUNCTION("GOOGLETRANSLATE(B171,""en"",""bn"")"),"প্রেসার ইউনিট")</f>
        <v>প্রেসার ইউনিট</v>
      </c>
      <c r="T171" s="4" t="str">
        <f>IFERROR(__xludf.DUMMYFUNCTION("GOOGLETRANSLATE(B171,""en"",""pa"")"),"ਪ੍ਰੈਸ਼ਰ ਯੂਨਿਟ")</f>
        <v>ਪ੍ਰੈਸ਼ਰ ਯੂਨਿਟ</v>
      </c>
      <c r="U171" s="4" t="str">
        <f>IFERROR(__xludf.DUMMYFUNCTION("GOOGLETRANSLATE(B171,""en"",""te"")"),"ఒత్తిడి యూనిట్")</f>
        <v>ఒత్తిడి యూనిట్</v>
      </c>
      <c r="V171" s="4" t="str">
        <f>IFERROR(__xludf.DUMMYFUNCTION("GOOGLETRANSLATE(B171,""en"",""kn"")"),"ಒತ್ತಡದ ಘಟಕ")</f>
        <v>ಒತ್ತಡದ ಘಟಕ</v>
      </c>
      <c r="W171" s="4" t="str">
        <f>IFERROR(__xludf.DUMMYFUNCTION("GOOGLETRANSLATE(B171,""en"",""ml"")"),"പ്രഷർ യൂണിറ്റ്")</f>
        <v>പ്രഷർ യൂണിറ്റ്</v>
      </c>
      <c r="X171" s="4" t="str">
        <f>IFERROR(__xludf.DUMMYFUNCTION("GOOGLETRANSLATE(B171,""en"",""th"")"),"หน่วยวัดแรงดัน")</f>
        <v>หน่วยวัดแรงดัน</v>
      </c>
      <c r="Y171" s="4" t="str">
        <f>IFERROR(__xludf.DUMMYFUNCTION("GOOGLETRANSLATE(B171,""en"",""ko"")"),"압력 단위")</f>
        <v>압력 단위</v>
      </c>
      <c r="Z171" s="4" t="str">
        <f>IFERROR(__xludf.DUMMYFUNCTION("GOOGLETRANSLATE(B171,""en"",""zh"")"),"压力单位")</f>
        <v>压力单位</v>
      </c>
      <c r="AA171" s="4" t="str">
        <f>IFERROR(__xludf.DUMMYFUNCTION("GOOGLETRANSLATE(B171,""en"",""zh-TW"")"),"壓力單位")</f>
        <v>壓力單位</v>
      </c>
      <c r="AB171" s="4" t="str">
        <f>IFERROR(__xludf.DUMMYFUNCTION("GOOGLETRANSLATE(B171,""en"",""ja"")"),"圧力単位")</f>
        <v>圧力単位</v>
      </c>
      <c r="AC171" s="4" t="str">
        <f>IFERROR(__xludf.DUMMYFUNCTION("GOOGLETRANSLATE(B171,""en"",""bg"")"),"Единица за налягане")</f>
        <v>Единица за налягане</v>
      </c>
      <c r="AD171" s="4" t="str">
        <f>IFERROR(__xludf.DUMMYFUNCTION("GOOGLETRANSLATE(B171,""en"",""cs"")"),"Tlaková jednotka")</f>
        <v>Tlaková jednotka</v>
      </c>
      <c r="AE171" s="4" t="str">
        <f>IFERROR(__xludf.DUMMYFUNCTION("GOOGLETRANSLATE(B171,""en"",""da"")"),"Trykenhed")</f>
        <v>Trykenhed</v>
      </c>
      <c r="AF171" s="4" t="str">
        <f>IFERROR(__xludf.DUMMYFUNCTION("GOOGLETRANSLATE(B171,""en"",""el"")"),"Μονάδα Πίεσης")</f>
        <v>Μονάδα Πίεσης</v>
      </c>
      <c r="AG171" s="4" t="str">
        <f>IFERROR(__xludf.DUMMYFUNCTION("GOOGLETRANSLATE(B171,""en"",""et"")"),"Surveühik")</f>
        <v>Surveühik</v>
      </c>
      <c r="AH171" s="4" t="str">
        <f>IFERROR(__xludf.DUMMYFUNCTION("GOOGLETRANSLATE(B171,""en"",""fi"")"),"Paineyksikkö")</f>
        <v>Paineyksikkö</v>
      </c>
      <c r="AI171" s="4" t="str">
        <f>IFERROR(__xludf.DUMMYFUNCTION("GOOGLETRANSLATE(B171,""en"",""hr"")"),"Jedinica tlaka")</f>
        <v>Jedinica tlaka</v>
      </c>
      <c r="AJ171" s="4" t="str">
        <f>IFERROR(__xludf.DUMMYFUNCTION("GOOGLETRANSLATE(B171,""en"",""hu"")"),"Nyomásegység")</f>
        <v>Nyomásegység</v>
      </c>
      <c r="AK171" s="4" t="str">
        <f>IFERROR(__xludf.DUMMYFUNCTION("GOOGLETRANSLATE(B171,""en"",""hy"")"),"Ճնշման միավոր")</f>
        <v>Ճնշման միավոր</v>
      </c>
      <c r="AL171" s="4" t="str">
        <f>IFERROR(__xludf.DUMMYFUNCTION("GOOGLETRANSLATE(B171,""en"",""ca"")"),"Unitat de pressió")</f>
        <v>Unitat de pressió</v>
      </c>
      <c r="AM171" s="4" t="str">
        <f>IFERROR(__xludf.DUMMYFUNCTION("GOOGLETRANSLATE(B171,""en"",""nl"")"),"Drukeenheid")</f>
        <v>Drukeenheid</v>
      </c>
      <c r="AN171" s="4" t="str">
        <f>IFERROR(__xludf.DUMMYFUNCTION("GOOGLETRANSLATE(B171,""en"",""he"")"),"יחידת לחץ")</f>
        <v>יחידת לחץ</v>
      </c>
      <c r="AO171" s="4" t="str">
        <f>IFERROR(__xludf.DUMMYFUNCTION("GOOGLETRANSLATE(B171,""en"",""is"")"),"Þrýstieining")</f>
        <v>Þrýstieining</v>
      </c>
      <c r="AP171" s="4" t="str">
        <f>IFERROR(__xludf.DUMMYFUNCTION("GOOGLETRANSLATE(B171,""en"",""no"")"),"Trykkenhet")</f>
        <v>Trykkenhet</v>
      </c>
      <c r="AQ171" s="4" t="str">
        <f>IFERROR(__xludf.DUMMYFUNCTION("GOOGLETRANSLATE(B171,""en"",""fa"")"),"واحد فشار")</f>
        <v>واحد فشار</v>
      </c>
      <c r="AR171" s="4" t="str">
        <f>IFERROR(__xludf.DUMMYFUNCTION("GOOGLETRANSLATE(B171,""en"",""pl"")"),"Jednostka ciśnienia")</f>
        <v>Jednostka ciśnienia</v>
      </c>
      <c r="AS171" s="4" t="str">
        <f>IFERROR(__xludf.DUMMYFUNCTION("GOOGLETRANSLATE(B171,""en"",""sv"")"),"Tryckenhet")</f>
        <v>Tryckenhet</v>
      </c>
      <c r="AT171" s="4" t="str">
        <f>IFERROR(__xludf.DUMMYFUNCTION("GOOGLETRANSLATE(B171,""en"",""uk"")"),"Одиниця тиску")</f>
        <v>Одиниця тиску</v>
      </c>
      <c r="AU171" s="4" t="str">
        <f>IFERROR(__xludf.DUMMYFUNCTION("GOOGLETRANSLATE(B171,""en"",""zu"")"),"Iyunithi Yengcindezi")</f>
        <v>Iyunithi Yengcindezi</v>
      </c>
      <c r="AV171" s="4" t="str">
        <f>IFERROR(__xludf.DUMMYFUNCTION("GOOGLETRANSLATE(B171,""en"",""sr"")"),"Јединица за притисак")</f>
        <v>Јединица за притисак</v>
      </c>
    </row>
    <row r="172">
      <c r="A172" s="3" t="s">
        <v>374</v>
      </c>
      <c r="B172" s="3" t="s">
        <v>375</v>
      </c>
      <c r="C172" s="4" t="str">
        <f>IFERROR(__xludf.DUMMYFUNCTION("GOOGLETRANSLATE(B172,""en"",""ta"")"),"பகுதி அலகு")</f>
        <v>பகுதி அலகு</v>
      </c>
      <c r="D172" s="4" t="str">
        <f>IFERROR(__xludf.DUMMYFUNCTION("GOOGLETRANSLATE(B172,""en"",""hi"")"),"क्षेत्र इकाई")</f>
        <v>क्षेत्र इकाई</v>
      </c>
      <c r="E172" s="4" t="str">
        <f>IFERROR(__xludf.DUMMYFUNCTION("GOOGLETRANSLATE(B172,""en"",""id"")"),"Satuan Luas")</f>
        <v>Satuan Luas</v>
      </c>
      <c r="F172" s="4" t="str">
        <f>IFERROR(__xludf.DUMMYFUNCTION("GOOGLETRANSLATE(B172,""en"",""ms"")"),"Unit Kawasan")</f>
        <v>Unit Kawasan</v>
      </c>
      <c r="G172" s="4" t="str">
        <f>IFERROR(__xludf.DUMMYFUNCTION("GOOGLETRANSLATE(B172,""en"",""de"")"),"Flächeneinheit")</f>
        <v>Flächeneinheit</v>
      </c>
      <c r="H172" s="4" t="str">
        <f>IFERROR(__xludf.DUMMYFUNCTION("GOOGLETRANSLATE(B172,""en"",""es"")"),"Unidad de área")</f>
        <v>Unidad de área</v>
      </c>
      <c r="I172" s="4" t="str">
        <f>IFERROR(__xludf.DUMMYFUNCTION("GOOGLETRANSLATE(B172,""en"",""fr"")"),"Unité de surface")</f>
        <v>Unité de surface</v>
      </c>
      <c r="J172" s="4" t="str">
        <f>IFERROR(__xludf.DUMMYFUNCTION("GOOGLETRANSLATE(B172,""en"",""it"")"),"Unità di area")</f>
        <v>Unità di area</v>
      </c>
      <c r="K172" s="4" t="str">
        <f>IFERROR(__xludf.DUMMYFUNCTION("GOOGLETRANSLATE(B172,""en"",""pt"")"),"Unidade de Área")</f>
        <v>Unidade de Área</v>
      </c>
      <c r="L172" s="4" t="str">
        <f>IFERROR(__xludf.DUMMYFUNCTION("GOOGLETRANSLATE(B172,""en"",""ro"")"),"Unitatea de zonă")</f>
        <v>Unitatea de zonă</v>
      </c>
      <c r="M172" s="4" t="str">
        <f>IFERROR(__xludf.DUMMYFUNCTION("GOOGLETRANSLATE(B172,""en"",""vi"")"),"Đơn vị diện tích")</f>
        <v>Đơn vị diện tích</v>
      </c>
      <c r="N172" s="4" t="str">
        <f>IFERROR(__xludf.DUMMYFUNCTION("GOOGLETRANSLATE(B172,""en"",""ru"")"),"Единица измерения площади")</f>
        <v>Единица измерения площади</v>
      </c>
      <c r="O172" s="4" t="str">
        <f>IFERROR(__xludf.DUMMYFUNCTION("GOOGLETRANSLATE(B172,""en"",""tr"")"),"Alan Birimi")</f>
        <v>Alan Birimi</v>
      </c>
      <c r="P172" s="4" t="str">
        <f>IFERROR(__xludf.DUMMYFUNCTION("GOOGLETRANSLATE(B172,""en"",""ar"")"),"وحدة المساحة")</f>
        <v>وحدة المساحة</v>
      </c>
      <c r="Q172" s="4" t="str">
        <f>IFERROR(__xludf.DUMMYFUNCTION("GOOGLETRANSLATE(B172,""en"",""mr"")"),"क्षेत्र युनिट")</f>
        <v>क्षेत्र युनिट</v>
      </c>
      <c r="R172" s="4" t="str">
        <f>IFERROR(__xludf.DUMMYFUNCTION("GOOGLETRANSLATE(B172,""en"",""gu"")"),"વિસ્તાર એકમ")</f>
        <v>વિસ્તાર એકમ</v>
      </c>
      <c r="S172" s="4" t="str">
        <f>IFERROR(__xludf.DUMMYFUNCTION("GOOGLETRANSLATE(B172,""en"",""bn"")"),"এলাকা ইউনিট")</f>
        <v>এলাকা ইউনিট</v>
      </c>
      <c r="T172" s="4" t="str">
        <f>IFERROR(__xludf.DUMMYFUNCTION("GOOGLETRANSLATE(B172,""en"",""pa"")"),"ਖੇਤਰ ਇਕਾਈ")</f>
        <v>ਖੇਤਰ ਇਕਾਈ</v>
      </c>
      <c r="U172" s="4" t="str">
        <f>IFERROR(__xludf.DUMMYFUNCTION("GOOGLETRANSLATE(B172,""en"",""te"")"),"ఏరియా యూనిట్")</f>
        <v>ఏరియా యూనిట్</v>
      </c>
      <c r="V172" s="4" t="str">
        <f>IFERROR(__xludf.DUMMYFUNCTION("GOOGLETRANSLATE(B172,""en"",""kn"")"),"ಪ್ರದೇಶ ಘಟಕ")</f>
        <v>ಪ್ರದೇಶ ಘಟಕ</v>
      </c>
      <c r="W172" s="4" t="str">
        <f>IFERROR(__xludf.DUMMYFUNCTION("GOOGLETRANSLATE(B172,""en"",""ml"")"),"ഏരിയ യൂണിറ്റ്")</f>
        <v>ഏരിയ യൂണിറ്റ്</v>
      </c>
      <c r="X172" s="4" t="str">
        <f>IFERROR(__xludf.DUMMYFUNCTION("GOOGLETRANSLATE(B172,""en"",""th"")"),"หน่วยพื้นที่")</f>
        <v>หน่วยพื้นที่</v>
      </c>
      <c r="Y172" s="4" t="str">
        <f>IFERROR(__xludf.DUMMYFUNCTION("GOOGLETRANSLATE(B172,""en"",""ko"")"),"면적 단위")</f>
        <v>면적 단위</v>
      </c>
      <c r="Z172" s="4" t="str">
        <f>IFERROR(__xludf.DUMMYFUNCTION("GOOGLETRANSLATE(B172,""en"",""zh"")"),"面积单位")</f>
        <v>面积单位</v>
      </c>
      <c r="AA172" s="4" t="str">
        <f>IFERROR(__xludf.DUMMYFUNCTION("GOOGLETRANSLATE(B172,""en"",""zh-TW"")"),"面積單位")</f>
        <v>面積單位</v>
      </c>
      <c r="AB172" s="4" t="str">
        <f>IFERROR(__xludf.DUMMYFUNCTION("GOOGLETRANSLATE(B172,""en"",""ja"")"),"面積単位")</f>
        <v>面積単位</v>
      </c>
      <c r="AC172" s="4" t="str">
        <f>IFERROR(__xludf.DUMMYFUNCTION("GOOGLETRANSLATE(B172,""en"",""bg"")"),"Площна единица")</f>
        <v>Площна единица</v>
      </c>
      <c r="AD172" s="4" t="str">
        <f>IFERROR(__xludf.DUMMYFUNCTION("GOOGLETRANSLATE(B172,""en"",""cs"")"),"Plošná jednotka")</f>
        <v>Plošná jednotka</v>
      </c>
      <c r="AE172" s="4" t="str">
        <f>IFERROR(__xludf.DUMMYFUNCTION("GOOGLETRANSLATE(B172,""en"",""da"")"),"Arealenhed")</f>
        <v>Arealenhed</v>
      </c>
      <c r="AF172" s="4" t="str">
        <f>IFERROR(__xludf.DUMMYFUNCTION("GOOGLETRANSLATE(B172,""en"",""el"")"),"Μονάδα Περιοχής")</f>
        <v>Μονάδα Περιοχής</v>
      </c>
      <c r="AG172" s="4" t="str">
        <f>IFERROR(__xludf.DUMMYFUNCTION("GOOGLETRANSLATE(B172,""en"",""et"")"),"Piirkonna üksus")</f>
        <v>Piirkonna üksus</v>
      </c>
      <c r="AH172" s="4" t="str">
        <f>IFERROR(__xludf.DUMMYFUNCTION("GOOGLETRANSLATE(B172,""en"",""fi"")"),"Alueyksikkö")</f>
        <v>Alueyksikkö</v>
      </c>
      <c r="AI172" s="4" t="str">
        <f>IFERROR(__xludf.DUMMYFUNCTION("GOOGLETRANSLATE(B172,""en"",""hr"")"),"Područna jedinica")</f>
        <v>Područna jedinica</v>
      </c>
      <c r="AJ172" s="4" t="str">
        <f>IFERROR(__xludf.DUMMYFUNCTION("GOOGLETRANSLATE(B172,""en"",""hu"")"),"Területi egység")</f>
        <v>Területi egység</v>
      </c>
      <c r="AK172" s="4" t="str">
        <f>IFERROR(__xludf.DUMMYFUNCTION("GOOGLETRANSLATE(B172,""en"",""hy"")"),"Տարածքի միավոր")</f>
        <v>Տարածքի միավոր</v>
      </c>
      <c r="AL172" s="4" t="str">
        <f>IFERROR(__xludf.DUMMYFUNCTION("GOOGLETRANSLATE(B172,""en"",""ca"")"),"Unitat d'àrea")</f>
        <v>Unitat d'àrea</v>
      </c>
      <c r="AM172" s="4" t="str">
        <f>IFERROR(__xludf.DUMMYFUNCTION("GOOGLETRANSLATE(B172,""en"",""nl"")"),"Oppervlakte-eenheid")</f>
        <v>Oppervlakte-eenheid</v>
      </c>
      <c r="AN172" s="4" t="str">
        <f>IFERROR(__xludf.DUMMYFUNCTION("GOOGLETRANSLATE(B172,""en"",""he"")"),"יחידת שטח")</f>
        <v>יחידת שטח</v>
      </c>
      <c r="AO172" s="4" t="str">
        <f>IFERROR(__xludf.DUMMYFUNCTION("GOOGLETRANSLATE(B172,""en"",""is"")"),"Svæðiseining")</f>
        <v>Svæðiseining</v>
      </c>
      <c r="AP172" s="4" t="str">
        <f>IFERROR(__xludf.DUMMYFUNCTION("GOOGLETRANSLATE(B172,""en"",""no"")"),"Arealenhet")</f>
        <v>Arealenhet</v>
      </c>
      <c r="AQ172" s="4" t="str">
        <f>IFERROR(__xludf.DUMMYFUNCTION("GOOGLETRANSLATE(B172,""en"",""fa"")"),"واحد منطقه")</f>
        <v>واحد منطقه</v>
      </c>
      <c r="AR172" s="4" t="str">
        <f>IFERROR(__xludf.DUMMYFUNCTION("GOOGLETRANSLATE(B172,""en"",""pl"")"),"Jednostka powierzchni")</f>
        <v>Jednostka powierzchni</v>
      </c>
      <c r="AS172" s="4" t="str">
        <f>IFERROR(__xludf.DUMMYFUNCTION("GOOGLETRANSLATE(B172,""en"",""sv"")"),"Områdesenhet")</f>
        <v>Områdesenhet</v>
      </c>
      <c r="AT172" s="4" t="str">
        <f>IFERROR(__xludf.DUMMYFUNCTION("GOOGLETRANSLATE(B172,""en"",""uk"")"),"Одиниця площі")</f>
        <v>Одиниця площі</v>
      </c>
      <c r="AU172" s="4" t="str">
        <f>IFERROR(__xludf.DUMMYFUNCTION("GOOGLETRANSLATE(B172,""en"",""zu"")"),"Indawo Unit")</f>
        <v>Indawo Unit</v>
      </c>
      <c r="AV172" s="4" t="str">
        <f>IFERROR(__xludf.DUMMYFUNCTION("GOOGLETRANSLATE(B172,""en"",""sr"")"),"Јединица за подручје")</f>
        <v>Јединица за подручје</v>
      </c>
    </row>
    <row r="173">
      <c r="A173" s="3" t="s">
        <v>376</v>
      </c>
      <c r="B173" s="3" t="s">
        <v>377</v>
      </c>
      <c r="C173" s="4" t="str">
        <f>IFERROR(__xludf.DUMMYFUNCTION("GOOGLETRANSLATE(B173,""en"",""ta"")"),"வரைபட ஒருங்கிணைப்புகள்")</f>
        <v>வரைபட ஒருங்கிணைப்புகள்</v>
      </c>
      <c r="D173" s="4" t="str">
        <f>IFERROR(__xludf.DUMMYFUNCTION("GOOGLETRANSLATE(B173,""en"",""hi"")"),"मानचित्र निर्देशांक")</f>
        <v>मानचित्र निर्देशांक</v>
      </c>
      <c r="E173" s="4" t="str">
        <f>IFERROR(__xludf.DUMMYFUNCTION("GOOGLETRANSLATE(B173,""en"",""id"")"),"Koordinat Peta")</f>
        <v>Koordinat Peta</v>
      </c>
      <c r="F173" s="4" t="str">
        <f>IFERROR(__xludf.DUMMYFUNCTION("GOOGLETRANSLATE(B173,""en"",""ms"")"),"Koordinat Peta")</f>
        <v>Koordinat Peta</v>
      </c>
      <c r="G173" s="4" t="str">
        <f>IFERROR(__xludf.DUMMYFUNCTION("GOOGLETRANSLATE(B173,""en"",""de"")"),"Kartenkoordinaten")</f>
        <v>Kartenkoordinaten</v>
      </c>
      <c r="H173" s="4" t="str">
        <f>IFERROR(__xludf.DUMMYFUNCTION("GOOGLETRANSLATE(B173,""en"",""es"")"),"Coordenadas del mapa")</f>
        <v>Coordenadas del mapa</v>
      </c>
      <c r="I173" s="4" t="str">
        <f>IFERROR(__xludf.DUMMYFUNCTION("GOOGLETRANSLATE(B173,""en"",""fr"")"),"Coordonnées de la carte")</f>
        <v>Coordonnées de la carte</v>
      </c>
      <c r="J173" s="4" t="str">
        <f>IFERROR(__xludf.DUMMYFUNCTION("GOOGLETRANSLATE(B173,""en"",""it"")"),"Coordinate della mappa")</f>
        <v>Coordinate della mappa</v>
      </c>
      <c r="K173" s="4" t="str">
        <f>IFERROR(__xludf.DUMMYFUNCTION("GOOGLETRANSLATE(B173,""en"",""pt"")"),"Coordenadas do mapa")</f>
        <v>Coordenadas do mapa</v>
      </c>
      <c r="L173" s="4" t="str">
        <f>IFERROR(__xludf.DUMMYFUNCTION("GOOGLETRANSLATE(B173,""en"",""ro"")"),"Coordonatele hărții")</f>
        <v>Coordonatele hărții</v>
      </c>
      <c r="M173" s="4" t="str">
        <f>IFERROR(__xludf.DUMMYFUNCTION("GOOGLETRANSLATE(B173,""en"",""vi"")"),"Tọa độ bản đồ")</f>
        <v>Tọa độ bản đồ</v>
      </c>
      <c r="N173" s="4" t="str">
        <f>IFERROR(__xludf.DUMMYFUNCTION("GOOGLETRANSLATE(B173,""en"",""ru"")"),"Координаты карты")</f>
        <v>Координаты карты</v>
      </c>
      <c r="O173" s="4" t="str">
        <f>IFERROR(__xludf.DUMMYFUNCTION("GOOGLETRANSLATE(B173,""en"",""tr"")"),"Harita Koordinatları")</f>
        <v>Harita Koordinatları</v>
      </c>
      <c r="P173" s="4" t="str">
        <f>IFERROR(__xludf.DUMMYFUNCTION("GOOGLETRANSLATE(B173,""en"",""ar"")"),"إحداثيات الخريطة")</f>
        <v>إحداثيات الخريطة</v>
      </c>
      <c r="Q173" s="4" t="str">
        <f>IFERROR(__xludf.DUMMYFUNCTION("GOOGLETRANSLATE(B173,""en"",""mr"")"),"नकाशा निर्देशांक")</f>
        <v>नकाशा निर्देशांक</v>
      </c>
      <c r="R173" s="4" t="str">
        <f>IFERROR(__xludf.DUMMYFUNCTION("GOOGLETRANSLATE(B173,""en"",""gu"")"),"નકશો કોઓર્ડિનેટ્સ")</f>
        <v>નકશો કોઓર્ડિનેટ્સ</v>
      </c>
      <c r="S173" s="4" t="str">
        <f>IFERROR(__xludf.DUMMYFUNCTION("GOOGLETRANSLATE(B173,""en"",""bn"")"),"মানচিত্র স্থানাঙ্ক")</f>
        <v>মানচিত্র স্থানাঙ্ক</v>
      </c>
      <c r="T173" s="4" t="str">
        <f>IFERROR(__xludf.DUMMYFUNCTION("GOOGLETRANSLATE(B173,""en"",""pa"")"),"ਨਕਸ਼ਾ ਕੋਆਰਡੀਨੇਟਸ")</f>
        <v>ਨਕਸ਼ਾ ਕੋਆਰਡੀਨੇਟਸ</v>
      </c>
      <c r="U173" s="4" t="str">
        <f>IFERROR(__xludf.DUMMYFUNCTION("GOOGLETRANSLATE(B173,""en"",""te"")"),"మ్యాప్ కోఆర్డినేట్స్")</f>
        <v>మ్యాప్ కోఆర్డినేట్స్</v>
      </c>
      <c r="V173" s="4" t="str">
        <f>IFERROR(__xludf.DUMMYFUNCTION("GOOGLETRANSLATE(B173,""en"",""kn"")"),"ನಕ್ಷೆ ನಿರ್ದೇಶಾಂಕಗಳು")</f>
        <v>ನಕ್ಷೆ ನಿರ್ದೇಶಾಂಕಗಳು</v>
      </c>
      <c r="W173" s="4" t="str">
        <f>IFERROR(__xludf.DUMMYFUNCTION("GOOGLETRANSLATE(B173,""en"",""ml"")"),"മാപ്പ് കോർഡിനേറ്റുകൾ")</f>
        <v>മാപ്പ് കോർഡിനേറ്റുകൾ</v>
      </c>
      <c r="X173" s="4" t="str">
        <f>IFERROR(__xludf.DUMMYFUNCTION("GOOGLETRANSLATE(B173,""en"",""th"")"),"พิกัดแผนที่")</f>
        <v>พิกัดแผนที่</v>
      </c>
      <c r="Y173" s="4" t="str">
        <f>IFERROR(__xludf.DUMMYFUNCTION("GOOGLETRANSLATE(B173,""en"",""ko"")"),"지도 좌표")</f>
        <v>지도 좌표</v>
      </c>
      <c r="Z173" s="4" t="str">
        <f>IFERROR(__xludf.DUMMYFUNCTION("GOOGLETRANSLATE(B173,""en"",""zh"")"),"地图坐标")</f>
        <v>地图坐标</v>
      </c>
      <c r="AA173" s="4" t="str">
        <f>IFERROR(__xludf.DUMMYFUNCTION("GOOGLETRANSLATE(B173,""en"",""zh-TW"")"),"地圖座標")</f>
        <v>地圖座標</v>
      </c>
      <c r="AB173" s="4" t="str">
        <f>IFERROR(__xludf.DUMMYFUNCTION("GOOGLETRANSLATE(B173,""en"",""ja"")"),"地図座標")</f>
        <v>地図座標</v>
      </c>
      <c r="AC173" s="4" t="str">
        <f>IFERROR(__xludf.DUMMYFUNCTION("GOOGLETRANSLATE(B173,""en"",""bg"")"),"Координати на картата")</f>
        <v>Координати на картата</v>
      </c>
      <c r="AD173" s="4" t="str">
        <f>IFERROR(__xludf.DUMMYFUNCTION("GOOGLETRANSLATE(B173,""en"",""cs"")"),"Souřadnice mapy")</f>
        <v>Souřadnice mapy</v>
      </c>
      <c r="AE173" s="4" t="str">
        <f>IFERROR(__xludf.DUMMYFUNCTION("GOOGLETRANSLATE(B173,""en"",""da"")"),"Kortkoordinater")</f>
        <v>Kortkoordinater</v>
      </c>
      <c r="AF173" s="4" t="str">
        <f>IFERROR(__xludf.DUMMYFUNCTION("GOOGLETRANSLATE(B173,""en"",""el"")"),"Συντεταγμένες χάρτη")</f>
        <v>Συντεταγμένες χάρτη</v>
      </c>
      <c r="AG173" s="4" t="str">
        <f>IFERROR(__xludf.DUMMYFUNCTION("GOOGLETRANSLATE(B173,""en"",""et"")"),"Kaardi koordinaadid")</f>
        <v>Kaardi koordinaadid</v>
      </c>
      <c r="AH173" s="4" t="str">
        <f>IFERROR(__xludf.DUMMYFUNCTION("GOOGLETRANSLATE(B173,""en"",""fi"")"),"Karttakoordinaatit")</f>
        <v>Karttakoordinaatit</v>
      </c>
      <c r="AI173" s="4" t="str">
        <f>IFERROR(__xludf.DUMMYFUNCTION("GOOGLETRANSLATE(B173,""en"",""hr"")"),"Koordinate karte")</f>
        <v>Koordinate karte</v>
      </c>
      <c r="AJ173" s="4" t="str">
        <f>IFERROR(__xludf.DUMMYFUNCTION("GOOGLETRANSLATE(B173,""en"",""hu"")"),"Térkép koordináták")</f>
        <v>Térkép koordináták</v>
      </c>
      <c r="AK173" s="4" t="str">
        <f>IFERROR(__xludf.DUMMYFUNCTION("GOOGLETRANSLATE(B173,""en"",""hy"")"),"Քարտեզի կոորդինատներ")</f>
        <v>Քարտեզի կոորդինատներ</v>
      </c>
      <c r="AL173" s="4" t="str">
        <f>IFERROR(__xludf.DUMMYFUNCTION("GOOGLETRANSLATE(B173,""en"",""ca"")"),"Coordenades del mapa")</f>
        <v>Coordenades del mapa</v>
      </c>
      <c r="AM173" s="4" t="str">
        <f>IFERROR(__xludf.DUMMYFUNCTION("GOOGLETRANSLATE(B173,""en"",""nl"")"),"Kaartcoördinaten")</f>
        <v>Kaartcoördinaten</v>
      </c>
      <c r="AN173" s="4" t="str">
        <f>IFERROR(__xludf.DUMMYFUNCTION("GOOGLETRANSLATE(B173,""en"",""he"")"),"קואורדינטות מפה")</f>
        <v>קואורדינטות מפה</v>
      </c>
      <c r="AO173" s="4" t="str">
        <f>IFERROR(__xludf.DUMMYFUNCTION("GOOGLETRANSLATE(B173,""en"",""is"")"),"Hnit kort")</f>
        <v>Hnit kort</v>
      </c>
      <c r="AP173" s="4" t="str">
        <f>IFERROR(__xludf.DUMMYFUNCTION("GOOGLETRANSLATE(B173,""en"",""no"")"),"Kartkoordinater")</f>
        <v>Kartkoordinater</v>
      </c>
      <c r="AQ173" s="4" t="str">
        <f>IFERROR(__xludf.DUMMYFUNCTION("GOOGLETRANSLATE(B173,""en"",""fa"")"),"مختصات نقشه")</f>
        <v>مختصات نقشه</v>
      </c>
      <c r="AR173" s="4" t="str">
        <f>IFERROR(__xludf.DUMMYFUNCTION("GOOGLETRANSLATE(B173,""en"",""pl"")"),"Współrzędne mapy")</f>
        <v>Współrzędne mapy</v>
      </c>
      <c r="AS173" s="4" t="str">
        <f>IFERROR(__xludf.DUMMYFUNCTION("GOOGLETRANSLATE(B173,""en"",""sv"")"),"Karta koordinater")</f>
        <v>Karta koordinater</v>
      </c>
      <c r="AT173" s="4" t="str">
        <f>IFERROR(__xludf.DUMMYFUNCTION("GOOGLETRANSLATE(B173,""en"",""uk"")"),"Карта координат")</f>
        <v>Карта координат</v>
      </c>
      <c r="AU173" s="4" t="str">
        <f>IFERROR(__xludf.DUMMYFUNCTION("GOOGLETRANSLATE(B173,""en"",""zu"")"),"Izixhumanisi zemephu")</f>
        <v>Izixhumanisi zemephu</v>
      </c>
      <c r="AV173" s="4" t="str">
        <f>IFERROR(__xludf.DUMMYFUNCTION("GOOGLETRANSLATE(B173,""en"",""sr"")"),"Координате карте")</f>
        <v>Координате карте</v>
      </c>
    </row>
    <row r="174">
      <c r="A174" s="3" t="s">
        <v>378</v>
      </c>
      <c r="B174" s="3">
        <v>12.0</v>
      </c>
      <c r="C174" s="4" t="str">
        <f>IFERROR(__xludf.DUMMYFUNCTION("GOOGLETRANSLATE(B174,""en"",""ta"")"),"12")</f>
        <v>12</v>
      </c>
      <c r="D174" s="4" t="str">
        <f>IFERROR(__xludf.DUMMYFUNCTION("GOOGLETRANSLATE(B174,""en"",""hi"")"),"12")</f>
        <v>12</v>
      </c>
      <c r="E174" s="4" t="str">
        <f>IFERROR(__xludf.DUMMYFUNCTION("GOOGLETRANSLATE(B174,""en"",""id"")"),"12")</f>
        <v>12</v>
      </c>
      <c r="F174" s="4" t="str">
        <f>IFERROR(__xludf.DUMMYFUNCTION("GOOGLETRANSLATE(B174,""en"",""ms"")"),"12")</f>
        <v>12</v>
      </c>
      <c r="G174" s="4" t="str">
        <f>IFERROR(__xludf.DUMMYFUNCTION("GOOGLETRANSLATE(B174,""en"",""de"")"),"12")</f>
        <v>12</v>
      </c>
      <c r="H174" s="4" t="str">
        <f>IFERROR(__xludf.DUMMYFUNCTION("GOOGLETRANSLATE(B174,""en"",""es"")"),"12")</f>
        <v>12</v>
      </c>
      <c r="I174" s="4" t="str">
        <f>IFERROR(__xludf.DUMMYFUNCTION("GOOGLETRANSLATE(B174,""en"",""fr"")"),"12")</f>
        <v>12</v>
      </c>
      <c r="J174" s="4" t="str">
        <f>IFERROR(__xludf.DUMMYFUNCTION("GOOGLETRANSLATE(B174,""en"",""it"")"),"12")</f>
        <v>12</v>
      </c>
      <c r="K174" s="4" t="str">
        <f>IFERROR(__xludf.DUMMYFUNCTION("GOOGLETRANSLATE(B174,""en"",""pt"")"),"12")</f>
        <v>12</v>
      </c>
      <c r="L174" s="4" t="str">
        <f>IFERROR(__xludf.DUMMYFUNCTION("GOOGLETRANSLATE(B174,""en"",""ro"")"),"12")</f>
        <v>12</v>
      </c>
      <c r="M174" s="4" t="str">
        <f>IFERROR(__xludf.DUMMYFUNCTION("GOOGLETRANSLATE(B174,""en"",""vi"")"),"12")</f>
        <v>12</v>
      </c>
      <c r="N174" s="4" t="str">
        <f>IFERROR(__xludf.DUMMYFUNCTION("GOOGLETRANSLATE(B174,""en"",""ru"")"),"12")</f>
        <v>12</v>
      </c>
      <c r="O174" s="4" t="str">
        <f>IFERROR(__xludf.DUMMYFUNCTION("GOOGLETRANSLATE(B174,""en"",""tr"")"),"12")</f>
        <v>12</v>
      </c>
      <c r="P174" s="4" t="str">
        <f>IFERROR(__xludf.DUMMYFUNCTION("GOOGLETRANSLATE(B174,""en"",""ar"")"),"12")</f>
        <v>12</v>
      </c>
      <c r="Q174" s="4" t="str">
        <f>IFERROR(__xludf.DUMMYFUNCTION("GOOGLETRANSLATE(B174,""en"",""mr"")"),"12")</f>
        <v>12</v>
      </c>
      <c r="R174" s="4" t="str">
        <f>IFERROR(__xludf.DUMMYFUNCTION("GOOGLETRANSLATE(B174,""en"",""gu"")"),"12")</f>
        <v>12</v>
      </c>
      <c r="S174" s="4" t="str">
        <f>IFERROR(__xludf.DUMMYFUNCTION("GOOGLETRANSLATE(B174,""en"",""bn"")"),"12")</f>
        <v>12</v>
      </c>
      <c r="T174" s="4" t="str">
        <f>IFERROR(__xludf.DUMMYFUNCTION("GOOGLETRANSLATE(B174,""en"",""pa"")"),"12")</f>
        <v>12</v>
      </c>
      <c r="U174" s="4" t="str">
        <f>IFERROR(__xludf.DUMMYFUNCTION("GOOGLETRANSLATE(B174,""en"",""te"")"),"12")</f>
        <v>12</v>
      </c>
      <c r="V174" s="4" t="str">
        <f>IFERROR(__xludf.DUMMYFUNCTION("GOOGLETRANSLATE(B174,""en"",""kn"")"),"12")</f>
        <v>12</v>
      </c>
      <c r="W174" s="4" t="str">
        <f>IFERROR(__xludf.DUMMYFUNCTION("GOOGLETRANSLATE(B174,""en"",""ml"")"),"12")</f>
        <v>12</v>
      </c>
      <c r="X174" s="4" t="str">
        <f>IFERROR(__xludf.DUMMYFUNCTION("GOOGLETRANSLATE(B174,""en"",""th"")"),"12")</f>
        <v>12</v>
      </c>
      <c r="Y174" s="4" t="str">
        <f>IFERROR(__xludf.DUMMYFUNCTION("GOOGLETRANSLATE(B174,""en"",""ko"")"),"12")</f>
        <v>12</v>
      </c>
      <c r="Z174" s="4" t="str">
        <f>IFERROR(__xludf.DUMMYFUNCTION("GOOGLETRANSLATE(B174,""en"",""zh"")"),"12")</f>
        <v>12</v>
      </c>
      <c r="AA174" s="4" t="str">
        <f>IFERROR(__xludf.DUMMYFUNCTION("GOOGLETRANSLATE(B174,""en"",""zh-TW"")"),"12")</f>
        <v>12</v>
      </c>
      <c r="AB174" s="4" t="str">
        <f>IFERROR(__xludf.DUMMYFUNCTION("GOOGLETRANSLATE(B174,""en"",""ja"")"),"12")</f>
        <v>12</v>
      </c>
      <c r="AC174" s="4" t="str">
        <f>IFERROR(__xludf.DUMMYFUNCTION("GOOGLETRANSLATE(B174,""en"",""bg"")"),"12")</f>
        <v>12</v>
      </c>
      <c r="AD174" s="4" t="str">
        <f>IFERROR(__xludf.DUMMYFUNCTION("GOOGLETRANSLATE(B174,""en"",""cs"")"),"12")</f>
        <v>12</v>
      </c>
      <c r="AE174" s="4" t="str">
        <f>IFERROR(__xludf.DUMMYFUNCTION("GOOGLETRANSLATE(B174,""en"",""da"")"),"12")</f>
        <v>12</v>
      </c>
      <c r="AF174" s="4" t="str">
        <f>IFERROR(__xludf.DUMMYFUNCTION("GOOGLETRANSLATE(B174,""en"",""el"")"),"12")</f>
        <v>12</v>
      </c>
      <c r="AG174" s="4" t="str">
        <f>IFERROR(__xludf.DUMMYFUNCTION("GOOGLETRANSLATE(B174,""en"",""et"")"),"12")</f>
        <v>12</v>
      </c>
      <c r="AH174" s="4" t="str">
        <f>IFERROR(__xludf.DUMMYFUNCTION("GOOGLETRANSLATE(B174,""en"",""fi"")"),"12")</f>
        <v>12</v>
      </c>
      <c r="AI174" s="4" t="str">
        <f>IFERROR(__xludf.DUMMYFUNCTION("GOOGLETRANSLATE(B174,""en"",""hr"")"),"12")</f>
        <v>12</v>
      </c>
      <c r="AJ174" s="4" t="str">
        <f>IFERROR(__xludf.DUMMYFUNCTION("GOOGLETRANSLATE(B174,""en"",""hu"")"),"12")</f>
        <v>12</v>
      </c>
      <c r="AK174" s="4" t="str">
        <f>IFERROR(__xludf.DUMMYFUNCTION("GOOGLETRANSLATE(B174,""en"",""hy"")"),"12")</f>
        <v>12</v>
      </c>
      <c r="AL174" s="4" t="str">
        <f>IFERROR(__xludf.DUMMYFUNCTION("GOOGLETRANSLATE(B174,""en"",""ca"")"),"12")</f>
        <v>12</v>
      </c>
      <c r="AM174" s="4" t="str">
        <f>IFERROR(__xludf.DUMMYFUNCTION("GOOGLETRANSLATE(B174,""en"",""nl"")"),"12")</f>
        <v>12</v>
      </c>
      <c r="AN174" s="4" t="str">
        <f>IFERROR(__xludf.DUMMYFUNCTION("GOOGLETRANSLATE(B174,""en"",""he"")"),"12")</f>
        <v>12</v>
      </c>
      <c r="AO174" s="4" t="str">
        <f>IFERROR(__xludf.DUMMYFUNCTION("GOOGLETRANSLATE(B174,""en"",""is"")"),"12")</f>
        <v>12</v>
      </c>
      <c r="AP174" s="4" t="str">
        <f>IFERROR(__xludf.DUMMYFUNCTION("GOOGLETRANSLATE(B174,""en"",""no"")"),"12")</f>
        <v>12</v>
      </c>
      <c r="AQ174" s="4" t="str">
        <f>IFERROR(__xludf.DUMMYFUNCTION("GOOGLETRANSLATE(B174,""en"",""fa"")"),"12")</f>
        <v>12</v>
      </c>
      <c r="AR174" s="4" t="str">
        <f>IFERROR(__xludf.DUMMYFUNCTION("GOOGLETRANSLATE(B174,""en"",""pl"")"),"12")</f>
        <v>12</v>
      </c>
      <c r="AS174" s="4" t="str">
        <f>IFERROR(__xludf.DUMMYFUNCTION("GOOGLETRANSLATE(B174,""en"",""sv"")"),"12")</f>
        <v>12</v>
      </c>
      <c r="AT174" s="4" t="str">
        <f>IFERROR(__xludf.DUMMYFUNCTION("GOOGLETRANSLATE(B174,""en"",""uk"")"),"12")</f>
        <v>12</v>
      </c>
      <c r="AU174" s="4" t="str">
        <f>IFERROR(__xludf.DUMMYFUNCTION("GOOGLETRANSLATE(B174,""en"",""zu"")"),"12")</f>
        <v>12</v>
      </c>
      <c r="AV174" s="4" t="str">
        <f>IFERROR(__xludf.DUMMYFUNCTION("GOOGLETRANSLATE(B174,""en"",""sr"")"),"12")</f>
        <v>12</v>
      </c>
    </row>
    <row r="175">
      <c r="A175" s="3" t="s">
        <v>379</v>
      </c>
      <c r="B175" s="3">
        <v>24.0</v>
      </c>
      <c r="C175" s="4" t="str">
        <f>IFERROR(__xludf.DUMMYFUNCTION("GOOGLETRANSLATE(B175,""en"",""ta"")"),"24")</f>
        <v>24</v>
      </c>
      <c r="D175" s="4" t="str">
        <f>IFERROR(__xludf.DUMMYFUNCTION("GOOGLETRANSLATE(B175,""en"",""hi"")"),"24")</f>
        <v>24</v>
      </c>
      <c r="E175" s="4" t="str">
        <f>IFERROR(__xludf.DUMMYFUNCTION("GOOGLETRANSLATE(B175,""en"",""id"")"),"24")</f>
        <v>24</v>
      </c>
      <c r="F175" s="4" t="str">
        <f>IFERROR(__xludf.DUMMYFUNCTION("GOOGLETRANSLATE(B175,""en"",""ms"")"),"24")</f>
        <v>24</v>
      </c>
      <c r="G175" s="4" t="str">
        <f>IFERROR(__xludf.DUMMYFUNCTION("GOOGLETRANSLATE(B175,""en"",""de"")"),"24")</f>
        <v>24</v>
      </c>
      <c r="H175" s="4" t="str">
        <f>IFERROR(__xludf.DUMMYFUNCTION("GOOGLETRANSLATE(B175,""en"",""es"")"),"24")</f>
        <v>24</v>
      </c>
      <c r="I175" s="4" t="str">
        <f>IFERROR(__xludf.DUMMYFUNCTION("GOOGLETRANSLATE(B175,""en"",""fr"")"),"24")</f>
        <v>24</v>
      </c>
      <c r="J175" s="4" t="str">
        <f>IFERROR(__xludf.DUMMYFUNCTION("GOOGLETRANSLATE(B175,""en"",""it"")"),"24")</f>
        <v>24</v>
      </c>
      <c r="K175" s="4" t="str">
        <f>IFERROR(__xludf.DUMMYFUNCTION("GOOGLETRANSLATE(B175,""en"",""pt"")"),"24")</f>
        <v>24</v>
      </c>
      <c r="L175" s="4" t="str">
        <f>IFERROR(__xludf.DUMMYFUNCTION("GOOGLETRANSLATE(B175,""en"",""ro"")"),"24")</f>
        <v>24</v>
      </c>
      <c r="M175" s="4" t="str">
        <f>IFERROR(__xludf.DUMMYFUNCTION("GOOGLETRANSLATE(B175,""en"",""vi"")"),"24")</f>
        <v>24</v>
      </c>
      <c r="N175" s="4" t="str">
        <f>IFERROR(__xludf.DUMMYFUNCTION("GOOGLETRANSLATE(B175,""en"",""ru"")"),"24")</f>
        <v>24</v>
      </c>
      <c r="O175" s="4" t="str">
        <f>IFERROR(__xludf.DUMMYFUNCTION("GOOGLETRANSLATE(B175,""en"",""tr"")"),"24")</f>
        <v>24</v>
      </c>
      <c r="P175" s="4" t="str">
        <f>IFERROR(__xludf.DUMMYFUNCTION("GOOGLETRANSLATE(B175,""en"",""ar"")"),"24")</f>
        <v>24</v>
      </c>
      <c r="Q175" s="4" t="str">
        <f>IFERROR(__xludf.DUMMYFUNCTION("GOOGLETRANSLATE(B175,""en"",""mr"")"),"२४")</f>
        <v>२४</v>
      </c>
      <c r="R175" s="4" t="str">
        <f>IFERROR(__xludf.DUMMYFUNCTION("GOOGLETRANSLATE(B175,""en"",""gu"")"),"24")</f>
        <v>24</v>
      </c>
      <c r="S175" s="4" t="str">
        <f>IFERROR(__xludf.DUMMYFUNCTION("GOOGLETRANSLATE(B175,""en"",""bn"")"),"24")</f>
        <v>24</v>
      </c>
      <c r="T175" s="4" t="str">
        <f>IFERROR(__xludf.DUMMYFUNCTION("GOOGLETRANSLATE(B175,""en"",""pa"")"),"24")</f>
        <v>24</v>
      </c>
      <c r="U175" s="4" t="str">
        <f>IFERROR(__xludf.DUMMYFUNCTION("GOOGLETRANSLATE(B175,""en"",""te"")"),"24")</f>
        <v>24</v>
      </c>
      <c r="V175" s="4" t="str">
        <f>IFERROR(__xludf.DUMMYFUNCTION("GOOGLETRANSLATE(B175,""en"",""kn"")"),"24")</f>
        <v>24</v>
      </c>
      <c r="W175" s="4" t="str">
        <f>IFERROR(__xludf.DUMMYFUNCTION("GOOGLETRANSLATE(B175,""en"",""ml"")"),"24")</f>
        <v>24</v>
      </c>
      <c r="X175" s="4" t="str">
        <f>IFERROR(__xludf.DUMMYFUNCTION("GOOGLETRANSLATE(B175,""en"",""th"")"),"24")</f>
        <v>24</v>
      </c>
      <c r="Y175" s="4" t="str">
        <f>IFERROR(__xludf.DUMMYFUNCTION("GOOGLETRANSLATE(B175,""en"",""ko"")"),"24")</f>
        <v>24</v>
      </c>
      <c r="Z175" s="4" t="str">
        <f>IFERROR(__xludf.DUMMYFUNCTION("GOOGLETRANSLATE(B175,""en"",""zh"")"),"24")</f>
        <v>24</v>
      </c>
      <c r="AA175" s="4" t="str">
        <f>IFERROR(__xludf.DUMMYFUNCTION("GOOGLETRANSLATE(B175,""en"",""zh-TW"")"),"24")</f>
        <v>24</v>
      </c>
      <c r="AB175" s="4" t="str">
        <f>IFERROR(__xludf.DUMMYFUNCTION("GOOGLETRANSLATE(B175,""en"",""ja"")"),"24")</f>
        <v>24</v>
      </c>
      <c r="AC175" s="4" t="str">
        <f>IFERROR(__xludf.DUMMYFUNCTION("GOOGLETRANSLATE(B175,""en"",""bg"")"),"24")</f>
        <v>24</v>
      </c>
      <c r="AD175" s="4" t="str">
        <f>IFERROR(__xludf.DUMMYFUNCTION("GOOGLETRANSLATE(B175,""en"",""cs"")"),"24")</f>
        <v>24</v>
      </c>
      <c r="AE175" s="4" t="str">
        <f>IFERROR(__xludf.DUMMYFUNCTION("GOOGLETRANSLATE(B175,""en"",""da"")"),"24")</f>
        <v>24</v>
      </c>
      <c r="AF175" s="4" t="str">
        <f>IFERROR(__xludf.DUMMYFUNCTION("GOOGLETRANSLATE(B175,""en"",""el"")"),"24")</f>
        <v>24</v>
      </c>
      <c r="AG175" s="4" t="str">
        <f>IFERROR(__xludf.DUMMYFUNCTION("GOOGLETRANSLATE(B175,""en"",""et"")"),"24")</f>
        <v>24</v>
      </c>
      <c r="AH175" s="4" t="str">
        <f>IFERROR(__xludf.DUMMYFUNCTION("GOOGLETRANSLATE(B175,""en"",""fi"")"),"24")</f>
        <v>24</v>
      </c>
      <c r="AI175" s="4" t="str">
        <f>IFERROR(__xludf.DUMMYFUNCTION("GOOGLETRANSLATE(B175,""en"",""hr"")"),"24")</f>
        <v>24</v>
      </c>
      <c r="AJ175" s="4" t="str">
        <f>IFERROR(__xludf.DUMMYFUNCTION("GOOGLETRANSLATE(B175,""en"",""hu"")"),"24")</f>
        <v>24</v>
      </c>
      <c r="AK175" s="4" t="str">
        <f>IFERROR(__xludf.DUMMYFUNCTION("GOOGLETRANSLATE(B175,""en"",""hy"")"),"24")</f>
        <v>24</v>
      </c>
      <c r="AL175" s="4" t="str">
        <f>IFERROR(__xludf.DUMMYFUNCTION("GOOGLETRANSLATE(B175,""en"",""ca"")"),"24")</f>
        <v>24</v>
      </c>
      <c r="AM175" s="4" t="str">
        <f>IFERROR(__xludf.DUMMYFUNCTION("GOOGLETRANSLATE(B175,""en"",""nl"")"),"24")</f>
        <v>24</v>
      </c>
      <c r="AN175" s="4" t="str">
        <f>IFERROR(__xludf.DUMMYFUNCTION("GOOGLETRANSLATE(B175,""en"",""he"")"),"24")</f>
        <v>24</v>
      </c>
      <c r="AO175" s="4" t="str">
        <f>IFERROR(__xludf.DUMMYFUNCTION("GOOGLETRANSLATE(B175,""en"",""is"")"),"24")</f>
        <v>24</v>
      </c>
      <c r="AP175" s="4" t="str">
        <f>IFERROR(__xludf.DUMMYFUNCTION("GOOGLETRANSLATE(B175,""en"",""no"")"),"24")</f>
        <v>24</v>
      </c>
      <c r="AQ175" s="4" t="str">
        <f>IFERROR(__xludf.DUMMYFUNCTION("GOOGLETRANSLATE(B175,""en"",""fa"")"),"24")</f>
        <v>24</v>
      </c>
      <c r="AR175" s="4" t="str">
        <f>IFERROR(__xludf.DUMMYFUNCTION("GOOGLETRANSLATE(B175,""en"",""pl"")"),"24")</f>
        <v>24</v>
      </c>
      <c r="AS175" s="4" t="str">
        <f>IFERROR(__xludf.DUMMYFUNCTION("GOOGLETRANSLATE(B175,""en"",""sv"")"),"24")</f>
        <v>24</v>
      </c>
      <c r="AT175" s="4" t="str">
        <f>IFERROR(__xludf.DUMMYFUNCTION("GOOGLETRANSLATE(B175,""en"",""uk"")"),"24")</f>
        <v>24</v>
      </c>
      <c r="AU175" s="4" t="str">
        <f>IFERROR(__xludf.DUMMYFUNCTION("GOOGLETRANSLATE(B175,""en"",""zu"")"),"24")</f>
        <v>24</v>
      </c>
      <c r="AV175" s="4" t="str">
        <f>IFERROR(__xludf.DUMMYFUNCTION("GOOGLETRANSLATE(B175,""en"",""sr"")"),"24")</f>
        <v>24</v>
      </c>
    </row>
    <row r="176">
      <c r="A176" s="3" t="s">
        <v>380</v>
      </c>
      <c r="B176" s="3" t="s">
        <v>381</v>
      </c>
      <c r="C176" s="4" t="str">
        <f>IFERROR(__xludf.DUMMYFUNCTION("GOOGLETRANSLATE(B176,""en"",""ta"")"),"மைல்கள்/மணிநேரம்")</f>
        <v>மைல்கள்/மணிநேரம்</v>
      </c>
      <c r="D176" s="4" t="str">
        <f>IFERROR(__xludf.DUMMYFUNCTION("GOOGLETRANSLATE(B176,""en"",""hi"")"),"मील/घंटा")</f>
        <v>मील/घंटा</v>
      </c>
      <c r="E176" s="4" t="str">
        <f>IFERROR(__xludf.DUMMYFUNCTION("GOOGLETRANSLATE(B176,""en"",""id"")"),"Mil/Jam")</f>
        <v>Mil/Jam</v>
      </c>
      <c r="F176" s="4" t="str">
        <f>IFERROR(__xludf.DUMMYFUNCTION("GOOGLETRANSLATE(B176,""en"",""ms"")"),"Batu/Jam")</f>
        <v>Batu/Jam</v>
      </c>
      <c r="G176" s="4" t="str">
        <f>IFERROR(__xludf.DUMMYFUNCTION("GOOGLETRANSLATE(B176,""en"",""de"")"),"Meilen/Stunde")</f>
        <v>Meilen/Stunde</v>
      </c>
      <c r="H176" s="4" t="str">
        <f>IFERROR(__xludf.DUMMYFUNCTION("GOOGLETRANSLATE(B176,""en"",""es"")"),"Millas/Hora")</f>
        <v>Millas/Hora</v>
      </c>
      <c r="I176" s="4" t="str">
        <f>IFERROR(__xludf.DUMMYFUNCTION("GOOGLETRANSLATE(B176,""en"",""fr"")"),"Miles/heure")</f>
        <v>Miles/heure</v>
      </c>
      <c r="J176" s="4" t="str">
        <f>IFERROR(__xludf.DUMMYFUNCTION("GOOGLETRANSLATE(B176,""en"",""it"")"),"Miglia/Ora")</f>
        <v>Miglia/Ora</v>
      </c>
      <c r="K176" s="4" t="str">
        <f>IFERROR(__xludf.DUMMYFUNCTION("GOOGLETRANSLATE(B176,""en"",""pt"")"),"Milhas/Hora")</f>
        <v>Milhas/Hora</v>
      </c>
      <c r="L176" s="4" t="str">
        <f>IFERROR(__xludf.DUMMYFUNCTION("GOOGLETRANSLATE(B176,""en"",""ro"")"),"Mile/oră")</f>
        <v>Mile/oră</v>
      </c>
      <c r="M176" s="4" t="str">
        <f>IFERROR(__xludf.DUMMYFUNCTION("GOOGLETRANSLATE(B176,""en"",""vi"")"),"Dặm/Giờ")</f>
        <v>Dặm/Giờ</v>
      </c>
      <c r="N176" s="4" t="str">
        <f>IFERROR(__xludf.DUMMYFUNCTION("GOOGLETRANSLATE(B176,""en"",""ru"")"),"Миль/час")</f>
        <v>Миль/час</v>
      </c>
      <c r="O176" s="4" t="str">
        <f>IFERROR(__xludf.DUMMYFUNCTION("GOOGLETRANSLATE(B176,""en"",""tr"")"),"Mil/Saat")</f>
        <v>Mil/Saat</v>
      </c>
      <c r="P176" s="4" t="str">
        <f>IFERROR(__xludf.DUMMYFUNCTION("GOOGLETRANSLATE(B176,""en"",""ar"")"),"ميل/ساعة")</f>
        <v>ميل/ساعة</v>
      </c>
      <c r="Q176" s="4" t="str">
        <f>IFERROR(__xludf.DUMMYFUNCTION("GOOGLETRANSLATE(B176,""en"",""mr"")"),"मैल/तास")</f>
        <v>मैल/तास</v>
      </c>
      <c r="R176" s="4" t="str">
        <f>IFERROR(__xludf.DUMMYFUNCTION("GOOGLETRANSLATE(B176,""en"",""gu"")"),"માઇલ/કલાક")</f>
        <v>માઇલ/કલાક</v>
      </c>
      <c r="S176" s="4" t="str">
        <f>IFERROR(__xludf.DUMMYFUNCTION("GOOGLETRANSLATE(B176,""en"",""bn"")"),"মাইল/ঘণ্টা")</f>
        <v>মাইল/ঘণ্টা</v>
      </c>
      <c r="T176" s="4" t="str">
        <f>IFERROR(__xludf.DUMMYFUNCTION("GOOGLETRANSLATE(B176,""en"",""pa"")"),"ਮੀਲ/ਘੰਟਾ")</f>
        <v>ਮੀਲ/ਘੰਟਾ</v>
      </c>
      <c r="U176" s="4" t="str">
        <f>IFERROR(__xludf.DUMMYFUNCTION("GOOGLETRANSLATE(B176,""en"",""te"")"),"మైళ్లు/గంట")</f>
        <v>మైళ్లు/గంట</v>
      </c>
      <c r="V176" s="4" t="str">
        <f>IFERROR(__xludf.DUMMYFUNCTION("GOOGLETRANSLATE(B176,""en"",""kn"")"),"ಮೈಲುಗಳು/ಗಂಟೆ")</f>
        <v>ಮೈಲುಗಳು/ಗಂಟೆ</v>
      </c>
      <c r="W176" s="4" t="str">
        <f>IFERROR(__xludf.DUMMYFUNCTION("GOOGLETRANSLATE(B176,""en"",""ml"")"),"മൈൽ/മണിക്കൂർ")</f>
        <v>മൈൽ/മണിക്കൂർ</v>
      </c>
      <c r="X176" s="4" t="str">
        <f>IFERROR(__xludf.DUMMYFUNCTION("GOOGLETRANSLATE(B176,""en"",""th"")"),"ไมล์/ชั่วโมง")</f>
        <v>ไมล์/ชั่วโมง</v>
      </c>
      <c r="Y176" s="4" t="str">
        <f>IFERROR(__xludf.DUMMYFUNCTION("GOOGLETRANSLATE(B176,""en"",""ko"")"),"마일/시간")</f>
        <v>마일/시간</v>
      </c>
      <c r="Z176" s="4" t="str">
        <f>IFERROR(__xludf.DUMMYFUNCTION("GOOGLETRANSLATE(B176,""en"",""zh"")"),"英里/小时")</f>
        <v>英里/小时</v>
      </c>
      <c r="AA176" s="4" t="str">
        <f>IFERROR(__xludf.DUMMYFUNCTION("GOOGLETRANSLATE(B176,""en"",""zh-TW"")"),"英里/小時")</f>
        <v>英里/小時</v>
      </c>
      <c r="AB176" s="4" t="str">
        <f>IFERROR(__xludf.DUMMYFUNCTION("GOOGLETRANSLATE(B176,""en"",""ja"")"),"マイル/時")</f>
        <v>マイル/時</v>
      </c>
      <c r="AC176" s="4" t="str">
        <f>IFERROR(__xludf.DUMMYFUNCTION("GOOGLETRANSLATE(B176,""en"",""bg"")"),"Мили/час")</f>
        <v>Мили/час</v>
      </c>
      <c r="AD176" s="4" t="str">
        <f>IFERROR(__xludf.DUMMYFUNCTION("GOOGLETRANSLATE(B176,""en"",""cs"")"),"Míle/hodina")</f>
        <v>Míle/hodina</v>
      </c>
      <c r="AE176" s="4" t="str">
        <f>IFERROR(__xludf.DUMMYFUNCTION("GOOGLETRANSLATE(B176,""en"",""da"")"),"Mil/time")</f>
        <v>Mil/time</v>
      </c>
      <c r="AF176" s="4" t="str">
        <f>IFERROR(__xludf.DUMMYFUNCTION("GOOGLETRANSLATE(B176,""en"",""el"")"),"Μίλια/ώρα")</f>
        <v>Μίλια/ώρα</v>
      </c>
      <c r="AG176" s="4" t="str">
        <f>IFERROR(__xludf.DUMMYFUNCTION("GOOGLETRANSLATE(B176,""en"",""et"")"),"Miilid/tund")</f>
        <v>Miilid/tund</v>
      </c>
      <c r="AH176" s="4" t="str">
        <f>IFERROR(__xludf.DUMMYFUNCTION("GOOGLETRANSLATE(B176,""en"",""fi"")"),"Mailia/tunti")</f>
        <v>Mailia/tunti</v>
      </c>
      <c r="AI176" s="4" t="str">
        <f>IFERROR(__xludf.DUMMYFUNCTION("GOOGLETRANSLATE(B176,""en"",""hr"")"),"Milje/sat")</f>
        <v>Milje/sat</v>
      </c>
      <c r="AJ176" s="4" t="str">
        <f>IFERROR(__xludf.DUMMYFUNCTION("GOOGLETRANSLATE(B176,""en"",""hu"")"),"Mérföld/óra")</f>
        <v>Mérföld/óra</v>
      </c>
      <c r="AK176" s="4" t="str">
        <f>IFERROR(__xludf.DUMMYFUNCTION("GOOGLETRANSLATE(B176,""en"",""hy"")"),"մղոն/ժամ")</f>
        <v>մղոն/ժամ</v>
      </c>
      <c r="AL176" s="4" t="str">
        <f>IFERROR(__xludf.DUMMYFUNCTION("GOOGLETRANSLATE(B176,""en"",""ca"")"),"Milles/Hora")</f>
        <v>Milles/Hora</v>
      </c>
      <c r="AM176" s="4" t="str">
        <f>IFERROR(__xludf.DUMMYFUNCTION("GOOGLETRANSLATE(B176,""en"",""nl"")"),"Mijl/uur")</f>
        <v>Mijl/uur</v>
      </c>
      <c r="AN176" s="4" t="str">
        <f>IFERROR(__xludf.DUMMYFUNCTION("GOOGLETRANSLATE(B176,""en"",""he"")"),"מיילים/שעה")</f>
        <v>מיילים/שעה</v>
      </c>
      <c r="AO176" s="4" t="str">
        <f>IFERROR(__xludf.DUMMYFUNCTION("GOOGLETRANSLATE(B176,""en"",""is"")"),"Mílur/klst")</f>
        <v>Mílur/klst</v>
      </c>
      <c r="AP176" s="4" t="str">
        <f>IFERROR(__xludf.DUMMYFUNCTION("GOOGLETRANSLATE(B176,""en"",""no"")"),"Miles/time")</f>
        <v>Miles/time</v>
      </c>
      <c r="AQ176" s="4" t="str">
        <f>IFERROR(__xludf.DUMMYFUNCTION("GOOGLETRANSLATE(B176,""en"",""fa"")"),"مایل/ساعت")</f>
        <v>مایل/ساعت</v>
      </c>
      <c r="AR176" s="4" t="str">
        <f>IFERROR(__xludf.DUMMYFUNCTION("GOOGLETRANSLATE(B176,""en"",""pl"")"),"Mile/Godzina")</f>
        <v>Mile/Godzina</v>
      </c>
      <c r="AS176" s="4" t="str">
        <f>IFERROR(__xludf.DUMMYFUNCTION("GOOGLETRANSLATE(B176,""en"",""sv"")"),"Miles/timme")</f>
        <v>Miles/timme</v>
      </c>
      <c r="AT176" s="4" t="str">
        <f>IFERROR(__xludf.DUMMYFUNCTION("GOOGLETRANSLATE(B176,""en"",""uk"")"),"Милі/година")</f>
        <v>Милі/година</v>
      </c>
      <c r="AU176" s="4" t="str">
        <f>IFERROR(__xludf.DUMMYFUNCTION("GOOGLETRANSLATE(B176,""en"",""zu"")"),"Amamayela/Ihora")</f>
        <v>Amamayela/Ihora</v>
      </c>
      <c r="AV176" s="4" t="str">
        <f>IFERROR(__xludf.DUMMYFUNCTION("GOOGLETRANSLATE(B176,""en"",""sr"")"),"миља/сат")</f>
        <v>миља/сат</v>
      </c>
    </row>
    <row r="177">
      <c r="A177" s="3" t="s">
        <v>382</v>
      </c>
      <c r="B177" s="3" t="s">
        <v>383</v>
      </c>
      <c r="C177" s="4" t="str">
        <f>IFERROR(__xludf.DUMMYFUNCTION("GOOGLETRANSLATE(B177,""en"",""ta"")"),"கிலோமீட்டர்/மணிநேரம்")</f>
        <v>கிலோமீட்டர்/மணிநேரம்</v>
      </c>
      <c r="D177" s="4" t="str">
        <f>IFERROR(__xludf.DUMMYFUNCTION("GOOGLETRANSLATE(B177,""en"",""hi"")"),"किलोमीटर/घंटा")</f>
        <v>किलोमीटर/घंटा</v>
      </c>
      <c r="E177" s="4" t="str">
        <f>IFERROR(__xludf.DUMMYFUNCTION("GOOGLETRANSLATE(B177,""en"",""id"")"),"Kilometer/Jam")</f>
        <v>Kilometer/Jam</v>
      </c>
      <c r="F177" s="4" t="str">
        <f>IFERROR(__xludf.DUMMYFUNCTION("GOOGLETRANSLATE(B177,""en"",""ms"")"),"Kilometer/Jam")</f>
        <v>Kilometer/Jam</v>
      </c>
      <c r="G177" s="4" t="str">
        <f>IFERROR(__xludf.DUMMYFUNCTION("GOOGLETRANSLATE(B177,""en"",""de"")"),"Kilometer/Stunde")</f>
        <v>Kilometer/Stunde</v>
      </c>
      <c r="H177" s="4" t="str">
        <f>IFERROR(__xludf.DUMMYFUNCTION("GOOGLETRANSLATE(B177,""en"",""es"")"),"Kilómetros/Hora")</f>
        <v>Kilómetros/Hora</v>
      </c>
      <c r="I177" s="4" t="str">
        <f>IFERROR(__xludf.DUMMYFUNCTION("GOOGLETRANSLATE(B177,""en"",""fr"")"),"Kilomètres/heure")</f>
        <v>Kilomètres/heure</v>
      </c>
      <c r="J177" s="4" t="str">
        <f>IFERROR(__xludf.DUMMYFUNCTION("GOOGLETRANSLATE(B177,""en"",""it"")"),"Chilometri/ora")</f>
        <v>Chilometri/ora</v>
      </c>
      <c r="K177" s="4" t="str">
        <f>IFERROR(__xludf.DUMMYFUNCTION("GOOGLETRANSLATE(B177,""en"",""pt"")"),"Quilômetros/Hora")</f>
        <v>Quilômetros/Hora</v>
      </c>
      <c r="L177" s="4" t="str">
        <f>IFERROR(__xludf.DUMMYFUNCTION("GOOGLETRANSLATE(B177,""en"",""ro"")"),"Kilometri/Oră")</f>
        <v>Kilometri/Oră</v>
      </c>
      <c r="M177" s="4" t="str">
        <f>IFERROR(__xludf.DUMMYFUNCTION("GOOGLETRANSLATE(B177,""en"",""vi"")"),"Kilômét/Giờ")</f>
        <v>Kilômét/Giờ</v>
      </c>
      <c r="N177" s="4" t="str">
        <f>IFERROR(__xludf.DUMMYFUNCTION("GOOGLETRANSLATE(B177,""en"",""ru"")"),"Километров/час")</f>
        <v>Километров/час</v>
      </c>
      <c r="O177" s="4" t="str">
        <f>IFERROR(__xludf.DUMMYFUNCTION("GOOGLETRANSLATE(B177,""en"",""tr"")"),"Kilometre/Saat")</f>
        <v>Kilometre/Saat</v>
      </c>
      <c r="P177" s="4" t="str">
        <f>IFERROR(__xludf.DUMMYFUNCTION("GOOGLETRANSLATE(B177,""en"",""ar"")"),"كيلومتر/ساعة")</f>
        <v>كيلومتر/ساعة</v>
      </c>
      <c r="Q177" s="4" t="str">
        <f>IFERROR(__xludf.DUMMYFUNCTION("GOOGLETRANSLATE(B177,""en"",""mr"")"),"किलोमीटर/तास")</f>
        <v>किलोमीटर/तास</v>
      </c>
      <c r="R177" s="4" t="str">
        <f>IFERROR(__xludf.DUMMYFUNCTION("GOOGLETRANSLATE(B177,""en"",""gu"")"),"કિલોમીટર/કલાક")</f>
        <v>કિલોમીટર/કલાક</v>
      </c>
      <c r="S177" s="4" t="str">
        <f>IFERROR(__xludf.DUMMYFUNCTION("GOOGLETRANSLATE(B177,""en"",""bn"")"),"কিলোমিটার/ঘণ্টা")</f>
        <v>কিলোমিটার/ঘণ্টা</v>
      </c>
      <c r="T177" s="4" t="str">
        <f>IFERROR(__xludf.DUMMYFUNCTION("GOOGLETRANSLATE(B177,""en"",""pa"")"),"ਕਿਲੋਮੀਟਰ/ਘੰਟਾ")</f>
        <v>ਕਿਲੋਮੀਟਰ/ਘੰਟਾ</v>
      </c>
      <c r="U177" s="4" t="str">
        <f>IFERROR(__xludf.DUMMYFUNCTION("GOOGLETRANSLATE(B177,""en"",""te"")"),"కిలోమీటర్లు/గంట")</f>
        <v>కిలోమీటర్లు/గంట</v>
      </c>
      <c r="V177" s="4" t="str">
        <f>IFERROR(__xludf.DUMMYFUNCTION("GOOGLETRANSLATE(B177,""en"",""kn"")"),"ಕಿಲೋಮೀಟರ್/ಗಂಟೆ")</f>
        <v>ಕಿಲೋಮೀಟರ್/ಗಂಟೆ</v>
      </c>
      <c r="W177" s="4" t="str">
        <f>IFERROR(__xludf.DUMMYFUNCTION("GOOGLETRANSLATE(B177,""en"",""ml"")"),"കിലോമീറ്റർ/മണിക്കൂർ")</f>
        <v>കിലോമീറ്റർ/മണിക്കൂർ</v>
      </c>
      <c r="X177" s="4" t="str">
        <f>IFERROR(__xludf.DUMMYFUNCTION("GOOGLETRANSLATE(B177,""en"",""th"")"),"กิโลเมตร/ชั่วโมง")</f>
        <v>กิโลเมตร/ชั่วโมง</v>
      </c>
      <c r="Y177" s="4" t="str">
        <f>IFERROR(__xludf.DUMMYFUNCTION("GOOGLETRANSLATE(B177,""en"",""ko"")"),"킬로미터/시")</f>
        <v>킬로미터/시</v>
      </c>
      <c r="Z177" s="4" t="str">
        <f>IFERROR(__xludf.DUMMYFUNCTION("GOOGLETRANSLATE(B177,""en"",""zh"")"),"公里/小时")</f>
        <v>公里/小时</v>
      </c>
      <c r="AA177" s="4" t="str">
        <f>IFERROR(__xludf.DUMMYFUNCTION("GOOGLETRANSLATE(B177,""en"",""zh-TW"")"),"公里/小時")</f>
        <v>公里/小時</v>
      </c>
      <c r="AB177" s="4" t="str">
        <f>IFERROR(__xludf.DUMMYFUNCTION("GOOGLETRANSLATE(B177,""en"",""ja"")"),"キロメートル/時")</f>
        <v>キロメートル/時</v>
      </c>
      <c r="AC177" s="4" t="str">
        <f>IFERROR(__xludf.DUMMYFUNCTION("GOOGLETRANSLATE(B177,""en"",""bg"")"),"Километри/час")</f>
        <v>Километри/час</v>
      </c>
      <c r="AD177" s="4" t="str">
        <f>IFERROR(__xludf.DUMMYFUNCTION("GOOGLETRANSLATE(B177,""en"",""cs"")"),"Kilometry/hodina")</f>
        <v>Kilometry/hodina</v>
      </c>
      <c r="AE177" s="4" t="str">
        <f>IFERROR(__xludf.DUMMYFUNCTION("GOOGLETRANSLATE(B177,""en"",""da"")"),"Kilometer/time")</f>
        <v>Kilometer/time</v>
      </c>
      <c r="AF177" s="4" t="str">
        <f>IFERROR(__xludf.DUMMYFUNCTION("GOOGLETRANSLATE(B177,""en"",""el"")"),"Χιλιόμετρα/ώρα")</f>
        <v>Χιλιόμετρα/ώρα</v>
      </c>
      <c r="AG177" s="4" t="str">
        <f>IFERROR(__xludf.DUMMYFUNCTION("GOOGLETRANSLATE(B177,""en"",""et"")"),"Kilomeetrid/tund")</f>
        <v>Kilomeetrid/tund</v>
      </c>
      <c r="AH177" s="4" t="str">
        <f>IFERROR(__xludf.DUMMYFUNCTION("GOOGLETRANSLATE(B177,""en"",""fi"")"),"Kilometrit/tunti")</f>
        <v>Kilometrit/tunti</v>
      </c>
      <c r="AI177" s="4" t="str">
        <f>IFERROR(__xludf.DUMMYFUNCTION("GOOGLETRANSLATE(B177,""en"",""hr"")"),"Kilometri/sat")</f>
        <v>Kilometri/sat</v>
      </c>
      <c r="AJ177" s="4" t="str">
        <f>IFERROR(__xludf.DUMMYFUNCTION("GOOGLETRANSLATE(B177,""en"",""hu"")"),"Kilométer/óra")</f>
        <v>Kilométer/óra</v>
      </c>
      <c r="AK177" s="4" t="str">
        <f>IFERROR(__xludf.DUMMYFUNCTION("GOOGLETRANSLATE(B177,""en"",""hy"")"),"Կիլոմետրեր/ժամ")</f>
        <v>Կիլոմետրեր/ժամ</v>
      </c>
      <c r="AL177" s="4" t="str">
        <f>IFERROR(__xludf.DUMMYFUNCTION("GOOGLETRANSLATE(B177,""en"",""ca"")"),"Quilòmetres/Hora")</f>
        <v>Quilòmetres/Hora</v>
      </c>
      <c r="AM177" s="4" t="str">
        <f>IFERROR(__xludf.DUMMYFUNCTION("GOOGLETRANSLATE(B177,""en"",""nl"")"),"Kilometer/uur")</f>
        <v>Kilometer/uur</v>
      </c>
      <c r="AN177" s="4" t="str">
        <f>IFERROR(__xludf.DUMMYFUNCTION("GOOGLETRANSLATE(B177,""en"",""he"")"),"קילומטרים/שעה")</f>
        <v>קילומטרים/שעה</v>
      </c>
      <c r="AO177" s="4" t="str">
        <f>IFERROR(__xludf.DUMMYFUNCTION("GOOGLETRANSLATE(B177,""en"",""is"")"),"Kílómetrar/klst")</f>
        <v>Kílómetrar/klst</v>
      </c>
      <c r="AP177" s="4" t="str">
        <f>IFERROR(__xludf.DUMMYFUNCTION("GOOGLETRANSLATE(B177,""en"",""no"")"),"Kilometer/time")</f>
        <v>Kilometer/time</v>
      </c>
      <c r="AQ177" s="4" t="str">
        <f>IFERROR(__xludf.DUMMYFUNCTION("GOOGLETRANSLATE(B177,""en"",""fa"")"),"کیلومتر/ساعت")</f>
        <v>کیلومتر/ساعت</v>
      </c>
      <c r="AR177" s="4" t="str">
        <f>IFERROR(__xludf.DUMMYFUNCTION("GOOGLETRANSLATE(B177,""en"",""pl"")"),"Kilometry/Godzina")</f>
        <v>Kilometry/Godzina</v>
      </c>
      <c r="AS177" s="4" t="str">
        <f>IFERROR(__xludf.DUMMYFUNCTION("GOOGLETRANSLATE(B177,""en"",""sv"")"),"Kilometer/timme")</f>
        <v>Kilometer/timme</v>
      </c>
      <c r="AT177" s="4" t="str">
        <f>IFERROR(__xludf.DUMMYFUNCTION("GOOGLETRANSLATE(B177,""en"",""uk"")"),"Кілометри/година")</f>
        <v>Кілометри/година</v>
      </c>
      <c r="AU177" s="4" t="str">
        <f>IFERROR(__xludf.DUMMYFUNCTION("GOOGLETRANSLATE(B177,""en"",""zu"")"),"Amakhilomitha/Ihora")</f>
        <v>Amakhilomitha/Ihora</v>
      </c>
      <c r="AV177" s="4" t="str">
        <f>IFERROR(__xludf.DUMMYFUNCTION("GOOGLETRANSLATE(B177,""en"",""sr"")"),"Километри/Хоур")</f>
        <v>Километри/Хоур</v>
      </c>
    </row>
    <row r="178">
      <c r="A178" s="3" t="s">
        <v>384</v>
      </c>
      <c r="B178" s="3" t="s">
        <v>385</v>
      </c>
      <c r="C178" s="4" t="str">
        <f>IFERROR(__xludf.DUMMYFUNCTION("GOOGLETRANSLATE(B178,""en"",""ta"")"),"முடிச்சு")</f>
        <v>முடிச்சு</v>
      </c>
      <c r="D178" s="4" t="str">
        <f>IFERROR(__xludf.DUMMYFUNCTION("GOOGLETRANSLATE(B178,""en"",""hi"")"),"गांठ")</f>
        <v>गांठ</v>
      </c>
      <c r="E178" s="4" t="str">
        <f>IFERROR(__xludf.DUMMYFUNCTION("GOOGLETRANSLATE(B178,""en"",""id"")"),"Simpul")</f>
        <v>Simpul</v>
      </c>
      <c r="F178" s="4" t="str">
        <f>IFERROR(__xludf.DUMMYFUNCTION("GOOGLETRANSLATE(B178,""en"",""ms"")"),"Simpulan")</f>
        <v>Simpulan</v>
      </c>
      <c r="G178" s="4" t="str">
        <f>IFERROR(__xludf.DUMMYFUNCTION("GOOGLETRANSLATE(B178,""en"",""de"")"),"Knoten")</f>
        <v>Knoten</v>
      </c>
      <c r="H178" s="4" t="str">
        <f>IFERROR(__xludf.DUMMYFUNCTION("GOOGLETRANSLATE(B178,""en"",""es"")"),"Nudo")</f>
        <v>Nudo</v>
      </c>
      <c r="I178" s="4" t="str">
        <f>IFERROR(__xludf.DUMMYFUNCTION("GOOGLETRANSLATE(B178,""en"",""fr"")"),"Noeud")</f>
        <v>Noeud</v>
      </c>
      <c r="J178" s="4" t="str">
        <f>IFERROR(__xludf.DUMMYFUNCTION("GOOGLETRANSLATE(B178,""en"",""it"")"),"Nodo")</f>
        <v>Nodo</v>
      </c>
      <c r="K178" s="4" t="str">
        <f>IFERROR(__xludf.DUMMYFUNCTION("GOOGLETRANSLATE(B178,""en"",""pt"")"),"Nó")</f>
        <v>Nó</v>
      </c>
      <c r="L178" s="4" t="str">
        <f>IFERROR(__xludf.DUMMYFUNCTION("GOOGLETRANSLATE(B178,""en"",""ro"")"),"Nod")</f>
        <v>Nod</v>
      </c>
      <c r="M178" s="4" t="str">
        <f>IFERROR(__xludf.DUMMYFUNCTION("GOOGLETRANSLATE(B178,""en"",""vi"")"),"Nút thắt")</f>
        <v>Nút thắt</v>
      </c>
      <c r="N178" s="4" t="str">
        <f>IFERROR(__xludf.DUMMYFUNCTION("GOOGLETRANSLATE(B178,""en"",""ru"")"),"Узел")</f>
        <v>Узел</v>
      </c>
      <c r="O178" s="4" t="str">
        <f>IFERROR(__xludf.DUMMYFUNCTION("GOOGLETRANSLATE(B178,""en"",""tr"")"),"Düğüm")</f>
        <v>Düğüm</v>
      </c>
      <c r="P178" s="4" t="str">
        <f>IFERROR(__xludf.DUMMYFUNCTION("GOOGLETRANSLATE(B178,""en"",""ar"")"),"عقدة")</f>
        <v>عقدة</v>
      </c>
      <c r="Q178" s="4" t="str">
        <f>IFERROR(__xludf.DUMMYFUNCTION("GOOGLETRANSLATE(B178,""en"",""mr"")"),"गाठ")</f>
        <v>गाठ</v>
      </c>
      <c r="R178" s="4" t="str">
        <f>IFERROR(__xludf.DUMMYFUNCTION("GOOGLETRANSLATE(B178,""en"",""gu"")"),"ગાંઠ")</f>
        <v>ગાંઠ</v>
      </c>
      <c r="S178" s="4" t="str">
        <f>IFERROR(__xludf.DUMMYFUNCTION("GOOGLETRANSLATE(B178,""en"",""bn"")"),"গিঁট")</f>
        <v>গিঁট</v>
      </c>
      <c r="T178" s="4" t="str">
        <f>IFERROR(__xludf.DUMMYFUNCTION("GOOGLETRANSLATE(B178,""en"",""pa"")"),"ਗੰਢ")</f>
        <v>ਗੰਢ</v>
      </c>
      <c r="U178" s="4" t="str">
        <f>IFERROR(__xludf.DUMMYFUNCTION("GOOGLETRANSLATE(B178,""en"",""te"")"),"ముడి")</f>
        <v>ముడి</v>
      </c>
      <c r="V178" s="4" t="str">
        <f>IFERROR(__xludf.DUMMYFUNCTION("GOOGLETRANSLATE(B178,""en"",""kn"")"),"ಗಂಟು")</f>
        <v>ಗಂಟು</v>
      </c>
      <c r="W178" s="4" t="str">
        <f>IFERROR(__xludf.DUMMYFUNCTION("GOOGLETRANSLATE(B178,""en"",""ml"")"),"കെട്ട്")</f>
        <v>കെട്ട്</v>
      </c>
      <c r="X178" s="4" t="str">
        <f>IFERROR(__xludf.DUMMYFUNCTION("GOOGLETRANSLATE(B178,""en"",""th"")"),"ปม")</f>
        <v>ปม</v>
      </c>
      <c r="Y178" s="4" t="str">
        <f>IFERROR(__xludf.DUMMYFUNCTION("GOOGLETRANSLATE(B178,""en"",""ko"")"),"매듭")</f>
        <v>매듭</v>
      </c>
      <c r="Z178" s="4" t="str">
        <f>IFERROR(__xludf.DUMMYFUNCTION("GOOGLETRANSLATE(B178,""en"",""zh"")"),"结")</f>
        <v>结</v>
      </c>
      <c r="AA178" s="4" t="str">
        <f>IFERROR(__xludf.DUMMYFUNCTION("GOOGLETRANSLATE(B178,""en"",""zh-TW"")"),"結")</f>
        <v>結</v>
      </c>
      <c r="AB178" s="4" t="str">
        <f>IFERROR(__xludf.DUMMYFUNCTION("GOOGLETRANSLATE(B178,""en"",""ja"")"),"結び目")</f>
        <v>結び目</v>
      </c>
      <c r="AC178" s="4" t="str">
        <f>IFERROR(__xludf.DUMMYFUNCTION("GOOGLETRANSLATE(B178,""en"",""bg"")"),"Възел")</f>
        <v>Възел</v>
      </c>
      <c r="AD178" s="4" t="str">
        <f>IFERROR(__xludf.DUMMYFUNCTION("GOOGLETRANSLATE(B178,""en"",""cs"")"),"Uzel")</f>
        <v>Uzel</v>
      </c>
      <c r="AE178" s="4" t="str">
        <f>IFERROR(__xludf.DUMMYFUNCTION("GOOGLETRANSLATE(B178,""en"",""da"")"),"Knude")</f>
        <v>Knude</v>
      </c>
      <c r="AF178" s="4" t="str">
        <f>IFERROR(__xludf.DUMMYFUNCTION("GOOGLETRANSLATE(B178,""en"",""el"")"),"Κόμπος")</f>
        <v>Κόμπος</v>
      </c>
      <c r="AG178" s="4" t="str">
        <f>IFERROR(__xludf.DUMMYFUNCTION("GOOGLETRANSLATE(B178,""en"",""et"")"),"Sõlm")</f>
        <v>Sõlm</v>
      </c>
      <c r="AH178" s="4" t="str">
        <f>IFERROR(__xludf.DUMMYFUNCTION("GOOGLETRANSLATE(B178,""en"",""fi"")"),"Solmu")</f>
        <v>Solmu</v>
      </c>
      <c r="AI178" s="4" t="str">
        <f>IFERROR(__xludf.DUMMYFUNCTION("GOOGLETRANSLATE(B178,""en"",""hr"")"),"Čvor")</f>
        <v>Čvor</v>
      </c>
      <c r="AJ178" s="4" t="str">
        <f>IFERROR(__xludf.DUMMYFUNCTION("GOOGLETRANSLATE(B178,""en"",""hu"")"),"Csomó")</f>
        <v>Csomó</v>
      </c>
      <c r="AK178" s="4" t="str">
        <f>IFERROR(__xludf.DUMMYFUNCTION("GOOGLETRANSLATE(B178,""en"",""hy"")"),"Հանգույց")</f>
        <v>Հանգույց</v>
      </c>
      <c r="AL178" s="4" t="str">
        <f>IFERROR(__xludf.DUMMYFUNCTION("GOOGLETRANSLATE(B178,""en"",""ca"")"),"Nus")</f>
        <v>Nus</v>
      </c>
      <c r="AM178" s="4" t="str">
        <f>IFERROR(__xludf.DUMMYFUNCTION("GOOGLETRANSLATE(B178,""en"",""nl"")"),"Knoop")</f>
        <v>Knoop</v>
      </c>
      <c r="AN178" s="4" t="str">
        <f>IFERROR(__xludf.DUMMYFUNCTION("GOOGLETRANSLATE(B178,""en"",""he"")"),"קֶשֶׁר")</f>
        <v>קֶשֶׁר</v>
      </c>
      <c r="AO178" s="4" t="str">
        <f>IFERROR(__xludf.DUMMYFUNCTION("GOOGLETRANSLATE(B178,""en"",""is"")"),"Hnútur")</f>
        <v>Hnútur</v>
      </c>
      <c r="AP178" s="4" t="str">
        <f>IFERROR(__xludf.DUMMYFUNCTION("GOOGLETRANSLATE(B178,""en"",""no"")"),"Knute")</f>
        <v>Knute</v>
      </c>
      <c r="AQ178" s="4" t="str">
        <f>IFERROR(__xludf.DUMMYFUNCTION("GOOGLETRANSLATE(B178,""en"",""fa"")"),"گره")</f>
        <v>گره</v>
      </c>
      <c r="AR178" s="4" t="str">
        <f>IFERROR(__xludf.DUMMYFUNCTION("GOOGLETRANSLATE(B178,""en"",""pl"")"),"Węzeł")</f>
        <v>Węzeł</v>
      </c>
      <c r="AS178" s="4" t="str">
        <f>IFERROR(__xludf.DUMMYFUNCTION("GOOGLETRANSLATE(B178,""en"",""sv"")"),"Knut")</f>
        <v>Knut</v>
      </c>
      <c r="AT178" s="4" t="str">
        <f>IFERROR(__xludf.DUMMYFUNCTION("GOOGLETRANSLATE(B178,""en"",""uk"")"),"вузол")</f>
        <v>вузол</v>
      </c>
      <c r="AU178" s="4" t="str">
        <f>IFERROR(__xludf.DUMMYFUNCTION("GOOGLETRANSLATE(B178,""en"",""zu"")"),"Ifindo")</f>
        <v>Ifindo</v>
      </c>
      <c r="AV178" s="4" t="str">
        <f>IFERROR(__xludf.DUMMYFUNCTION("GOOGLETRANSLATE(B178,""en"",""sr"")"),"Кнот")</f>
        <v>Кнот</v>
      </c>
    </row>
    <row r="179">
      <c r="A179" s="3" t="s">
        <v>386</v>
      </c>
      <c r="B179" s="3" t="s">
        <v>387</v>
      </c>
      <c r="C179" s="4" t="str">
        <f>IFERROR(__xludf.DUMMYFUNCTION("GOOGLETRANSLATE(B179,""en"",""ta"")"),"கிலோமீட்டர்கள் அல்லது மீட்டர்கள் (கிமீ அல்லது மீ)")</f>
        <v>கிலோமீட்டர்கள் அல்லது மீட்டர்கள் (கிமீ அல்லது மீ)</v>
      </c>
      <c r="D179" s="4" t="str">
        <f>IFERROR(__xludf.DUMMYFUNCTION("GOOGLETRANSLATE(B179,""en"",""hi"")"),"किलोमीटर या मीटर (किमी या मी)")</f>
        <v>किलोमीटर या मीटर (किमी या मी)</v>
      </c>
      <c r="E179" s="4" t="str">
        <f>IFERROR(__xludf.DUMMYFUNCTION("GOOGLETRANSLATE(B179,""en"",""id"")"),"Kilometer atau meter (Km atau m)")</f>
        <v>Kilometer atau meter (Km atau m)</v>
      </c>
      <c r="F179" s="4" t="str">
        <f>IFERROR(__xludf.DUMMYFUNCTION("GOOGLETRANSLATE(B179,""en"",""ms"")"),"Kilometer atau meter (Km atau m)")</f>
        <v>Kilometer atau meter (Km atau m)</v>
      </c>
      <c r="G179" s="4" t="str">
        <f>IFERROR(__xludf.DUMMYFUNCTION("GOOGLETRANSLATE(B179,""en"",""de"")"),"Kilometer oder Meter (Km oder m)")</f>
        <v>Kilometer oder Meter (Km oder m)</v>
      </c>
      <c r="H179" s="4" t="str">
        <f>IFERROR(__xludf.DUMMYFUNCTION("GOOGLETRANSLATE(B179,""en"",""es"")"),"Kilómetros o metros (Km o m)")</f>
        <v>Kilómetros o metros (Km o m)</v>
      </c>
      <c r="I179" s="4" t="str">
        <f>IFERROR(__xludf.DUMMYFUNCTION("GOOGLETRANSLATE(B179,""en"",""fr"")"),"Kilomètres ou mètres (Km ou m)")</f>
        <v>Kilomètres ou mètres (Km ou m)</v>
      </c>
      <c r="J179" s="4" t="str">
        <f>IFERROR(__xludf.DUMMYFUNCTION("GOOGLETRANSLATE(B179,""en"",""it"")"),"Chilometri o metri (Km o m)")</f>
        <v>Chilometri o metri (Km o m)</v>
      </c>
      <c r="K179" s="4" t="str">
        <f>IFERROR(__xludf.DUMMYFUNCTION("GOOGLETRANSLATE(B179,""en"",""pt"")"),"Quilômetros ou metros (Km ou m)")</f>
        <v>Quilômetros ou metros (Km ou m)</v>
      </c>
      <c r="L179" s="4" t="str">
        <f>IFERROR(__xludf.DUMMYFUNCTION("GOOGLETRANSLATE(B179,""en"",""ro"")"),"Kilometri sau metri (Km sau m)")</f>
        <v>Kilometri sau metri (Km sau m)</v>
      </c>
      <c r="M179" s="4" t="str">
        <f>IFERROR(__xludf.DUMMYFUNCTION("GOOGLETRANSLATE(B179,""en"",""vi"")"),"Kilômét hoặc mét (Km hoặc m)")</f>
        <v>Kilômét hoặc mét (Km hoặc m)</v>
      </c>
      <c r="N179" s="4" t="str">
        <f>IFERROR(__xludf.DUMMYFUNCTION("GOOGLETRANSLATE(B179,""en"",""ru"")"),"Километры или метры (Км или м)")</f>
        <v>Километры или метры (Км или м)</v>
      </c>
      <c r="O179" s="4" t="str">
        <f>IFERROR(__xludf.DUMMYFUNCTION("GOOGLETRANSLATE(B179,""en"",""tr"")"),"Kilometre veya metre (Km veya m)")</f>
        <v>Kilometre veya metre (Km veya m)</v>
      </c>
      <c r="P179" s="4" t="str">
        <f>IFERROR(__xludf.DUMMYFUNCTION("GOOGLETRANSLATE(B179,""en"",""ar"")"),"كيلومترات أو أمتار (كم أو م)")</f>
        <v>كيلومترات أو أمتار (كم أو م)</v>
      </c>
      <c r="Q179" s="4" t="str">
        <f>IFERROR(__xludf.DUMMYFUNCTION("GOOGLETRANSLATE(B179,""en"",""mr"")"),"किलोमीटर किंवा मीटर (किमी किंवा मीटर)")</f>
        <v>किलोमीटर किंवा मीटर (किमी किंवा मीटर)</v>
      </c>
      <c r="R179" s="4" t="str">
        <f>IFERROR(__xludf.DUMMYFUNCTION("GOOGLETRANSLATE(B179,""en"",""gu"")"),"કિલોમીટર અથવા મીટર (કિમી અથવા મીટર)")</f>
        <v>કિલોમીટર અથવા મીટર (કિમી અથવા મીટર)</v>
      </c>
      <c r="S179" s="4" t="str">
        <f>IFERROR(__xludf.DUMMYFUNCTION("GOOGLETRANSLATE(B179,""en"",""bn"")"),"কিলোমিটার বা মিটার (কিমি বা মি)")</f>
        <v>কিলোমিটার বা মিটার (কিমি বা মি)</v>
      </c>
      <c r="T179" s="4" t="str">
        <f>IFERROR(__xludf.DUMMYFUNCTION("GOOGLETRANSLATE(B179,""en"",""pa"")"),"ਕਿਲੋਮੀਟਰ ਜਾਂ ਮੀਟਰ (ਕਿ.ਮੀ. ਜਾਂ ਮੀਟਰ)")</f>
        <v>ਕਿਲੋਮੀਟਰ ਜਾਂ ਮੀਟਰ (ਕਿ.ਮੀ. ਜਾਂ ਮੀਟਰ)</v>
      </c>
      <c r="U179" s="4" t="str">
        <f>IFERROR(__xludf.DUMMYFUNCTION("GOOGLETRANSLATE(B179,""en"",""te"")"),"కిలోమీటర్లు లేదా మీటర్లు (కిమీ లేదా మీ)")</f>
        <v>కిలోమీటర్లు లేదా మీటర్లు (కిమీ లేదా మీ)</v>
      </c>
      <c r="V179" s="4" t="str">
        <f>IFERROR(__xludf.DUMMYFUNCTION("GOOGLETRANSLATE(B179,""en"",""kn"")"),"ಕಿಲೋಮೀಟರ್‌ಗಳು ಅಥವಾ ಮೀಟರ್‌ಗಳು (ಕಿಮೀ ಅಥವಾ ಮೀ)")</f>
        <v>ಕಿಲೋಮೀಟರ್‌ಗಳು ಅಥವಾ ಮೀಟರ್‌ಗಳು (ಕಿಮೀ ಅಥವಾ ಮೀ)</v>
      </c>
      <c r="W179" s="4" t="str">
        <f>IFERROR(__xludf.DUMMYFUNCTION("GOOGLETRANSLATE(B179,""en"",""ml"")"),"കിലോമീറ്ററുകൾ അല്ലെങ്കിൽ മീറ്ററുകൾ (കിമീ അല്ലെങ്കിൽ മീറ്റർ)")</f>
        <v>കിലോമീറ്ററുകൾ അല്ലെങ്കിൽ മീറ്ററുകൾ (കിമീ അല്ലെങ്കിൽ മീറ്റർ)</v>
      </c>
      <c r="X179" s="4" t="str">
        <f>IFERROR(__xludf.DUMMYFUNCTION("GOOGLETRANSLATE(B179,""en"",""th"")"),"กิโลเมตร หรือ เมตร (Km หรือ m)")</f>
        <v>กิโลเมตร หรือ เมตร (Km หรือ m)</v>
      </c>
      <c r="Y179" s="4" t="str">
        <f>IFERROR(__xludf.DUMMYFUNCTION("GOOGLETRANSLATE(B179,""en"",""ko"")"),"킬로미터 또는 미터(Km 또는 m)")</f>
        <v>킬로미터 또는 미터(Km 또는 m)</v>
      </c>
      <c r="Z179" s="4" t="str">
        <f>IFERROR(__xludf.DUMMYFUNCTION("GOOGLETRANSLATE(B179,""en"",""zh"")"),"公里或米（Km 或 m）")</f>
        <v>公里或米（Km 或 m）</v>
      </c>
      <c r="AA179" s="4" t="str">
        <f>IFERROR(__xludf.DUMMYFUNCTION("GOOGLETRANSLATE(B179,""en"",""zh-TW"")"),"公里或米（Km 或 m）")</f>
        <v>公里或米（Km 或 m）</v>
      </c>
      <c r="AB179" s="4" t="str">
        <f>IFERROR(__xludf.DUMMYFUNCTION("GOOGLETRANSLATE(B179,""en"",""ja"")"),"キロメートルまたはメートル（Kmまたはm）")</f>
        <v>キロメートルまたはメートル（Kmまたはm）</v>
      </c>
      <c r="AC179" s="4" t="str">
        <f>IFERROR(__xludf.DUMMYFUNCTION("GOOGLETRANSLATE(B179,""en"",""bg"")"),"Километри или метри (Km или m)")</f>
        <v>Километри или метри (Km или m)</v>
      </c>
      <c r="AD179" s="4" t="str">
        <f>IFERROR(__xludf.DUMMYFUNCTION("GOOGLETRANSLATE(B179,""en"",""cs"")"),"Kilometry nebo metry (Km nebo m)")</f>
        <v>Kilometry nebo metry (Km nebo m)</v>
      </c>
      <c r="AE179" s="4" t="str">
        <f>IFERROR(__xludf.DUMMYFUNCTION("GOOGLETRANSLATE(B179,""en"",""da"")"),"Kilometer eller meter (Km eller m)")</f>
        <v>Kilometer eller meter (Km eller m)</v>
      </c>
      <c r="AF179" s="4" t="str">
        <f>IFERROR(__xludf.DUMMYFUNCTION("GOOGLETRANSLATE(B179,""en"",""el"")"),"Χιλιόμετρα ή μέτρα (Km ή m)")</f>
        <v>Χιλιόμετρα ή μέτρα (Km ή m)</v>
      </c>
      <c r="AG179" s="4" t="str">
        <f>IFERROR(__xludf.DUMMYFUNCTION("GOOGLETRANSLATE(B179,""en"",""et"")"),"Kilomeetrid või meetrid (Km või m)")</f>
        <v>Kilomeetrid või meetrid (Km või m)</v>
      </c>
      <c r="AH179" s="4" t="str">
        <f>IFERROR(__xludf.DUMMYFUNCTION("GOOGLETRANSLATE(B179,""en"",""fi"")"),"Kilometrejä tai metrejä (km tai m)")</f>
        <v>Kilometrejä tai metrejä (km tai m)</v>
      </c>
      <c r="AI179" s="4" t="str">
        <f>IFERROR(__xludf.DUMMYFUNCTION("GOOGLETRANSLATE(B179,""en"",""hr"")"),"Kilometri ili metri (Km ili m)")</f>
        <v>Kilometri ili metri (Km ili m)</v>
      </c>
      <c r="AJ179" s="4" t="str">
        <f>IFERROR(__xludf.DUMMYFUNCTION("GOOGLETRANSLATE(B179,""en"",""hu"")"),"Kilométer vagy méter (Km vagy m)")</f>
        <v>Kilométer vagy méter (Km vagy m)</v>
      </c>
      <c r="AK179" s="4" t="str">
        <f>IFERROR(__xludf.DUMMYFUNCTION("GOOGLETRANSLATE(B179,""en"",""hy"")"),"Կիլոմետրեր կամ մետրեր (կմ կամ մ)")</f>
        <v>Կիլոմետրեր կամ մետրեր (կմ կամ մ)</v>
      </c>
      <c r="AL179" s="4" t="str">
        <f>IFERROR(__xludf.DUMMYFUNCTION("GOOGLETRANSLATE(B179,""en"",""ca"")"),"Quilòmetres o metres (Km o m)")</f>
        <v>Quilòmetres o metres (Km o m)</v>
      </c>
      <c r="AM179" s="4" t="str">
        <f>IFERROR(__xludf.DUMMYFUNCTION("GOOGLETRANSLATE(B179,""en"",""nl"")"),"Kilometers of meters (Km of m)")</f>
        <v>Kilometers of meters (Km of m)</v>
      </c>
      <c r="AN179" s="4" t="str">
        <f>IFERROR(__xludf.DUMMYFUNCTION("GOOGLETRANSLATE(B179,""en"",""he"")"),"קילומטרים או מטרים (ק""מ או מ')")</f>
        <v>קילומטרים או מטרים (ק"מ או מ')</v>
      </c>
      <c r="AO179" s="4" t="str">
        <f>IFERROR(__xludf.DUMMYFUNCTION("GOOGLETRANSLATE(B179,""en"",""is"")"),"Kílómetrar eða metrar (Km eða m)")</f>
        <v>Kílómetrar eða metrar (Km eða m)</v>
      </c>
      <c r="AP179" s="4" t="str">
        <f>IFERROR(__xludf.DUMMYFUNCTION("GOOGLETRANSLATE(B179,""en"",""no"")"),"Kilometer eller meter (Km eller m)")</f>
        <v>Kilometer eller meter (Km eller m)</v>
      </c>
      <c r="AQ179" s="4" t="str">
        <f>IFERROR(__xludf.DUMMYFUNCTION("GOOGLETRANSLATE(B179,""en"",""fa"")"),"کیلومتر یا متر (کیلومتر یا متر)")</f>
        <v>کیلومتر یا متر (کیلومتر یا متر)</v>
      </c>
      <c r="AR179" s="4" t="str">
        <f>IFERROR(__xludf.DUMMYFUNCTION("GOOGLETRANSLATE(B179,""en"",""pl"")"),"Kilometry lub metry (Km lub m)")</f>
        <v>Kilometry lub metry (Km lub m)</v>
      </c>
      <c r="AS179" s="4" t="str">
        <f>IFERROR(__xludf.DUMMYFUNCTION("GOOGLETRANSLATE(B179,""en"",""sv"")"),"Kilometer eller meter (Km eller m)")</f>
        <v>Kilometer eller meter (Km eller m)</v>
      </c>
      <c r="AT179" s="4" t="str">
        <f>IFERROR(__xludf.DUMMYFUNCTION("GOOGLETRANSLATE(B179,""en"",""uk"")"),"Кілометри або метри (км або м)")</f>
        <v>Кілометри або метри (км або м)</v>
      </c>
      <c r="AU179" s="4" t="str">
        <f>IFERROR(__xludf.DUMMYFUNCTION("GOOGLETRANSLATE(B179,""en"",""zu"")"),"Amakhilomitha noma amamitha (Km noma m)")</f>
        <v>Amakhilomitha noma amamitha (Km noma m)</v>
      </c>
      <c r="AV179" s="4" t="str">
        <f>IFERROR(__xludf.DUMMYFUNCTION("GOOGLETRANSLATE(B179,""en"",""sr"")"),"Километри или метри (Км или м)")</f>
        <v>Километри или метри (Км или м)</v>
      </c>
    </row>
    <row r="180">
      <c r="A180" s="3" t="s">
        <v>388</v>
      </c>
      <c r="B180" s="3" t="s">
        <v>389</v>
      </c>
      <c r="C180" s="4" t="str">
        <f>IFERROR(__xludf.DUMMYFUNCTION("GOOGLETRANSLATE(B180,""en"",""ta"")"),"மைல்கள்/அடி (மைல் அல்லது அடி)")</f>
        <v>மைல்கள்/அடி (மைல் அல்லது அடி)</v>
      </c>
      <c r="D180" s="4" t="str">
        <f>IFERROR(__xludf.DUMMYFUNCTION("GOOGLETRANSLATE(B180,""en"",""hi"")"),"मील/फुट (मील या फीट)")</f>
        <v>मील/फुट (मील या फीट)</v>
      </c>
      <c r="E180" s="4" t="str">
        <f>IFERROR(__xludf.DUMMYFUNCTION("GOOGLETRANSLATE(B180,""en"",""id"")"),"Mil/Kaki (mi atau ft)")</f>
        <v>Mil/Kaki (mi atau ft)</v>
      </c>
      <c r="F180" s="4" t="str">
        <f>IFERROR(__xludf.DUMMYFUNCTION("GOOGLETRANSLATE(B180,""en"",""ms"")"),"Batu/Kaki (bt atau kaki)")</f>
        <v>Batu/Kaki (bt atau kaki)</v>
      </c>
      <c r="G180" s="4" t="str">
        <f>IFERROR(__xludf.DUMMYFUNCTION("GOOGLETRANSLATE(B180,""en"",""de"")"),"Meilen/Fuß (mi oder ft)")</f>
        <v>Meilen/Fuß (mi oder ft)</v>
      </c>
      <c r="H180" s="4" t="str">
        <f>IFERROR(__xludf.DUMMYFUNCTION("GOOGLETRANSLATE(B180,""en"",""es"")"),"Millas/Pie (mi o ft)")</f>
        <v>Millas/Pie (mi o ft)</v>
      </c>
      <c r="I180" s="4" t="str">
        <f>IFERROR(__xludf.DUMMYFUNCTION("GOOGLETRANSLATE(B180,""en"",""fr"")"),"Miles/pied (mi ou ft)")</f>
        <v>Miles/pied (mi ou ft)</v>
      </c>
      <c r="J180" s="4" t="str">
        <f>IFERROR(__xludf.DUMMYFUNCTION("GOOGLETRANSLATE(B180,""en"",""it"")"),"Miglia/Piede (mi o ft)")</f>
        <v>Miglia/Piede (mi o ft)</v>
      </c>
      <c r="K180" s="4" t="str">
        <f>IFERROR(__xludf.DUMMYFUNCTION("GOOGLETRANSLATE(B180,""en"",""pt"")"),"Milhas/Pé (mi ou ft)")</f>
        <v>Milhas/Pé (mi ou ft)</v>
      </c>
      <c r="L180" s="4" t="str">
        <f>IFERROR(__xludf.DUMMYFUNCTION("GOOGLETRANSLATE(B180,""en"",""ro"")"),"Mile/picior (mi sau ft)")</f>
        <v>Mile/picior (mi sau ft)</v>
      </c>
      <c r="M180" s="4" t="str">
        <f>IFERROR(__xludf.DUMMYFUNCTION("GOOGLETRANSLATE(B180,""en"",""vi"")"),"Dặm/Foot (mi hoặc ft)")</f>
        <v>Dặm/Foot (mi hoặc ft)</v>
      </c>
      <c r="N180" s="4" t="str">
        <f>IFERROR(__xludf.DUMMYFUNCTION("GOOGLETRANSLATE(B180,""en"",""ru"")"),"Мили/Футы (ми или фт)")</f>
        <v>Мили/Футы (ми или фт)</v>
      </c>
      <c r="O180" s="4" t="str">
        <f>IFERROR(__xludf.DUMMYFUNCTION("GOOGLETRANSLATE(B180,""en"",""tr"")"),"Mil/Ayak (mi veya ft)")</f>
        <v>Mil/Ayak (mi veya ft)</v>
      </c>
      <c r="P180" s="4" t="str">
        <f>IFERROR(__xludf.DUMMYFUNCTION("GOOGLETRANSLATE(B180,""en"",""ar"")"),"ميل/قدم (ميل أو قدم)")</f>
        <v>ميل/قدم (ميل أو قدم)</v>
      </c>
      <c r="Q180" s="4" t="str">
        <f>IFERROR(__xludf.DUMMYFUNCTION("GOOGLETRANSLATE(B180,""en"",""mr"")"),"मैल/फूट (मैल किंवा फूट)")</f>
        <v>मैल/फूट (मैल किंवा फूट)</v>
      </c>
      <c r="R180" s="4" t="str">
        <f>IFERROR(__xludf.DUMMYFUNCTION("GOOGLETRANSLATE(B180,""en"",""gu"")"),"માઇલ/ફૂટ (માઇલ અથવા ફૂટ)")</f>
        <v>માઇલ/ફૂટ (માઇલ અથવા ફૂટ)</v>
      </c>
      <c r="S180" s="4" t="str">
        <f>IFERROR(__xludf.DUMMYFUNCTION("GOOGLETRANSLATE(B180,""en"",""bn"")"),"মাইল/ফুট (মাই বা ফুট)")</f>
        <v>মাইল/ফুট (মাই বা ফুট)</v>
      </c>
      <c r="T180" s="4" t="str">
        <f>IFERROR(__xludf.DUMMYFUNCTION("GOOGLETRANSLATE(B180,""en"",""pa"")"),"ਮੀਲ/ਫੁੱਟ (ਮੀਲ ਜਾਂ ਫੁੱਟ)")</f>
        <v>ਮੀਲ/ਫੁੱਟ (ਮੀਲ ਜਾਂ ਫੁੱਟ)</v>
      </c>
      <c r="U180" s="4" t="str">
        <f>IFERROR(__xludf.DUMMYFUNCTION("GOOGLETRANSLATE(B180,""en"",""te"")"),"మైళ్లు/అడుగు (మైలు లేదా అడుగులు)")</f>
        <v>మైళ్లు/అడుగు (మైలు లేదా అడుగులు)</v>
      </c>
      <c r="V180" s="4" t="str">
        <f>IFERROR(__xludf.DUMMYFUNCTION("GOOGLETRANSLATE(B180,""en"",""kn"")"),"ಮೈಲುಗಳು/ಅಡಿ (ಮೈ ಅಥವಾ ಅಡಿ)")</f>
        <v>ಮೈಲುಗಳು/ಅಡಿ (ಮೈ ಅಥವಾ ಅಡಿ)</v>
      </c>
      <c r="W180" s="4" t="str">
        <f>IFERROR(__xludf.DUMMYFUNCTION("GOOGLETRANSLATE(B180,""en"",""ml"")"),"മൈൽ/അടി (മൈൽ അല്ലെങ്കിൽ അടി)")</f>
        <v>മൈൽ/അടി (മൈൽ അല്ലെങ്കിൽ അടി)</v>
      </c>
      <c r="X180" s="4" t="str">
        <f>IFERROR(__xludf.DUMMYFUNCTION("GOOGLETRANSLATE(B180,""en"",""th"")"),"ไมล์/ฟุต (ไมล์หรือฟุต)")</f>
        <v>ไมล์/ฟุต (ไมล์หรือฟุต)</v>
      </c>
      <c r="Y180" s="4" t="str">
        <f>IFERROR(__xludf.DUMMYFUNCTION("GOOGLETRANSLATE(B180,""en"",""ko"")"),"마일/피트(mi 또는 ft)")</f>
        <v>마일/피트(mi 또는 ft)</v>
      </c>
      <c r="Z180" s="4" t="str">
        <f>IFERROR(__xludf.DUMMYFUNCTION("GOOGLETRANSLATE(B180,""en"",""zh"")"),"英里/英尺（mi 或 ft）")</f>
        <v>英里/英尺（mi 或 ft）</v>
      </c>
      <c r="AA180" s="4" t="str">
        <f>IFERROR(__xludf.DUMMYFUNCTION("GOOGLETRANSLATE(B180,""en"",""zh-TW"")"),"英里/英尺（mi 或 ft）")</f>
        <v>英里/英尺（mi 或 ft）</v>
      </c>
      <c r="AB180" s="4" t="str">
        <f>IFERROR(__xludf.DUMMYFUNCTION("GOOGLETRANSLATE(B180,""en"",""ja"")"),"マイル/フィート（miまたはft）")</f>
        <v>マイル/フィート（miまたはft）</v>
      </c>
      <c r="AC180" s="4" t="str">
        <f>IFERROR(__xludf.DUMMYFUNCTION("GOOGLETRANSLATE(B180,""en"",""bg"")"),"Мили/фут (мили или футове)")</f>
        <v>Мили/фут (мили или футове)</v>
      </c>
      <c r="AD180" s="4" t="str">
        <f>IFERROR(__xludf.DUMMYFUNCTION("GOOGLETRANSLATE(B180,""en"",""cs"")"),"Míle/stopy (mi nebo ft)")</f>
        <v>Míle/stopy (mi nebo ft)</v>
      </c>
      <c r="AE180" s="4" t="str">
        <f>IFERROR(__xludf.DUMMYFUNCTION("GOOGLETRANSLATE(B180,""en"",""da"")"),"Miles/fod (mi eller ft)")</f>
        <v>Miles/fod (mi eller ft)</v>
      </c>
      <c r="AF180" s="4" t="str">
        <f>IFERROR(__xludf.DUMMYFUNCTION("GOOGLETRANSLATE(B180,""en"",""el"")"),"Μίλια/Πόδια (μίλια ή πόδια)")</f>
        <v>Μίλια/Πόδια (μίλια ή πόδια)</v>
      </c>
      <c r="AG180" s="4" t="str">
        <f>IFERROR(__xludf.DUMMYFUNCTION("GOOGLETRANSLATE(B180,""en"",""et"")"),"Miilid/jalg (miil või jalg)")</f>
        <v>Miilid/jalg (miil või jalg)</v>
      </c>
      <c r="AH180" s="4" t="str">
        <f>IFERROR(__xludf.DUMMYFUNCTION("GOOGLETRANSLATE(B180,""en"",""fi"")"),"Mailia/jalka (mi tai jalkaa)")</f>
        <v>Mailia/jalka (mi tai jalkaa)</v>
      </c>
      <c r="AI180" s="4" t="str">
        <f>IFERROR(__xludf.DUMMYFUNCTION("GOOGLETRANSLATE(B180,""en"",""hr"")"),"Milje/stopa (mi ili stope)")</f>
        <v>Milje/stopa (mi ili stope)</v>
      </c>
      <c r="AJ180" s="4" t="str">
        <f>IFERROR(__xludf.DUMMYFUNCTION("GOOGLETRANSLATE(B180,""en"",""hu"")"),"Mérföld/láb (mérföld vagy láb)")</f>
        <v>Mérföld/láb (mérföld vagy láb)</v>
      </c>
      <c r="AK180" s="4" t="str">
        <f>IFERROR(__xludf.DUMMYFUNCTION("GOOGLETRANSLATE(B180,""en"",""hy"")"),"մղոն/ոտք (mi կամ ft)")</f>
        <v>մղոն/ոտք (mi կամ ft)</v>
      </c>
      <c r="AL180" s="4" t="str">
        <f>IFERROR(__xludf.DUMMYFUNCTION("GOOGLETRANSLATE(B180,""en"",""ca"")"),"Milles/Peu (mi o peus)")</f>
        <v>Milles/Peu (mi o peus)</v>
      </c>
      <c r="AM180" s="4" t="str">
        <f>IFERROR(__xludf.DUMMYFUNCTION("GOOGLETRANSLATE(B180,""en"",""nl"")"),"Mijl/voet (mi of ft)")</f>
        <v>Mijl/voet (mi of ft)</v>
      </c>
      <c r="AN180" s="4" t="str">
        <f>IFERROR(__xludf.DUMMYFUNCTION("GOOGLETRANSLATE(B180,""en"",""he"")"),"מיילים/רגל (מי או רגל)")</f>
        <v>מיילים/רגל (מי או רגל)</v>
      </c>
      <c r="AO180" s="4" t="str">
        <f>IFERROR(__xludf.DUMMYFUNCTION("GOOGLETRANSLATE(B180,""en"",""is"")"),"Mílur/fótur (mílur eða fet)")</f>
        <v>Mílur/fótur (mílur eða fet)</v>
      </c>
      <c r="AP180" s="4" t="str">
        <f>IFERROR(__xludf.DUMMYFUNCTION("GOOGLETRANSLATE(B180,""en"",""no"")"),"Miles/fot (mi eller fot)")</f>
        <v>Miles/fot (mi eller fot)</v>
      </c>
      <c r="AQ180" s="4" t="str">
        <f>IFERROR(__xludf.DUMMYFUNCTION("GOOGLETRANSLATE(B180,""en"",""fa"")"),"مایل/پا (مایل یا فوت)")</f>
        <v>مایل/پا (مایل یا فوت)</v>
      </c>
      <c r="AR180" s="4" t="str">
        <f>IFERROR(__xludf.DUMMYFUNCTION("GOOGLETRANSLATE(B180,""en"",""pl"")"),"Mile/Stopa (mi lub ft)")</f>
        <v>Mile/Stopa (mi lub ft)</v>
      </c>
      <c r="AS180" s="4" t="str">
        <f>IFERROR(__xludf.DUMMYFUNCTION("GOOGLETRANSLATE(B180,""en"",""sv"")"),"Miles/fot (mi eller ft)")</f>
        <v>Miles/fot (mi eller ft)</v>
      </c>
      <c r="AT180" s="4" t="str">
        <f>IFERROR(__xludf.DUMMYFUNCTION("GOOGLETRANSLATE(B180,""en"",""uk"")"),"Милі/фут (милі або фути)")</f>
        <v>Милі/фут (милі або фути)</v>
      </c>
      <c r="AU180" s="4" t="str">
        <f>IFERROR(__xludf.DUMMYFUNCTION("GOOGLETRANSLATE(B180,""en"",""zu"")"),"Amamayela/unyawo (mi noma ft)")</f>
        <v>Amamayela/unyawo (mi noma ft)</v>
      </c>
      <c r="AV180" s="4" t="str">
        <f>IFERROR(__xludf.DUMMYFUNCTION("GOOGLETRANSLATE(B180,""en"",""sr"")"),"миље/фоот (ми или фт)")</f>
        <v>миље/фоот (ми или фт)</v>
      </c>
    </row>
    <row r="181">
      <c r="A181" s="3" t="s">
        <v>390</v>
      </c>
      <c r="B181" s="3" t="s">
        <v>391</v>
      </c>
      <c r="C181" s="4" t="str">
        <f>IFERROR(__xludf.DUMMYFUNCTION("GOOGLETRANSLATE(B181,""en"",""ta"")"),"மைல்கள்/யார்டுகள் (மைல் அல்லது இடி)")</f>
        <v>மைல்கள்/யார்டுகள் (மைல் அல்லது இடி)</v>
      </c>
      <c r="D181" s="4" t="str">
        <f>IFERROR(__xludf.DUMMYFUNCTION("GOOGLETRANSLATE(B181,""en"",""hi"")"),"मील/गज (मील या गज)")</f>
        <v>मील/गज (मील या गज)</v>
      </c>
      <c r="E181" s="4" t="str">
        <f>IFERROR(__xludf.DUMMYFUNCTION("GOOGLETRANSLATE(B181,""en"",""id"")"),"Mil/Yard (mi atau yd)")</f>
        <v>Mil/Yard (mi atau yd)</v>
      </c>
      <c r="F181" s="4" t="str">
        <f>IFERROR(__xludf.DUMMYFUNCTION("GOOGLETRANSLATE(B181,""en"",""ms"")"),"Batu/Ela (bt atau ela)")</f>
        <v>Batu/Ela (bt atau ela)</v>
      </c>
      <c r="G181" s="4" t="str">
        <f>IFERROR(__xludf.DUMMYFUNCTION("GOOGLETRANSLATE(B181,""en"",""de"")"),"Meilen/Yards (mi oder yd)")</f>
        <v>Meilen/Yards (mi oder yd)</v>
      </c>
      <c r="H181" s="4" t="str">
        <f>IFERROR(__xludf.DUMMYFUNCTION("GOOGLETRANSLATE(B181,""en"",""es"")"),"Millas/Yardas (mi o yd)")</f>
        <v>Millas/Yardas (mi o yd)</v>
      </c>
      <c r="I181" s="4" t="str">
        <f>IFERROR(__xludf.DUMMYFUNCTION("GOOGLETRANSLATE(B181,""en"",""fr"")"),"Miles/Yards (mi ou yd)")</f>
        <v>Miles/Yards (mi ou yd)</v>
      </c>
      <c r="J181" s="4" t="str">
        <f>IFERROR(__xludf.DUMMYFUNCTION("GOOGLETRANSLATE(B181,""en"",""it"")"),"Miglia/Iarde (mi o yd)")</f>
        <v>Miglia/Iarde (mi o yd)</v>
      </c>
      <c r="K181" s="4" t="str">
        <f>IFERROR(__xludf.DUMMYFUNCTION("GOOGLETRANSLATE(B181,""en"",""pt"")"),"Milhas/jardas (mi ou yd)")</f>
        <v>Milhas/jardas (mi ou yd)</v>
      </c>
      <c r="L181" s="4" t="str">
        <f>IFERROR(__xludf.DUMMYFUNCTION("GOOGLETRANSLATE(B181,""en"",""ro"")"),"Mile/yarzi (mi sau yd)")</f>
        <v>Mile/yarzi (mi sau yd)</v>
      </c>
      <c r="M181" s="4" t="str">
        <f>IFERROR(__xludf.DUMMYFUNCTION("GOOGLETRANSLATE(B181,""en"",""vi"")"),"Dặm/Yard (mi hoặc yd)")</f>
        <v>Dặm/Yard (mi hoặc yd)</v>
      </c>
      <c r="N181" s="4" t="str">
        <f>IFERROR(__xludf.DUMMYFUNCTION("GOOGLETRANSLATE(B181,""en"",""ru"")"),"Мили/ярды (mi или yd)")</f>
        <v>Мили/ярды (mi или yd)</v>
      </c>
      <c r="O181" s="4" t="str">
        <f>IFERROR(__xludf.DUMMYFUNCTION("GOOGLETRANSLATE(B181,""en"",""tr"")"),"Mil/Yard (mi veya yd)")</f>
        <v>Mil/Yard (mi veya yd)</v>
      </c>
      <c r="P181" s="4" t="str">
        <f>IFERROR(__xludf.DUMMYFUNCTION("GOOGLETRANSLATE(B181,""en"",""ar"")"),"الأميال/الياردات (ميل أو ياردة)")</f>
        <v>الأميال/الياردات (ميل أو ياردة)</v>
      </c>
      <c r="Q181" s="4" t="str">
        <f>IFERROR(__xludf.DUMMYFUNCTION("GOOGLETRANSLATE(B181,""en"",""mr"")"),"मैल/यार्ड्स (मैल किंवा यार्ड)")</f>
        <v>मैल/यार्ड्स (मैल किंवा यार्ड)</v>
      </c>
      <c r="R181" s="4" t="str">
        <f>IFERROR(__xludf.DUMMYFUNCTION("GOOGLETRANSLATE(B181,""en"",""gu"")"),"માઇલ/યાર્ડ્સ (માઇલ અથવા યાર્ડ)")</f>
        <v>માઇલ/યાર્ડ્સ (માઇલ અથવા યાર્ડ)</v>
      </c>
      <c r="S181" s="4" t="str">
        <f>IFERROR(__xludf.DUMMYFUNCTION("GOOGLETRANSLATE(B181,""en"",""bn"")"),"মাইল/গজ (মাইল বা ইয়ার্ড)")</f>
        <v>মাইল/গজ (মাইল বা ইয়ার্ড)</v>
      </c>
      <c r="T181" s="4" t="str">
        <f>IFERROR(__xludf.DUMMYFUNCTION("GOOGLETRANSLATE(B181,""en"",""pa"")"),"ਮੀਲ/ਯਾਰਡ (ਮੀਲ ਜਾਂ ਗਜ਼)")</f>
        <v>ਮੀਲ/ਯਾਰਡ (ਮੀਲ ਜਾਂ ਗਜ਼)</v>
      </c>
      <c r="U181" s="4" t="str">
        <f>IFERROR(__xludf.DUMMYFUNCTION("GOOGLETRANSLATE(B181,""en"",""te"")"),"మైళ్లు/గజాలు (మైలు లేదా యార్డ్)")</f>
        <v>మైళ్లు/గజాలు (మైలు లేదా యార్డ్)</v>
      </c>
      <c r="V181" s="4" t="str">
        <f>IFERROR(__xludf.DUMMYFUNCTION("GOOGLETRANSLATE(B181,""en"",""kn"")"),"ಮೈಲುಗಳು/ಗಜಗಳು (ಮೈ ಅಥವಾ ಗಜ)")</f>
        <v>ಮೈಲುಗಳು/ಗಜಗಳು (ಮೈ ಅಥವಾ ಗಜ)</v>
      </c>
      <c r="W181" s="4" t="str">
        <f>IFERROR(__xludf.DUMMYFUNCTION("GOOGLETRANSLATE(B181,""en"",""ml"")"),"മൈൽ/യാർഡുകൾ (മൈൽ അല്ലെങ്കിൽ യാർഡ്)")</f>
        <v>മൈൽ/യാർഡുകൾ (മൈൽ അല്ലെങ്കിൽ യാർഡ്)</v>
      </c>
      <c r="X181" s="4" t="str">
        <f>IFERROR(__xludf.DUMMYFUNCTION("GOOGLETRANSLATE(B181,""en"",""th"")"),"ไมล์/หลา (ไมล์หรือหลา)")</f>
        <v>ไมล์/หลา (ไมล์หรือหลา)</v>
      </c>
      <c r="Y181" s="4" t="str">
        <f>IFERROR(__xludf.DUMMYFUNCTION("GOOGLETRANSLATE(B181,""en"",""ko"")"),"마일/야드(mi 또는 yd)")</f>
        <v>마일/야드(mi 또는 yd)</v>
      </c>
      <c r="Z181" s="4" t="str">
        <f>IFERROR(__xludf.DUMMYFUNCTION("GOOGLETRANSLATE(B181,""en"",""zh"")"),"英里/码（mi 或 yd）")</f>
        <v>英里/码（mi 或 yd）</v>
      </c>
      <c r="AA181" s="4" t="str">
        <f>IFERROR(__xludf.DUMMYFUNCTION("GOOGLETRANSLATE(B181,""en"",""zh-TW"")"),"英哩/碼（mi 或 yd）")</f>
        <v>英哩/碼（mi 或 yd）</v>
      </c>
      <c r="AB181" s="4" t="str">
        <f>IFERROR(__xludf.DUMMYFUNCTION("GOOGLETRANSLATE(B181,""en"",""ja"")"),"マイル/ヤード（miまたはyd）")</f>
        <v>マイル/ヤード（miまたはyd）</v>
      </c>
      <c r="AC181" s="4" t="str">
        <f>IFERROR(__xludf.DUMMYFUNCTION("GOOGLETRANSLATE(B181,""en"",""bg"")"),"Мили/ярдове (mi или yd)")</f>
        <v>Мили/ярдове (mi или yd)</v>
      </c>
      <c r="AD181" s="4" t="str">
        <f>IFERROR(__xludf.DUMMYFUNCTION("GOOGLETRANSLATE(B181,""en"",""cs"")"),"Míle/yardy (mi nebo yd)")</f>
        <v>Míle/yardy (mi nebo yd)</v>
      </c>
      <c r="AE181" s="4" t="str">
        <f>IFERROR(__xludf.DUMMYFUNCTION("GOOGLETRANSLATE(B181,""en"",""da"")"),"Miles/Yards (mi eller yd)")</f>
        <v>Miles/Yards (mi eller yd)</v>
      </c>
      <c r="AF181" s="4" t="str">
        <f>IFERROR(__xludf.DUMMYFUNCTION("GOOGLETRANSLATE(B181,""en"",""el"")"),"Μίλια/Γυάρδες (μίλια ή γιάρδες)")</f>
        <v>Μίλια/Γυάρδες (μίλια ή γιάρδες)</v>
      </c>
      <c r="AG181" s="4" t="str">
        <f>IFERROR(__xludf.DUMMYFUNCTION("GOOGLETRANSLATE(B181,""en"",""et"")"),"Miilid/jardid (miil või jard)")</f>
        <v>Miilid/jardid (miil või jard)</v>
      </c>
      <c r="AH181" s="4" t="str">
        <f>IFERROR(__xludf.DUMMYFUNCTION("GOOGLETRANSLATE(B181,""en"",""fi"")"),"Mailia/jaardia (mailia tai jaardia)")</f>
        <v>Mailia/jaardia (mailia tai jaardia)</v>
      </c>
      <c r="AI181" s="4" t="str">
        <f>IFERROR(__xludf.DUMMYFUNCTION("GOOGLETRANSLATE(B181,""en"",""hr"")"),"Milje/jardi (mi ili yd)")</f>
        <v>Milje/jardi (mi ili yd)</v>
      </c>
      <c r="AJ181" s="4" t="str">
        <f>IFERROR(__xludf.DUMMYFUNCTION("GOOGLETRANSLATE(B181,""en"",""hu"")"),"Mérföld/yard (mi vagy yd)")</f>
        <v>Mérföld/yard (mi vagy yd)</v>
      </c>
      <c r="AK181" s="4" t="str">
        <f>IFERROR(__xludf.DUMMYFUNCTION("GOOGLETRANSLATE(B181,""en"",""hy"")"),"մղոն/բարդ (միլիոն կամ յարդ)")</f>
        <v>մղոն/բարդ (միլիոն կամ յարդ)</v>
      </c>
      <c r="AL181" s="4" t="str">
        <f>IFERROR(__xludf.DUMMYFUNCTION("GOOGLETRANSLATE(B181,""en"",""ca"")"),"Milles/yards (mi o iardes)")</f>
        <v>Milles/yards (mi o iardes)</v>
      </c>
      <c r="AM181" s="4" t="str">
        <f>IFERROR(__xludf.DUMMYFUNCTION("GOOGLETRANSLATE(B181,""en"",""nl"")"),"Mijlen/yards (mi of yd)")</f>
        <v>Mijlen/yards (mi of yd)</v>
      </c>
      <c r="AN181" s="4" t="str">
        <f>IFERROR(__xludf.DUMMYFUNCTION("GOOGLETRANSLATE(B181,""en"",""he"")"),"מיילים/יארדים (מייל או yd)")</f>
        <v>מיילים/יארדים (מייל או yd)</v>
      </c>
      <c r="AO181" s="4" t="str">
        <f>IFERROR(__xludf.DUMMYFUNCTION("GOOGLETRANSLATE(B181,""en"",""is"")"),"Miles/Yards (mílur eða yd)")</f>
        <v>Miles/Yards (mílur eða yd)</v>
      </c>
      <c r="AP181" s="4" t="str">
        <f>IFERROR(__xludf.DUMMYFUNCTION("GOOGLETRANSLATE(B181,""en"",""no"")"),"Miles/Yards (mi eller yd)")</f>
        <v>Miles/Yards (mi eller yd)</v>
      </c>
      <c r="AQ181" s="4" t="str">
        <f>IFERROR(__xludf.DUMMYFUNCTION("GOOGLETRANSLATE(B181,""en"",""fa"")"),"مایل/یارد (میلی یا ید)")</f>
        <v>مایل/یارد (میلی یا ید)</v>
      </c>
      <c r="AR181" s="4" t="str">
        <f>IFERROR(__xludf.DUMMYFUNCTION("GOOGLETRANSLATE(B181,""en"",""pl"")"),"Mile/jardy (mi lub yd)")</f>
        <v>Mile/jardy (mi lub yd)</v>
      </c>
      <c r="AS181" s="4" t="str">
        <f>IFERROR(__xludf.DUMMYFUNCTION("GOOGLETRANSLATE(B181,""en"",""sv"")"),"Miles/Yards (mi eller yd)")</f>
        <v>Miles/Yards (mi eller yd)</v>
      </c>
      <c r="AT181" s="4" t="str">
        <f>IFERROR(__xludf.DUMMYFUNCTION("GOOGLETRANSLATE(B181,""en"",""uk"")"),"Милі/ярди (милі або ярди)")</f>
        <v>Милі/ярди (милі або ярди)</v>
      </c>
      <c r="AU181" s="4" t="str">
        <f>IFERROR(__xludf.DUMMYFUNCTION("GOOGLETRANSLATE(B181,""en"",""zu"")"),"Amamayela/Amayadi (mi noma yd)")</f>
        <v>Amamayela/Amayadi (mi noma yd)</v>
      </c>
      <c r="AV181" s="4" t="str">
        <f>IFERROR(__xludf.DUMMYFUNCTION("GOOGLETRANSLATE(B181,""en"",""sr"")"),"миље/јарди (ми или ид)")</f>
        <v>миље/јарди (ми или ид)</v>
      </c>
    </row>
    <row r="182">
      <c r="A182" s="3" t="s">
        <v>392</v>
      </c>
      <c r="B182" s="3" t="s">
        <v>393</v>
      </c>
      <c r="C182" s="4" t="str">
        <f>IFERROR(__xludf.DUMMYFUNCTION("GOOGLETRANSLATE(B182,""en"",""ta"")"),"NauticalMiles/Fathom (nmi அல்லது ftm)")</f>
        <v>NauticalMiles/Fathom (nmi அல்லது ftm)</v>
      </c>
      <c r="D182" s="4" t="str">
        <f>IFERROR(__xludf.DUMMYFUNCTION("GOOGLETRANSLATE(B182,""en"",""hi"")"),"नॉटिकल मील/फैदम (एनएमआई या एफटीएम)")</f>
        <v>नॉटिकल मील/फैदम (एनएमआई या एफटीएम)</v>
      </c>
      <c r="E182" s="4" t="str">
        <f>IFERROR(__xludf.DUMMYFUNCTION("GOOGLETRANSLATE(B182,""en"",""id"")"),"Mil Laut/Fathom (nmi atau ftm)")</f>
        <v>Mil Laut/Fathom (nmi atau ftm)</v>
      </c>
      <c r="F182" s="4" t="str">
        <f>IFERROR(__xludf.DUMMYFUNCTION("GOOGLETRANSLATE(B182,""en"",""ms"")"),"NauticalMiles/Fathom (nmi atau ftm)")</f>
        <v>NauticalMiles/Fathom (nmi atau ftm)</v>
      </c>
      <c r="G182" s="4" t="str">
        <f>IFERROR(__xludf.DUMMYFUNCTION("GOOGLETRANSLATE(B182,""en"",""de"")"),"Seemeilen/Faden (nmi oder ftm)")</f>
        <v>Seemeilen/Faden (nmi oder ftm)</v>
      </c>
      <c r="H182" s="4" t="str">
        <f>IFERROR(__xludf.DUMMYFUNCTION("GOOGLETRANSLATE(B182,""en"",""es"")"),"Millas náuticas/brazas (nmi o ftm)")</f>
        <v>Millas náuticas/brazas (nmi o ftm)</v>
      </c>
      <c r="I182" s="4" t="str">
        <f>IFERROR(__xludf.DUMMYFUNCTION("GOOGLETRANSLATE(B182,""en"",""fr"")"),"Milles nautiques/Bretelles (nmi ou ftm)")</f>
        <v>Milles nautiques/Bretelles (nmi ou ftm)</v>
      </c>
      <c r="J182" s="4" t="str">
        <f>IFERROR(__xludf.DUMMYFUNCTION("GOOGLETRANSLATE(B182,""en"",""it"")"),"Miglia nautiche/braccia (nmi o ftm)")</f>
        <v>Miglia nautiche/braccia (nmi o ftm)</v>
      </c>
      <c r="K182" s="4" t="str">
        <f>IFERROR(__xludf.DUMMYFUNCTION("GOOGLETRANSLATE(B182,""en"",""pt"")"),"Milhas náuticas/braças (nmi ou ftm)")</f>
        <v>Milhas náuticas/braças (nmi ou ftm)</v>
      </c>
      <c r="L182" s="4" t="str">
        <f>IFERROR(__xludf.DUMMYFUNCTION("GOOGLETRANSLATE(B182,""en"",""ro"")"),"Mile nautice/Fathom (nmi sau ftm)")</f>
        <v>Mile nautice/Fathom (nmi sau ftm)</v>
      </c>
      <c r="M182" s="4" t="str">
        <f>IFERROR(__xludf.DUMMYFUNCTION("GOOGLETRANSLATE(B182,""en"",""vi"")"),"Hải lý/Fathom (nmi hoặc ftm)")</f>
        <v>Hải lý/Fathom (nmi hoặc ftm)</v>
      </c>
      <c r="N182" s="4" t="str">
        <f>IFERROR(__xludf.DUMMYFUNCTION("GOOGLETRANSLATE(B182,""en"",""ru"")"),"Морские мили/морская фатома (nmi или ftm)")</f>
        <v>Морские мили/морская фатома (nmi или ftm)</v>
      </c>
      <c r="O182" s="4" t="str">
        <f>IFERROR(__xludf.DUMMYFUNCTION("GOOGLETRANSLATE(B182,""en"",""tr"")"),"Deniz Mili/Fathom (nmi veya ftm)")</f>
        <v>Deniz Mili/Fathom (nmi veya ftm)</v>
      </c>
      <c r="P182" s="4" t="str">
        <f>IFERROR(__xludf.DUMMYFUNCTION("GOOGLETRANSLATE(B182,""en"",""ar"")"),"NauticalMiles/Fathom (nmi أو ftm)")</f>
        <v>NauticalMiles/Fathom (nmi أو ftm)</v>
      </c>
      <c r="Q182" s="4" t="str">
        <f>IFERROR(__xludf.DUMMYFUNCTION("GOOGLETRANSLATE(B182,""en"",""mr"")"),"NauticalMiles/Fathom (nmi किंवा ftm)")</f>
        <v>NauticalMiles/Fathom (nmi किंवा ftm)</v>
      </c>
      <c r="R182" s="4" t="str">
        <f>IFERROR(__xludf.DUMMYFUNCTION("GOOGLETRANSLATE(B182,""en"",""gu"")"),"નોટિકલ માઈલ્સ/ફેથમ (nmi અથવા ftm)")</f>
        <v>નોટિકલ માઈલ્સ/ફેથમ (nmi અથવા ftm)</v>
      </c>
      <c r="S182" s="4" t="str">
        <f>IFERROR(__xludf.DUMMYFUNCTION("GOOGLETRANSLATE(B182,""en"",""bn"")"),"নটিক্যাল মাইলস/ফ্যাথম (এনএমআই বা এফটিএম)")</f>
        <v>নটিক্যাল মাইলস/ফ্যাথম (এনএমআই বা এফটিএম)</v>
      </c>
      <c r="T182" s="4" t="str">
        <f>IFERROR(__xludf.DUMMYFUNCTION("GOOGLETRANSLATE(B182,""en"",""pa"")"),"ਨੌਟੀਕਲ ਮਾਈਲਸ/ਫੈਥਮ (nmi ਜਾਂ ftm)")</f>
        <v>ਨੌਟੀਕਲ ਮਾਈਲਸ/ਫੈਥਮ (nmi ਜਾਂ ftm)</v>
      </c>
      <c r="U182" s="4" t="str">
        <f>IFERROR(__xludf.DUMMYFUNCTION("GOOGLETRANSLATE(B182,""en"",""te"")"),"నాటికల్ మైల్స్/ఫాథమ్ (nmi లేదా ftm)")</f>
        <v>నాటికల్ మైల్స్/ఫాథమ్ (nmi లేదా ftm)</v>
      </c>
      <c r="V182" s="4" t="str">
        <f>IFERROR(__xludf.DUMMYFUNCTION("GOOGLETRANSLATE(B182,""en"",""kn"")"),"NauticalMiles/Fathom (nmi ಅಥವಾ ftm)")</f>
        <v>NauticalMiles/Fathom (nmi ಅಥವಾ ftm)</v>
      </c>
      <c r="W182" s="4" t="str">
        <f>IFERROR(__xludf.DUMMYFUNCTION("GOOGLETRANSLATE(B182,""en"",""ml"")"),"നോട്ടിക്കൽ മൈൽസ്/ഫാതം (എൻഎംഐ അല്ലെങ്കിൽ ftm)")</f>
        <v>നോട്ടിക്കൽ മൈൽസ്/ഫാതം (എൻഎംഐ അല്ലെങ്കിൽ ftm)</v>
      </c>
      <c r="X182" s="4" t="str">
        <f>IFERROR(__xludf.DUMMYFUNCTION("GOOGLETRANSLATE(B182,""en"",""th"")"),"ไมล์ทะเล/ฟาทอม (nmi หรือ ftm)")</f>
        <v>ไมล์ทะเล/ฟาทอม (nmi หรือ ftm)</v>
      </c>
      <c r="Y182" s="4" t="str">
        <f>IFERROR(__xludf.DUMMYFUNCTION("GOOGLETRANSLATE(B182,""en"",""ko"")"),"해리/패덤(nmi 또는 ftm)")</f>
        <v>해리/패덤(nmi 또는 ftm)</v>
      </c>
      <c r="Z182" s="4" t="str">
        <f>IFERROR(__xludf.DUMMYFUNCTION("GOOGLETRANSLATE(B182,""en"",""zh"")"),"海里/英寻 (nmi 或 ftm)")</f>
        <v>海里/英寻 (nmi 或 ftm)</v>
      </c>
      <c r="AA182" s="4" t="str">
        <f>IFERROR(__xludf.DUMMYFUNCTION("GOOGLETRANSLATE(B182,""en"",""zh-TW"")"),"海浬/英尋 (nmi 或 ftm)")</f>
        <v>海浬/英尋 (nmi 或 ftm)</v>
      </c>
      <c r="AB182" s="4" t="str">
        <f>IFERROR(__xludf.DUMMYFUNCTION("GOOGLETRANSLATE(B182,""en"",""ja"")"),"海里/ファゾム（nmi または ftm）")</f>
        <v>海里/ファゾム（nmi または ftm）</v>
      </c>
      <c r="AC182" s="4" t="str">
        <f>IFERROR(__xludf.DUMMYFUNCTION("GOOGLETRANSLATE(B182,""en"",""bg"")"),"NauticalMiles/Fathom (nmi или ftm)")</f>
        <v>NauticalMiles/Fathom (nmi или ftm)</v>
      </c>
      <c r="AD182" s="4" t="str">
        <f>IFERROR(__xludf.DUMMYFUNCTION("GOOGLETRANSLATE(B182,""en"",""cs"")"),"Nautical Miles/Fathom (nmi nebo ftm)")</f>
        <v>Nautical Miles/Fathom (nmi nebo ftm)</v>
      </c>
      <c r="AE182" s="4" t="str">
        <f>IFERROR(__xludf.DUMMYFUNCTION("GOOGLETRANSLATE(B182,""en"",""da"")"),"NauticalMiles/Fathom (nmi eller ftm)")</f>
        <v>NauticalMiles/Fathom (nmi eller ftm)</v>
      </c>
      <c r="AF182" s="4" t="str">
        <f>IFERROR(__xludf.DUMMYFUNCTION("GOOGLETRANSLATE(B182,""en"",""el"")"),"NauticalMiles/Fathom (nmi ή ftm)")</f>
        <v>NauticalMiles/Fathom (nmi ή ftm)</v>
      </c>
      <c r="AG182" s="4" t="str">
        <f>IFERROR(__xludf.DUMMYFUNCTION("GOOGLETRANSLATE(B182,""en"",""et"")"),"NauticalMiles/Fathom (nmi või ftm)")</f>
        <v>NauticalMiles/Fathom (nmi või ftm)</v>
      </c>
      <c r="AH182" s="4" t="str">
        <f>IFERROR(__xludf.DUMMYFUNCTION("GOOGLETRANSLATE(B182,""en"",""fi"")"),"NauticalMiles/Fathom (nmi tai ftm)")</f>
        <v>NauticalMiles/Fathom (nmi tai ftm)</v>
      </c>
      <c r="AI182" s="4" t="str">
        <f>IFERROR(__xludf.DUMMYFUNCTION("GOOGLETRANSLATE(B182,""en"",""hr"")"),"Nautičke milje/fathom (nmi ili ftm)")</f>
        <v>Nautičke milje/fathom (nmi ili ftm)</v>
      </c>
      <c r="AJ182" s="4" t="str">
        <f>IFERROR(__xludf.DUMMYFUNCTION("GOOGLETRANSLATE(B182,""en"",""hu"")"),"NauticalMiles/Fathom (nmi vagy ftm)")</f>
        <v>NauticalMiles/Fathom (nmi vagy ftm)</v>
      </c>
      <c r="AK182" s="4" t="str">
        <f>IFERROR(__xludf.DUMMYFUNCTION("GOOGLETRANSLATE(B182,""en"",""hy"")"),"NauticalMiles/Fathom (nmi կամ ftm)")</f>
        <v>NauticalMiles/Fathom (nmi կամ ftm)</v>
      </c>
      <c r="AL182" s="4" t="str">
        <f>IFERROR(__xludf.DUMMYFUNCTION("GOOGLETRANSLATE(B182,""en"",""ca"")"),"NauticalMiles/Fathom (nmi o ftm)")</f>
        <v>NauticalMiles/Fathom (nmi o ftm)</v>
      </c>
      <c r="AM182" s="4" t="str">
        <f>IFERROR(__xludf.DUMMYFUNCTION("GOOGLETRANSLATE(B182,""en"",""nl"")"),"Nautische mijlen/vadem (nmi of ftm)")</f>
        <v>Nautische mijlen/vadem (nmi of ftm)</v>
      </c>
      <c r="AN182" s="4" t="str">
        <f>IFERROR(__xludf.DUMMYFUNCTION("GOOGLETRANSLATE(B182,""en"",""he"")"),"NauticalMiles/Fathom (nmi או ftm)")</f>
        <v>NauticalMiles/Fathom (nmi או ftm)</v>
      </c>
      <c r="AO182" s="4" t="str">
        <f>IFERROR(__xludf.DUMMYFUNCTION("GOOGLETRANSLATE(B182,""en"",""is"")"),"NauticalMiles/Fathom (nmi eða ftm)")</f>
        <v>NauticalMiles/Fathom (nmi eða ftm)</v>
      </c>
      <c r="AP182" s="4" t="str">
        <f>IFERROR(__xludf.DUMMYFUNCTION("GOOGLETRANSLATE(B182,""en"",""no"")"),"NauticalMiles/Fathom (nmi eller ftm)")</f>
        <v>NauticalMiles/Fathom (nmi eller ftm)</v>
      </c>
      <c r="AQ182" s="4" t="str">
        <f>IFERROR(__xludf.DUMMYFUNCTION("GOOGLETRANSLATE(B182,""en"",""fa"")"),"NauticalMiles/Fathom (nmi یا ftm)")</f>
        <v>NauticalMiles/Fathom (nmi یا ftm)</v>
      </c>
      <c r="AR182" s="4" t="str">
        <f>IFERROR(__xludf.DUMMYFUNCTION("GOOGLETRANSLATE(B182,""en"",""pl"")"),"Mile morskie/sągi (nmi lub ftm)")</f>
        <v>Mile morskie/sągi (nmi lub ftm)</v>
      </c>
      <c r="AS182" s="4" t="str">
        <f>IFERROR(__xludf.DUMMYFUNCTION("GOOGLETRANSLATE(B182,""en"",""sv"")"),"NauticalMiles/Fathom (nmi eller ftm)")</f>
        <v>NauticalMiles/Fathom (nmi eller ftm)</v>
      </c>
      <c r="AT182" s="4" t="str">
        <f>IFERROR(__xludf.DUMMYFUNCTION("GOOGLETRANSLATE(B182,""en"",""uk"")"),"Морські милі/сажі (nmi або ftm)")</f>
        <v>Морські милі/сажі (nmi або ftm)</v>
      </c>
      <c r="AU182" s="4" t="str">
        <f>IFERROR(__xludf.DUMMYFUNCTION("GOOGLETRANSLATE(B182,""en"",""zu"")"),"I-NauticalMiles/Fathom (nmi noma i-ftm)")</f>
        <v>I-NauticalMiles/Fathom (nmi noma i-ftm)</v>
      </c>
      <c r="AV182" s="4" t="str">
        <f>IFERROR(__xludf.DUMMYFUNCTION("GOOGLETRANSLATE(B182,""en"",""sr"")"),"наутичке миље/фатом (нми или фтм)")</f>
        <v>наутичке миље/фатом (нми или фтм)</v>
      </c>
    </row>
    <row r="183">
      <c r="A183" s="3" t="s">
        <v>394</v>
      </c>
      <c r="B183" s="3" t="s">
        <v>395</v>
      </c>
      <c r="C183" s="4" t="str">
        <f>IFERROR(__xludf.DUMMYFUNCTION("GOOGLETRANSLATE(B183,""en"",""ta"")"),"மீட்டர் (மீ)")</f>
        <v>மீட்டர் (மீ)</v>
      </c>
      <c r="D183" s="4" t="str">
        <f>IFERROR(__xludf.DUMMYFUNCTION("GOOGLETRANSLATE(B183,""en"",""hi"")"),"मीटर (मी)")</f>
        <v>मीटर (मी)</v>
      </c>
      <c r="E183" s="4" t="str">
        <f>IFERROR(__xludf.DUMMYFUNCTION("GOOGLETRANSLATE(B183,""en"",""id"")"),"Meter (m)")</f>
        <v>Meter (m)</v>
      </c>
      <c r="F183" s="4" t="str">
        <f>IFERROR(__xludf.DUMMYFUNCTION("GOOGLETRANSLATE(B183,""en"",""ms"")"),"Meter (m)")</f>
        <v>Meter (m)</v>
      </c>
      <c r="G183" s="4" t="str">
        <f>IFERROR(__xludf.DUMMYFUNCTION("GOOGLETRANSLATE(B183,""en"",""de"")"),"Meter (m)")</f>
        <v>Meter (m)</v>
      </c>
      <c r="H183" s="4" t="str">
        <f>IFERROR(__xludf.DUMMYFUNCTION("GOOGLETRANSLATE(B183,""en"",""es"")"),"Metros (m)")</f>
        <v>Metros (m)</v>
      </c>
      <c r="I183" s="4" t="str">
        <f>IFERROR(__xludf.DUMMYFUNCTION("GOOGLETRANSLATE(B183,""en"",""fr"")"),"Mètres (m)")</f>
        <v>Mètres (m)</v>
      </c>
      <c r="J183" s="4" t="str">
        <f>IFERROR(__xludf.DUMMYFUNCTION("GOOGLETRANSLATE(B183,""en"",""it"")"),"Metri (m)")</f>
        <v>Metri (m)</v>
      </c>
      <c r="K183" s="4" t="str">
        <f>IFERROR(__xludf.DUMMYFUNCTION("GOOGLETRANSLATE(B183,""en"",""pt"")"),"Metros (m)")</f>
        <v>Metros (m)</v>
      </c>
      <c r="L183" s="4" t="str">
        <f>IFERROR(__xludf.DUMMYFUNCTION("GOOGLETRANSLATE(B183,""en"",""ro"")"),"metri (m)")</f>
        <v>metri (m)</v>
      </c>
      <c r="M183" s="4" t="str">
        <f>IFERROR(__xludf.DUMMYFUNCTION("GOOGLETRANSLATE(B183,""en"",""vi"")"),"Mét (m)")</f>
        <v>Mét (m)</v>
      </c>
      <c r="N183" s="4" t="str">
        <f>IFERROR(__xludf.DUMMYFUNCTION("GOOGLETRANSLATE(B183,""en"",""ru"")"),"Метры (м)")</f>
        <v>Метры (м)</v>
      </c>
      <c r="O183" s="4" t="str">
        <f>IFERROR(__xludf.DUMMYFUNCTION("GOOGLETRANSLATE(B183,""en"",""tr"")"),"Metre (m)")</f>
        <v>Metre (m)</v>
      </c>
      <c r="P183" s="4" t="str">
        <f>IFERROR(__xludf.DUMMYFUNCTION("GOOGLETRANSLATE(B183,""en"",""ar"")"),"أمتار (م)")</f>
        <v>أمتار (م)</v>
      </c>
      <c r="Q183" s="4" t="str">
        <f>IFERROR(__xludf.DUMMYFUNCTION("GOOGLETRANSLATE(B183,""en"",""mr"")"),"मीटर (मी)")</f>
        <v>मीटर (मी)</v>
      </c>
      <c r="R183" s="4" t="str">
        <f>IFERROR(__xludf.DUMMYFUNCTION("GOOGLETRANSLATE(B183,""en"",""gu"")"),"મીટર (મી)")</f>
        <v>મીટર (મી)</v>
      </c>
      <c r="S183" s="4" t="str">
        <f>IFERROR(__xludf.DUMMYFUNCTION("GOOGLETRANSLATE(B183,""en"",""bn"")"),"মিটার (মি)")</f>
        <v>মিটার (মি)</v>
      </c>
      <c r="T183" s="4" t="str">
        <f>IFERROR(__xludf.DUMMYFUNCTION("GOOGLETRANSLATE(B183,""en"",""pa"")"),"ਮੀਟਰ (m)")</f>
        <v>ਮੀਟਰ (m)</v>
      </c>
      <c r="U183" s="4" t="str">
        <f>IFERROR(__xludf.DUMMYFUNCTION("GOOGLETRANSLATE(B183,""en"",""te"")"),"మీటర్లు (మీ)")</f>
        <v>మీటర్లు (మీ)</v>
      </c>
      <c r="V183" s="4" t="str">
        <f>IFERROR(__xludf.DUMMYFUNCTION("GOOGLETRANSLATE(B183,""en"",""kn"")"),"ಮೀಟರ್ (ಮೀ)")</f>
        <v>ಮೀಟರ್ (ಮೀ)</v>
      </c>
      <c r="W183" s="4" t="str">
        <f>IFERROR(__xludf.DUMMYFUNCTION("GOOGLETRANSLATE(B183,""en"",""ml"")"),"മീറ്റർ (മീ)")</f>
        <v>മീറ്റർ (മീ)</v>
      </c>
      <c r="X183" s="4" t="str">
        <f>IFERROR(__xludf.DUMMYFUNCTION("GOOGLETRANSLATE(B183,""en"",""th"")"),"เมตร (ม.)")</f>
        <v>เมตร (ม.)</v>
      </c>
      <c r="Y183" s="4" t="str">
        <f>IFERROR(__xludf.DUMMYFUNCTION("GOOGLETRANSLATE(B183,""en"",""ko"")"),"미터(m)")</f>
        <v>미터(m)</v>
      </c>
      <c r="Z183" s="4" t="str">
        <f>IFERROR(__xludf.DUMMYFUNCTION("GOOGLETRANSLATE(B183,""en"",""zh"")"),"米（m）")</f>
        <v>米（m）</v>
      </c>
      <c r="AA183" s="4" t="str">
        <f>IFERROR(__xludf.DUMMYFUNCTION("GOOGLETRANSLATE(B183,""en"",""zh-TW"")"),"米（m）")</f>
        <v>米（m）</v>
      </c>
      <c r="AB183" s="4" t="str">
        <f>IFERROR(__xludf.DUMMYFUNCTION("GOOGLETRANSLATE(B183,""en"",""ja"")"),"メートル（m）")</f>
        <v>メートル（m）</v>
      </c>
      <c r="AC183" s="4" t="str">
        <f>IFERROR(__xludf.DUMMYFUNCTION("GOOGLETRANSLATE(B183,""en"",""bg"")"),"Метри (m)")</f>
        <v>Метри (m)</v>
      </c>
      <c r="AD183" s="4" t="str">
        <f>IFERROR(__xludf.DUMMYFUNCTION("GOOGLETRANSLATE(B183,""en"",""cs"")"),"metry (m)")</f>
        <v>metry (m)</v>
      </c>
      <c r="AE183" s="4" t="str">
        <f>IFERROR(__xludf.DUMMYFUNCTION("GOOGLETRANSLATE(B183,""en"",""da"")"),"Meter (m)")</f>
        <v>Meter (m)</v>
      </c>
      <c r="AF183" s="4" t="str">
        <f>IFERROR(__xludf.DUMMYFUNCTION("GOOGLETRANSLATE(B183,""en"",""el"")"),"Μέτρα (m)")</f>
        <v>Μέτρα (m)</v>
      </c>
      <c r="AG183" s="4" t="str">
        <f>IFERROR(__xludf.DUMMYFUNCTION("GOOGLETRANSLATE(B183,""en"",""et"")"),"Meetrid (m)")</f>
        <v>Meetrid (m)</v>
      </c>
      <c r="AH183" s="4" t="str">
        <f>IFERROR(__xludf.DUMMYFUNCTION("GOOGLETRANSLATE(B183,""en"",""fi"")"),"Metriä (m)")</f>
        <v>Metriä (m)</v>
      </c>
      <c r="AI183" s="4" t="str">
        <f>IFERROR(__xludf.DUMMYFUNCTION("GOOGLETRANSLATE(B183,""en"",""hr"")"),"Metri (m)")</f>
        <v>Metri (m)</v>
      </c>
      <c r="AJ183" s="4" t="str">
        <f>IFERROR(__xludf.DUMMYFUNCTION("GOOGLETRANSLATE(B183,""en"",""hu"")"),"Méter (m)")</f>
        <v>Méter (m)</v>
      </c>
      <c r="AK183" s="4" t="str">
        <f>IFERROR(__xludf.DUMMYFUNCTION("GOOGLETRANSLATE(B183,""en"",""hy"")"),"Մետր (մ)")</f>
        <v>Մետր (մ)</v>
      </c>
      <c r="AL183" s="4" t="str">
        <f>IFERROR(__xludf.DUMMYFUNCTION("GOOGLETRANSLATE(B183,""en"",""ca"")"),"metres (m)")</f>
        <v>metres (m)</v>
      </c>
      <c r="AM183" s="4" t="str">
        <f>IFERROR(__xludf.DUMMYFUNCTION("GOOGLETRANSLATE(B183,""en"",""nl"")"),"Meter (m)")</f>
        <v>Meter (m)</v>
      </c>
      <c r="AN183" s="4" t="str">
        <f>IFERROR(__xludf.DUMMYFUNCTION("GOOGLETRANSLATE(B183,""en"",""he"")"),"מטרים (מ')")</f>
        <v>מטרים (מ')</v>
      </c>
      <c r="AO183" s="4" t="str">
        <f>IFERROR(__xludf.DUMMYFUNCTION("GOOGLETRANSLATE(B183,""en"",""is"")"),"Metrar (m)")</f>
        <v>Metrar (m)</v>
      </c>
      <c r="AP183" s="4" t="str">
        <f>IFERROR(__xludf.DUMMYFUNCTION("GOOGLETRANSLATE(B183,""en"",""no"")"),"Meter (m)")</f>
        <v>Meter (m)</v>
      </c>
      <c r="AQ183" s="4" t="str">
        <f>IFERROR(__xludf.DUMMYFUNCTION("GOOGLETRANSLATE(B183,""en"",""fa"")"),"متر (متر)")</f>
        <v>متر (متر)</v>
      </c>
      <c r="AR183" s="4" t="str">
        <f>IFERROR(__xludf.DUMMYFUNCTION("GOOGLETRANSLATE(B183,""en"",""pl"")"),"Metry (m)")</f>
        <v>Metry (m)</v>
      </c>
      <c r="AS183" s="4" t="str">
        <f>IFERROR(__xludf.DUMMYFUNCTION("GOOGLETRANSLATE(B183,""en"",""sv"")"),"Meter (m)")</f>
        <v>Meter (m)</v>
      </c>
      <c r="AT183" s="4" t="str">
        <f>IFERROR(__xludf.DUMMYFUNCTION("GOOGLETRANSLATE(B183,""en"",""uk"")"),"Метри (м)")</f>
        <v>Метри (м)</v>
      </c>
      <c r="AU183" s="4" t="str">
        <f>IFERROR(__xludf.DUMMYFUNCTION("GOOGLETRANSLATE(B183,""en"",""zu"")"),"Amamitha (m)")</f>
        <v>Amamitha (m)</v>
      </c>
      <c r="AV183" s="4" t="str">
        <f>IFERROR(__xludf.DUMMYFUNCTION("GOOGLETRANSLATE(B183,""en"",""sr"")"),"метри (м)")</f>
        <v>метри (м)</v>
      </c>
    </row>
    <row r="184">
      <c r="A184" s="3" t="s">
        <v>396</v>
      </c>
      <c r="B184" s="3" t="s">
        <v>397</v>
      </c>
      <c r="C184" s="4" t="str">
        <f>IFERROR(__xludf.DUMMYFUNCTION("GOOGLETRANSLATE(B184,""en"",""ta"")"),"கால் (அடி)")</f>
        <v>கால் (அடி)</v>
      </c>
      <c r="D184" s="4" t="str">
        <f>IFERROR(__xludf.DUMMYFUNCTION("GOOGLETRANSLATE(B184,""en"",""hi"")"),"फुट (फीट)")</f>
        <v>फुट (फीट)</v>
      </c>
      <c r="E184" s="4" t="str">
        <f>IFERROR(__xludf.DUMMYFUNCTION("GOOGLETRANSLATE(B184,""en"",""id"")"),"Kaki (ft)")</f>
        <v>Kaki (ft)</v>
      </c>
      <c r="F184" s="4" t="str">
        <f>IFERROR(__xludf.DUMMYFUNCTION("GOOGLETRANSLATE(B184,""en"",""ms"")"),"Kaki (kaki)")</f>
        <v>Kaki (kaki)</v>
      </c>
      <c r="G184" s="4" t="str">
        <f>IFERROR(__xludf.DUMMYFUNCTION("GOOGLETRANSLATE(B184,""en"",""de"")"),"Fuß (ft)")</f>
        <v>Fuß (ft)</v>
      </c>
      <c r="H184" s="4" t="str">
        <f>IFERROR(__xludf.DUMMYFUNCTION("GOOGLETRANSLATE(B184,""en"",""es"")"),"Pie (ft)")</f>
        <v>Pie (ft)</v>
      </c>
      <c r="I184" s="4" t="str">
        <f>IFERROR(__xludf.DUMMYFUNCTION("GOOGLETRANSLATE(B184,""en"",""fr"")"),"Pied (ft)")</f>
        <v>Pied (ft)</v>
      </c>
      <c r="J184" s="4" t="str">
        <f>IFERROR(__xludf.DUMMYFUNCTION("GOOGLETRANSLATE(B184,""en"",""it"")"),"Piede (ft)")</f>
        <v>Piede (ft)</v>
      </c>
      <c r="K184" s="4" t="str">
        <f>IFERROR(__xludf.DUMMYFUNCTION("GOOGLETRANSLATE(B184,""en"",""pt"")"),"Pé (ft)")</f>
        <v>Pé (ft)</v>
      </c>
      <c r="L184" s="4" t="str">
        <f>IFERROR(__xludf.DUMMYFUNCTION("GOOGLETRANSLATE(B184,""en"",""ro"")"),"Picior (ft)")</f>
        <v>Picior (ft)</v>
      </c>
      <c r="M184" s="4" t="str">
        <f>IFERROR(__xludf.DUMMYFUNCTION("GOOGLETRANSLATE(B184,""en"",""vi"")"),"Bàn chân (ft)")</f>
        <v>Bàn chân (ft)</v>
      </c>
      <c r="N184" s="4" t="str">
        <f>IFERROR(__xludf.DUMMYFUNCTION("GOOGLETRANSLATE(B184,""en"",""ru"")"),"Фут (фут)")</f>
        <v>Фут (фут)</v>
      </c>
      <c r="O184" s="4" t="str">
        <f>IFERROR(__xludf.DUMMYFUNCTION("GOOGLETRANSLATE(B184,""en"",""tr"")"),"Ayak (ft)")</f>
        <v>Ayak (ft)</v>
      </c>
      <c r="P184" s="4" t="str">
        <f>IFERROR(__xludf.DUMMYFUNCTION("GOOGLETRANSLATE(B184,""en"",""ar"")"),"قدم (قدم)")</f>
        <v>قدم (قدم)</v>
      </c>
      <c r="Q184" s="4" t="str">
        <f>IFERROR(__xludf.DUMMYFUNCTION("GOOGLETRANSLATE(B184,""en"",""mr"")"),"फूट (फूट)")</f>
        <v>फूट (फूट)</v>
      </c>
      <c r="R184" s="4" t="str">
        <f>IFERROR(__xludf.DUMMYFUNCTION("GOOGLETRANSLATE(B184,""en"",""gu"")"),"પગ (ફૂટ)")</f>
        <v>પગ (ફૂટ)</v>
      </c>
      <c r="S184" s="4" t="str">
        <f>IFERROR(__xludf.DUMMYFUNCTION("GOOGLETRANSLATE(B184,""en"",""bn"")"),"পা (ফুট)")</f>
        <v>পা (ফুট)</v>
      </c>
      <c r="T184" s="4" t="str">
        <f>IFERROR(__xludf.DUMMYFUNCTION("GOOGLETRANSLATE(B184,""en"",""pa"")"),"ਪੈਰ (ਫੁੱਟ)")</f>
        <v>ਪੈਰ (ਫੁੱਟ)</v>
      </c>
      <c r="U184" s="4" t="str">
        <f>IFERROR(__xludf.DUMMYFUNCTION("GOOGLETRANSLATE(B184,""en"",""te"")"),"అడుగు (అడుగులు)")</f>
        <v>అడుగు (అడుగులు)</v>
      </c>
      <c r="V184" s="4" t="str">
        <f>IFERROR(__xludf.DUMMYFUNCTION("GOOGLETRANSLATE(B184,""en"",""kn"")"),"ಕಾಲು (ಅಡಿ)")</f>
        <v>ಕಾಲು (ಅಡಿ)</v>
      </c>
      <c r="W184" s="4" t="str">
        <f>IFERROR(__xludf.DUMMYFUNCTION("GOOGLETRANSLATE(B184,""en"",""ml"")"),"കാൽ (അടി)")</f>
        <v>കാൽ (അടി)</v>
      </c>
      <c r="X184" s="4" t="str">
        <f>IFERROR(__xludf.DUMMYFUNCTION("GOOGLETRANSLATE(B184,""en"",""th"")"),"ฟุต (ฟุต)")</f>
        <v>ฟุต (ฟุต)</v>
      </c>
      <c r="Y184" s="4" t="str">
        <f>IFERROR(__xludf.DUMMYFUNCTION("GOOGLETRANSLATE(B184,""en"",""ko"")"),"피트(ft)")</f>
        <v>피트(ft)</v>
      </c>
      <c r="Z184" s="4" t="str">
        <f>IFERROR(__xludf.DUMMYFUNCTION("GOOGLETRANSLATE(B184,""en"",""zh"")"),"英尺（ft）")</f>
        <v>英尺（ft）</v>
      </c>
      <c r="AA184" s="4" t="str">
        <f>IFERROR(__xludf.DUMMYFUNCTION("GOOGLETRANSLATE(B184,""en"",""zh-TW"")"),"英尺（ft）")</f>
        <v>英尺（ft）</v>
      </c>
      <c r="AB184" s="4" t="str">
        <f>IFERROR(__xludf.DUMMYFUNCTION("GOOGLETRANSLATE(B184,""en"",""ja"")"),"フィート（ft）")</f>
        <v>フィート（ft）</v>
      </c>
      <c r="AC184" s="4" t="str">
        <f>IFERROR(__xludf.DUMMYFUNCTION("GOOGLETRANSLATE(B184,""en"",""bg"")"),"Фут (фута)")</f>
        <v>Фут (фута)</v>
      </c>
      <c r="AD184" s="4" t="str">
        <f>IFERROR(__xludf.DUMMYFUNCTION("GOOGLETRANSLATE(B184,""en"",""cs"")"),"noha (ft)")</f>
        <v>noha (ft)</v>
      </c>
      <c r="AE184" s="4" t="str">
        <f>IFERROR(__xludf.DUMMYFUNCTION("GOOGLETRANSLATE(B184,""en"",""da"")"),"Fod (ft)")</f>
        <v>Fod (ft)</v>
      </c>
      <c r="AF184" s="4" t="str">
        <f>IFERROR(__xludf.DUMMYFUNCTION("GOOGLETRANSLATE(B184,""en"",""el"")"),"Πόδι (ft)")</f>
        <v>Πόδι (ft)</v>
      </c>
      <c r="AG184" s="4" t="str">
        <f>IFERROR(__xludf.DUMMYFUNCTION("GOOGLETRANSLATE(B184,""en"",""et"")"),"Jalg (jalga)")</f>
        <v>Jalg (jalga)</v>
      </c>
      <c r="AH184" s="4" t="str">
        <f>IFERROR(__xludf.DUMMYFUNCTION("GOOGLETRANSLATE(B184,""en"",""fi"")"),"Jalka (ft)")</f>
        <v>Jalka (ft)</v>
      </c>
      <c r="AI184" s="4" t="str">
        <f>IFERROR(__xludf.DUMMYFUNCTION("GOOGLETRANSLATE(B184,""en"",""hr"")"),"Stopa (ft)")</f>
        <v>Stopa (ft)</v>
      </c>
      <c r="AJ184" s="4" t="str">
        <f>IFERROR(__xludf.DUMMYFUNCTION("GOOGLETRANSLATE(B184,""en"",""hu"")"),"láb (ft)")</f>
        <v>láb (ft)</v>
      </c>
      <c r="AK184" s="4" t="str">
        <f>IFERROR(__xludf.DUMMYFUNCTION("GOOGLETRANSLATE(B184,""en"",""hy"")"),"Ոտք (ֆտ)")</f>
        <v>Ոտք (ֆտ)</v>
      </c>
      <c r="AL184" s="4" t="str">
        <f>IFERROR(__xludf.DUMMYFUNCTION("GOOGLETRANSLATE(B184,""en"",""ca"")"),"Peu (fts)")</f>
        <v>Peu (fts)</v>
      </c>
      <c r="AM184" s="4" t="str">
        <f>IFERROR(__xludf.DUMMYFUNCTION("GOOGLETRANSLATE(B184,""en"",""nl"")"),"Voet (ft)")</f>
        <v>Voet (ft)</v>
      </c>
      <c r="AN184" s="4" t="str">
        <f>IFERROR(__xludf.DUMMYFUNCTION("GOOGLETRANSLATE(B184,""en"",""he"")"),"רגל (רגל)")</f>
        <v>רגל (רגל)</v>
      </c>
      <c r="AO184" s="4" t="str">
        <f>IFERROR(__xludf.DUMMYFUNCTION("GOOGLETRANSLATE(B184,""en"",""is"")"),"Fótur (ft)")</f>
        <v>Fótur (ft)</v>
      </c>
      <c r="AP184" s="4" t="str">
        <f>IFERROR(__xludf.DUMMYFUNCTION("GOOGLETRANSLATE(B184,""en"",""no"")"),"Fot (fot)")</f>
        <v>Fot (fot)</v>
      </c>
      <c r="AQ184" s="4" t="str">
        <f>IFERROR(__xludf.DUMMYFUNCTION("GOOGLETRANSLATE(B184,""en"",""fa"")"),"پا (فوت)")</f>
        <v>پا (فوت)</v>
      </c>
      <c r="AR184" s="4" t="str">
        <f>IFERROR(__xludf.DUMMYFUNCTION("GOOGLETRANSLATE(B184,""en"",""pl"")"),"Stopa (ft)")</f>
        <v>Stopa (ft)</v>
      </c>
      <c r="AS184" s="4" t="str">
        <f>IFERROR(__xludf.DUMMYFUNCTION("GOOGLETRANSLATE(B184,""en"",""sv"")"),"Fot (ft)")</f>
        <v>Fot (ft)</v>
      </c>
      <c r="AT184" s="4" t="str">
        <f>IFERROR(__xludf.DUMMYFUNCTION("GOOGLETRANSLATE(B184,""en"",""uk"")"),"Фут (фути)")</f>
        <v>Фут (фути)</v>
      </c>
      <c r="AU184" s="4" t="str">
        <f>IFERROR(__xludf.DUMMYFUNCTION("GOOGLETRANSLATE(B184,""en"",""zu"")"),"Unyawo (ft)")</f>
        <v>Unyawo (ft)</v>
      </c>
      <c r="AV184" s="4" t="str">
        <f>IFERROR(__xludf.DUMMYFUNCTION("GOOGLETRANSLATE(B184,""en"",""sr"")"),"стопала (фт)")</f>
        <v>стопала (фт)</v>
      </c>
    </row>
    <row r="185">
      <c r="A185" s="3" t="s">
        <v>398</v>
      </c>
      <c r="B185" s="3" t="s">
        <v>399</v>
      </c>
      <c r="C185" s="4" t="str">
        <f>IFERROR(__xludf.DUMMYFUNCTION("GOOGLETRANSLATE(B185,""en"",""ta"")"),"யார்டு (yd)")</f>
        <v>யார்டு (yd)</v>
      </c>
      <c r="D185" s="4" t="str">
        <f>IFERROR(__xludf.DUMMYFUNCTION("GOOGLETRANSLATE(B185,""en"",""hi"")"),"यार्ड (यार्ड)")</f>
        <v>यार्ड (यार्ड)</v>
      </c>
      <c r="E185" s="4" t="str">
        <f>IFERROR(__xludf.DUMMYFUNCTION("GOOGLETRANSLATE(B185,""en"",""id"")"),"Yard (yd)")</f>
        <v>Yard (yd)</v>
      </c>
      <c r="F185" s="4" t="str">
        <f>IFERROR(__xludf.DUMMYFUNCTION("GOOGLETRANSLATE(B185,""en"",""ms"")"),"Halaman (yd)")</f>
        <v>Halaman (yd)</v>
      </c>
      <c r="G185" s="4" t="str">
        <f>IFERROR(__xludf.DUMMYFUNCTION("GOOGLETRANSLATE(B185,""en"",""de"")"),"Yard (yd)")</f>
        <v>Yard (yd)</v>
      </c>
      <c r="H185" s="4" t="str">
        <f>IFERROR(__xludf.DUMMYFUNCTION("GOOGLETRANSLATE(B185,""en"",""es"")"),"Yarda (yd)")</f>
        <v>Yarda (yd)</v>
      </c>
      <c r="I185" s="4" t="str">
        <f>IFERROR(__xludf.DUMMYFUNCTION("GOOGLETRANSLATE(B185,""en"",""fr"")"),"Verge (yd)")</f>
        <v>Verge (yd)</v>
      </c>
      <c r="J185" s="4" t="str">
        <f>IFERROR(__xludf.DUMMYFUNCTION("GOOGLETRANSLATE(B185,""en"",""it"")"),"Iarda (yd)")</f>
        <v>Iarda (yd)</v>
      </c>
      <c r="K185" s="4" t="str">
        <f>IFERROR(__xludf.DUMMYFUNCTION("GOOGLETRANSLATE(B185,""en"",""pt"")"),"Jarda (yd)")</f>
        <v>Jarda (yd)</v>
      </c>
      <c r="L185" s="4" t="str">
        <f>IFERROR(__xludf.DUMMYFUNCTION("GOOGLETRANSLATE(B185,""en"",""ro"")"),"curte (yd)")</f>
        <v>curte (yd)</v>
      </c>
      <c r="M185" s="4" t="str">
        <f>IFERROR(__xludf.DUMMYFUNCTION("GOOGLETRANSLATE(B185,""en"",""vi"")"),"Sân (yd)")</f>
        <v>Sân (yd)</v>
      </c>
      <c r="N185" s="4" t="str">
        <f>IFERROR(__xludf.DUMMYFUNCTION("GOOGLETRANSLATE(B185,""en"",""ru"")"),"Ярд (ярд)")</f>
        <v>Ярд (ярд)</v>
      </c>
      <c r="O185" s="4" t="str">
        <f>IFERROR(__xludf.DUMMYFUNCTION("GOOGLETRANSLATE(B185,""en"",""tr"")"),"Yard (yarda)")</f>
        <v>Yard (yarda)</v>
      </c>
      <c r="P185" s="4" t="str">
        <f>IFERROR(__xludf.DUMMYFUNCTION("GOOGLETRANSLATE(B185,""en"",""ar"")"),"ياردة (ياردة)")</f>
        <v>ياردة (ياردة)</v>
      </c>
      <c r="Q185" s="4" t="str">
        <f>IFERROR(__xludf.DUMMYFUNCTION("GOOGLETRANSLATE(B185,""en"",""mr"")"),"यार्ड (यार्ड)")</f>
        <v>यार्ड (यार्ड)</v>
      </c>
      <c r="R185" s="4" t="str">
        <f>IFERROR(__xludf.DUMMYFUNCTION("GOOGLETRANSLATE(B185,""en"",""gu"")"),"યાર્ડ (યાર્ડ)")</f>
        <v>યાર્ડ (યાર્ડ)</v>
      </c>
      <c r="S185" s="4" t="str">
        <f>IFERROR(__xludf.DUMMYFUNCTION("GOOGLETRANSLATE(B185,""en"",""bn"")"),"ইয়ার্ড (ইয়ার্ড)")</f>
        <v>ইয়ার্ড (ইয়ার্ড)</v>
      </c>
      <c r="T185" s="4" t="str">
        <f>IFERROR(__xludf.DUMMYFUNCTION("GOOGLETRANSLATE(B185,""en"",""pa"")"),"ਵਿਹੜਾ (ਯਾਰਡ)")</f>
        <v>ਵਿਹੜਾ (ਯਾਰਡ)</v>
      </c>
      <c r="U185" s="4" t="str">
        <f>IFERROR(__xludf.DUMMYFUNCTION("GOOGLETRANSLATE(B185,""en"",""te"")"),"యార్డ్ (yd)")</f>
        <v>యార్డ్ (yd)</v>
      </c>
      <c r="V185" s="4" t="str">
        <f>IFERROR(__xludf.DUMMYFUNCTION("GOOGLETRANSLATE(B185,""en"",""kn"")"),"ಅಂಗಳ (yd)")</f>
        <v>ಅಂಗಳ (yd)</v>
      </c>
      <c r="W185" s="4" t="str">
        <f>IFERROR(__xludf.DUMMYFUNCTION("GOOGLETRANSLATE(B185,""en"",""ml"")"),"യാർഡ് (യാർഡ്)")</f>
        <v>യാർഡ് (യാർഡ്)</v>
      </c>
      <c r="X185" s="4" t="str">
        <f>IFERROR(__xludf.DUMMYFUNCTION("GOOGLETRANSLATE(B185,""en"",""th"")"),"หลา (หลา)")</f>
        <v>หลา (หลา)</v>
      </c>
      <c r="Y185" s="4" t="str">
        <f>IFERROR(__xludf.DUMMYFUNCTION("GOOGLETRANSLATE(B185,""en"",""ko"")"),"야드(yd)")</f>
        <v>야드(yd)</v>
      </c>
      <c r="Z185" s="4" t="str">
        <f>IFERROR(__xludf.DUMMYFUNCTION("GOOGLETRANSLATE(B185,""en"",""zh"")"),"码（yd）")</f>
        <v>码（yd）</v>
      </c>
      <c r="AA185" s="4" t="str">
        <f>IFERROR(__xludf.DUMMYFUNCTION("GOOGLETRANSLATE(B185,""en"",""zh-TW"")"),"碼（yd）")</f>
        <v>碼（yd）</v>
      </c>
      <c r="AB185" s="4" t="str">
        <f>IFERROR(__xludf.DUMMYFUNCTION("GOOGLETRANSLATE(B185,""en"",""ja"")"),"ヤード（yd）")</f>
        <v>ヤード（yd）</v>
      </c>
      <c r="AC185" s="4" t="str">
        <f>IFERROR(__xludf.DUMMYFUNCTION("GOOGLETRANSLATE(B185,""en"",""bg"")"),"Двор (ярд)")</f>
        <v>Двор (ярд)</v>
      </c>
      <c r="AD185" s="4" t="str">
        <f>IFERROR(__xludf.DUMMYFUNCTION("GOOGLETRANSLATE(B185,""en"",""cs"")"),"yard (yd)")</f>
        <v>yard (yd)</v>
      </c>
      <c r="AE185" s="4" t="str">
        <f>IFERROR(__xludf.DUMMYFUNCTION("GOOGLETRANSLATE(B185,""en"",""da"")"),"Yard (yd)")</f>
        <v>Yard (yd)</v>
      </c>
      <c r="AF185" s="4" t="str">
        <f>IFERROR(__xludf.DUMMYFUNCTION("GOOGLETRANSLATE(B185,""en"",""el"")"),"Αυλή (Yd)")</f>
        <v>Αυλή (Yd)</v>
      </c>
      <c r="AG185" s="4" t="str">
        <f>IFERROR(__xludf.DUMMYFUNCTION("GOOGLETRANSLATE(B185,""en"",""et"")"),"Õu (yd)")</f>
        <v>Õu (yd)</v>
      </c>
      <c r="AH185" s="4" t="str">
        <f>IFERROR(__xludf.DUMMYFUNCTION("GOOGLETRANSLATE(B185,""en"",""fi"")"),"Piha (yd)")</f>
        <v>Piha (yd)</v>
      </c>
      <c r="AI185" s="4" t="str">
        <f>IFERROR(__xludf.DUMMYFUNCTION("GOOGLETRANSLATE(B185,""en"",""hr"")"),"dvorište (yd)")</f>
        <v>dvorište (yd)</v>
      </c>
      <c r="AJ185" s="4" t="str">
        <f>IFERROR(__xludf.DUMMYFUNCTION("GOOGLETRANSLATE(B185,""en"",""hu"")"),"Udvar (yd)")</f>
        <v>Udvar (yd)</v>
      </c>
      <c r="AK185" s="4" t="str">
        <f>IFERROR(__xludf.DUMMYFUNCTION("GOOGLETRANSLATE(B185,""en"",""hy"")"),"բակ (yd)")</f>
        <v>բակ (yd)</v>
      </c>
      <c r="AL185" s="4" t="str">
        <f>IFERROR(__xludf.DUMMYFUNCTION("GOOGLETRANSLATE(B185,""en"",""ca"")"),"Jardí (md)")</f>
        <v>Jardí (md)</v>
      </c>
      <c r="AM185" s="4" t="str">
        <f>IFERROR(__xludf.DUMMYFUNCTION("GOOGLETRANSLATE(B185,""en"",""nl"")"),"Yard (yd)")</f>
        <v>Yard (yd)</v>
      </c>
      <c r="AN185" s="4" t="str">
        <f>IFERROR(__xludf.DUMMYFUNCTION("GOOGLETRANSLATE(B185,""en"",""he"")"),"חצר (י""ד)")</f>
        <v>חצר (י"ד)</v>
      </c>
      <c r="AO185" s="4" t="str">
        <f>IFERROR(__xludf.DUMMYFUNCTION("GOOGLETRANSLATE(B185,""en"",""is"")"),"Garður (yd)")</f>
        <v>Garður (yd)</v>
      </c>
      <c r="AP185" s="4" t="str">
        <f>IFERROR(__xludf.DUMMYFUNCTION("GOOGLETRANSLATE(B185,""en"",""no"")"),"Yard (yd)")</f>
        <v>Yard (yd)</v>
      </c>
      <c r="AQ185" s="4" t="str">
        <f>IFERROR(__xludf.DUMMYFUNCTION("GOOGLETRANSLATE(B185,""en"",""fa"")"),"حیاط (yd)")</f>
        <v>حیاط (yd)</v>
      </c>
      <c r="AR185" s="4" t="str">
        <f>IFERROR(__xludf.DUMMYFUNCTION("GOOGLETRANSLATE(B185,""en"",""pl"")"),"Jard (yd)")</f>
        <v>Jard (yd)</v>
      </c>
      <c r="AS185" s="4" t="str">
        <f>IFERROR(__xludf.DUMMYFUNCTION("GOOGLETRANSLATE(B185,""en"",""sv"")"),"Gård (yd)")</f>
        <v>Gård (yd)</v>
      </c>
      <c r="AT185" s="4" t="str">
        <f>IFERROR(__xludf.DUMMYFUNCTION("GOOGLETRANSLATE(B185,""en"",""uk"")"),"Двір (ярд)")</f>
        <v>Двір (ярд)</v>
      </c>
      <c r="AU185" s="4" t="str">
        <f>IFERROR(__xludf.DUMMYFUNCTION("GOOGLETRANSLATE(B185,""en"",""zu"")"),"Igceke (yd)")</f>
        <v>Igceke (yd)</v>
      </c>
      <c r="AV185" s="4" t="str">
        <f>IFERROR(__xludf.DUMMYFUNCTION("GOOGLETRANSLATE(B185,""en"",""sr"")"),"двориште (ид)")</f>
        <v>двориште (ид)</v>
      </c>
    </row>
    <row r="186">
      <c r="A186" s="3" t="s">
        <v>400</v>
      </c>
      <c r="B186" s="3" t="s">
        <v>401</v>
      </c>
      <c r="C186" s="4" t="str">
        <f>IFERROR(__xludf.DUMMYFUNCTION("GOOGLETRANSLATE(B186,""en"",""ta"")"),"பாரன்ஹீட்")</f>
        <v>பாரன்ஹீட்</v>
      </c>
      <c r="D186" s="4" t="str">
        <f>IFERROR(__xludf.DUMMYFUNCTION("GOOGLETRANSLATE(B186,""en"",""hi"")"),"फ़ारेनहाइट")</f>
        <v>फ़ारेनहाइट</v>
      </c>
      <c r="E186" s="4" t="str">
        <f>IFERROR(__xludf.DUMMYFUNCTION("GOOGLETRANSLATE(B186,""en"",""id"")"),"derajat fahrenheit")</f>
        <v>derajat fahrenheit</v>
      </c>
      <c r="F186" s="4" t="str">
        <f>IFERROR(__xludf.DUMMYFUNCTION("GOOGLETRANSLATE(B186,""en"",""ms"")"),"Fahrenheit")</f>
        <v>Fahrenheit</v>
      </c>
      <c r="G186" s="4" t="str">
        <f>IFERROR(__xludf.DUMMYFUNCTION("GOOGLETRANSLATE(B186,""en"",""de"")"),"Fahrenheit")</f>
        <v>Fahrenheit</v>
      </c>
      <c r="H186" s="4" t="str">
        <f>IFERROR(__xludf.DUMMYFUNCTION("GOOGLETRANSLATE(B186,""en"",""es"")"),"Fahrenheit")</f>
        <v>Fahrenheit</v>
      </c>
      <c r="I186" s="4" t="str">
        <f>IFERROR(__xludf.DUMMYFUNCTION("GOOGLETRANSLATE(B186,""en"",""fr"")"),"Fahrenheit")</f>
        <v>Fahrenheit</v>
      </c>
      <c r="J186" s="4" t="str">
        <f>IFERROR(__xludf.DUMMYFUNCTION("GOOGLETRANSLATE(B186,""en"",""it"")"),"Fahrenheit")</f>
        <v>Fahrenheit</v>
      </c>
      <c r="K186" s="4" t="str">
        <f>IFERROR(__xludf.DUMMYFUNCTION("GOOGLETRANSLATE(B186,""en"",""pt"")"),"Fahrenheit")</f>
        <v>Fahrenheit</v>
      </c>
      <c r="L186" s="4" t="str">
        <f>IFERROR(__xludf.DUMMYFUNCTION("GOOGLETRANSLATE(B186,""en"",""ro"")"),"Fahrenheit")</f>
        <v>Fahrenheit</v>
      </c>
      <c r="M186" s="4" t="str">
        <f>IFERROR(__xludf.DUMMYFUNCTION("GOOGLETRANSLATE(B186,""en"",""vi"")"),"độ F")</f>
        <v>độ F</v>
      </c>
      <c r="N186" s="4" t="str">
        <f>IFERROR(__xludf.DUMMYFUNCTION("GOOGLETRANSLATE(B186,""en"",""ru"")"),"по Фаренгейту")</f>
        <v>по Фаренгейту</v>
      </c>
      <c r="O186" s="4" t="str">
        <f>IFERROR(__xludf.DUMMYFUNCTION("GOOGLETRANSLATE(B186,""en"",""tr"")"),"Fahrenhayt")</f>
        <v>Fahrenhayt</v>
      </c>
      <c r="P186" s="4" t="str">
        <f>IFERROR(__xludf.DUMMYFUNCTION("GOOGLETRANSLATE(B186,""en"",""ar"")"),"فهرنهايت")</f>
        <v>فهرنهايت</v>
      </c>
      <c r="Q186" s="4" t="str">
        <f>IFERROR(__xludf.DUMMYFUNCTION("GOOGLETRANSLATE(B186,""en"",""mr"")"),"फॅरेनहाइट")</f>
        <v>फॅरेनहाइट</v>
      </c>
      <c r="R186" s="4" t="str">
        <f>IFERROR(__xludf.DUMMYFUNCTION("GOOGLETRANSLATE(B186,""en"",""gu"")"),"ફેરનહીટ")</f>
        <v>ફેરનહીટ</v>
      </c>
      <c r="S186" s="4" t="str">
        <f>IFERROR(__xludf.DUMMYFUNCTION("GOOGLETRANSLATE(B186,""en"",""bn"")"),"ফারেনহাইট")</f>
        <v>ফারেনহাইট</v>
      </c>
      <c r="T186" s="4" t="str">
        <f>IFERROR(__xludf.DUMMYFUNCTION("GOOGLETRANSLATE(B186,""en"",""pa"")"),"ਫਾਰਨਹੀਟ")</f>
        <v>ਫਾਰਨਹੀਟ</v>
      </c>
      <c r="U186" s="4" t="str">
        <f>IFERROR(__xludf.DUMMYFUNCTION("GOOGLETRANSLATE(B186,""en"",""te"")"),"ఫారెన్‌హీట్")</f>
        <v>ఫారెన్‌హీట్</v>
      </c>
      <c r="V186" s="4" t="str">
        <f>IFERROR(__xludf.DUMMYFUNCTION("GOOGLETRANSLATE(B186,""en"",""kn"")"),"ಫ್ಯಾರನ್ಹೀಟ್")</f>
        <v>ಫ್ಯಾರನ್ಹೀಟ್</v>
      </c>
      <c r="W186" s="4" t="str">
        <f>IFERROR(__xludf.DUMMYFUNCTION("GOOGLETRANSLATE(B186,""en"",""ml"")"),"ഫാരൻഹീറ്റ്")</f>
        <v>ഫാരൻഹീറ്റ്</v>
      </c>
      <c r="X186" s="4" t="str">
        <f>IFERROR(__xludf.DUMMYFUNCTION("GOOGLETRANSLATE(B186,""en"",""th"")"),"ฟาเรนไฮต์")</f>
        <v>ฟาเรนไฮต์</v>
      </c>
      <c r="Y186" s="4" t="str">
        <f>IFERROR(__xludf.DUMMYFUNCTION("GOOGLETRANSLATE(B186,""en"",""ko"")"),"화씨")</f>
        <v>화씨</v>
      </c>
      <c r="Z186" s="4" t="str">
        <f>IFERROR(__xludf.DUMMYFUNCTION("GOOGLETRANSLATE(B186,""en"",""zh"")"),"华氏度")</f>
        <v>华氏度</v>
      </c>
      <c r="AA186" s="4" t="str">
        <f>IFERROR(__xludf.DUMMYFUNCTION("GOOGLETRANSLATE(B186,""en"",""zh-TW"")"),"華氏度")</f>
        <v>華氏度</v>
      </c>
      <c r="AB186" s="4" t="str">
        <f>IFERROR(__xludf.DUMMYFUNCTION("GOOGLETRANSLATE(B186,""en"",""ja"")"),"華氏")</f>
        <v>華氏</v>
      </c>
      <c r="AC186" s="4" t="str">
        <f>IFERROR(__xludf.DUMMYFUNCTION("GOOGLETRANSLATE(B186,""en"",""bg"")"),"Фаренхайт")</f>
        <v>Фаренхайт</v>
      </c>
      <c r="AD186" s="4" t="str">
        <f>IFERROR(__xludf.DUMMYFUNCTION("GOOGLETRANSLATE(B186,""en"",""cs"")"),"Fahrenheita")</f>
        <v>Fahrenheita</v>
      </c>
      <c r="AE186" s="4" t="str">
        <f>IFERROR(__xludf.DUMMYFUNCTION("GOOGLETRANSLATE(B186,""en"",""da"")"),"Fahrenheit")</f>
        <v>Fahrenheit</v>
      </c>
      <c r="AF186" s="4" t="str">
        <f>IFERROR(__xludf.DUMMYFUNCTION("GOOGLETRANSLATE(B186,""en"",""el"")"),"θερμόμετρο Φαρενάιτ")</f>
        <v>θερμόμετρο Φαρενάιτ</v>
      </c>
      <c r="AG186" s="4" t="str">
        <f>IFERROR(__xludf.DUMMYFUNCTION("GOOGLETRANSLATE(B186,""en"",""et"")"),"Fahrenheiti järgi")</f>
        <v>Fahrenheiti järgi</v>
      </c>
      <c r="AH186" s="4" t="str">
        <f>IFERROR(__xludf.DUMMYFUNCTION("GOOGLETRANSLATE(B186,""en"",""fi"")"),"Fahrenheit")</f>
        <v>Fahrenheit</v>
      </c>
      <c r="AI186" s="4" t="str">
        <f>IFERROR(__xludf.DUMMYFUNCTION("GOOGLETRANSLATE(B186,""en"",""hr"")"),"Fahrenheit")</f>
        <v>Fahrenheit</v>
      </c>
      <c r="AJ186" s="4" t="str">
        <f>IFERROR(__xludf.DUMMYFUNCTION("GOOGLETRANSLATE(B186,""en"",""hu"")"),"Fahrenheit")</f>
        <v>Fahrenheit</v>
      </c>
      <c r="AK186" s="4" t="str">
        <f>IFERROR(__xludf.DUMMYFUNCTION("GOOGLETRANSLATE(B186,""en"",""hy"")"),"Ֆարենհեյթ")</f>
        <v>Ֆարենհեյթ</v>
      </c>
      <c r="AL186" s="4" t="str">
        <f>IFERROR(__xludf.DUMMYFUNCTION("GOOGLETRANSLATE(B186,""en"",""ca"")"),"Fahrenheit")</f>
        <v>Fahrenheit</v>
      </c>
      <c r="AM186" s="4" t="str">
        <f>IFERROR(__xludf.DUMMYFUNCTION("GOOGLETRANSLATE(B186,""en"",""nl"")"),"Fahrenheit")</f>
        <v>Fahrenheit</v>
      </c>
      <c r="AN186" s="4" t="str">
        <f>IFERROR(__xludf.DUMMYFUNCTION("GOOGLETRANSLATE(B186,""en"",""he"")"),"פרנהייט")</f>
        <v>פרנהייט</v>
      </c>
      <c r="AO186" s="4" t="str">
        <f>IFERROR(__xludf.DUMMYFUNCTION("GOOGLETRANSLATE(B186,""en"",""is"")"),"Fahrenheit")</f>
        <v>Fahrenheit</v>
      </c>
      <c r="AP186" s="4" t="str">
        <f>IFERROR(__xludf.DUMMYFUNCTION("GOOGLETRANSLATE(B186,""en"",""no"")"),"Fahrenheit")</f>
        <v>Fahrenheit</v>
      </c>
      <c r="AQ186" s="4" t="str">
        <f>IFERROR(__xludf.DUMMYFUNCTION("GOOGLETRANSLATE(B186,""en"",""fa"")"),"فارنهایت")</f>
        <v>فارنهایت</v>
      </c>
      <c r="AR186" s="4" t="str">
        <f>IFERROR(__xludf.DUMMYFUNCTION("GOOGLETRANSLATE(B186,""en"",""pl"")"),"Fahrenheit")</f>
        <v>Fahrenheit</v>
      </c>
      <c r="AS186" s="4" t="str">
        <f>IFERROR(__xludf.DUMMYFUNCTION("GOOGLETRANSLATE(B186,""en"",""sv"")"),"Fahrenheit")</f>
        <v>Fahrenheit</v>
      </c>
      <c r="AT186" s="4" t="str">
        <f>IFERROR(__xludf.DUMMYFUNCTION("GOOGLETRANSLATE(B186,""en"",""uk"")"),"Фаренгейт")</f>
        <v>Фаренгейт</v>
      </c>
      <c r="AU186" s="4" t="str">
        <f>IFERROR(__xludf.DUMMYFUNCTION("GOOGLETRANSLATE(B186,""en"",""zu"")"),"IFahrenheit")</f>
        <v>IFahrenheit</v>
      </c>
      <c r="AV186" s="4" t="str">
        <f>IFERROR(__xludf.DUMMYFUNCTION("GOOGLETRANSLATE(B186,""en"",""sr"")"),"Фаренхајта")</f>
        <v>Фаренхајта</v>
      </c>
    </row>
    <row r="187">
      <c r="A187" s="3" t="s">
        <v>402</v>
      </c>
      <c r="B187" s="3" t="s">
        <v>403</v>
      </c>
      <c r="C187" s="4" t="str">
        <f>IFERROR(__xludf.DUMMYFUNCTION("GOOGLETRANSLATE(B187,""en"",""ta"")"),"செல்சியஸ்")</f>
        <v>செல்சியஸ்</v>
      </c>
      <c r="D187" s="4" t="str">
        <f>IFERROR(__xludf.DUMMYFUNCTION("GOOGLETRANSLATE(B187,""en"",""hi"")"),"सेल्सीयस")</f>
        <v>सेल्सीयस</v>
      </c>
      <c r="E187" s="4" t="str">
        <f>IFERROR(__xludf.DUMMYFUNCTION("GOOGLETRANSLATE(B187,""en"",""id"")"),"Celsius")</f>
        <v>Celsius</v>
      </c>
      <c r="F187" s="4" t="str">
        <f>IFERROR(__xludf.DUMMYFUNCTION("GOOGLETRANSLATE(B187,""en"",""ms"")"),"Celcius")</f>
        <v>Celcius</v>
      </c>
      <c r="G187" s="4" t="str">
        <f>IFERROR(__xludf.DUMMYFUNCTION("GOOGLETRANSLATE(B187,""en"",""de"")"),"Celsius")</f>
        <v>Celsius</v>
      </c>
      <c r="H187" s="4" t="str">
        <f>IFERROR(__xludf.DUMMYFUNCTION("GOOGLETRANSLATE(B187,""en"",""es"")"),"Celsius")</f>
        <v>Celsius</v>
      </c>
      <c r="I187" s="4" t="str">
        <f>IFERROR(__xludf.DUMMYFUNCTION("GOOGLETRANSLATE(B187,""en"",""fr"")"),"Celsius")</f>
        <v>Celsius</v>
      </c>
      <c r="J187" s="4" t="str">
        <f>IFERROR(__xludf.DUMMYFUNCTION("GOOGLETRANSLATE(B187,""en"",""it"")"),"Centigrado")</f>
        <v>Centigrado</v>
      </c>
      <c r="K187" s="4" t="str">
        <f>IFERROR(__xludf.DUMMYFUNCTION("GOOGLETRANSLATE(B187,""en"",""pt"")"),"Celsius")</f>
        <v>Celsius</v>
      </c>
      <c r="L187" s="4" t="str">
        <f>IFERROR(__xludf.DUMMYFUNCTION("GOOGLETRANSLATE(B187,""en"",""ro"")"),"Celsius")</f>
        <v>Celsius</v>
      </c>
      <c r="M187" s="4" t="str">
        <f>IFERROR(__xludf.DUMMYFUNCTION("GOOGLETRANSLATE(B187,""en"",""vi"")"),"độ C")</f>
        <v>độ C</v>
      </c>
      <c r="N187" s="4" t="str">
        <f>IFERROR(__xludf.DUMMYFUNCTION("GOOGLETRANSLATE(B187,""en"",""ru"")"),"Цельсий")</f>
        <v>Цельсий</v>
      </c>
      <c r="O187" s="4" t="str">
        <f>IFERROR(__xludf.DUMMYFUNCTION("GOOGLETRANSLATE(B187,""en"",""tr"")"),"Santigrat derece")</f>
        <v>Santigrat derece</v>
      </c>
      <c r="P187" s="4" t="str">
        <f>IFERROR(__xludf.DUMMYFUNCTION("GOOGLETRANSLATE(B187,""en"",""ar"")"),"درجة مئوية")</f>
        <v>درجة مئوية</v>
      </c>
      <c r="Q187" s="4" t="str">
        <f>IFERROR(__xludf.DUMMYFUNCTION("GOOGLETRANSLATE(B187,""en"",""mr"")"),"सेल्सिअस")</f>
        <v>सेल्सिअस</v>
      </c>
      <c r="R187" s="4" t="str">
        <f>IFERROR(__xludf.DUMMYFUNCTION("GOOGLETRANSLATE(B187,""en"",""gu"")"),"સેલ્સિયસ")</f>
        <v>સેલ્સિયસ</v>
      </c>
      <c r="S187" s="4" t="str">
        <f>IFERROR(__xludf.DUMMYFUNCTION("GOOGLETRANSLATE(B187,""en"",""bn"")"),"সেলসিয়াস")</f>
        <v>সেলসিয়াস</v>
      </c>
      <c r="T187" s="4" t="str">
        <f>IFERROR(__xludf.DUMMYFUNCTION("GOOGLETRANSLATE(B187,""en"",""pa"")"),"ਸੈਲਸੀਅਸ")</f>
        <v>ਸੈਲਸੀਅਸ</v>
      </c>
      <c r="U187" s="4" t="str">
        <f>IFERROR(__xludf.DUMMYFUNCTION("GOOGLETRANSLATE(B187,""en"",""te"")"),"సెల్సియస్")</f>
        <v>సెల్సియస్</v>
      </c>
      <c r="V187" s="4" t="str">
        <f>IFERROR(__xludf.DUMMYFUNCTION("GOOGLETRANSLATE(B187,""en"",""kn"")"),"ಸೆಲ್ಸಿಯಸ್")</f>
        <v>ಸೆಲ್ಸಿಯಸ್</v>
      </c>
      <c r="W187" s="4" t="str">
        <f>IFERROR(__xludf.DUMMYFUNCTION("GOOGLETRANSLATE(B187,""en"",""ml"")"),"സെൽഷ്യസ്")</f>
        <v>സെൽഷ്യസ്</v>
      </c>
      <c r="X187" s="4" t="str">
        <f>IFERROR(__xludf.DUMMYFUNCTION("GOOGLETRANSLATE(B187,""en"",""th"")"),"เซลเซียส")</f>
        <v>เซลเซียส</v>
      </c>
      <c r="Y187" s="4" t="str">
        <f>IFERROR(__xludf.DUMMYFUNCTION("GOOGLETRANSLATE(B187,""en"",""ko"")"),"섭씨")</f>
        <v>섭씨</v>
      </c>
      <c r="Z187" s="4" t="str">
        <f>IFERROR(__xludf.DUMMYFUNCTION("GOOGLETRANSLATE(B187,""en"",""zh"")"),"摄氏度")</f>
        <v>摄氏度</v>
      </c>
      <c r="AA187" s="4" t="str">
        <f>IFERROR(__xludf.DUMMYFUNCTION("GOOGLETRANSLATE(B187,""en"",""zh-TW"")"),"攝氏度")</f>
        <v>攝氏度</v>
      </c>
      <c r="AB187" s="4" t="str">
        <f>IFERROR(__xludf.DUMMYFUNCTION("GOOGLETRANSLATE(B187,""en"",""ja"")"),"摂氏")</f>
        <v>摂氏</v>
      </c>
      <c r="AC187" s="4" t="str">
        <f>IFERROR(__xludf.DUMMYFUNCTION("GOOGLETRANSLATE(B187,""en"",""bg"")"),"Целзий")</f>
        <v>Целзий</v>
      </c>
      <c r="AD187" s="4" t="str">
        <f>IFERROR(__xludf.DUMMYFUNCTION("GOOGLETRANSLATE(B187,""en"",""cs"")"),"Celsia")</f>
        <v>Celsia</v>
      </c>
      <c r="AE187" s="4" t="str">
        <f>IFERROR(__xludf.DUMMYFUNCTION("GOOGLETRANSLATE(B187,""en"",""da"")"),"Celsius")</f>
        <v>Celsius</v>
      </c>
      <c r="AF187" s="4" t="str">
        <f>IFERROR(__xludf.DUMMYFUNCTION("GOOGLETRANSLATE(B187,""en"",""el"")"),"Κελσίου")</f>
        <v>Κελσίου</v>
      </c>
      <c r="AG187" s="4" t="str">
        <f>IFERROR(__xludf.DUMMYFUNCTION("GOOGLETRANSLATE(B187,""en"",""et"")"),"Celsiuse järgi")</f>
        <v>Celsiuse järgi</v>
      </c>
      <c r="AH187" s="4" t="str">
        <f>IFERROR(__xludf.DUMMYFUNCTION("GOOGLETRANSLATE(B187,""en"",""fi"")"),"Celsius")</f>
        <v>Celsius</v>
      </c>
      <c r="AI187" s="4" t="str">
        <f>IFERROR(__xludf.DUMMYFUNCTION("GOOGLETRANSLATE(B187,""en"",""hr"")"),"Celzija")</f>
        <v>Celzija</v>
      </c>
      <c r="AJ187" s="4" t="str">
        <f>IFERROR(__xludf.DUMMYFUNCTION("GOOGLETRANSLATE(B187,""en"",""hu"")"),"Celsius")</f>
        <v>Celsius</v>
      </c>
      <c r="AK187" s="4" t="str">
        <f>IFERROR(__xludf.DUMMYFUNCTION("GOOGLETRANSLATE(B187,""en"",""hy"")"),"Ցելսիուս")</f>
        <v>Ցելսիուս</v>
      </c>
      <c r="AL187" s="4" t="str">
        <f>IFERROR(__xludf.DUMMYFUNCTION("GOOGLETRANSLATE(B187,""en"",""ca"")"),"Celsius")</f>
        <v>Celsius</v>
      </c>
      <c r="AM187" s="4" t="str">
        <f>IFERROR(__xludf.DUMMYFUNCTION("GOOGLETRANSLATE(B187,""en"",""nl"")"),"Celsius")</f>
        <v>Celsius</v>
      </c>
      <c r="AN187" s="4" t="str">
        <f>IFERROR(__xludf.DUMMYFUNCTION("GOOGLETRANSLATE(B187,""en"",""he"")"),"צֶלסִיוּס")</f>
        <v>צֶלסִיוּס</v>
      </c>
      <c r="AO187" s="4" t="str">
        <f>IFERROR(__xludf.DUMMYFUNCTION("GOOGLETRANSLATE(B187,""en"",""is"")"),"Celsíus")</f>
        <v>Celsíus</v>
      </c>
      <c r="AP187" s="4" t="str">
        <f>IFERROR(__xludf.DUMMYFUNCTION("GOOGLETRANSLATE(B187,""en"",""no"")"),"Celsius")</f>
        <v>Celsius</v>
      </c>
      <c r="AQ187" s="4" t="str">
        <f>IFERROR(__xludf.DUMMYFUNCTION("GOOGLETRANSLATE(B187,""en"",""fa"")"),"درجه سانتیگراد")</f>
        <v>درجه سانتیگراد</v>
      </c>
      <c r="AR187" s="4" t="str">
        <f>IFERROR(__xludf.DUMMYFUNCTION("GOOGLETRANSLATE(B187,""en"",""pl"")"),"Celsjusz")</f>
        <v>Celsjusz</v>
      </c>
      <c r="AS187" s="4" t="str">
        <f>IFERROR(__xludf.DUMMYFUNCTION("GOOGLETRANSLATE(B187,""en"",""sv"")"),"Celsius")</f>
        <v>Celsius</v>
      </c>
      <c r="AT187" s="4" t="str">
        <f>IFERROR(__xludf.DUMMYFUNCTION("GOOGLETRANSLATE(B187,""en"",""uk"")"),"за Цельсієм")</f>
        <v>за Цельсієм</v>
      </c>
      <c r="AU187" s="4" t="str">
        <f>IFERROR(__xludf.DUMMYFUNCTION("GOOGLETRANSLATE(B187,""en"",""zu"")"),"I-Celsius")</f>
        <v>I-Celsius</v>
      </c>
      <c r="AV187" s="4" t="str">
        <f>IFERROR(__xludf.DUMMYFUNCTION("GOOGLETRANSLATE(B187,""en"",""sr"")"),"Целзијуса")</f>
        <v>Целзијуса</v>
      </c>
    </row>
    <row r="188">
      <c r="A188" s="3" t="s">
        <v>404</v>
      </c>
      <c r="B188" s="3" t="s">
        <v>405</v>
      </c>
      <c r="C188" s="4" t="str">
        <f>IFERROR(__xludf.DUMMYFUNCTION("GOOGLETRANSLATE(B188,""en"",""ta"")"),"கெல்வின்")</f>
        <v>கெல்வின்</v>
      </c>
      <c r="D188" s="4" t="str">
        <f>IFERROR(__xludf.DUMMYFUNCTION("GOOGLETRANSLATE(B188,""en"",""hi"")"),"केल्विन")</f>
        <v>केल्विन</v>
      </c>
      <c r="E188" s="4" t="str">
        <f>IFERROR(__xludf.DUMMYFUNCTION("GOOGLETRANSLATE(B188,""en"",""id"")"),"Bahasa Indonesia: Kelvin")</f>
        <v>Bahasa Indonesia: Kelvin</v>
      </c>
      <c r="F188" s="4" t="str">
        <f>IFERROR(__xludf.DUMMYFUNCTION("GOOGLETRANSLATE(B188,""en"",""ms"")"),"Kelvin")</f>
        <v>Kelvin</v>
      </c>
      <c r="G188" s="4" t="str">
        <f>IFERROR(__xludf.DUMMYFUNCTION("GOOGLETRANSLATE(B188,""en"",""de"")"),"Kelvin")</f>
        <v>Kelvin</v>
      </c>
      <c r="H188" s="4" t="str">
        <f>IFERROR(__xludf.DUMMYFUNCTION("GOOGLETRANSLATE(B188,""en"",""es"")"),"Kelvin")</f>
        <v>Kelvin</v>
      </c>
      <c r="I188" s="4" t="str">
        <f>IFERROR(__xludf.DUMMYFUNCTION("GOOGLETRANSLATE(B188,""en"",""fr"")"),"Kelvin")</f>
        <v>Kelvin</v>
      </c>
      <c r="J188" s="4" t="str">
        <f>IFERROR(__xludf.DUMMYFUNCTION("GOOGLETRANSLATE(B188,""en"",""it"")"),"Kelvin")</f>
        <v>Kelvin</v>
      </c>
      <c r="K188" s="4" t="str">
        <f>IFERROR(__xludf.DUMMYFUNCTION("GOOGLETRANSLATE(B188,""en"",""pt"")"),"Kelvin")</f>
        <v>Kelvin</v>
      </c>
      <c r="L188" s="4" t="str">
        <f>IFERROR(__xludf.DUMMYFUNCTION("GOOGLETRANSLATE(B188,""en"",""ro"")"),"Kelvin")</f>
        <v>Kelvin</v>
      </c>
      <c r="M188" s="4" t="str">
        <f>IFERROR(__xludf.DUMMYFUNCTION("GOOGLETRANSLATE(B188,""en"",""vi"")"),"Kelvin")</f>
        <v>Kelvin</v>
      </c>
      <c r="N188" s="4" t="str">
        <f>IFERROR(__xludf.DUMMYFUNCTION("GOOGLETRANSLATE(B188,""en"",""ru"")"),"Кельвин")</f>
        <v>Кельвин</v>
      </c>
      <c r="O188" s="4" t="str">
        <f>IFERROR(__xludf.DUMMYFUNCTION("GOOGLETRANSLATE(B188,""en"",""tr"")"),"Kelvin")</f>
        <v>Kelvin</v>
      </c>
      <c r="P188" s="4" t="str">
        <f>IFERROR(__xludf.DUMMYFUNCTION("GOOGLETRANSLATE(B188,""en"",""ar"")"),"كلفن")</f>
        <v>كلفن</v>
      </c>
      <c r="Q188" s="4" t="str">
        <f>IFERROR(__xludf.DUMMYFUNCTION("GOOGLETRANSLATE(B188,""en"",""mr"")"),"केल्विन")</f>
        <v>केल्विन</v>
      </c>
      <c r="R188" s="4" t="str">
        <f>IFERROR(__xludf.DUMMYFUNCTION("GOOGLETRANSLATE(B188,""en"",""gu"")"),"કેલ્વિન")</f>
        <v>કેલ્વિન</v>
      </c>
      <c r="S188" s="4" t="str">
        <f>IFERROR(__xludf.DUMMYFUNCTION("GOOGLETRANSLATE(B188,""en"",""bn"")"),"কেলভিন")</f>
        <v>কেলভিন</v>
      </c>
      <c r="T188" s="4" t="str">
        <f>IFERROR(__xludf.DUMMYFUNCTION("GOOGLETRANSLATE(B188,""en"",""pa"")"),"ਕੈਲਵਿਨ")</f>
        <v>ਕੈਲਵਿਨ</v>
      </c>
      <c r="U188" s="4" t="str">
        <f>IFERROR(__xludf.DUMMYFUNCTION("GOOGLETRANSLATE(B188,""en"",""te"")"),"కెల్విన్")</f>
        <v>కెల్విన్</v>
      </c>
      <c r="V188" s="4" t="str">
        <f>IFERROR(__xludf.DUMMYFUNCTION("GOOGLETRANSLATE(B188,""en"",""kn"")"),"ಕೆಲ್ವಿನ್")</f>
        <v>ಕೆಲ್ವಿನ್</v>
      </c>
      <c r="W188" s="4" t="str">
        <f>IFERROR(__xludf.DUMMYFUNCTION("GOOGLETRANSLATE(B188,""en"",""ml"")"),"കെൽവിൻ")</f>
        <v>കെൽവിൻ</v>
      </c>
      <c r="X188" s="4" t="str">
        <f>IFERROR(__xludf.DUMMYFUNCTION("GOOGLETRANSLATE(B188,""en"",""th"")"),"เคลวิน")</f>
        <v>เคลวิน</v>
      </c>
      <c r="Y188" s="4" t="str">
        <f>IFERROR(__xludf.DUMMYFUNCTION("GOOGLETRANSLATE(B188,""en"",""ko"")"),"켈빈")</f>
        <v>켈빈</v>
      </c>
      <c r="Z188" s="4" t="str">
        <f>IFERROR(__xludf.DUMMYFUNCTION("GOOGLETRANSLATE(B188,""en"",""zh"")"),"开尔文")</f>
        <v>开尔文</v>
      </c>
      <c r="AA188" s="4" t="str">
        <f>IFERROR(__xludf.DUMMYFUNCTION("GOOGLETRANSLATE(B188,""en"",""zh-TW"")"),"開爾文")</f>
        <v>開爾文</v>
      </c>
      <c r="AB188" s="4" t="str">
        <f>IFERROR(__xludf.DUMMYFUNCTION("GOOGLETRANSLATE(B188,""en"",""ja"")"),"ケルビン")</f>
        <v>ケルビン</v>
      </c>
      <c r="AC188" s="4" t="str">
        <f>IFERROR(__xludf.DUMMYFUNCTION("GOOGLETRANSLATE(B188,""en"",""bg"")"),"Келвин")</f>
        <v>Келвин</v>
      </c>
      <c r="AD188" s="4" t="str">
        <f>IFERROR(__xludf.DUMMYFUNCTION("GOOGLETRANSLATE(B188,""en"",""cs"")"),"Kelvin")</f>
        <v>Kelvin</v>
      </c>
      <c r="AE188" s="4" t="str">
        <f>IFERROR(__xludf.DUMMYFUNCTION("GOOGLETRANSLATE(B188,""en"",""da"")"),"Kelvin")</f>
        <v>Kelvin</v>
      </c>
      <c r="AF188" s="4" t="str">
        <f>IFERROR(__xludf.DUMMYFUNCTION("GOOGLETRANSLATE(B188,""en"",""el"")"),"Κέλβιν")</f>
        <v>Κέλβιν</v>
      </c>
      <c r="AG188" s="4" t="str">
        <f>IFERROR(__xludf.DUMMYFUNCTION("GOOGLETRANSLATE(B188,""en"",""et"")"),"Kelvin")</f>
        <v>Kelvin</v>
      </c>
      <c r="AH188" s="4" t="str">
        <f>IFERROR(__xludf.DUMMYFUNCTION("GOOGLETRANSLATE(B188,""en"",""fi"")"),"Kelvin")</f>
        <v>Kelvin</v>
      </c>
      <c r="AI188" s="4" t="str">
        <f>IFERROR(__xludf.DUMMYFUNCTION("GOOGLETRANSLATE(B188,""en"",""hr"")"),"Kelvine")</f>
        <v>Kelvine</v>
      </c>
      <c r="AJ188" s="4" t="str">
        <f>IFERROR(__xludf.DUMMYFUNCTION("GOOGLETRANSLATE(B188,""en"",""hu"")"),"Kelvin")</f>
        <v>Kelvin</v>
      </c>
      <c r="AK188" s="4" t="str">
        <f>IFERROR(__xludf.DUMMYFUNCTION("GOOGLETRANSLATE(B188,""en"",""hy"")"),"Քելվին")</f>
        <v>Քելվին</v>
      </c>
      <c r="AL188" s="4" t="str">
        <f>IFERROR(__xludf.DUMMYFUNCTION("GOOGLETRANSLATE(B188,""en"",""ca"")"),"Kelvin")</f>
        <v>Kelvin</v>
      </c>
      <c r="AM188" s="4" t="str">
        <f>IFERROR(__xludf.DUMMYFUNCTION("GOOGLETRANSLATE(B188,""en"",""nl"")"),"Kelvin")</f>
        <v>Kelvin</v>
      </c>
      <c r="AN188" s="4" t="str">
        <f>IFERROR(__xludf.DUMMYFUNCTION("GOOGLETRANSLATE(B188,""en"",""he"")"),"קלווין")</f>
        <v>קלווין</v>
      </c>
      <c r="AO188" s="4" t="str">
        <f>IFERROR(__xludf.DUMMYFUNCTION("GOOGLETRANSLATE(B188,""en"",""is"")"),"Kelvin")</f>
        <v>Kelvin</v>
      </c>
      <c r="AP188" s="4" t="str">
        <f>IFERROR(__xludf.DUMMYFUNCTION("GOOGLETRANSLATE(B188,""en"",""no"")"),"Kelvin")</f>
        <v>Kelvin</v>
      </c>
      <c r="AQ188" s="4" t="str">
        <f>IFERROR(__xludf.DUMMYFUNCTION("GOOGLETRANSLATE(B188,""en"",""fa"")"),"کلوین")</f>
        <v>کلوین</v>
      </c>
      <c r="AR188" s="4" t="str">
        <f>IFERROR(__xludf.DUMMYFUNCTION("GOOGLETRANSLATE(B188,""en"",""pl"")"),"kelwin")</f>
        <v>kelwin</v>
      </c>
      <c r="AS188" s="4" t="str">
        <f>IFERROR(__xludf.DUMMYFUNCTION("GOOGLETRANSLATE(B188,""en"",""sv"")"),"Kelvin")</f>
        <v>Kelvin</v>
      </c>
      <c r="AT188" s="4" t="str">
        <f>IFERROR(__xludf.DUMMYFUNCTION("GOOGLETRANSLATE(B188,""en"",""uk"")"),"Кельвін")</f>
        <v>Кельвін</v>
      </c>
      <c r="AU188" s="4" t="str">
        <f>IFERROR(__xludf.DUMMYFUNCTION("GOOGLETRANSLATE(B188,""en"",""zu"")"),"Kelvin")</f>
        <v>Kelvin</v>
      </c>
      <c r="AV188" s="4" t="str">
        <f>IFERROR(__xludf.DUMMYFUNCTION("GOOGLETRANSLATE(B188,""en"",""sr"")"),"Келвине")</f>
        <v>Келвине</v>
      </c>
    </row>
    <row r="189">
      <c r="A189" s="3" t="s">
        <v>406</v>
      </c>
      <c r="B189" s="3" t="s">
        <v>407</v>
      </c>
      <c r="C189" s="4" t="str">
        <f>IFERROR(__xludf.DUMMYFUNCTION("GOOGLETRANSLATE(B189,""en"",""ta"")"),"ஹெக்டோபாஸ்கல் (hPa)")</f>
        <v>ஹெக்டோபாஸ்கல் (hPa)</v>
      </c>
      <c r="D189" s="4" t="str">
        <f>IFERROR(__xludf.DUMMYFUNCTION("GOOGLETRANSLATE(B189,""en"",""hi"")"),"हेक्टोपास्कल (hPa)")</f>
        <v>हेक्टोपास्कल (hPa)</v>
      </c>
      <c r="E189" s="4" t="str">
        <f>IFERROR(__xludf.DUMMYFUNCTION("GOOGLETRANSLATE(B189,""en"",""id"")"),"Hektopaskal (hPa)")</f>
        <v>Hektopaskal (hPa)</v>
      </c>
      <c r="F189" s="4" t="str">
        <f>IFERROR(__xludf.DUMMYFUNCTION("GOOGLETRANSLATE(B189,""en"",""ms"")"),"Hektopascal (hPa)")</f>
        <v>Hektopascal (hPa)</v>
      </c>
      <c r="G189" s="4" t="str">
        <f>IFERROR(__xludf.DUMMYFUNCTION("GOOGLETRANSLATE(B189,""en"",""de"")"),"Hektopascal (hPa)")</f>
        <v>Hektopascal (hPa)</v>
      </c>
      <c r="H189" s="4" t="str">
        <f>IFERROR(__xludf.DUMMYFUNCTION("GOOGLETRANSLATE(B189,""en"",""es"")"),"Hectopascal (hPa)")</f>
        <v>Hectopascal (hPa)</v>
      </c>
      <c r="I189" s="4" t="str">
        <f>IFERROR(__xludf.DUMMYFUNCTION("GOOGLETRANSLATE(B189,""en"",""fr"")"),"Hectopascal (hPa)")</f>
        <v>Hectopascal (hPa)</v>
      </c>
      <c r="J189" s="4" t="str">
        <f>IFERROR(__xludf.DUMMYFUNCTION("GOOGLETRANSLATE(B189,""en"",""it"")"),"Ettopascal (hPa)")</f>
        <v>Ettopascal (hPa)</v>
      </c>
      <c r="K189" s="4" t="str">
        <f>IFERROR(__xludf.DUMMYFUNCTION("GOOGLETRANSLATE(B189,""en"",""pt"")"),"Hectopascal (hPa)")</f>
        <v>Hectopascal (hPa)</v>
      </c>
      <c r="L189" s="4" t="str">
        <f>IFERROR(__xludf.DUMMYFUNCTION("GOOGLETRANSLATE(B189,""en"",""ro"")"),"hectopascal (hPa)")</f>
        <v>hectopascal (hPa)</v>
      </c>
      <c r="M189" s="4" t="str">
        <f>IFERROR(__xludf.DUMMYFUNCTION("GOOGLETRANSLATE(B189,""en"",""vi"")"),"Hectopascal (hPa)")</f>
        <v>Hectopascal (hPa)</v>
      </c>
      <c r="N189" s="4" t="str">
        <f>IFERROR(__xludf.DUMMYFUNCTION("GOOGLETRANSLATE(B189,""en"",""ru"")"),"Гектопаскаль (гПа)")</f>
        <v>Гектопаскаль (гПа)</v>
      </c>
      <c r="O189" s="4" t="str">
        <f>IFERROR(__xludf.DUMMYFUNCTION("GOOGLETRANSLATE(B189,""en"",""tr"")"),"Hektopaskal (hPa)")</f>
        <v>Hektopaskal (hPa)</v>
      </c>
      <c r="P189" s="4" t="str">
        <f>IFERROR(__xludf.DUMMYFUNCTION("GOOGLETRANSLATE(B189,""en"",""ar"")"),"هكتوباسكال (hPa)")</f>
        <v>هكتوباسكال (hPa)</v>
      </c>
      <c r="Q189" s="4" t="str">
        <f>IFERROR(__xludf.DUMMYFUNCTION("GOOGLETRANSLATE(B189,""en"",""mr"")"),"हेक्टोपास्कल (hPa)")</f>
        <v>हेक्टोपास्कल (hPa)</v>
      </c>
      <c r="R189" s="4" t="str">
        <f>IFERROR(__xludf.DUMMYFUNCTION("GOOGLETRANSLATE(B189,""en"",""gu"")"),"હેક્ટોપાસ્કલ (hPa)")</f>
        <v>હેક્ટોપાસ્કલ (hPa)</v>
      </c>
      <c r="S189" s="4" t="str">
        <f>IFERROR(__xludf.DUMMYFUNCTION("GOOGLETRANSLATE(B189,""en"",""bn"")"),"হেক্টোপাস্কাল (এইচপিএ)")</f>
        <v>হেক্টোপাস্কাল (এইচপিএ)</v>
      </c>
      <c r="T189" s="4" t="str">
        <f>IFERROR(__xludf.DUMMYFUNCTION("GOOGLETRANSLATE(B189,""en"",""pa"")"),"ਹੈਕਟੋਪਾਸਕਲ (hPa)")</f>
        <v>ਹੈਕਟੋਪਾਸਕਲ (hPa)</v>
      </c>
      <c r="U189" s="4" t="str">
        <f>IFERROR(__xludf.DUMMYFUNCTION("GOOGLETRANSLATE(B189,""en"",""te"")"),"హెక్టోపాస్కల్ (hPa)")</f>
        <v>హెక్టోపాస్కల్ (hPa)</v>
      </c>
      <c r="V189" s="4" t="str">
        <f>IFERROR(__xludf.DUMMYFUNCTION("GOOGLETRANSLATE(B189,""en"",""kn"")"),"ಹೆಕ್ಟೋಪಾಸ್ಕಲ್ (hPa)")</f>
        <v>ಹೆಕ್ಟೋಪಾಸ್ಕಲ್ (hPa)</v>
      </c>
      <c r="W189" s="4" t="str">
        <f>IFERROR(__xludf.DUMMYFUNCTION("GOOGLETRANSLATE(B189,""en"",""ml"")"),"ഹെക്ടോപാസ്കൽ (hPa)")</f>
        <v>ഹെക്ടോപാസ്കൽ (hPa)</v>
      </c>
      <c r="X189" s="4" t="str">
        <f>IFERROR(__xludf.DUMMYFUNCTION("GOOGLETRANSLATE(B189,""en"",""th"")"),"เฮกโตปาสกาล (hPa)")</f>
        <v>เฮกโตปาสกาล (hPa)</v>
      </c>
      <c r="Y189" s="4" t="str">
        <f>IFERROR(__xludf.DUMMYFUNCTION("GOOGLETRANSLATE(B189,""en"",""ko"")"),"헥토파스칼(hPa)")</f>
        <v>헥토파스칼(hPa)</v>
      </c>
      <c r="Z189" s="4" t="str">
        <f>IFERROR(__xludf.DUMMYFUNCTION("GOOGLETRANSLATE(B189,""en"",""zh"")"),"百帕斯卡 (hPa)")</f>
        <v>百帕斯卡 (hPa)</v>
      </c>
      <c r="AA189" s="4" t="str">
        <f>IFERROR(__xludf.DUMMYFUNCTION("GOOGLETRANSLATE(B189,""en"",""zh-TW"")"),"百帕斯卡 (hPa)")</f>
        <v>百帕斯卡 (hPa)</v>
      </c>
      <c r="AB189" s="4" t="str">
        <f>IFERROR(__xludf.DUMMYFUNCTION("GOOGLETRANSLATE(B189,""en"",""ja"")"),"ヘクトパスカル（hPa）")</f>
        <v>ヘクトパスカル（hPa）</v>
      </c>
      <c r="AC189" s="4" t="str">
        <f>IFERROR(__xludf.DUMMYFUNCTION("GOOGLETRANSLATE(B189,""en"",""bg"")"),"Хектопаскал (hPa)")</f>
        <v>Хектопаскал (hPa)</v>
      </c>
      <c r="AD189" s="4" t="str">
        <f>IFERROR(__xludf.DUMMYFUNCTION("GOOGLETRANSLATE(B189,""en"",""cs"")"),"Hektopascal (hPa)")</f>
        <v>Hektopascal (hPa)</v>
      </c>
      <c r="AE189" s="4" t="str">
        <f>IFERROR(__xludf.DUMMYFUNCTION("GOOGLETRANSLATE(B189,""en"",""da"")"),"Hektopascal (hPa)")</f>
        <v>Hektopascal (hPa)</v>
      </c>
      <c r="AF189" s="4" t="str">
        <f>IFERROR(__xludf.DUMMYFUNCTION("GOOGLETRANSLATE(B189,""en"",""el"")"),"Εκτοπασκάλη (hPa)")</f>
        <v>Εκτοπασκάλη (hPa)</v>
      </c>
      <c r="AG189" s="4" t="str">
        <f>IFERROR(__xludf.DUMMYFUNCTION("GOOGLETRANSLATE(B189,""en"",""et"")"),"Hektopaskal (hPa)")</f>
        <v>Hektopaskal (hPa)</v>
      </c>
      <c r="AH189" s="4" t="str">
        <f>IFERROR(__xludf.DUMMYFUNCTION("GOOGLETRANSLATE(B189,""en"",""fi"")"),"Hektopascal (hPa)")</f>
        <v>Hektopascal (hPa)</v>
      </c>
      <c r="AI189" s="4" t="str">
        <f>IFERROR(__xludf.DUMMYFUNCTION("GOOGLETRANSLATE(B189,""en"",""hr"")"),"Hektopaskal (hPa)")</f>
        <v>Hektopaskal (hPa)</v>
      </c>
      <c r="AJ189" s="4" t="str">
        <f>IFERROR(__xludf.DUMMYFUNCTION("GOOGLETRANSLATE(B189,""en"",""hu"")"),"Hektopascal (hPa)")</f>
        <v>Hektopascal (hPa)</v>
      </c>
      <c r="AK189" s="4" t="str">
        <f>IFERROR(__xludf.DUMMYFUNCTION("GOOGLETRANSLATE(B189,""en"",""hy"")"),"Հեկտոպասկալ (hPa)")</f>
        <v>Հեկտոպասկալ (hPa)</v>
      </c>
      <c r="AL189" s="4" t="str">
        <f>IFERROR(__xludf.DUMMYFUNCTION("GOOGLETRANSLATE(B189,""en"",""ca"")"),"Hectopascal (hPa)")</f>
        <v>Hectopascal (hPa)</v>
      </c>
      <c r="AM189" s="4" t="str">
        <f>IFERROR(__xludf.DUMMYFUNCTION("GOOGLETRANSLATE(B189,""en"",""nl"")"),"Hectopascal (hPa)")</f>
        <v>Hectopascal (hPa)</v>
      </c>
      <c r="AN189" s="4" t="str">
        <f>IFERROR(__xludf.DUMMYFUNCTION("GOOGLETRANSLATE(B189,""en"",""he"")"),"Hectopascal (hPa)")</f>
        <v>Hectopascal (hPa)</v>
      </c>
      <c r="AO189" s="4" t="str">
        <f>IFERROR(__xludf.DUMMYFUNCTION("GOOGLETRANSLATE(B189,""en"",""is"")"),"Hektópascal (hPa)")</f>
        <v>Hektópascal (hPa)</v>
      </c>
      <c r="AP189" s="4" t="str">
        <f>IFERROR(__xludf.DUMMYFUNCTION("GOOGLETRANSLATE(B189,""en"",""no"")"),"Hektopascal (hPa)")</f>
        <v>Hektopascal (hPa)</v>
      </c>
      <c r="AQ189" s="4" t="str">
        <f>IFERROR(__xludf.DUMMYFUNCTION("GOOGLETRANSLATE(B189,""en"",""fa"")"),"هکتوپاسکال (hPa)")</f>
        <v>هکتوپاسکال (hPa)</v>
      </c>
      <c r="AR189" s="4" t="str">
        <f>IFERROR(__xludf.DUMMYFUNCTION("GOOGLETRANSLATE(B189,""en"",""pl"")"),"Hektopaskal (hPa)")</f>
        <v>Hektopaskal (hPa)</v>
      </c>
      <c r="AS189" s="4" t="str">
        <f>IFERROR(__xludf.DUMMYFUNCTION("GOOGLETRANSLATE(B189,""en"",""sv"")"),"Hektopascal (hPa)")</f>
        <v>Hektopascal (hPa)</v>
      </c>
      <c r="AT189" s="4" t="str">
        <f>IFERROR(__xludf.DUMMYFUNCTION("GOOGLETRANSLATE(B189,""en"",""uk"")"),"Гектопаскаль (гПа)")</f>
        <v>Гектопаскаль (гПа)</v>
      </c>
      <c r="AU189" s="4" t="str">
        <f>IFERROR(__xludf.DUMMYFUNCTION("GOOGLETRANSLATE(B189,""en"",""zu"")"),"I-Hectopascal (hPa)")</f>
        <v>I-Hectopascal (hPa)</v>
      </c>
      <c r="AV189" s="4" t="str">
        <f>IFERROR(__xludf.DUMMYFUNCTION("GOOGLETRANSLATE(B189,""en"",""sr"")"),"хектопаскал (хПа)")</f>
        <v>хектопаскал (хПа)</v>
      </c>
    </row>
    <row r="190">
      <c r="A190" s="3" t="s">
        <v>408</v>
      </c>
      <c r="B190" s="3" t="s">
        <v>409</v>
      </c>
      <c r="C190" s="4" t="str">
        <f>IFERROR(__xludf.DUMMYFUNCTION("GOOGLETRANSLATE(B190,""en"",""ta"")"),"பாதரசத்தின் அங்குலம் (inHg)")</f>
        <v>பாதரசத்தின் அங்குலம் (inHg)</v>
      </c>
      <c r="D190" s="4" t="str">
        <f>IFERROR(__xludf.DUMMYFUNCTION("GOOGLETRANSLATE(B190,""en"",""hi"")"),"पारे का इंच (inHg)")</f>
        <v>पारे का इंच (inHg)</v>
      </c>
      <c r="E190" s="4" t="str">
        <f>IFERROR(__xludf.DUMMYFUNCTION("GOOGLETRANSLATE(B190,""en"",""id"")"),"Inci merkuri (inHg)")</f>
        <v>Inci merkuri (inHg)</v>
      </c>
      <c r="F190" s="4" t="str">
        <f>IFERROR(__xludf.DUMMYFUNCTION("GOOGLETRANSLATE(B190,""en"",""ms"")"),"Inci merkuri (inHg)")</f>
        <v>Inci merkuri (inHg)</v>
      </c>
      <c r="G190" s="4" t="str">
        <f>IFERROR(__xludf.DUMMYFUNCTION("GOOGLETRANSLATE(B190,""en"",""de"")"),"Zoll Quecksilbersäule (inHg)")</f>
        <v>Zoll Quecksilbersäule (inHg)</v>
      </c>
      <c r="H190" s="4" t="str">
        <f>IFERROR(__xludf.DUMMYFUNCTION("GOOGLETRANSLATE(B190,""en"",""es"")"),"Pulgada de mercurio (inHg)")</f>
        <v>Pulgada de mercurio (inHg)</v>
      </c>
      <c r="I190" s="4" t="str">
        <f>IFERROR(__xludf.DUMMYFUNCTION("GOOGLETRANSLATE(B190,""en"",""fr"")"),"Pouce de mercure (inHg)")</f>
        <v>Pouce de mercure (inHg)</v>
      </c>
      <c r="J190" s="4" t="str">
        <f>IFERROR(__xludf.DUMMYFUNCTION("GOOGLETRANSLATE(B190,""en"",""it"")"),"Pollici di mercurio (inHg)")</f>
        <v>Pollici di mercurio (inHg)</v>
      </c>
      <c r="K190" s="4" t="str">
        <f>IFERROR(__xludf.DUMMYFUNCTION("GOOGLETRANSLATE(B190,""en"",""pt"")"),"Polegada de mercúrio (inHg)")</f>
        <v>Polegada de mercúrio (inHg)</v>
      </c>
      <c r="L190" s="4" t="str">
        <f>IFERROR(__xludf.DUMMYFUNCTION("GOOGLETRANSLATE(B190,""en"",""ro"")"),"Inch de mercur (inHg)")</f>
        <v>Inch de mercur (inHg)</v>
      </c>
      <c r="M190" s="4" t="str">
        <f>IFERROR(__xludf.DUMMYFUNCTION("GOOGLETRANSLATE(B190,""en"",""vi"")"),"Inch thủy ngân (inHg)")</f>
        <v>Inch thủy ngân (inHg)</v>
      </c>
      <c r="N190" s="4" t="str">
        <f>IFERROR(__xludf.DUMMYFUNCTION("GOOGLETRANSLATE(B190,""en"",""ru"")"),"Дюйм ртутного столба (inHg)")</f>
        <v>Дюйм ртутного столба (inHg)</v>
      </c>
      <c r="O190" s="4" t="str">
        <f>IFERROR(__xludf.DUMMYFUNCTION("GOOGLETRANSLATE(B190,""en"",""tr"")"),"İnç cıva (inHg)")</f>
        <v>İnç cıva (inHg)</v>
      </c>
      <c r="P190" s="4" t="str">
        <f>IFERROR(__xludf.DUMMYFUNCTION("GOOGLETRANSLATE(B190,""en"",""ar"")"),"بوصة من الزئبق (inHg)")</f>
        <v>بوصة من الزئبق (inHg)</v>
      </c>
      <c r="Q190" s="4" t="str">
        <f>IFERROR(__xludf.DUMMYFUNCTION("GOOGLETRANSLATE(B190,""en"",""mr"")"),"पारा इंच (inHg)")</f>
        <v>पारा इंच (inHg)</v>
      </c>
      <c r="R190" s="4" t="str">
        <f>IFERROR(__xludf.DUMMYFUNCTION("GOOGLETRANSLATE(B190,""en"",""gu"")"),"પારાના ઇંચ (inHg)")</f>
        <v>પારાના ઇંચ (inHg)</v>
      </c>
      <c r="S190" s="4" t="str">
        <f>IFERROR(__xludf.DUMMYFUNCTION("GOOGLETRANSLATE(B190,""en"",""bn"")"),"পারদের ইঞ্চি (inHg)")</f>
        <v>পারদের ইঞ্চি (inHg)</v>
      </c>
      <c r="T190" s="4" t="str">
        <f>IFERROR(__xludf.DUMMYFUNCTION("GOOGLETRANSLATE(B190,""en"",""pa"")"),"ਪਾਰਾ ਦਾ ਇੰਚ (inHg)")</f>
        <v>ਪਾਰਾ ਦਾ ਇੰਚ (inHg)</v>
      </c>
      <c r="U190" s="4" t="str">
        <f>IFERROR(__xludf.DUMMYFUNCTION("GOOGLETRANSLATE(B190,""en"",""te"")"),"అంగుళం పాదరసం (inHg)")</f>
        <v>అంగుళం పాదరసం (inHg)</v>
      </c>
      <c r="V190" s="4" t="str">
        <f>IFERROR(__xludf.DUMMYFUNCTION("GOOGLETRANSLATE(B190,""en"",""kn"")"),"ಪಾದರಸದ ಇಂಚು (inHg)")</f>
        <v>ಪಾದರಸದ ಇಂಚು (inHg)</v>
      </c>
      <c r="W190" s="4" t="str">
        <f>IFERROR(__xludf.DUMMYFUNCTION("GOOGLETRANSLATE(B190,""en"",""ml"")"),"മെർക്കുറിയുടെ ഇഞ്ച് (inHg)")</f>
        <v>മെർക്കുറിയുടെ ഇഞ്ച് (inHg)</v>
      </c>
      <c r="X190" s="4" t="str">
        <f>IFERROR(__xludf.DUMMYFUNCTION("GOOGLETRANSLATE(B190,""en"",""th"")"),"นิ้วปรอท (inHg)")</f>
        <v>นิ้วปรอท (inHg)</v>
      </c>
      <c r="Y190" s="4" t="str">
        <f>IFERROR(__xludf.DUMMYFUNCTION("GOOGLETRANSLATE(B190,""en"",""ko"")"),"수은주 인치(inHg)")</f>
        <v>수은주 인치(inHg)</v>
      </c>
      <c r="Z190" s="4" t="str">
        <f>IFERROR(__xludf.DUMMYFUNCTION("GOOGLETRANSLATE(B190,""en"",""zh"")"),"英寸汞柱（inHg）")</f>
        <v>英寸汞柱（inHg）</v>
      </c>
      <c r="AA190" s="4" t="str">
        <f>IFERROR(__xludf.DUMMYFUNCTION("GOOGLETRANSLATE(B190,""en"",""zh-TW"")"),"英吋汞柱（inHg）")</f>
        <v>英吋汞柱（inHg）</v>
      </c>
      <c r="AB190" s="4" t="str">
        <f>IFERROR(__xludf.DUMMYFUNCTION("GOOGLETRANSLATE(B190,""en"",""ja"")"),"水銀インチ（inHg）")</f>
        <v>水銀インチ（inHg）</v>
      </c>
      <c r="AC190" s="4" t="str">
        <f>IFERROR(__xludf.DUMMYFUNCTION("GOOGLETRANSLATE(B190,""en"",""bg"")"),"Инч живачен стълб (inHg)")</f>
        <v>Инч живачен стълб (inHg)</v>
      </c>
      <c r="AD190" s="4" t="str">
        <f>IFERROR(__xludf.DUMMYFUNCTION("GOOGLETRANSLATE(B190,""en"",""cs"")"),"Palec rtuti (inHg)")</f>
        <v>Palec rtuti (inHg)</v>
      </c>
      <c r="AE190" s="4" t="str">
        <f>IFERROR(__xludf.DUMMYFUNCTION("GOOGLETRANSLATE(B190,""en"",""da"")"),"Tommer kviksølv (inHg)")</f>
        <v>Tommer kviksølv (inHg)</v>
      </c>
      <c r="AF190" s="4" t="str">
        <f>IFERROR(__xludf.DUMMYFUNCTION("GOOGLETRANSLATE(B190,""en"",""el"")"),"ίντσα υδραργύρου (inHg)")</f>
        <v>ίντσα υδραργύρου (inHg)</v>
      </c>
      <c r="AG190" s="4" t="str">
        <f>IFERROR(__xludf.DUMMYFUNCTION("GOOGLETRANSLATE(B190,""en"",""et"")"),"elavhõbeda toll (inHg)")</f>
        <v>elavhõbeda toll (inHg)</v>
      </c>
      <c r="AH190" s="4" t="str">
        <f>IFERROR(__xludf.DUMMYFUNCTION("GOOGLETRANSLATE(B190,""en"",""fi"")"),"elohopeatuuma (inHg)")</f>
        <v>elohopeatuuma (inHg)</v>
      </c>
      <c r="AI190" s="4" t="str">
        <f>IFERROR(__xludf.DUMMYFUNCTION("GOOGLETRANSLATE(B190,""en"",""hr"")"),"Inč žive (inHg)")</f>
        <v>Inč žive (inHg)</v>
      </c>
      <c r="AJ190" s="4" t="str">
        <f>IFERROR(__xludf.DUMMYFUNCTION("GOOGLETRANSLATE(B190,""en"",""hu"")"),"Higany hüvelyk (inHg)")</f>
        <v>Higany hüvelyk (inHg)</v>
      </c>
      <c r="AK190" s="4" t="str">
        <f>IFERROR(__xludf.DUMMYFUNCTION("GOOGLETRANSLATE(B190,""en"",""hy"")"),"Սնդիկի դյույմ (inHg)")</f>
        <v>Սնդիկի դյույմ (inHg)</v>
      </c>
      <c r="AL190" s="4" t="str">
        <f>IFERROR(__xludf.DUMMYFUNCTION("GOOGLETRANSLATE(B190,""en"",""ca"")"),"Polzada de mercuri (inHg)")</f>
        <v>Polzada de mercuri (inHg)</v>
      </c>
      <c r="AM190" s="4" t="str">
        <f>IFERROR(__xludf.DUMMYFUNCTION("GOOGLETRANSLATE(B190,""en"",""nl"")"),"Inch kwik (inHg)")</f>
        <v>Inch kwik (inHg)</v>
      </c>
      <c r="AN190" s="4" t="str">
        <f>IFERROR(__xludf.DUMMYFUNCTION("GOOGLETRANSLATE(B190,""en"",""he"")"),"אינץ' של כספית (inHg)")</f>
        <v>אינץ' של כספית (inHg)</v>
      </c>
      <c r="AO190" s="4" t="str">
        <f>IFERROR(__xludf.DUMMYFUNCTION("GOOGLETRANSLATE(B190,""en"",""is"")"),"Tomma af kvikasilfri (inHg)")</f>
        <v>Tomma af kvikasilfri (inHg)</v>
      </c>
      <c r="AP190" s="4" t="str">
        <f>IFERROR(__xludf.DUMMYFUNCTION("GOOGLETRANSLATE(B190,""en"",""no"")"),"Tommer kvikksølv (inHg)")</f>
        <v>Tommer kvikksølv (inHg)</v>
      </c>
      <c r="AQ190" s="4" t="str">
        <f>IFERROR(__xludf.DUMMYFUNCTION("GOOGLETRANSLATE(B190,""en"",""fa"")"),"اینچ جیوه (inHg)")</f>
        <v>اینچ جیوه (inHg)</v>
      </c>
      <c r="AR190" s="4" t="str">
        <f>IFERROR(__xludf.DUMMYFUNCTION("GOOGLETRANSLATE(B190,""en"",""pl"")"),"Cal słupa rtęci (inHg)")</f>
        <v>Cal słupa rtęci (inHg)</v>
      </c>
      <c r="AS190" s="4" t="str">
        <f>IFERROR(__xludf.DUMMYFUNCTION("GOOGLETRANSLATE(B190,""en"",""sv"")"),"tum kvicksilver (inHg)")</f>
        <v>tum kvicksilver (inHg)</v>
      </c>
      <c r="AT190" s="4" t="str">
        <f>IFERROR(__xludf.DUMMYFUNCTION("GOOGLETRANSLATE(B190,""en"",""uk"")"),"Дюйм ртутного стовпчика (дюйм рт. ст.)")</f>
        <v>Дюйм ртутного стовпчика (дюйм рт. ст.)</v>
      </c>
      <c r="AU190" s="4" t="str">
        <f>IFERROR(__xludf.DUMMYFUNCTION("GOOGLETRANSLATE(B190,""en"",""zu"")"),"Intshi ye-mercury (inHg)")</f>
        <v>Intshi ye-mercury (inHg)</v>
      </c>
      <c r="AV190" s="4" t="str">
        <f>IFERROR(__xludf.DUMMYFUNCTION("GOOGLETRANSLATE(B190,""en"",""sr"")"),"Инч живе (инХг)")</f>
        <v>Инч живе (инХг)</v>
      </c>
    </row>
    <row r="191">
      <c r="A191" s="3" t="s">
        <v>410</v>
      </c>
      <c r="B191" s="3" t="s">
        <v>411</v>
      </c>
      <c r="C191" s="4" t="str">
        <f>IFERROR(__xludf.DUMMYFUNCTION("GOOGLETRANSLATE(B191,""en"",""ta"")"),"மில்லிமீட்டர் பாதரசம் (mmHg)")</f>
        <v>மில்லிமீட்டர் பாதரசம் (mmHg)</v>
      </c>
      <c r="D191" s="4" t="str">
        <f>IFERROR(__xludf.DUMMYFUNCTION("GOOGLETRANSLATE(B191,""en"",""hi"")"),"पारे का मिलीमीटर (mmHg)")</f>
        <v>पारे का मिलीमीटर (mmHg)</v>
      </c>
      <c r="E191" s="4" t="str">
        <f>IFERROR(__xludf.DUMMYFUNCTION("GOOGLETRANSLATE(B191,""en"",""id"")"),"Milimeter merkuri (mmHg)")</f>
        <v>Milimeter merkuri (mmHg)</v>
      </c>
      <c r="F191" s="4" t="str">
        <f>IFERROR(__xludf.DUMMYFUNCTION("GOOGLETRANSLATE(B191,""en"",""ms"")"),"Milimeter merkuri (mmHg)")</f>
        <v>Milimeter merkuri (mmHg)</v>
      </c>
      <c r="G191" s="4" t="str">
        <f>IFERROR(__xludf.DUMMYFUNCTION("GOOGLETRANSLATE(B191,""en"",""de"")"),"Millimeter-Quecksilbersäule (mmHg)")</f>
        <v>Millimeter-Quecksilbersäule (mmHg)</v>
      </c>
      <c r="H191" s="4" t="str">
        <f>IFERROR(__xludf.DUMMYFUNCTION("GOOGLETRANSLATE(B191,""en"",""es"")"),"Milímetro de mercurio (mmHg)")</f>
        <v>Milímetro de mercurio (mmHg)</v>
      </c>
      <c r="I191" s="4" t="str">
        <f>IFERROR(__xludf.DUMMYFUNCTION("GOOGLETRANSLATE(B191,""en"",""fr"")"),"Millimètre de mercure (mmHg)")</f>
        <v>Millimètre de mercure (mmHg)</v>
      </c>
      <c r="J191" s="4" t="str">
        <f>IFERROR(__xludf.DUMMYFUNCTION("GOOGLETRANSLATE(B191,""en"",""it"")"),"Millimetro di mercurio (mmHg)")</f>
        <v>Millimetro di mercurio (mmHg)</v>
      </c>
      <c r="K191" s="4" t="str">
        <f>IFERROR(__xludf.DUMMYFUNCTION("GOOGLETRANSLATE(B191,""en"",""pt"")"),"Milímetro de mercúrio (mmHg)")</f>
        <v>Milímetro de mercúrio (mmHg)</v>
      </c>
      <c r="L191" s="4" t="str">
        <f>IFERROR(__xludf.DUMMYFUNCTION("GOOGLETRANSLATE(B191,""en"",""ro"")"),"Milimetru de mercur (mmHg)")</f>
        <v>Milimetru de mercur (mmHg)</v>
      </c>
      <c r="M191" s="4" t="str">
        <f>IFERROR(__xludf.DUMMYFUNCTION("GOOGLETRANSLATE(B191,""en"",""vi"")"),"Milimet thủy ngân (mmHg)")</f>
        <v>Milimet thủy ngân (mmHg)</v>
      </c>
      <c r="N191" s="4" t="str">
        <f>IFERROR(__xludf.DUMMYFUNCTION("GOOGLETRANSLATE(B191,""en"",""ru"")"),"Миллиметр ртутного столба (мм рт. ст.)")</f>
        <v>Миллиметр ртутного столба (мм рт. ст.)</v>
      </c>
      <c r="O191" s="4" t="str">
        <f>IFERROR(__xludf.DUMMYFUNCTION("GOOGLETRANSLATE(B191,""en"",""tr"")"),"Milimetre cıva (mmHg)")</f>
        <v>Milimetre cıva (mmHg)</v>
      </c>
      <c r="P191" s="4" t="str">
        <f>IFERROR(__xludf.DUMMYFUNCTION("GOOGLETRANSLATE(B191,""en"",""ar"")"),"مليمتر من الزئبق (مم زئبق)")</f>
        <v>مليمتر من الزئبق (مم زئبق)</v>
      </c>
      <c r="Q191" s="4" t="str">
        <f>IFERROR(__xludf.DUMMYFUNCTION("GOOGLETRANSLATE(B191,""en"",""mr"")"),"मिलिमीटर पारा (mmHg)")</f>
        <v>मिलिमीटर पारा (mmHg)</v>
      </c>
      <c r="R191" s="4" t="str">
        <f>IFERROR(__xludf.DUMMYFUNCTION("GOOGLETRANSLATE(B191,""en"",""gu"")"),"પારાના મિલીમીટર (mmHg)")</f>
        <v>પારાના મિલીમીટર (mmHg)</v>
      </c>
      <c r="S191" s="4" t="str">
        <f>IFERROR(__xludf.DUMMYFUNCTION("GOOGLETRANSLATE(B191,""en"",""bn"")"),"পারদের মিলিমিটার (mmHg)")</f>
        <v>পারদের মিলিমিটার (mmHg)</v>
      </c>
      <c r="T191" s="4" t="str">
        <f>IFERROR(__xludf.DUMMYFUNCTION("GOOGLETRANSLATE(B191,""en"",""pa"")"),"ਪਾਰਾ ਦਾ ਮਿਲੀਮੀਟਰ (mmHg)")</f>
        <v>ਪਾਰਾ ਦਾ ਮਿਲੀਮੀਟਰ (mmHg)</v>
      </c>
      <c r="U191" s="4" t="str">
        <f>IFERROR(__xludf.DUMMYFUNCTION("GOOGLETRANSLATE(B191,""en"",""te"")"),"మిల్లీమీటర్ పాదరసం (mmHg)")</f>
        <v>మిల్లీమీటర్ పాదరసం (mmHg)</v>
      </c>
      <c r="V191" s="4" t="str">
        <f>IFERROR(__xludf.DUMMYFUNCTION("GOOGLETRANSLATE(B191,""en"",""kn"")"),"ಪಾದರಸದ ಮಿಲಿಮೀಟರ್ (mmHg)")</f>
        <v>ಪಾದರಸದ ಮಿಲಿಮೀಟರ್ (mmHg)</v>
      </c>
      <c r="W191" s="4" t="str">
        <f>IFERROR(__xludf.DUMMYFUNCTION("GOOGLETRANSLATE(B191,""en"",""ml"")"),"മെർക്കുറി മില്ലിമീറ്റർ (mmHg)")</f>
        <v>മെർക്കുറി മില്ലിമീറ്റർ (mmHg)</v>
      </c>
      <c r="X191" s="4" t="str">
        <f>IFERROR(__xludf.DUMMYFUNCTION("GOOGLETRANSLATE(B191,""en"",""th"")"),"มิลลิเมตรปรอท (mmHg)")</f>
        <v>มิลลิเมตรปรอท (mmHg)</v>
      </c>
      <c r="Y191" s="4" t="str">
        <f>IFERROR(__xludf.DUMMYFUNCTION("GOOGLETRANSLATE(B191,""en"",""ko"")"),"수은 밀리미터(mmHg)")</f>
        <v>수은 밀리미터(mmHg)</v>
      </c>
      <c r="Z191" s="4" t="str">
        <f>IFERROR(__xludf.DUMMYFUNCTION("GOOGLETRANSLATE(B191,""en"",""zh"")"),"毫米汞柱（mmHg）")</f>
        <v>毫米汞柱（mmHg）</v>
      </c>
      <c r="AA191" s="4" t="str">
        <f>IFERROR(__xludf.DUMMYFUNCTION("GOOGLETRANSLATE(B191,""en"",""zh-TW"")"),"毫米汞柱（mmHg）")</f>
        <v>毫米汞柱（mmHg）</v>
      </c>
      <c r="AB191" s="4" t="str">
        <f>IFERROR(__xludf.DUMMYFUNCTION("GOOGLETRANSLATE(B191,""en"",""ja"")"),"ミリメートル水銀柱（mmHg）")</f>
        <v>ミリメートル水銀柱（mmHg）</v>
      </c>
      <c r="AC191" s="4" t="str">
        <f>IFERROR(__xludf.DUMMYFUNCTION("GOOGLETRANSLATE(B191,""en"",""bg"")"),"Милиметър живачен стълб (mmHg)")</f>
        <v>Милиметър живачен стълб (mmHg)</v>
      </c>
      <c r="AD191" s="4" t="str">
        <f>IFERROR(__xludf.DUMMYFUNCTION("GOOGLETRANSLATE(B191,""en"",""cs"")"),"Milimetr rtuti (mmHg)")</f>
        <v>Milimetr rtuti (mmHg)</v>
      </c>
      <c r="AE191" s="4" t="str">
        <f>IFERROR(__xludf.DUMMYFUNCTION("GOOGLETRANSLATE(B191,""en"",""da"")"),"Millimeter kviksølv (mmHg)")</f>
        <v>Millimeter kviksølv (mmHg)</v>
      </c>
      <c r="AF191" s="4" t="str">
        <f>IFERROR(__xludf.DUMMYFUNCTION("GOOGLETRANSLATE(B191,""en"",""el"")"),"Χιλιοστά υδραργύρου (mmHg)")</f>
        <v>Χιλιοστά υδραργύρου (mmHg)</v>
      </c>
      <c r="AG191" s="4" t="str">
        <f>IFERROR(__xludf.DUMMYFUNCTION("GOOGLETRANSLATE(B191,""en"",""et"")"),"Elavhõbeda millimeeter (mmHg)")</f>
        <v>Elavhõbeda millimeeter (mmHg)</v>
      </c>
      <c r="AH191" s="4" t="str">
        <f>IFERROR(__xludf.DUMMYFUNCTION("GOOGLETRANSLATE(B191,""en"",""fi"")"),"Elohopeamillimetri (mmHg)")</f>
        <v>Elohopeamillimetri (mmHg)</v>
      </c>
      <c r="AI191" s="4" t="str">
        <f>IFERROR(__xludf.DUMMYFUNCTION("GOOGLETRANSLATE(B191,""en"",""hr"")"),"Milimetar žive (mmHg)")</f>
        <v>Milimetar žive (mmHg)</v>
      </c>
      <c r="AJ191" s="4" t="str">
        <f>IFERROR(__xludf.DUMMYFUNCTION("GOOGLETRANSLATE(B191,""en"",""hu"")"),"Higanymilliméter (Hgmm)")</f>
        <v>Higanymilliméter (Hgmm)</v>
      </c>
      <c r="AK191" s="4" t="str">
        <f>IFERROR(__xludf.DUMMYFUNCTION("GOOGLETRANSLATE(B191,""en"",""hy"")"),"Սնդիկի միլիմետր (mmHg)")</f>
        <v>Սնդիկի միլիմետր (mmHg)</v>
      </c>
      <c r="AL191" s="4" t="str">
        <f>IFERROR(__xludf.DUMMYFUNCTION("GOOGLETRANSLATE(B191,""en"",""ca"")"),"Mil·límetre de mercuri (mmHg)")</f>
        <v>Mil·límetre de mercuri (mmHg)</v>
      </c>
      <c r="AM191" s="4" t="str">
        <f>IFERROR(__xludf.DUMMYFUNCTION("GOOGLETRANSLATE(B191,""en"",""nl"")"),"Millimeter kwik (mmHg)")</f>
        <v>Millimeter kwik (mmHg)</v>
      </c>
      <c r="AN191" s="4" t="str">
        <f>IFERROR(__xludf.DUMMYFUNCTION("GOOGLETRANSLATE(B191,""en"",""he"")"),"מילימטר כספית (ממ כספית)")</f>
        <v>מילימטר כספית (ממ כספית)</v>
      </c>
      <c r="AO191" s="4" t="str">
        <f>IFERROR(__xludf.DUMMYFUNCTION("GOOGLETRANSLATE(B191,""en"",""is"")"),"Millimetrar af kvikasilfri (mmHg)")</f>
        <v>Millimetrar af kvikasilfri (mmHg)</v>
      </c>
      <c r="AP191" s="4" t="str">
        <f>IFERROR(__xludf.DUMMYFUNCTION("GOOGLETRANSLATE(B191,""en"",""no"")"),"Millimeter kvikksølv (mmHg)")</f>
        <v>Millimeter kvikksølv (mmHg)</v>
      </c>
      <c r="AQ191" s="4" t="str">
        <f>IFERROR(__xludf.DUMMYFUNCTION("GOOGLETRANSLATE(B191,""en"",""fa"")"),"میلی متر جیوه (mmHg)")</f>
        <v>میلی متر جیوه (mmHg)</v>
      </c>
      <c r="AR191" s="4" t="str">
        <f>IFERROR(__xludf.DUMMYFUNCTION("GOOGLETRANSLATE(B191,""en"",""pl"")"),"Milimetr słupa rtęci (mmHg)")</f>
        <v>Milimetr słupa rtęci (mmHg)</v>
      </c>
      <c r="AS191" s="4" t="str">
        <f>IFERROR(__xludf.DUMMYFUNCTION("GOOGLETRANSLATE(B191,""en"",""sv"")"),"Millimeter kvicksilver (mmHg)")</f>
        <v>Millimeter kvicksilver (mmHg)</v>
      </c>
      <c r="AT191" s="4" t="str">
        <f>IFERROR(__xludf.DUMMYFUNCTION("GOOGLETRANSLATE(B191,""en"",""uk"")"),"Міліметр ртутного стовпа (мм рт.ст.)")</f>
        <v>Міліметр ртутного стовпа (мм рт.ст.)</v>
      </c>
      <c r="AU191" s="4" t="str">
        <f>IFERROR(__xludf.DUMMYFUNCTION("GOOGLETRANSLATE(B191,""en"",""zu"")"),"I-Millimeter ye-mercury (mmHg)")</f>
        <v>I-Millimeter ye-mercury (mmHg)</v>
      </c>
      <c r="AV191" s="4" t="str">
        <f>IFERROR(__xludf.DUMMYFUNCTION("GOOGLETRANSLATE(B191,""en"",""sr"")"),"Милиметар живе (ммХг)")</f>
        <v>Милиметар живе (ммХг)</v>
      </c>
    </row>
    <row r="192">
      <c r="A192" s="3" t="s">
        <v>412</v>
      </c>
      <c r="B192" s="3" t="s">
        <v>413</v>
      </c>
      <c r="C192" s="4" t="str">
        <f>IFERROR(__xludf.DUMMYFUNCTION("GOOGLETRANSLATE(B192,""en"",""ta"")"),"சதுர மீட்டர்")</f>
        <v>சதுர மீட்டர்</v>
      </c>
      <c r="D192" s="4" t="str">
        <f>IFERROR(__xludf.DUMMYFUNCTION("GOOGLETRANSLATE(B192,""en"",""hi"")"),"वर्ग मीटर")</f>
        <v>वर्ग मीटर</v>
      </c>
      <c r="E192" s="4" t="str">
        <f>IFERROR(__xludf.DUMMYFUNCTION("GOOGLETRANSLATE(B192,""en"",""id"")"),"Meter Persegi")</f>
        <v>Meter Persegi</v>
      </c>
      <c r="F192" s="4" t="str">
        <f>IFERROR(__xludf.DUMMYFUNCTION("GOOGLETRANSLATE(B192,""en"",""ms"")"),"Meter Persegi")</f>
        <v>Meter Persegi</v>
      </c>
      <c r="G192" s="4" t="str">
        <f>IFERROR(__xludf.DUMMYFUNCTION("GOOGLETRANSLATE(B192,""en"",""de"")"),"Quadratmeter")</f>
        <v>Quadratmeter</v>
      </c>
      <c r="H192" s="4" t="str">
        <f>IFERROR(__xludf.DUMMYFUNCTION("GOOGLETRANSLATE(B192,""en"",""es"")"),"Metro cuadrado")</f>
        <v>Metro cuadrado</v>
      </c>
      <c r="I192" s="4" t="str">
        <f>IFERROR(__xludf.DUMMYFUNCTION("GOOGLETRANSLATE(B192,""en"",""fr"")"),"mètre carré")</f>
        <v>mètre carré</v>
      </c>
      <c r="J192" s="4" t="str">
        <f>IFERROR(__xludf.DUMMYFUNCTION("GOOGLETRANSLATE(B192,""en"",""it"")"),"metro quadrato")</f>
        <v>metro quadrato</v>
      </c>
      <c r="K192" s="4" t="str">
        <f>IFERROR(__xludf.DUMMYFUNCTION("GOOGLETRANSLATE(B192,""en"",""pt"")"),"Metro quadrado")</f>
        <v>Metro quadrado</v>
      </c>
      <c r="L192" s="4" t="str">
        <f>IFERROR(__xludf.DUMMYFUNCTION("GOOGLETRANSLATE(B192,""en"",""ro"")"),"metru pătrat")</f>
        <v>metru pătrat</v>
      </c>
      <c r="M192" s="4" t="str">
        <f>IFERROR(__xludf.DUMMYFUNCTION("GOOGLETRANSLATE(B192,""en"",""vi"")"),"Mét vuông")</f>
        <v>Mét vuông</v>
      </c>
      <c r="N192" s="4" t="str">
        <f>IFERROR(__xludf.DUMMYFUNCTION("GOOGLETRANSLATE(B192,""en"",""ru"")"),"Квадратный метр")</f>
        <v>Квадратный метр</v>
      </c>
      <c r="O192" s="4" t="str">
        <f>IFERROR(__xludf.DUMMYFUNCTION("GOOGLETRANSLATE(B192,""en"",""tr"")"),"Metrekare")</f>
        <v>Metrekare</v>
      </c>
      <c r="P192" s="4" t="str">
        <f>IFERROR(__xludf.DUMMYFUNCTION("GOOGLETRANSLATE(B192,""en"",""ar"")"),"متر مربع")</f>
        <v>متر مربع</v>
      </c>
      <c r="Q192" s="4" t="str">
        <f>IFERROR(__xludf.DUMMYFUNCTION("GOOGLETRANSLATE(B192,""en"",""mr"")"),"चौरस मीटर")</f>
        <v>चौरस मीटर</v>
      </c>
      <c r="R192" s="4" t="str">
        <f>IFERROR(__xludf.DUMMYFUNCTION("GOOGLETRANSLATE(B192,""en"",""gu"")"),"ચોરસ મીટર")</f>
        <v>ચોરસ મીટર</v>
      </c>
      <c r="S192" s="4" t="str">
        <f>IFERROR(__xludf.DUMMYFUNCTION("GOOGLETRANSLATE(B192,""en"",""bn"")"),"বর্গ মিটার")</f>
        <v>বর্গ মিটার</v>
      </c>
      <c r="T192" s="4" t="str">
        <f>IFERROR(__xludf.DUMMYFUNCTION("GOOGLETRANSLATE(B192,""en"",""pa"")"),"ਵਰਗ ਮੀਟਰ")</f>
        <v>ਵਰਗ ਮੀਟਰ</v>
      </c>
      <c r="U192" s="4" t="str">
        <f>IFERROR(__xludf.DUMMYFUNCTION("GOOGLETRANSLATE(B192,""en"",""te"")"),"చదరపు మీటర్")</f>
        <v>చదరపు మీటర్</v>
      </c>
      <c r="V192" s="4" t="str">
        <f>IFERROR(__xludf.DUMMYFUNCTION("GOOGLETRANSLATE(B192,""en"",""kn"")"),"ಚದರ ಮೀಟರ್")</f>
        <v>ಚದರ ಮೀಟರ್</v>
      </c>
      <c r="W192" s="4" t="str">
        <f>IFERROR(__xludf.DUMMYFUNCTION("GOOGLETRANSLATE(B192,""en"",""ml"")"),"ചതുരശ്ര മീറ്റർ")</f>
        <v>ചതുരശ്ര മീറ്റർ</v>
      </c>
      <c r="X192" s="4" t="str">
        <f>IFERROR(__xludf.DUMMYFUNCTION("GOOGLETRANSLATE(B192,""en"",""th"")"),"ตารางเมตร")</f>
        <v>ตารางเมตร</v>
      </c>
      <c r="Y192" s="4" t="str">
        <f>IFERROR(__xludf.DUMMYFUNCTION("GOOGLETRANSLATE(B192,""en"",""ko"")"),"제곱미터")</f>
        <v>제곱미터</v>
      </c>
      <c r="Z192" s="4" t="str">
        <f>IFERROR(__xludf.DUMMYFUNCTION("GOOGLETRANSLATE(B192,""en"",""zh"")"),"平方米")</f>
        <v>平方米</v>
      </c>
      <c r="AA192" s="4" t="str">
        <f>IFERROR(__xludf.DUMMYFUNCTION("GOOGLETRANSLATE(B192,""en"",""zh-TW"")"),"平方米")</f>
        <v>平方米</v>
      </c>
      <c r="AB192" s="4" t="str">
        <f>IFERROR(__xludf.DUMMYFUNCTION("GOOGLETRANSLATE(B192,""en"",""ja"")"),"平方メートル")</f>
        <v>平方メートル</v>
      </c>
      <c r="AC192" s="4" t="str">
        <f>IFERROR(__xludf.DUMMYFUNCTION("GOOGLETRANSLATE(B192,""en"",""bg"")"),"квадратен метър")</f>
        <v>квадратен метър</v>
      </c>
      <c r="AD192" s="4" t="str">
        <f>IFERROR(__xludf.DUMMYFUNCTION("GOOGLETRANSLATE(B192,""en"",""cs"")"),"Metr čtvereční")</f>
        <v>Metr čtvereční</v>
      </c>
      <c r="AE192" s="4" t="str">
        <f>IFERROR(__xludf.DUMMYFUNCTION("GOOGLETRANSLATE(B192,""en"",""da"")"),"Kvadratmeter")</f>
        <v>Kvadratmeter</v>
      </c>
      <c r="AF192" s="4" t="str">
        <f>IFERROR(__xludf.DUMMYFUNCTION("GOOGLETRANSLATE(B192,""en"",""el"")"),"Τετραγωνικό μέτρο")</f>
        <v>Τετραγωνικό μέτρο</v>
      </c>
      <c r="AG192" s="4" t="str">
        <f>IFERROR(__xludf.DUMMYFUNCTION("GOOGLETRANSLATE(B192,""en"",""et"")"),"Ruutmeeter")</f>
        <v>Ruutmeeter</v>
      </c>
      <c r="AH192" s="4" t="str">
        <f>IFERROR(__xludf.DUMMYFUNCTION("GOOGLETRANSLATE(B192,""en"",""fi"")"),"Neliömetri")</f>
        <v>Neliömetri</v>
      </c>
      <c r="AI192" s="4" t="str">
        <f>IFERROR(__xludf.DUMMYFUNCTION("GOOGLETRANSLATE(B192,""en"",""hr"")"),"Kvadratni metar")</f>
        <v>Kvadratni metar</v>
      </c>
      <c r="AJ192" s="4" t="str">
        <f>IFERROR(__xludf.DUMMYFUNCTION("GOOGLETRANSLATE(B192,""en"",""hu"")"),"Négyzetméter")</f>
        <v>Négyzetméter</v>
      </c>
      <c r="AK192" s="4" t="str">
        <f>IFERROR(__xludf.DUMMYFUNCTION("GOOGLETRANSLATE(B192,""en"",""hy"")"),"Քառակուսի մետր")</f>
        <v>Քառակուսի մետր</v>
      </c>
      <c r="AL192" s="4" t="str">
        <f>IFERROR(__xludf.DUMMYFUNCTION("GOOGLETRANSLATE(B192,""en"",""ca"")"),"Metre quadrat")</f>
        <v>Metre quadrat</v>
      </c>
      <c r="AM192" s="4" t="str">
        <f>IFERROR(__xludf.DUMMYFUNCTION("GOOGLETRANSLATE(B192,""en"",""nl"")"),"Vierkante meter")</f>
        <v>Vierkante meter</v>
      </c>
      <c r="AN192" s="4" t="str">
        <f>IFERROR(__xludf.DUMMYFUNCTION("GOOGLETRANSLATE(B192,""en"",""he"")"),"מטר מרובע")</f>
        <v>מטר מרובע</v>
      </c>
      <c r="AO192" s="4" t="str">
        <f>IFERROR(__xludf.DUMMYFUNCTION("GOOGLETRANSLATE(B192,""en"",""is"")"),"Fermetra")</f>
        <v>Fermetra</v>
      </c>
      <c r="AP192" s="4" t="str">
        <f>IFERROR(__xludf.DUMMYFUNCTION("GOOGLETRANSLATE(B192,""en"",""no"")"),"Kvadratmeter")</f>
        <v>Kvadratmeter</v>
      </c>
      <c r="AQ192" s="4" t="str">
        <f>IFERROR(__xludf.DUMMYFUNCTION("GOOGLETRANSLATE(B192,""en"",""fa"")"),"متر مربع")</f>
        <v>متر مربع</v>
      </c>
      <c r="AR192" s="4" t="str">
        <f>IFERROR(__xludf.DUMMYFUNCTION("GOOGLETRANSLATE(B192,""en"",""pl"")"),"Metr kwadratowy")</f>
        <v>Metr kwadratowy</v>
      </c>
      <c r="AS192" s="4" t="str">
        <f>IFERROR(__xludf.DUMMYFUNCTION("GOOGLETRANSLATE(B192,""en"",""sv"")"),"Kvadratmeter")</f>
        <v>Kvadratmeter</v>
      </c>
      <c r="AT192" s="4" t="str">
        <f>IFERROR(__xludf.DUMMYFUNCTION("GOOGLETRANSLATE(B192,""en"",""uk"")"),"Квадратний метр")</f>
        <v>Квадратний метр</v>
      </c>
      <c r="AU192" s="4" t="str">
        <f>IFERROR(__xludf.DUMMYFUNCTION("GOOGLETRANSLATE(B192,""en"",""zu"")"),"Imitha yesikwele")</f>
        <v>Imitha yesikwele</v>
      </c>
      <c r="AV192" s="4" t="str">
        <f>IFERROR(__xludf.DUMMYFUNCTION("GOOGLETRANSLATE(B192,""en"",""sr"")"),"Квадратни метар")</f>
        <v>Квадратни метар</v>
      </c>
    </row>
    <row r="193">
      <c r="A193" s="3" t="s">
        <v>414</v>
      </c>
      <c r="B193" s="3" t="s">
        <v>415</v>
      </c>
      <c r="C193" s="4" t="str">
        <f>IFERROR(__xludf.DUMMYFUNCTION("GOOGLETRANSLATE(B193,""en"",""ta"")"),"சதுர அடி")</f>
        <v>சதுர அடி</v>
      </c>
      <c r="D193" s="4" t="str">
        <f>IFERROR(__xludf.DUMMYFUNCTION("GOOGLETRANSLATE(B193,""en"",""hi"")"),"वर्ग फुट")</f>
        <v>वर्ग फुट</v>
      </c>
      <c r="E193" s="4" t="str">
        <f>IFERROR(__xludf.DUMMYFUNCTION("GOOGLETRANSLATE(B193,""en"",""id"")"),"Kaki Persegi")</f>
        <v>Kaki Persegi</v>
      </c>
      <c r="F193" s="4" t="str">
        <f>IFERROR(__xludf.DUMMYFUNCTION("GOOGLETRANSLATE(B193,""en"",""ms"")"),"Kaki Persegi")</f>
        <v>Kaki Persegi</v>
      </c>
      <c r="G193" s="4" t="str">
        <f>IFERROR(__xludf.DUMMYFUNCTION("GOOGLETRANSLATE(B193,""en"",""de"")"),"Quadratfuß")</f>
        <v>Quadratfuß</v>
      </c>
      <c r="H193" s="4" t="str">
        <f>IFERROR(__xludf.DUMMYFUNCTION("GOOGLETRANSLATE(B193,""en"",""es"")"),"Pie cuadrado")</f>
        <v>Pie cuadrado</v>
      </c>
      <c r="I193" s="4" t="str">
        <f>IFERROR(__xludf.DUMMYFUNCTION("GOOGLETRANSLATE(B193,""en"",""fr"")"),"Pied carré")</f>
        <v>Pied carré</v>
      </c>
      <c r="J193" s="4" t="str">
        <f>IFERROR(__xludf.DUMMYFUNCTION("GOOGLETRANSLATE(B193,""en"",""it"")"),"piede quadrato")</f>
        <v>piede quadrato</v>
      </c>
      <c r="K193" s="4" t="str">
        <f>IFERROR(__xludf.DUMMYFUNCTION("GOOGLETRANSLATE(B193,""en"",""pt"")"),"Pé quadrado")</f>
        <v>Pé quadrado</v>
      </c>
      <c r="L193" s="4" t="str">
        <f>IFERROR(__xludf.DUMMYFUNCTION("GOOGLETRANSLATE(B193,""en"",""ro"")"),"Picior pătrat")</f>
        <v>Picior pătrat</v>
      </c>
      <c r="M193" s="4" t="str">
        <f>IFERROR(__xludf.DUMMYFUNCTION("GOOGLETRANSLATE(B193,""en"",""vi"")"),"Foot vuông")</f>
        <v>Foot vuông</v>
      </c>
      <c r="N193" s="4" t="str">
        <f>IFERROR(__xludf.DUMMYFUNCTION("GOOGLETRANSLATE(B193,""en"",""ru"")"),"Квадратный фут")</f>
        <v>Квадратный фут</v>
      </c>
      <c r="O193" s="4" t="str">
        <f>IFERROR(__xludf.DUMMYFUNCTION("GOOGLETRANSLATE(B193,""en"",""tr"")"),"Metrekare")</f>
        <v>Metrekare</v>
      </c>
      <c r="P193" s="4" t="str">
        <f>IFERROR(__xludf.DUMMYFUNCTION("GOOGLETRANSLATE(B193,""en"",""ar"")"),"قدم مربع")</f>
        <v>قدم مربع</v>
      </c>
      <c r="Q193" s="4" t="str">
        <f>IFERROR(__xludf.DUMMYFUNCTION("GOOGLETRANSLATE(B193,""en"",""mr"")"),"चौरस फूट")</f>
        <v>चौरस फूट</v>
      </c>
      <c r="R193" s="4" t="str">
        <f>IFERROR(__xludf.DUMMYFUNCTION("GOOGLETRANSLATE(B193,""en"",""gu"")"),"ચોરસ ફૂટ")</f>
        <v>ચોરસ ફૂટ</v>
      </c>
      <c r="S193" s="4" t="str">
        <f>IFERROR(__xludf.DUMMYFUNCTION("GOOGLETRANSLATE(B193,""en"",""bn"")"),"স্কয়ার ফুট")</f>
        <v>স্কয়ার ফুট</v>
      </c>
      <c r="T193" s="4" t="str">
        <f>IFERROR(__xludf.DUMMYFUNCTION("GOOGLETRANSLATE(B193,""en"",""pa"")"),"ਵਰਗ ਫੁੱਟ")</f>
        <v>ਵਰਗ ਫੁੱਟ</v>
      </c>
      <c r="U193" s="4" t="str">
        <f>IFERROR(__xludf.DUMMYFUNCTION("GOOGLETRANSLATE(B193,""en"",""te"")"),"చదరపు అడుగు")</f>
        <v>చదరపు అడుగు</v>
      </c>
      <c r="V193" s="4" t="str">
        <f>IFERROR(__xludf.DUMMYFUNCTION("GOOGLETRANSLATE(B193,""en"",""kn"")"),"ಚದರ ಅಡಿ")</f>
        <v>ಚದರ ಅಡಿ</v>
      </c>
      <c r="W193" s="4" t="str">
        <f>IFERROR(__xludf.DUMMYFUNCTION("GOOGLETRANSLATE(B193,""en"",""ml"")"),"ചതുരശ്ര അടി")</f>
        <v>ചതുരശ്ര അടി</v>
      </c>
      <c r="X193" s="4" t="str">
        <f>IFERROR(__xludf.DUMMYFUNCTION("GOOGLETRANSLATE(B193,""en"",""th"")"),"ตารางฟุต")</f>
        <v>ตารางฟุต</v>
      </c>
      <c r="Y193" s="4" t="str">
        <f>IFERROR(__xludf.DUMMYFUNCTION("GOOGLETRANSLATE(B193,""en"",""ko"")"),"평방 피트")</f>
        <v>평방 피트</v>
      </c>
      <c r="Z193" s="4" t="str">
        <f>IFERROR(__xludf.DUMMYFUNCTION("GOOGLETRANSLATE(B193,""en"",""zh"")"),"平方英尺")</f>
        <v>平方英尺</v>
      </c>
      <c r="AA193" s="4" t="str">
        <f>IFERROR(__xludf.DUMMYFUNCTION("GOOGLETRANSLATE(B193,""en"",""zh-TW"")"),"平方英尺")</f>
        <v>平方英尺</v>
      </c>
      <c r="AB193" s="4" t="str">
        <f>IFERROR(__xludf.DUMMYFUNCTION("GOOGLETRANSLATE(B193,""en"",""ja"")"),"平方フィート")</f>
        <v>平方フィート</v>
      </c>
      <c r="AC193" s="4" t="str">
        <f>IFERROR(__xludf.DUMMYFUNCTION("GOOGLETRANSLATE(B193,""en"",""bg"")"),"квадратен фут")</f>
        <v>квадратен фут</v>
      </c>
      <c r="AD193" s="4" t="str">
        <f>IFERROR(__xludf.DUMMYFUNCTION("GOOGLETRANSLATE(B193,""en"",""cs"")"),"Čtvercová stopa")</f>
        <v>Čtvercová stopa</v>
      </c>
      <c r="AE193" s="4" t="str">
        <f>IFERROR(__xludf.DUMMYFUNCTION("GOOGLETRANSLATE(B193,""en"",""da"")"),"Kvadratfod")</f>
        <v>Kvadratfod</v>
      </c>
      <c r="AF193" s="4" t="str">
        <f>IFERROR(__xludf.DUMMYFUNCTION("GOOGLETRANSLATE(B193,""en"",""el"")"),"Τετράγωνο Πόδι")</f>
        <v>Τετράγωνο Πόδι</v>
      </c>
      <c r="AG193" s="4" t="str">
        <f>IFERROR(__xludf.DUMMYFUNCTION("GOOGLETRANSLATE(B193,""en"",""et"")"),"Ruutjalg")</f>
        <v>Ruutjalg</v>
      </c>
      <c r="AH193" s="4" t="str">
        <f>IFERROR(__xludf.DUMMYFUNCTION("GOOGLETRANSLATE(B193,""en"",""fi"")"),"Neliöjalka")</f>
        <v>Neliöjalka</v>
      </c>
      <c r="AI193" s="4" t="str">
        <f>IFERROR(__xludf.DUMMYFUNCTION("GOOGLETRANSLATE(B193,""en"",""hr"")"),"Kvadratna stopa")</f>
        <v>Kvadratna stopa</v>
      </c>
      <c r="AJ193" s="4" t="str">
        <f>IFERROR(__xludf.DUMMYFUNCTION("GOOGLETRANSLATE(B193,""en"",""hu"")"),"Négyzetláb")</f>
        <v>Négyzetláb</v>
      </c>
      <c r="AK193" s="4" t="str">
        <f>IFERROR(__xludf.DUMMYFUNCTION("GOOGLETRANSLATE(B193,""en"",""hy"")"),"Քառակուսի ոտք")</f>
        <v>Քառակուսի ոտք</v>
      </c>
      <c r="AL193" s="4" t="str">
        <f>IFERROR(__xludf.DUMMYFUNCTION("GOOGLETRANSLATE(B193,""en"",""ca"")"),"Peu quadrat")</f>
        <v>Peu quadrat</v>
      </c>
      <c r="AM193" s="4" t="str">
        <f>IFERROR(__xludf.DUMMYFUNCTION("GOOGLETRANSLATE(B193,""en"",""nl"")"),"Vierkante voet")</f>
        <v>Vierkante voet</v>
      </c>
      <c r="AN193" s="4" t="str">
        <f>IFERROR(__xludf.DUMMYFUNCTION("GOOGLETRANSLATE(B193,""en"",""he"")"),"רגל מרובעת")</f>
        <v>רגל מרובעת</v>
      </c>
      <c r="AO193" s="4" t="str">
        <f>IFERROR(__xludf.DUMMYFUNCTION("GOOGLETRANSLATE(B193,""en"",""is"")"),"Ferningur")</f>
        <v>Ferningur</v>
      </c>
      <c r="AP193" s="4" t="str">
        <f>IFERROR(__xludf.DUMMYFUNCTION("GOOGLETRANSLATE(B193,""en"",""no"")"),"Kvadratfot")</f>
        <v>Kvadratfot</v>
      </c>
      <c r="AQ193" s="4" t="str">
        <f>IFERROR(__xludf.DUMMYFUNCTION("GOOGLETRANSLATE(B193,""en"",""fa"")"),"فوت مربع")</f>
        <v>فوت مربع</v>
      </c>
      <c r="AR193" s="4" t="str">
        <f>IFERROR(__xludf.DUMMYFUNCTION("GOOGLETRANSLATE(B193,""en"",""pl"")"),"Stopa kwadratowa")</f>
        <v>Stopa kwadratowa</v>
      </c>
      <c r="AS193" s="4" t="str">
        <f>IFERROR(__xludf.DUMMYFUNCTION("GOOGLETRANSLATE(B193,""en"",""sv"")"),"Kvadratfot")</f>
        <v>Kvadratfot</v>
      </c>
      <c r="AT193" s="4" t="str">
        <f>IFERROR(__xludf.DUMMYFUNCTION("GOOGLETRANSLATE(B193,""en"",""uk"")"),"Квадратний фут")</f>
        <v>Квадратний фут</v>
      </c>
      <c r="AU193" s="4" t="str">
        <f>IFERROR(__xludf.DUMMYFUNCTION("GOOGLETRANSLATE(B193,""en"",""zu"")"),"I-Square Foot")</f>
        <v>I-Square Foot</v>
      </c>
      <c r="AV193" s="4" t="str">
        <f>IFERROR(__xludf.DUMMYFUNCTION("GOOGLETRANSLATE(B193,""en"",""sr"")"),"Скуаре Фоот")</f>
        <v>Скуаре Фоот</v>
      </c>
    </row>
    <row r="194">
      <c r="A194" s="3" t="s">
        <v>416</v>
      </c>
      <c r="B194" s="3" t="s">
        <v>417</v>
      </c>
      <c r="C194" s="4" t="str">
        <f>IFERROR(__xludf.DUMMYFUNCTION("GOOGLETRANSLATE(B194,""en"",""ta"")"),"சதுர முற்றம்")</f>
        <v>சதுர முற்றம்</v>
      </c>
      <c r="D194" s="4" t="str">
        <f>IFERROR(__xludf.DUMMYFUNCTION("GOOGLETRANSLATE(B194,""en"",""hi"")"),"वर्गाकार अहाता")</f>
        <v>वर्गाकार अहाता</v>
      </c>
      <c r="E194" s="4" t="str">
        <f>IFERROR(__xludf.DUMMYFUNCTION("GOOGLETRANSLATE(B194,""en"",""id"")"),"Halaman Persegi")</f>
        <v>Halaman Persegi</v>
      </c>
      <c r="F194" s="4" t="str">
        <f>IFERROR(__xludf.DUMMYFUNCTION("GOOGLETRANSLATE(B194,""en"",""ms"")"),"Halaman Persegi")</f>
        <v>Halaman Persegi</v>
      </c>
      <c r="G194" s="4" t="str">
        <f>IFERROR(__xludf.DUMMYFUNCTION("GOOGLETRANSLATE(B194,""en"",""de"")"),"Quadratmeter")</f>
        <v>Quadratmeter</v>
      </c>
      <c r="H194" s="4" t="str">
        <f>IFERROR(__xludf.DUMMYFUNCTION("GOOGLETRANSLATE(B194,""en"",""es"")"),"Yarda cuadrada")</f>
        <v>Yarda cuadrada</v>
      </c>
      <c r="I194" s="4" t="str">
        <f>IFERROR(__xludf.DUMMYFUNCTION("GOOGLETRANSLATE(B194,""en"",""fr"")"),"mètre carré")</f>
        <v>mètre carré</v>
      </c>
      <c r="J194" s="4" t="str">
        <f>IFERROR(__xludf.DUMMYFUNCTION("GOOGLETRANSLATE(B194,""en"",""it"")"),"metro quadro")</f>
        <v>metro quadro</v>
      </c>
      <c r="K194" s="4" t="str">
        <f>IFERROR(__xludf.DUMMYFUNCTION("GOOGLETRANSLATE(B194,""en"",""pt"")"),"Jarda quadrada")</f>
        <v>Jarda quadrada</v>
      </c>
      <c r="L194" s="4" t="str">
        <f>IFERROR(__xludf.DUMMYFUNCTION("GOOGLETRANSLATE(B194,""en"",""ro"")"),"Curtea pătrată")</f>
        <v>Curtea pătrată</v>
      </c>
      <c r="M194" s="4" t="str">
        <f>IFERROR(__xludf.DUMMYFUNCTION("GOOGLETRANSLATE(B194,""en"",""vi"")"),"Sân vuông")</f>
        <v>Sân vuông</v>
      </c>
      <c r="N194" s="4" t="str">
        <f>IFERROR(__xludf.DUMMYFUNCTION("GOOGLETRANSLATE(B194,""en"",""ru"")"),"Квадратный ярд")</f>
        <v>Квадратный ярд</v>
      </c>
      <c r="O194" s="4" t="str">
        <f>IFERROR(__xludf.DUMMYFUNCTION("GOOGLETRANSLATE(B194,""en"",""tr"")"),"Metrekare")</f>
        <v>Metrekare</v>
      </c>
      <c r="P194" s="4" t="str">
        <f>IFERROR(__xludf.DUMMYFUNCTION("GOOGLETRANSLATE(B194,""en"",""ar"")"),"ساحة مربعة")</f>
        <v>ساحة مربعة</v>
      </c>
      <c r="Q194" s="4" t="str">
        <f>IFERROR(__xludf.DUMMYFUNCTION("GOOGLETRANSLATE(B194,""en"",""mr"")"),"स्क्वेअर यार्ड")</f>
        <v>स्क्वेअर यार्ड</v>
      </c>
      <c r="R194" s="4" t="str">
        <f>IFERROR(__xludf.DUMMYFUNCTION("GOOGLETRANSLATE(B194,""en"",""gu"")"),"સ્ક્વેર યાર્ડ")</f>
        <v>સ્ક્વેર યાર્ડ</v>
      </c>
      <c r="S194" s="4" t="str">
        <f>IFERROR(__xludf.DUMMYFUNCTION("GOOGLETRANSLATE(B194,""en"",""bn"")"),"স্কয়ার ইয়ার্ড")</f>
        <v>স্কয়ার ইয়ার্ড</v>
      </c>
      <c r="T194" s="4" t="str">
        <f>IFERROR(__xludf.DUMMYFUNCTION("GOOGLETRANSLATE(B194,""en"",""pa"")"),"ਵਰਗ ਯਾਰਡ")</f>
        <v>ਵਰਗ ਯਾਰਡ</v>
      </c>
      <c r="U194" s="4" t="str">
        <f>IFERROR(__xludf.DUMMYFUNCTION("GOOGLETRANSLATE(B194,""en"",""te"")"),"స్క్వేర్ యార్డ్")</f>
        <v>స్క్వేర్ యార్డ్</v>
      </c>
      <c r="V194" s="4" t="str">
        <f>IFERROR(__xludf.DUMMYFUNCTION("GOOGLETRANSLATE(B194,""en"",""kn"")"),"ಸ್ಕ್ವೇರ್ ಯಾರ್ಡ್")</f>
        <v>ಸ್ಕ್ವೇರ್ ಯಾರ್ಡ್</v>
      </c>
      <c r="W194" s="4" t="str">
        <f>IFERROR(__xludf.DUMMYFUNCTION("GOOGLETRANSLATE(B194,""en"",""ml"")"),"സ്ക്വയർ യാർഡ്")</f>
        <v>സ്ക്വയർ യാർഡ്</v>
      </c>
      <c r="X194" s="4" t="str">
        <f>IFERROR(__xludf.DUMMYFUNCTION("GOOGLETRANSLATE(B194,""en"",""th"")"),"ตารางหลา")</f>
        <v>ตารางหลา</v>
      </c>
      <c r="Y194" s="4" t="str">
        <f>IFERROR(__xludf.DUMMYFUNCTION("GOOGLETRANSLATE(B194,""en"",""ko"")"),"스퀘어 야드")</f>
        <v>스퀘어 야드</v>
      </c>
      <c r="Z194" s="4" t="str">
        <f>IFERROR(__xludf.DUMMYFUNCTION("GOOGLETRANSLATE(B194,""en"",""zh"")"),"平方码")</f>
        <v>平方码</v>
      </c>
      <c r="AA194" s="4" t="str">
        <f>IFERROR(__xludf.DUMMYFUNCTION("GOOGLETRANSLATE(B194,""en"",""zh-TW"")"),"平方碼")</f>
        <v>平方碼</v>
      </c>
      <c r="AB194" s="4" t="str">
        <f>IFERROR(__xludf.DUMMYFUNCTION("GOOGLETRANSLATE(B194,""en"",""ja"")"),"平方ヤード")</f>
        <v>平方ヤード</v>
      </c>
      <c r="AC194" s="4" t="str">
        <f>IFERROR(__xludf.DUMMYFUNCTION("GOOGLETRANSLATE(B194,""en"",""bg"")"),"Квадратен двор")</f>
        <v>Квадратен двор</v>
      </c>
      <c r="AD194" s="4" t="str">
        <f>IFERROR(__xludf.DUMMYFUNCTION("GOOGLETRANSLATE(B194,""en"",""cs"")"),"Čtvercový dvůr")</f>
        <v>Čtvercový dvůr</v>
      </c>
      <c r="AE194" s="4" t="str">
        <f>IFERROR(__xludf.DUMMYFUNCTION("GOOGLETRANSLATE(B194,""en"",""da"")"),"Firkantet Værft")</f>
        <v>Firkantet Værft</v>
      </c>
      <c r="AF194" s="4" t="str">
        <f>IFERROR(__xludf.DUMMYFUNCTION("GOOGLETRANSLATE(B194,""en"",""el"")"),"Τετράγωνη αυλή")</f>
        <v>Τετράγωνη αυλή</v>
      </c>
      <c r="AG194" s="4" t="str">
        <f>IFERROR(__xludf.DUMMYFUNCTION("GOOGLETRANSLATE(B194,""en"",""et"")"),"Ruuthoov")</f>
        <v>Ruuthoov</v>
      </c>
      <c r="AH194" s="4" t="str">
        <f>IFERROR(__xludf.DUMMYFUNCTION("GOOGLETRANSLATE(B194,""en"",""fi"")"),"Square Yard")</f>
        <v>Square Yard</v>
      </c>
      <c r="AI194" s="4" t="str">
        <f>IFERROR(__xludf.DUMMYFUNCTION("GOOGLETRANSLATE(B194,""en"",""hr"")"),"Square Yard")</f>
        <v>Square Yard</v>
      </c>
      <c r="AJ194" s="4" t="str">
        <f>IFERROR(__xludf.DUMMYFUNCTION("GOOGLETRANSLATE(B194,""en"",""hu"")"),"Square Yard")</f>
        <v>Square Yard</v>
      </c>
      <c r="AK194" s="4" t="str">
        <f>IFERROR(__xludf.DUMMYFUNCTION("GOOGLETRANSLATE(B194,""en"",""hy"")"),"Քառակուսի բակ")</f>
        <v>Քառակուսի բակ</v>
      </c>
      <c r="AL194" s="4" t="str">
        <f>IFERROR(__xludf.DUMMYFUNCTION("GOOGLETRANSLATE(B194,""en"",""ca"")"),"Pati quadrat")</f>
        <v>Pati quadrat</v>
      </c>
      <c r="AM194" s="4" t="str">
        <f>IFERROR(__xludf.DUMMYFUNCTION("GOOGLETRANSLATE(B194,""en"",""nl"")"),"Vierkante tuin")</f>
        <v>Vierkante tuin</v>
      </c>
      <c r="AN194" s="4" t="str">
        <f>IFERROR(__xludf.DUMMYFUNCTION("GOOGLETRANSLATE(B194,""en"",""he"")"),"חצר מרובעת")</f>
        <v>חצר מרובעת</v>
      </c>
      <c r="AO194" s="4" t="str">
        <f>IFERROR(__xludf.DUMMYFUNCTION("GOOGLETRANSLATE(B194,""en"",""is"")"),"Square Yard")</f>
        <v>Square Yard</v>
      </c>
      <c r="AP194" s="4" t="str">
        <f>IFERROR(__xludf.DUMMYFUNCTION("GOOGLETRANSLATE(B194,""en"",""no"")"),"Square Yard")</f>
        <v>Square Yard</v>
      </c>
      <c r="AQ194" s="4" t="str">
        <f>IFERROR(__xludf.DUMMYFUNCTION("GOOGLETRANSLATE(B194,""en"",""fa"")"),"حیاط مربع")</f>
        <v>حیاط مربع</v>
      </c>
      <c r="AR194" s="4" t="str">
        <f>IFERROR(__xludf.DUMMYFUNCTION("GOOGLETRANSLATE(B194,""en"",""pl"")"),"Jard kwadratowy")</f>
        <v>Jard kwadratowy</v>
      </c>
      <c r="AS194" s="4" t="str">
        <f>IFERROR(__xludf.DUMMYFUNCTION("GOOGLETRANSLATE(B194,""en"",""sv"")"),"Square Yard")</f>
        <v>Square Yard</v>
      </c>
      <c r="AT194" s="4" t="str">
        <f>IFERROR(__xludf.DUMMYFUNCTION("GOOGLETRANSLATE(B194,""en"",""uk"")"),"Квадратний двір")</f>
        <v>Квадратний двір</v>
      </c>
      <c r="AU194" s="4" t="str">
        <f>IFERROR(__xludf.DUMMYFUNCTION("GOOGLETRANSLATE(B194,""en"",""zu"")"),"Igceke Eliyisikwele")</f>
        <v>Igceke Eliyisikwele</v>
      </c>
      <c r="AV194" s="4" t="str">
        <f>IFERROR(__xludf.DUMMYFUNCTION("GOOGLETRANSLATE(B194,""en"",""sr"")"),"Скуаре Иард")</f>
        <v>Скуаре Иард</v>
      </c>
    </row>
    <row r="195">
      <c r="A195" s="3" t="s">
        <v>418</v>
      </c>
      <c r="B195" s="3" t="s">
        <v>419</v>
      </c>
      <c r="C195" s="4" t="str">
        <f>IFERROR(__xludf.DUMMYFUNCTION("GOOGLETRANSLATE(B195,""en"",""ta"")"),"ஏக்கர்")</f>
        <v>ஏக்கர்</v>
      </c>
      <c r="D195" s="4" t="str">
        <f>IFERROR(__xludf.DUMMYFUNCTION("GOOGLETRANSLATE(B195,""en"",""hi"")"),"एकड़")</f>
        <v>एकड़</v>
      </c>
      <c r="E195" s="4" t="str">
        <f>IFERROR(__xludf.DUMMYFUNCTION("GOOGLETRANSLATE(B195,""en"",""id"")"),"Luas wilayah")</f>
        <v>Luas wilayah</v>
      </c>
      <c r="F195" s="4" t="str">
        <f>IFERROR(__xludf.DUMMYFUNCTION("GOOGLETRANSLATE(B195,""en"",""ms"")"),"Ekar")</f>
        <v>Ekar</v>
      </c>
      <c r="G195" s="4" t="str">
        <f>IFERROR(__xludf.DUMMYFUNCTION("GOOGLETRANSLATE(B195,""en"",""de"")"),"Acre")</f>
        <v>Acre</v>
      </c>
      <c r="H195" s="4" t="str">
        <f>IFERROR(__xludf.DUMMYFUNCTION("GOOGLETRANSLATE(B195,""en"",""es"")"),"Acre")</f>
        <v>Acre</v>
      </c>
      <c r="I195" s="4" t="str">
        <f>IFERROR(__xludf.DUMMYFUNCTION("GOOGLETRANSLATE(B195,""en"",""fr"")"),"Acre")</f>
        <v>Acre</v>
      </c>
      <c r="J195" s="4" t="str">
        <f>IFERROR(__xludf.DUMMYFUNCTION("GOOGLETRANSLATE(B195,""en"",""it"")"),"Acro")</f>
        <v>Acro</v>
      </c>
      <c r="K195" s="4" t="str">
        <f>IFERROR(__xludf.DUMMYFUNCTION("GOOGLETRANSLATE(B195,""en"",""pt"")"),"Acre")</f>
        <v>Acre</v>
      </c>
      <c r="L195" s="4" t="str">
        <f>IFERROR(__xludf.DUMMYFUNCTION("GOOGLETRANSLATE(B195,""en"",""ro"")"),"Acru")</f>
        <v>Acru</v>
      </c>
      <c r="M195" s="4" t="str">
        <f>IFERROR(__xludf.DUMMYFUNCTION("GOOGLETRANSLATE(B195,""en"",""vi"")"),"mẫu Anh")</f>
        <v>mẫu Anh</v>
      </c>
      <c r="N195" s="4" t="str">
        <f>IFERROR(__xludf.DUMMYFUNCTION("GOOGLETRANSLATE(B195,""en"",""ru"")"),"Акр")</f>
        <v>Акр</v>
      </c>
      <c r="O195" s="4" t="str">
        <f>IFERROR(__xludf.DUMMYFUNCTION("GOOGLETRANSLATE(B195,""en"",""tr"")"),"Dönüm")</f>
        <v>Dönüm</v>
      </c>
      <c r="P195" s="4" t="str">
        <f>IFERROR(__xludf.DUMMYFUNCTION("GOOGLETRANSLATE(B195,""en"",""ar"")"),"فدان")</f>
        <v>فدان</v>
      </c>
      <c r="Q195" s="4" t="str">
        <f>IFERROR(__xludf.DUMMYFUNCTION("GOOGLETRANSLATE(B195,""en"",""mr"")"),"एकर")</f>
        <v>एकर</v>
      </c>
      <c r="R195" s="4" t="str">
        <f>IFERROR(__xludf.DUMMYFUNCTION("GOOGLETRANSLATE(B195,""en"",""gu"")"),"એકર")</f>
        <v>એકર</v>
      </c>
      <c r="S195" s="4" t="str">
        <f>IFERROR(__xludf.DUMMYFUNCTION("GOOGLETRANSLATE(B195,""en"",""bn"")"),"একর")</f>
        <v>একর</v>
      </c>
      <c r="T195" s="4" t="str">
        <f>IFERROR(__xludf.DUMMYFUNCTION("GOOGLETRANSLATE(B195,""en"",""pa"")"),"ਏਕੜ")</f>
        <v>ਏਕੜ</v>
      </c>
      <c r="U195" s="4" t="str">
        <f>IFERROR(__xludf.DUMMYFUNCTION("GOOGLETRANSLATE(B195,""en"",""te"")"),"ఎకరం")</f>
        <v>ఎకరం</v>
      </c>
      <c r="V195" s="4" t="str">
        <f>IFERROR(__xludf.DUMMYFUNCTION("GOOGLETRANSLATE(B195,""en"",""kn"")"),"ಎಕರೆ")</f>
        <v>ಎಕರೆ</v>
      </c>
      <c r="W195" s="4" t="str">
        <f>IFERROR(__xludf.DUMMYFUNCTION("GOOGLETRANSLATE(B195,""en"",""ml"")"),"ഏക്കർ")</f>
        <v>ഏക്കർ</v>
      </c>
      <c r="X195" s="4" t="str">
        <f>IFERROR(__xludf.DUMMYFUNCTION("GOOGLETRANSLATE(B195,""en"",""th"")"),"เอเคอร์")</f>
        <v>เอเคอร์</v>
      </c>
      <c r="Y195" s="4" t="str">
        <f>IFERROR(__xludf.DUMMYFUNCTION("GOOGLETRANSLATE(B195,""en"",""ko"")"),"에이커")</f>
        <v>에이커</v>
      </c>
      <c r="Z195" s="4" t="str">
        <f>IFERROR(__xludf.DUMMYFUNCTION("GOOGLETRANSLATE(B195,""en"",""zh"")"),"英亩")</f>
        <v>英亩</v>
      </c>
      <c r="AA195" s="4" t="str">
        <f>IFERROR(__xludf.DUMMYFUNCTION("GOOGLETRANSLATE(B195,""en"",""zh-TW"")"),"英畝")</f>
        <v>英畝</v>
      </c>
      <c r="AB195" s="4" t="str">
        <f>IFERROR(__xludf.DUMMYFUNCTION("GOOGLETRANSLATE(B195,""en"",""ja"")"),"エーカー")</f>
        <v>エーカー</v>
      </c>
      <c r="AC195" s="4" t="str">
        <f>IFERROR(__xludf.DUMMYFUNCTION("GOOGLETRANSLATE(B195,""en"",""bg"")"),"Акър")</f>
        <v>Акър</v>
      </c>
      <c r="AD195" s="4" t="str">
        <f>IFERROR(__xludf.DUMMYFUNCTION("GOOGLETRANSLATE(B195,""en"",""cs"")"),"Akr")</f>
        <v>Akr</v>
      </c>
      <c r="AE195" s="4" t="str">
        <f>IFERROR(__xludf.DUMMYFUNCTION("GOOGLETRANSLATE(B195,""en"",""da"")"),"Acre")</f>
        <v>Acre</v>
      </c>
      <c r="AF195" s="4" t="str">
        <f>IFERROR(__xludf.DUMMYFUNCTION("GOOGLETRANSLATE(B195,""en"",""el"")"),"Στρέμμα")</f>
        <v>Στρέμμα</v>
      </c>
      <c r="AG195" s="4" t="str">
        <f>IFERROR(__xludf.DUMMYFUNCTION("GOOGLETRANSLATE(B195,""en"",""et"")"),"Acre")</f>
        <v>Acre</v>
      </c>
      <c r="AH195" s="4" t="str">
        <f>IFERROR(__xludf.DUMMYFUNCTION("GOOGLETRANSLATE(B195,""en"",""fi"")"),"Acre")</f>
        <v>Acre</v>
      </c>
      <c r="AI195" s="4" t="str">
        <f>IFERROR(__xludf.DUMMYFUNCTION("GOOGLETRANSLATE(B195,""en"",""hr"")"),"Acre")</f>
        <v>Acre</v>
      </c>
      <c r="AJ195" s="4" t="str">
        <f>IFERROR(__xludf.DUMMYFUNCTION("GOOGLETRANSLATE(B195,""en"",""hu"")"),"Acre")</f>
        <v>Acre</v>
      </c>
      <c r="AK195" s="4" t="str">
        <f>IFERROR(__xludf.DUMMYFUNCTION("GOOGLETRANSLATE(B195,""en"",""hy"")"),"ակր")</f>
        <v>ակր</v>
      </c>
      <c r="AL195" s="4" t="str">
        <f>IFERROR(__xludf.DUMMYFUNCTION("GOOGLETRANSLATE(B195,""en"",""ca"")"),"Acre")</f>
        <v>Acre</v>
      </c>
      <c r="AM195" s="4" t="str">
        <f>IFERROR(__xludf.DUMMYFUNCTION("GOOGLETRANSLATE(B195,""en"",""nl"")"),"Acre")</f>
        <v>Acre</v>
      </c>
      <c r="AN195" s="4" t="str">
        <f>IFERROR(__xludf.DUMMYFUNCTION("GOOGLETRANSLATE(B195,""en"",""he"")"),"אַקְר")</f>
        <v>אַקְר</v>
      </c>
      <c r="AO195" s="4" t="str">
        <f>IFERROR(__xludf.DUMMYFUNCTION("GOOGLETRANSLATE(B195,""en"",""is"")"),"Acre")</f>
        <v>Acre</v>
      </c>
      <c r="AP195" s="4" t="str">
        <f>IFERROR(__xludf.DUMMYFUNCTION("GOOGLETRANSLATE(B195,""en"",""no"")"),"Acre")</f>
        <v>Acre</v>
      </c>
      <c r="AQ195" s="4" t="str">
        <f>IFERROR(__xludf.DUMMYFUNCTION("GOOGLETRANSLATE(B195,""en"",""fa"")"),"آکر")</f>
        <v>آکر</v>
      </c>
      <c r="AR195" s="4" t="str">
        <f>IFERROR(__xludf.DUMMYFUNCTION("GOOGLETRANSLATE(B195,""en"",""pl"")"),"Akr")</f>
        <v>Akr</v>
      </c>
      <c r="AS195" s="4" t="str">
        <f>IFERROR(__xludf.DUMMYFUNCTION("GOOGLETRANSLATE(B195,""en"",""sv"")"),"Tunnland")</f>
        <v>Tunnland</v>
      </c>
      <c r="AT195" s="4" t="str">
        <f>IFERROR(__xludf.DUMMYFUNCTION("GOOGLETRANSLATE(B195,""en"",""uk"")"),"Акр")</f>
        <v>Акр</v>
      </c>
      <c r="AU195" s="4" t="str">
        <f>IFERROR(__xludf.DUMMYFUNCTION("GOOGLETRANSLATE(B195,""en"",""zu"")"),"I-acre")</f>
        <v>I-acre</v>
      </c>
      <c r="AV195" s="4" t="str">
        <f>IFERROR(__xludf.DUMMYFUNCTION("GOOGLETRANSLATE(B195,""en"",""sr"")"),"Ацре")</f>
        <v>Ацре</v>
      </c>
    </row>
    <row r="196">
      <c r="A196" s="3" t="s">
        <v>420</v>
      </c>
      <c r="B196" s="3" t="s">
        <v>421</v>
      </c>
      <c r="C196" s="4" t="str">
        <f>IFERROR(__xludf.DUMMYFUNCTION("GOOGLETRANSLATE(B196,""en"",""ta"")"),"மைதானம்")</f>
        <v>மைதானம்</v>
      </c>
      <c r="D196" s="4" t="str">
        <f>IFERROR(__xludf.DUMMYFUNCTION("GOOGLETRANSLATE(B196,""en"",""hi"")"),"मैदान")</f>
        <v>मैदान</v>
      </c>
      <c r="E196" s="4" t="str">
        <f>IFERROR(__xludf.DUMMYFUNCTION("GOOGLETRANSLATE(B196,""en"",""id"")"),"Tanah")</f>
        <v>Tanah</v>
      </c>
      <c r="F196" s="4" t="str">
        <f>IFERROR(__xludf.DUMMYFUNCTION("GOOGLETRANSLATE(B196,""en"",""ms"")"),"tanah")</f>
        <v>tanah</v>
      </c>
      <c r="G196" s="4" t="str">
        <f>IFERROR(__xludf.DUMMYFUNCTION("GOOGLETRANSLATE(B196,""en"",""de"")"),"Boden")</f>
        <v>Boden</v>
      </c>
      <c r="H196" s="4" t="str">
        <f>IFERROR(__xludf.DUMMYFUNCTION("GOOGLETRANSLATE(B196,""en"",""es"")"),"Suelo")</f>
        <v>Suelo</v>
      </c>
      <c r="I196" s="4" t="str">
        <f>IFERROR(__xludf.DUMMYFUNCTION("GOOGLETRANSLATE(B196,""en"",""fr"")"),"Sol")</f>
        <v>Sol</v>
      </c>
      <c r="J196" s="4" t="str">
        <f>IFERROR(__xludf.DUMMYFUNCTION("GOOGLETRANSLATE(B196,""en"",""it"")"),"Terra")</f>
        <v>Terra</v>
      </c>
      <c r="K196" s="4" t="str">
        <f>IFERROR(__xludf.DUMMYFUNCTION("GOOGLETRANSLATE(B196,""en"",""pt"")"),"Chão")</f>
        <v>Chão</v>
      </c>
      <c r="L196" s="4" t="str">
        <f>IFERROR(__xludf.DUMMYFUNCTION("GOOGLETRANSLATE(B196,""en"",""ro"")"),"Sol")</f>
        <v>Sol</v>
      </c>
      <c r="M196" s="4" t="str">
        <f>IFERROR(__xludf.DUMMYFUNCTION("GOOGLETRANSLATE(B196,""en"",""vi"")"),"Đất")</f>
        <v>Đất</v>
      </c>
      <c r="N196" s="4" t="str">
        <f>IFERROR(__xludf.DUMMYFUNCTION("GOOGLETRANSLATE(B196,""en"",""ru"")"),"Земля")</f>
        <v>Земля</v>
      </c>
      <c r="O196" s="4" t="str">
        <f>IFERROR(__xludf.DUMMYFUNCTION("GOOGLETRANSLATE(B196,""en"",""tr"")"),"Zemin")</f>
        <v>Zemin</v>
      </c>
      <c r="P196" s="4" t="str">
        <f>IFERROR(__xludf.DUMMYFUNCTION("GOOGLETRANSLATE(B196,""en"",""ar"")"),"أرضي")</f>
        <v>أرضي</v>
      </c>
      <c r="Q196" s="4" t="str">
        <f>IFERROR(__xludf.DUMMYFUNCTION("GOOGLETRANSLATE(B196,""en"",""mr"")"),"ग्राउंड")</f>
        <v>ग्राउंड</v>
      </c>
      <c r="R196" s="4" t="str">
        <f>IFERROR(__xludf.DUMMYFUNCTION("GOOGLETRANSLATE(B196,""en"",""gu"")"),"જમીન")</f>
        <v>જમીન</v>
      </c>
      <c r="S196" s="4" t="str">
        <f>IFERROR(__xludf.DUMMYFUNCTION("GOOGLETRANSLATE(B196,""en"",""bn"")"),"স্থল")</f>
        <v>স্থল</v>
      </c>
      <c r="T196" s="4" t="str">
        <f>IFERROR(__xludf.DUMMYFUNCTION("GOOGLETRANSLATE(B196,""en"",""pa"")"),"ਜ਼ਮੀਨ")</f>
        <v>ਜ਼ਮੀਨ</v>
      </c>
      <c r="U196" s="4" t="str">
        <f>IFERROR(__xludf.DUMMYFUNCTION("GOOGLETRANSLATE(B196,""en"",""te"")"),"గ్రౌండ్")</f>
        <v>గ్రౌండ్</v>
      </c>
      <c r="V196" s="4" t="str">
        <f>IFERROR(__xludf.DUMMYFUNCTION("GOOGLETRANSLATE(B196,""en"",""kn"")"),"ನೆಲ")</f>
        <v>ನೆಲ</v>
      </c>
      <c r="W196" s="4" t="str">
        <f>IFERROR(__xludf.DUMMYFUNCTION("GOOGLETRANSLATE(B196,""en"",""ml"")"),"ഗ്രൗണ്ട്")</f>
        <v>ഗ്രൗണ്ട്</v>
      </c>
      <c r="X196" s="4" t="str">
        <f>IFERROR(__xludf.DUMMYFUNCTION("GOOGLETRANSLATE(B196,""en"",""th"")"),"พื้น")</f>
        <v>พื้น</v>
      </c>
      <c r="Y196" s="4" t="str">
        <f>IFERROR(__xludf.DUMMYFUNCTION("GOOGLETRANSLATE(B196,""en"",""ko"")"),"지면")</f>
        <v>지면</v>
      </c>
      <c r="Z196" s="4" t="str">
        <f>IFERROR(__xludf.DUMMYFUNCTION("GOOGLETRANSLATE(B196,""en"",""zh"")"),"地面")</f>
        <v>地面</v>
      </c>
      <c r="AA196" s="4" t="str">
        <f>IFERROR(__xludf.DUMMYFUNCTION("GOOGLETRANSLATE(B196,""en"",""zh-TW"")"),"地面")</f>
        <v>地面</v>
      </c>
      <c r="AB196" s="4" t="str">
        <f>IFERROR(__xludf.DUMMYFUNCTION("GOOGLETRANSLATE(B196,""en"",""ja"")"),"地面")</f>
        <v>地面</v>
      </c>
      <c r="AC196" s="4" t="str">
        <f>IFERROR(__xludf.DUMMYFUNCTION("GOOGLETRANSLATE(B196,""en"",""bg"")"),"Земя")</f>
        <v>Земя</v>
      </c>
      <c r="AD196" s="4" t="str">
        <f>IFERROR(__xludf.DUMMYFUNCTION("GOOGLETRANSLATE(B196,""en"",""cs"")"),"Země")</f>
        <v>Země</v>
      </c>
      <c r="AE196" s="4" t="str">
        <f>IFERROR(__xludf.DUMMYFUNCTION("GOOGLETRANSLATE(B196,""en"",""da"")"),"Jord")</f>
        <v>Jord</v>
      </c>
      <c r="AF196" s="4" t="str">
        <f>IFERROR(__xludf.DUMMYFUNCTION("GOOGLETRANSLATE(B196,""en"",""el"")"),"Εδαφος")</f>
        <v>Εδαφος</v>
      </c>
      <c r="AG196" s="4" t="str">
        <f>IFERROR(__xludf.DUMMYFUNCTION("GOOGLETRANSLATE(B196,""en"",""et"")"),"Maapind")</f>
        <v>Maapind</v>
      </c>
      <c r="AH196" s="4" t="str">
        <f>IFERROR(__xludf.DUMMYFUNCTION("GOOGLETRANSLATE(B196,""en"",""fi"")"),"Maadoitus")</f>
        <v>Maadoitus</v>
      </c>
      <c r="AI196" s="4" t="str">
        <f>IFERROR(__xludf.DUMMYFUNCTION("GOOGLETRANSLATE(B196,""en"",""hr"")"),"Tlo")</f>
        <v>Tlo</v>
      </c>
      <c r="AJ196" s="4" t="str">
        <f>IFERROR(__xludf.DUMMYFUNCTION("GOOGLETRANSLATE(B196,""en"",""hu"")"),"Föld")</f>
        <v>Föld</v>
      </c>
      <c r="AK196" s="4" t="str">
        <f>IFERROR(__xludf.DUMMYFUNCTION("GOOGLETRANSLATE(B196,""en"",""hy"")"),"Գետնին")</f>
        <v>Գետնին</v>
      </c>
      <c r="AL196" s="4" t="str">
        <f>IFERROR(__xludf.DUMMYFUNCTION("GOOGLETRANSLATE(B196,""en"",""ca"")"),"Terra")</f>
        <v>Terra</v>
      </c>
      <c r="AM196" s="4" t="str">
        <f>IFERROR(__xludf.DUMMYFUNCTION("GOOGLETRANSLATE(B196,""en"",""nl"")"),"Grond")</f>
        <v>Grond</v>
      </c>
      <c r="AN196" s="4" t="str">
        <f>IFERROR(__xludf.DUMMYFUNCTION("GOOGLETRANSLATE(B196,""en"",""he"")"),"טָחוּן")</f>
        <v>טָחוּן</v>
      </c>
      <c r="AO196" s="4" t="str">
        <f>IFERROR(__xludf.DUMMYFUNCTION("GOOGLETRANSLATE(B196,""en"",""is"")"),"Jarðvegur")</f>
        <v>Jarðvegur</v>
      </c>
      <c r="AP196" s="4" t="str">
        <f>IFERROR(__xludf.DUMMYFUNCTION("GOOGLETRANSLATE(B196,""en"",""no"")"),"Bakke")</f>
        <v>Bakke</v>
      </c>
      <c r="AQ196" s="4" t="str">
        <f>IFERROR(__xludf.DUMMYFUNCTION("GOOGLETRANSLATE(B196,""en"",""fa"")"),"زمین")</f>
        <v>زمین</v>
      </c>
      <c r="AR196" s="4" t="str">
        <f>IFERROR(__xludf.DUMMYFUNCTION("GOOGLETRANSLATE(B196,""en"",""pl"")"),"Grunt")</f>
        <v>Grunt</v>
      </c>
      <c r="AS196" s="4" t="str">
        <f>IFERROR(__xludf.DUMMYFUNCTION("GOOGLETRANSLATE(B196,""en"",""sv"")"),"Jord")</f>
        <v>Jord</v>
      </c>
      <c r="AT196" s="4" t="str">
        <f>IFERROR(__xludf.DUMMYFUNCTION("GOOGLETRANSLATE(B196,""en"",""uk"")"),"Земля")</f>
        <v>Земля</v>
      </c>
      <c r="AU196" s="4" t="str">
        <f>IFERROR(__xludf.DUMMYFUNCTION("GOOGLETRANSLATE(B196,""en"",""zu"")"),"Ground")</f>
        <v>Ground</v>
      </c>
      <c r="AV196" s="4" t="str">
        <f>IFERROR(__xludf.DUMMYFUNCTION("GOOGLETRANSLATE(B196,""en"",""sr"")"),"Гроунд")</f>
        <v>Гроунд</v>
      </c>
    </row>
    <row r="197">
      <c r="A197" s="3" t="s">
        <v>422</v>
      </c>
      <c r="B197" s="3" t="s">
        <v>423</v>
      </c>
      <c r="C197" s="4" t="str">
        <f>IFERROR(__xludf.DUMMYFUNCTION("GOOGLETRANSLATE(B197,""en"",""ta"")"),"தசம டிகிரி (DD)")</f>
        <v>தசம டிகிரி (DD)</v>
      </c>
      <c r="D197" s="4" t="str">
        <f>IFERROR(__xludf.DUMMYFUNCTION("GOOGLETRANSLATE(B197,""en"",""hi"")"),"दशमलव डिग्री (DD)")</f>
        <v>दशमलव डिग्री (DD)</v>
      </c>
      <c r="E197" s="4" t="str">
        <f>IFERROR(__xludf.DUMMYFUNCTION("GOOGLETRANSLATE(B197,""en"",""id"")"),"Derajat Desimal (DD)")</f>
        <v>Derajat Desimal (DD)</v>
      </c>
      <c r="F197" s="4" t="str">
        <f>IFERROR(__xludf.DUMMYFUNCTION("GOOGLETRANSLATE(B197,""en"",""ms"")"),"Darjah Perpuluhan (DD)")</f>
        <v>Darjah Perpuluhan (DD)</v>
      </c>
      <c r="G197" s="4" t="str">
        <f>IFERROR(__xludf.DUMMYFUNCTION("GOOGLETRANSLATE(B197,""en"",""de"")"),"Dezimalgrade (DD)")</f>
        <v>Dezimalgrade (DD)</v>
      </c>
      <c r="H197" s="4" t="str">
        <f>IFERROR(__xludf.DUMMYFUNCTION("GOOGLETRANSLATE(B197,""en"",""es"")"),"Grados decimales (DD)")</f>
        <v>Grados decimales (DD)</v>
      </c>
      <c r="I197" s="4" t="str">
        <f>IFERROR(__xludf.DUMMYFUNCTION("GOOGLETRANSLATE(B197,""en"",""fr"")"),"Degrés décimaux (DD)")</f>
        <v>Degrés décimaux (DD)</v>
      </c>
      <c r="J197" s="4" t="str">
        <f>IFERROR(__xludf.DUMMYFUNCTION("GOOGLETRANSLATE(B197,""en"",""it"")"),"Gradi decimali (DD)")</f>
        <v>Gradi decimali (DD)</v>
      </c>
      <c r="K197" s="4" t="str">
        <f>IFERROR(__xludf.DUMMYFUNCTION("GOOGLETRANSLATE(B197,""en"",""pt"")"),"Graus Decimais (DD)")</f>
        <v>Graus Decimais (DD)</v>
      </c>
      <c r="L197" s="4" t="str">
        <f>IFERROR(__xludf.DUMMYFUNCTION("GOOGLETRANSLATE(B197,""en"",""ro"")"),"Grade zecimale (DD)")</f>
        <v>Grade zecimale (DD)</v>
      </c>
      <c r="M197" s="4" t="str">
        <f>IFERROR(__xludf.DUMMYFUNCTION("GOOGLETRANSLATE(B197,""en"",""vi"")"),"Độ thập phân (DD)")</f>
        <v>Độ thập phân (DD)</v>
      </c>
      <c r="N197" s="4" t="str">
        <f>IFERROR(__xludf.DUMMYFUNCTION("GOOGLETRANSLATE(B197,""en"",""ru"")"),"Десятичные градусы (DD)")</f>
        <v>Десятичные градусы (DD)</v>
      </c>
      <c r="O197" s="4" t="str">
        <f>IFERROR(__xludf.DUMMYFUNCTION("GOOGLETRANSLATE(B197,""en"",""tr"")"),"Ondalık Derece (DD)")</f>
        <v>Ondalık Derece (DD)</v>
      </c>
      <c r="P197" s="4" t="str">
        <f>IFERROR(__xludf.DUMMYFUNCTION("GOOGLETRANSLATE(B197,""en"",""ar"")"),"الدرجات العشرية (DD)")</f>
        <v>الدرجات العشرية (DD)</v>
      </c>
      <c r="Q197" s="4" t="str">
        <f>IFERROR(__xludf.DUMMYFUNCTION("GOOGLETRANSLATE(B197,""en"",""mr"")"),"दशांश अंश (DD)")</f>
        <v>दशांश अंश (DD)</v>
      </c>
      <c r="R197" s="4" t="str">
        <f>IFERROR(__xludf.DUMMYFUNCTION("GOOGLETRANSLATE(B197,""en"",""gu"")"),"દશાંશ ડિગ્રી (DD)")</f>
        <v>દશાંશ ડિગ્રી (DD)</v>
      </c>
      <c r="S197" s="4" t="str">
        <f>IFERROR(__xludf.DUMMYFUNCTION("GOOGLETRANSLATE(B197,""en"",""bn"")"),"দশমিক ডিগ্রি (DD)")</f>
        <v>দশমিক ডিগ্রি (DD)</v>
      </c>
      <c r="T197" s="4" t="str">
        <f>IFERROR(__xludf.DUMMYFUNCTION("GOOGLETRANSLATE(B197,""en"",""pa"")"),"ਦਸ਼ਮਲਵ ਡਿਗਰੀ (DD)")</f>
        <v>ਦਸ਼ਮਲਵ ਡਿਗਰੀ (DD)</v>
      </c>
      <c r="U197" s="4" t="str">
        <f>IFERROR(__xludf.DUMMYFUNCTION("GOOGLETRANSLATE(B197,""en"",""te"")"),"దశాంశ డిగ్రీలు (DD)")</f>
        <v>దశాంశ డిగ్రీలు (DD)</v>
      </c>
      <c r="V197" s="4" t="str">
        <f>IFERROR(__xludf.DUMMYFUNCTION("GOOGLETRANSLATE(B197,""en"",""kn"")"),"ದಶಮಾಂಶ ಪದವಿಗಳು (DD)")</f>
        <v>ದಶಮಾಂಶ ಪದವಿಗಳು (DD)</v>
      </c>
      <c r="W197" s="4" t="str">
        <f>IFERROR(__xludf.DUMMYFUNCTION("GOOGLETRANSLATE(B197,""en"",""ml"")"),"ഡെസിമൽ ഡിഗ്രികൾ (DD)")</f>
        <v>ഡെസിമൽ ഡിഗ്രികൾ (DD)</v>
      </c>
      <c r="X197" s="4" t="str">
        <f>IFERROR(__xludf.DUMMYFUNCTION("GOOGLETRANSLATE(B197,""en"",""th"")"),"องศาทศนิยม (DD)")</f>
        <v>องศาทศนิยม (DD)</v>
      </c>
      <c r="Y197" s="4" t="str">
        <f>IFERROR(__xludf.DUMMYFUNCTION("GOOGLETRANSLATE(B197,""en"",""ko"")"),"십진수(DD)")</f>
        <v>십진수(DD)</v>
      </c>
      <c r="Z197" s="4" t="str">
        <f>IFERROR(__xludf.DUMMYFUNCTION("GOOGLETRANSLATE(B197,""en"",""zh"")"),"十进制度 (DD)")</f>
        <v>十进制度 (DD)</v>
      </c>
      <c r="AA197" s="4" t="str">
        <f>IFERROR(__xludf.DUMMYFUNCTION("GOOGLETRANSLATE(B197,""en"",""zh-TW"")"),"十進制度 (DD)")</f>
        <v>十進制度 (DD)</v>
      </c>
      <c r="AB197" s="4" t="str">
        <f>IFERROR(__xludf.DUMMYFUNCTION("GOOGLETRANSLATE(B197,""en"",""ja"")"),"十進度（DD）")</f>
        <v>十進度（DD）</v>
      </c>
      <c r="AC197" s="4" t="str">
        <f>IFERROR(__xludf.DUMMYFUNCTION("GOOGLETRANSLATE(B197,""en"",""bg"")"),"Десетични градуси (DD)")</f>
        <v>Десетични градуси (DD)</v>
      </c>
      <c r="AD197" s="4" t="str">
        <f>IFERROR(__xludf.DUMMYFUNCTION("GOOGLETRANSLATE(B197,""en"",""cs"")"),"Desetinné stupně (DD)")</f>
        <v>Desetinné stupně (DD)</v>
      </c>
      <c r="AE197" s="4" t="str">
        <f>IFERROR(__xludf.DUMMYFUNCTION("GOOGLETRANSLATE(B197,""en"",""da"")"),"Decimalgrader (DD)")</f>
        <v>Decimalgrader (DD)</v>
      </c>
      <c r="AF197" s="4" t="str">
        <f>IFERROR(__xludf.DUMMYFUNCTION("GOOGLETRANSLATE(B197,""en"",""el"")"),"Δεκαδικοί Μοίρες (DD)")</f>
        <v>Δεκαδικοί Μοίρες (DD)</v>
      </c>
      <c r="AG197" s="4" t="str">
        <f>IFERROR(__xludf.DUMMYFUNCTION("GOOGLETRANSLATE(B197,""en"",""et"")"),"Kümnendkraadid (DD)")</f>
        <v>Kümnendkraadid (DD)</v>
      </c>
      <c r="AH197" s="4" t="str">
        <f>IFERROR(__xludf.DUMMYFUNCTION("GOOGLETRANSLATE(B197,""en"",""fi"")"),"Desimaaliasteet (DD)")</f>
        <v>Desimaaliasteet (DD)</v>
      </c>
      <c r="AI197" s="4" t="str">
        <f>IFERROR(__xludf.DUMMYFUNCTION("GOOGLETRANSLATE(B197,""en"",""hr"")"),"Decimalni stupnjevi (DD)")</f>
        <v>Decimalni stupnjevi (DD)</v>
      </c>
      <c r="AJ197" s="4" t="str">
        <f>IFERROR(__xludf.DUMMYFUNCTION("GOOGLETRANSLATE(B197,""en"",""hu"")"),"Tizedes fok (DD)")</f>
        <v>Tizedes fok (DD)</v>
      </c>
      <c r="AK197" s="4" t="str">
        <f>IFERROR(__xludf.DUMMYFUNCTION("GOOGLETRANSLATE(B197,""en"",""hy"")"),"Տասնորդական աստիճաններ (DD)")</f>
        <v>Տասնորդական աստիճաններ (DD)</v>
      </c>
      <c r="AL197" s="4" t="str">
        <f>IFERROR(__xludf.DUMMYFUNCTION("GOOGLETRANSLATE(B197,""en"",""ca"")"),"Graus decimals (DD)")</f>
        <v>Graus decimals (DD)</v>
      </c>
      <c r="AM197" s="4" t="str">
        <f>IFERROR(__xludf.DUMMYFUNCTION("GOOGLETRANSLATE(B197,""en"",""nl"")"),"Decimale graden (DD)")</f>
        <v>Decimale graden (DD)</v>
      </c>
      <c r="AN197" s="4" t="str">
        <f>IFERROR(__xludf.DUMMYFUNCTION("GOOGLETRANSLATE(B197,""en"",""he"")"),"מעלות עשרוניות (DD)")</f>
        <v>מעלות עשרוניות (DD)</v>
      </c>
      <c r="AO197" s="4" t="str">
        <f>IFERROR(__xludf.DUMMYFUNCTION("GOOGLETRANSLATE(B197,""en"",""is"")"),"Decimal Degrees (DD)")</f>
        <v>Decimal Degrees (DD)</v>
      </c>
      <c r="AP197" s="4" t="str">
        <f>IFERROR(__xludf.DUMMYFUNCTION("GOOGLETRANSLATE(B197,""en"",""no"")"),"Desimalgrader (DD)")</f>
        <v>Desimalgrader (DD)</v>
      </c>
      <c r="AQ197" s="4" t="str">
        <f>IFERROR(__xludf.DUMMYFUNCTION("GOOGLETRANSLATE(B197,""en"",""fa"")"),"درجات اعشاری (DD)")</f>
        <v>درجات اعشاری (DD)</v>
      </c>
      <c r="AR197" s="4" t="str">
        <f>IFERROR(__xludf.DUMMYFUNCTION("GOOGLETRANSLATE(B197,""en"",""pl"")"),"Stopnie dziesiętne (DD)")</f>
        <v>Stopnie dziesiętne (DD)</v>
      </c>
      <c r="AS197" s="4" t="str">
        <f>IFERROR(__xludf.DUMMYFUNCTION("GOOGLETRANSLATE(B197,""en"",""sv"")"),"Decimalgrader (DD)")</f>
        <v>Decimalgrader (DD)</v>
      </c>
      <c r="AT197" s="4" t="str">
        <f>IFERROR(__xludf.DUMMYFUNCTION("GOOGLETRANSLATE(B197,""en"",""uk"")"),"Десяткові градуси (DD)")</f>
        <v>Десяткові градуси (DD)</v>
      </c>
      <c r="AU197" s="4" t="str">
        <f>IFERROR(__xludf.DUMMYFUNCTION("GOOGLETRANSLATE(B197,""en"",""zu"")"),"Iziqu zedesimali (DD)")</f>
        <v>Iziqu zedesimali (DD)</v>
      </c>
      <c r="AV197" s="4" t="str">
        <f>IFERROR(__xludf.DUMMYFUNCTION("GOOGLETRANSLATE(B197,""en"",""sr"")"),"Децимални степени (ДД)")</f>
        <v>Децимални степени (ДД)</v>
      </c>
    </row>
    <row r="198">
      <c r="A198" s="3" t="s">
        <v>424</v>
      </c>
      <c r="B198" s="3" t="s">
        <v>425</v>
      </c>
      <c r="C198" s="4" t="str">
        <f>IFERROR(__xludf.DUMMYFUNCTION("GOOGLETRANSLATE(B198,""en"",""ta"")"),"டிகிரி நிமிடங்கள் வினாடிகள் (DMS)")</f>
        <v>டிகிரி நிமிடங்கள் வினாடிகள் (DMS)</v>
      </c>
      <c r="D198" s="4" t="str">
        <f>IFERROR(__xludf.DUMMYFUNCTION("GOOGLETRANSLATE(B198,""en"",""hi"")"),"डिग्री मिनट सेकंड (डीएमएस)")</f>
        <v>डिग्री मिनट सेकंड (डीएमएस)</v>
      </c>
      <c r="E198" s="4" t="str">
        <f>IFERROR(__xludf.DUMMYFUNCTION("GOOGLETRANSLATE(B198,""en"",""id"")"),"Derajat Menit Detik (DMS)")</f>
        <v>Derajat Menit Detik (DMS)</v>
      </c>
      <c r="F198" s="4" t="str">
        <f>IFERROR(__xludf.DUMMYFUNCTION("GOOGLETRANSLATE(B198,""en"",""ms"")"),"Darjah Minit Saat (DMS)")</f>
        <v>Darjah Minit Saat (DMS)</v>
      </c>
      <c r="G198" s="4" t="str">
        <f>IFERROR(__xludf.DUMMYFUNCTION("GOOGLETRANSLATE(B198,""en"",""de"")"),"Grad Minuten Sekunden (DMS)")</f>
        <v>Grad Minuten Sekunden (DMS)</v>
      </c>
      <c r="H198" s="4" t="str">
        <f>IFERROR(__xludf.DUMMYFUNCTION("GOOGLETRANSLATE(B198,""en"",""es"")"),"Grados Minutos Segundos (DMS)")</f>
        <v>Grados Minutos Segundos (DMS)</v>
      </c>
      <c r="I198" s="4" t="str">
        <f>IFERROR(__xludf.DUMMYFUNCTION("GOOGLETRANSLATE(B198,""en"",""fr"")"),"Degrés Minutes Secondes (DMS)")</f>
        <v>Degrés Minutes Secondes (DMS)</v>
      </c>
      <c r="J198" s="4" t="str">
        <f>IFERROR(__xludf.DUMMYFUNCTION("GOOGLETRANSLATE(B198,""en"",""it"")"),"Gradi minuti secondi (DMS)")</f>
        <v>Gradi minuti secondi (DMS)</v>
      </c>
      <c r="K198" s="4" t="str">
        <f>IFERROR(__xludf.DUMMYFUNCTION("GOOGLETRANSLATE(B198,""en"",""pt"")"),"Graus Minutos Segundos (DMS)")</f>
        <v>Graus Minutos Segundos (DMS)</v>
      </c>
      <c r="L198" s="4" t="str">
        <f>IFERROR(__xludf.DUMMYFUNCTION("GOOGLETRANSLATE(B198,""en"",""ro"")"),"Grade Minute Secunde (DMS)")</f>
        <v>Grade Minute Secunde (DMS)</v>
      </c>
      <c r="M198" s="4" t="str">
        <f>IFERROR(__xludf.DUMMYFUNCTION("GOOGLETRANSLATE(B198,""en"",""vi"")"),"Độ Phút Giây (DMS)")</f>
        <v>Độ Phút Giây (DMS)</v>
      </c>
      <c r="N198" s="4" t="str">
        <f>IFERROR(__xludf.DUMMYFUNCTION("GOOGLETRANSLATE(B198,""en"",""ru"")"),"Градусы Минуты Секунды (DMS)")</f>
        <v>Градусы Минуты Секунды (DMS)</v>
      </c>
      <c r="O198" s="4" t="str">
        <f>IFERROR(__xludf.DUMMYFUNCTION("GOOGLETRANSLATE(B198,""en"",""tr"")"),"Derece Dakika Saniye (DMS)")</f>
        <v>Derece Dakika Saniye (DMS)</v>
      </c>
      <c r="P198" s="4" t="str">
        <f>IFERROR(__xludf.DUMMYFUNCTION("GOOGLETRANSLATE(B198,""en"",""ar"")"),"درجات دقائق ثواني (DMS)")</f>
        <v>درجات دقائق ثواني (DMS)</v>
      </c>
      <c r="Q198" s="4" t="str">
        <f>IFERROR(__xludf.DUMMYFUNCTION("GOOGLETRANSLATE(B198,""en"",""mr"")"),"अंश मिनिटे सेकंद (DMS)")</f>
        <v>अंश मिनिटे सेकंद (DMS)</v>
      </c>
      <c r="R198" s="4" t="str">
        <f>IFERROR(__xludf.DUMMYFUNCTION("GOOGLETRANSLATE(B198,""en"",""gu"")"),"ડિગ્રી મિનિટ સેકન્ડ્સ (DMS)")</f>
        <v>ડિગ્રી મિનિટ સેકન્ડ્સ (DMS)</v>
      </c>
      <c r="S198" s="4" t="str">
        <f>IFERROR(__xludf.DUMMYFUNCTION("GOOGLETRANSLATE(B198,""en"",""bn"")"),"ডিগ্রি মিনিট সেকেন্ড (ডিএমএস)")</f>
        <v>ডিগ্রি মিনিট সেকেন্ড (ডিএমএস)</v>
      </c>
      <c r="T198" s="4" t="str">
        <f>IFERROR(__xludf.DUMMYFUNCTION("GOOGLETRANSLATE(B198,""en"",""pa"")"),"ਡਿਗਰੀ ਮਿੰਟ ਸਕਿੰਟ (DMS)")</f>
        <v>ਡਿਗਰੀ ਮਿੰਟ ਸਕਿੰਟ (DMS)</v>
      </c>
      <c r="U198" s="4" t="str">
        <f>IFERROR(__xludf.DUMMYFUNCTION("GOOGLETRANSLATE(B198,""en"",""te"")"),"డిగ్రీలు నిమిషాలు సెకన్లు (DMS)")</f>
        <v>డిగ్రీలు నిమిషాలు సెకన్లు (DMS)</v>
      </c>
      <c r="V198" s="4" t="str">
        <f>IFERROR(__xludf.DUMMYFUNCTION("GOOGLETRANSLATE(B198,""en"",""kn"")"),"ಡಿಗ್ರಿ ನಿಮಿಷಗಳು ಸೆಕೆಂಡುಗಳು (DMS)")</f>
        <v>ಡಿಗ್ರಿ ನಿಮಿಷಗಳು ಸೆಕೆಂಡುಗಳು (DMS)</v>
      </c>
      <c r="W198" s="4" t="str">
        <f>IFERROR(__xludf.DUMMYFUNCTION("GOOGLETRANSLATE(B198,""en"",""ml"")"),"ഡിഗ്രി മിനിറ്റ് സെക്കൻഡ് (DMS)")</f>
        <v>ഡിഗ്രി മിനിറ്റ് സെക്കൻഡ് (DMS)</v>
      </c>
      <c r="X198" s="4" t="str">
        <f>IFERROR(__xludf.DUMMYFUNCTION("GOOGLETRANSLATE(B198,""en"",""th"")"),"องศา นาที วินาที (DMS)")</f>
        <v>องศา นาที วินาที (DMS)</v>
      </c>
      <c r="Y198" s="4" t="str">
        <f>IFERROR(__xludf.DUMMYFUNCTION("GOOGLETRANSLATE(B198,""en"",""ko"")"),"도 분 초(DMS)")</f>
        <v>도 분 초(DMS)</v>
      </c>
      <c r="Z198" s="4" t="str">
        <f>IFERROR(__xludf.DUMMYFUNCTION("GOOGLETRANSLATE(B198,""en"",""zh"")"),"度分秒 (DMS)")</f>
        <v>度分秒 (DMS)</v>
      </c>
      <c r="AA198" s="4" t="str">
        <f>IFERROR(__xludf.DUMMYFUNCTION("GOOGLETRANSLATE(B198,""en"",""zh-TW"")"),"度分秒 (DMS)")</f>
        <v>度分秒 (DMS)</v>
      </c>
      <c r="AB198" s="4" t="str">
        <f>IFERROR(__xludf.DUMMYFUNCTION("GOOGLETRANSLATE(B198,""en"",""ja"")"),"度分秒（DMS）")</f>
        <v>度分秒（DMS）</v>
      </c>
      <c r="AC198" s="4" t="str">
        <f>IFERROR(__xludf.DUMMYFUNCTION("GOOGLETRANSLATE(B198,""en"",""bg"")"),"Градуси, минути, секунди (DMS)")</f>
        <v>Градуси, минути, секунди (DMS)</v>
      </c>
      <c r="AD198" s="4" t="str">
        <f>IFERROR(__xludf.DUMMYFUNCTION("GOOGLETRANSLATE(B198,""en"",""cs"")"),"Stupně, minuty, sekundy (DMS)")</f>
        <v>Stupně, minuty, sekundy (DMS)</v>
      </c>
      <c r="AE198" s="4" t="str">
        <f>IFERROR(__xludf.DUMMYFUNCTION("GOOGLETRANSLATE(B198,""en"",""da"")"),"Grader Minutter Sekunder (DMS)")</f>
        <v>Grader Minutter Sekunder (DMS)</v>
      </c>
      <c r="AF198" s="4" t="str">
        <f>IFERROR(__xludf.DUMMYFUNCTION("GOOGLETRANSLATE(B198,""en"",""el"")"),"Μοίρες λεπτά δευτερόλεπτα (DMS)")</f>
        <v>Μοίρες λεπτά δευτερόλεπτα (DMS)</v>
      </c>
      <c r="AG198" s="4" t="str">
        <f>IFERROR(__xludf.DUMMYFUNCTION("GOOGLETRANSLATE(B198,""en"",""et"")"),"Kraadid Minutid Sekundid (DMS)")</f>
        <v>Kraadid Minutid Sekundid (DMS)</v>
      </c>
      <c r="AH198" s="4" t="str">
        <f>IFERROR(__xludf.DUMMYFUNCTION("GOOGLETRANSLATE(B198,""en"",""fi"")"),"Asteet Minuutit Sekunnit (DMS)")</f>
        <v>Asteet Minuutit Sekunnit (DMS)</v>
      </c>
      <c r="AI198" s="4" t="str">
        <f>IFERROR(__xludf.DUMMYFUNCTION("GOOGLETRANSLATE(B198,""en"",""hr"")"),"Stupnjevi, minute, sekunde (DMS)")</f>
        <v>Stupnjevi, minute, sekunde (DMS)</v>
      </c>
      <c r="AJ198" s="4" t="str">
        <f>IFERROR(__xludf.DUMMYFUNCTION("GOOGLETRANSLATE(B198,""en"",""hu"")"),"Fok Perc Másodperc (DMS)")</f>
        <v>Fok Perc Másodperc (DMS)</v>
      </c>
      <c r="AK198" s="4" t="str">
        <f>IFERROR(__xludf.DUMMYFUNCTION("GOOGLETRANSLATE(B198,""en"",""hy"")"),"Աստիճաններ րոպեներ վայրկյաններ (DMS)")</f>
        <v>Աստիճաններ րոպեներ վայրկյաններ (DMS)</v>
      </c>
      <c r="AL198" s="4" t="str">
        <f>IFERROR(__xludf.DUMMYFUNCTION("GOOGLETRANSLATE(B198,""en"",""ca"")"),"Graus Minuts Segons (DMS)")</f>
        <v>Graus Minuts Segons (DMS)</v>
      </c>
      <c r="AM198" s="4" t="str">
        <f>IFERROR(__xludf.DUMMYFUNCTION("GOOGLETRANSLATE(B198,""en"",""nl"")"),"Graden Minuten Seconden (DMS)")</f>
        <v>Graden Minuten Seconden (DMS)</v>
      </c>
      <c r="AN198" s="4" t="str">
        <f>IFERROR(__xludf.DUMMYFUNCTION("GOOGLETRANSLATE(B198,""en"",""he"")"),"מעלות דקות שניות (DMS)")</f>
        <v>מעלות דקות שניות (DMS)</v>
      </c>
      <c r="AO198" s="4" t="str">
        <f>IFERROR(__xludf.DUMMYFUNCTION("GOOGLETRANSLATE(B198,""en"",""is"")"),"Gráður mínútur sekúndur (DMS)")</f>
        <v>Gráður mínútur sekúndur (DMS)</v>
      </c>
      <c r="AP198" s="4" t="str">
        <f>IFERROR(__xludf.DUMMYFUNCTION("GOOGLETRANSLATE(B198,""en"",""no"")"),"Grader Minutter Sekunder (DMS)")</f>
        <v>Grader Minutter Sekunder (DMS)</v>
      </c>
      <c r="AQ198" s="4" t="str">
        <f>IFERROR(__xludf.DUMMYFUNCTION("GOOGLETRANSLATE(B198,""en"",""fa"")"),"درجه چند دقیقه ثانیه (DMS)")</f>
        <v>درجه چند دقیقه ثانیه (DMS)</v>
      </c>
      <c r="AR198" s="4" t="str">
        <f>IFERROR(__xludf.DUMMYFUNCTION("GOOGLETRANSLATE(B198,""en"",""pl"")"),"Stopnie Minuty Sekundy (DMS)")</f>
        <v>Stopnie Minuty Sekundy (DMS)</v>
      </c>
      <c r="AS198" s="4" t="str">
        <f>IFERROR(__xludf.DUMMYFUNCTION("GOOGLETRANSLATE(B198,""en"",""sv"")"),"Degrees Minutes Seconds (DMS)")</f>
        <v>Degrees Minutes Seconds (DMS)</v>
      </c>
      <c r="AT198" s="4" t="str">
        <f>IFERROR(__xludf.DUMMYFUNCTION("GOOGLETRANSLATE(B198,""en"",""uk"")"),"Градуси Хвилини Секунди (DMS)")</f>
        <v>Градуси Хвилини Секунди (DMS)</v>
      </c>
      <c r="AU198" s="4" t="str">
        <f>IFERROR(__xludf.DUMMYFUNCTION("GOOGLETRANSLATE(B198,""en"",""zu"")"),"AmaDegree Amaminithi Amasekhondi (DMS)")</f>
        <v>AmaDegree Amaminithi Amasekhondi (DMS)</v>
      </c>
      <c r="AV198" s="4" t="str">
        <f>IFERROR(__xludf.DUMMYFUNCTION("GOOGLETRANSLATE(B198,""en"",""sr"")"),"степени, минуте секунде (ДМС)")</f>
        <v>степени, минуте секунде (ДМС)</v>
      </c>
    </row>
    <row r="199">
      <c r="A199" s="3" t="s">
        <v>426</v>
      </c>
      <c r="B199" s="3" t="s">
        <v>427</v>
      </c>
      <c r="C199" s="4" t="str">
        <f>IFERROR(__xludf.DUMMYFUNCTION("GOOGLETRANSLATE(B199,""en"",""ta"")"),"டிகிரி தசம நிமிடங்கள் (DDM)")</f>
        <v>டிகிரி தசம நிமிடங்கள் (DDM)</v>
      </c>
      <c r="D199" s="4" t="str">
        <f>IFERROR(__xludf.DUMMYFUNCTION("GOOGLETRANSLATE(B199,""en"",""hi"")"),"डिग्री दशमलव मिनट (डीडीएम)")</f>
        <v>डिग्री दशमलव मिनट (डीडीएम)</v>
      </c>
      <c r="E199" s="4" t="str">
        <f>IFERROR(__xludf.DUMMYFUNCTION("GOOGLETRANSLATE(B199,""en"",""id"")"),"Derajat Desimal Menit (DDM)")</f>
        <v>Derajat Desimal Menit (DDM)</v>
      </c>
      <c r="F199" s="4" t="str">
        <f>IFERROR(__xludf.DUMMYFUNCTION("GOOGLETRANSLATE(B199,""en"",""ms"")"),"Minit Perpuluhan Darjah (DDM)")</f>
        <v>Minit Perpuluhan Darjah (DDM)</v>
      </c>
      <c r="G199" s="4" t="str">
        <f>IFERROR(__xludf.DUMMYFUNCTION("GOOGLETRANSLATE(B199,""en"",""de"")"),"Grad Dezimalminuten (DDM)")</f>
        <v>Grad Dezimalminuten (DDM)</v>
      </c>
      <c r="H199" s="4" t="str">
        <f>IFERROR(__xludf.DUMMYFUNCTION("GOOGLETRANSLATE(B199,""en"",""es"")"),"Grados Minutos Decimales (DDM)")</f>
        <v>Grados Minutos Decimales (DDM)</v>
      </c>
      <c r="I199" s="4" t="str">
        <f>IFERROR(__xludf.DUMMYFUNCTION("GOOGLETRANSLATE(B199,""en"",""fr"")"),"Degrés Minutes Décimales (DDM)")</f>
        <v>Degrés Minutes Décimales (DDM)</v>
      </c>
      <c r="J199" s="4" t="str">
        <f>IFERROR(__xludf.DUMMYFUNCTION("GOOGLETRANSLATE(B199,""en"",""it"")"),"Gradi Minuti Decimali (DDM)")</f>
        <v>Gradi Minuti Decimali (DDM)</v>
      </c>
      <c r="K199" s="4" t="str">
        <f>IFERROR(__xludf.DUMMYFUNCTION("GOOGLETRANSLATE(B199,""en"",""pt"")"),"Graus Decimais Minutos (DDM)")</f>
        <v>Graus Decimais Minutos (DDM)</v>
      </c>
      <c r="L199" s="4" t="str">
        <f>IFERROR(__xludf.DUMMYFUNCTION("GOOGLETRANSLATE(B199,""en"",""ro"")"),"Grade zecimale minute (DDM)")</f>
        <v>Grade zecimale minute (DDM)</v>
      </c>
      <c r="M199" s="4" t="str">
        <f>IFERROR(__xludf.DUMMYFUNCTION("GOOGLETRANSLATE(B199,""en"",""vi"")"),"Độ Thập Phân Phút (DDM)")</f>
        <v>Độ Thập Phân Phút (DDM)</v>
      </c>
      <c r="N199" s="4" t="str">
        <f>IFERROR(__xludf.DUMMYFUNCTION("GOOGLETRANSLATE(B199,""en"",""ru"")"),"Градусы Десятичные минуты (DDM)")</f>
        <v>Градусы Десятичные минуты (DDM)</v>
      </c>
      <c r="O199" s="4" t="str">
        <f>IFERROR(__xludf.DUMMYFUNCTION("GOOGLETRANSLATE(B199,""en"",""tr"")"),"Derece Ondalık Dakika (DDM)")</f>
        <v>Derece Ondalık Dakika (DDM)</v>
      </c>
      <c r="P199" s="4" t="str">
        <f>IFERROR(__xludf.DUMMYFUNCTION("GOOGLETRANSLATE(B199,""en"",""ar"")"),"الدرجات والدقائق العشرية (DDM)")</f>
        <v>الدرجات والدقائق العشرية (DDM)</v>
      </c>
      <c r="Q199" s="4" t="str">
        <f>IFERROR(__xludf.DUMMYFUNCTION("GOOGLETRANSLATE(B199,""en"",""mr"")"),"अंश दशांश मिनिटे (DDM)")</f>
        <v>अंश दशांश मिनिटे (DDM)</v>
      </c>
      <c r="R199" s="4" t="str">
        <f>IFERROR(__xludf.DUMMYFUNCTION("GOOGLETRANSLATE(B199,""en"",""gu"")"),"ડિગ્રી દશાંશ મિનિટ (DDM)")</f>
        <v>ડિગ્રી દશાંશ મિનિટ (DDM)</v>
      </c>
      <c r="S199" s="4" t="str">
        <f>IFERROR(__xludf.DUMMYFUNCTION("GOOGLETRANSLATE(B199,""en"",""bn"")"),"ডিগ্রি দশমিক মিনিট (DDM)")</f>
        <v>ডিগ্রি দশমিক মিনিট (DDM)</v>
      </c>
      <c r="T199" s="4" t="str">
        <f>IFERROR(__xludf.DUMMYFUNCTION("GOOGLETRANSLATE(B199,""en"",""pa"")"),"ਡਿਗਰੀ ਦਸ਼ਮਲਵ ਮਿੰਟ (DDM)")</f>
        <v>ਡਿਗਰੀ ਦਸ਼ਮਲਵ ਮਿੰਟ (DDM)</v>
      </c>
      <c r="U199" s="4" t="str">
        <f>IFERROR(__xludf.DUMMYFUNCTION("GOOGLETRANSLATE(B199,""en"",""te"")"),"డిగ్రీల దశాంశ నిమిషాలు (DDM)")</f>
        <v>డిగ్రీల దశాంశ నిమిషాలు (DDM)</v>
      </c>
      <c r="V199" s="4" t="str">
        <f>IFERROR(__xludf.DUMMYFUNCTION("GOOGLETRANSLATE(B199,""en"",""kn"")"),"ಡಿಗ್ರಿ ದಶಮಾಂಶ ನಿಮಿಷಗಳು (DDM)")</f>
        <v>ಡಿಗ್ರಿ ದಶಮಾಂಶ ನಿಮಿಷಗಳು (DDM)</v>
      </c>
      <c r="W199" s="4" t="str">
        <f>IFERROR(__xludf.DUMMYFUNCTION("GOOGLETRANSLATE(B199,""en"",""ml"")"),"ഡിഗ്രി ഡെസിമൽ മിനിറ്റ് (DDM)")</f>
        <v>ഡിഗ്രി ഡെസിമൽ മിനിറ്റ് (DDM)</v>
      </c>
      <c r="X199" s="4" t="str">
        <f>IFERROR(__xludf.DUMMYFUNCTION("GOOGLETRANSLATE(B199,""en"",""th"")"),"องศาทศนิยมนาที (DDM)")</f>
        <v>องศาทศนิยมนาที (DDM)</v>
      </c>
      <c r="Y199" s="4" t="str">
        <f>IFERROR(__xludf.DUMMYFUNCTION("GOOGLETRANSLATE(B199,""en"",""ko"")"),"도 십진 분(DDM)")</f>
        <v>도 십진 분(DDM)</v>
      </c>
      <c r="Z199" s="4" t="str">
        <f>IFERROR(__xludf.DUMMYFUNCTION("GOOGLETRANSLATE(B199,""en"",""zh"")"),"十进制度分 (DDM)")</f>
        <v>十进制度分 (DDM)</v>
      </c>
      <c r="AA199" s="4" t="str">
        <f>IFERROR(__xludf.DUMMYFUNCTION("GOOGLETRANSLATE(B199,""en"",""zh-TW"")"),"十進制度分 (DDM)")</f>
        <v>十進制度分 (DDM)</v>
      </c>
      <c r="AB199" s="4" t="str">
        <f>IFERROR(__xludf.DUMMYFUNCTION("GOOGLETRANSLATE(B199,""en"",""ja"")"),"度十進分（DDM）")</f>
        <v>度十進分（DDM）</v>
      </c>
      <c r="AC199" s="4" t="str">
        <f>IFERROR(__xludf.DUMMYFUNCTION("GOOGLETRANSLATE(B199,""en"",""bg"")"),"Градуси десетични минути (DDM)")</f>
        <v>Градуси десетични минути (DDM)</v>
      </c>
      <c r="AD199" s="4" t="str">
        <f>IFERROR(__xludf.DUMMYFUNCTION("GOOGLETRANSLATE(B199,""en"",""cs"")"),"Stupně desetinných minut (DDM)")</f>
        <v>Stupně desetinných minut (DDM)</v>
      </c>
      <c r="AE199" s="4" t="str">
        <f>IFERROR(__xludf.DUMMYFUNCTION("GOOGLETRANSLATE(B199,""en"",""da"")"),"Grader decimalminutter (DDM)")</f>
        <v>Grader decimalminutter (DDM)</v>
      </c>
      <c r="AF199" s="4" t="str">
        <f>IFERROR(__xludf.DUMMYFUNCTION("GOOGLETRANSLATE(B199,""en"",""el"")"),"Δεκαδικά λεπτά μοιρών (DDM)")</f>
        <v>Δεκαδικά λεπτά μοιρών (DDM)</v>
      </c>
      <c r="AG199" s="4" t="str">
        <f>IFERROR(__xludf.DUMMYFUNCTION("GOOGLETRANSLATE(B199,""en"",""et"")"),"Dekraadid kümnendminutid (DDM)")</f>
        <v>Dekraadid kümnendminutid (DDM)</v>
      </c>
      <c r="AH199" s="4" t="str">
        <f>IFERROR(__xludf.DUMMYFUNCTION("GOOGLETRANSLATE(B199,""en"",""fi"")"),"Asteet desimaaliminuutit (DDM)")</f>
        <v>Asteet desimaaliminuutit (DDM)</v>
      </c>
      <c r="AI199" s="4" t="str">
        <f>IFERROR(__xludf.DUMMYFUNCTION("GOOGLETRANSLATE(B199,""en"",""hr"")"),"Decimalne minute u stupnjevima (DDM)")</f>
        <v>Decimalne minute u stupnjevima (DDM)</v>
      </c>
      <c r="AJ199" s="4" t="str">
        <f>IFERROR(__xludf.DUMMYFUNCTION("GOOGLETRANSLATE(B199,""en"",""hu"")"),"Fok tizedes perc (DDM)")</f>
        <v>Fok tizedes perc (DDM)</v>
      </c>
      <c r="AK199" s="4" t="str">
        <f>IFERROR(__xludf.DUMMYFUNCTION("GOOGLETRANSLATE(B199,""en"",""hy"")"),"Աստիճանների տասնորդական րոպեներ (DDM)")</f>
        <v>Աստիճանների տասնորդական րոպեներ (DDM)</v>
      </c>
      <c r="AL199" s="4" t="str">
        <f>IFERROR(__xludf.DUMMYFUNCTION("GOOGLETRANSLATE(B199,""en"",""ca"")"),"Graus Decimal Minuts (DDM)")</f>
        <v>Graus Decimal Minuts (DDM)</v>
      </c>
      <c r="AM199" s="4" t="str">
        <f>IFERROR(__xludf.DUMMYFUNCTION("GOOGLETRANSLATE(B199,""en"",""nl"")"),"Graden Decimale Minuten (DDM)")</f>
        <v>Graden Decimale Minuten (DDM)</v>
      </c>
      <c r="AN199" s="4" t="str">
        <f>IFERROR(__xludf.DUMMYFUNCTION("GOOGLETRANSLATE(B199,""en"",""he"")"),"מעלות עשרוניות דקות (DDM)")</f>
        <v>מעלות עשרוניות דקות (DDM)</v>
      </c>
      <c r="AO199" s="4" t="str">
        <f>IFERROR(__xludf.DUMMYFUNCTION("GOOGLETRANSLATE(B199,""en"",""is"")"),"Degrees Decimal Minutes (DDM)")</f>
        <v>Degrees Decimal Minutes (DDM)</v>
      </c>
      <c r="AP199" s="4" t="str">
        <f>IFERROR(__xludf.DUMMYFUNCTION("GOOGLETRANSLATE(B199,""en"",""no"")"),"Grader desimalminutter (DDM)")</f>
        <v>Grader desimalminutter (DDM)</v>
      </c>
      <c r="AQ199" s="4" t="str">
        <f>IFERROR(__xludf.DUMMYFUNCTION("GOOGLETRANSLATE(B199,""en"",""fa"")"),"دقیقه اعشاری درجه (DDM)")</f>
        <v>دقیقه اعشاری درجه (DDM)</v>
      </c>
      <c r="AR199" s="4" t="str">
        <f>IFERROR(__xludf.DUMMYFUNCTION("GOOGLETRANSLATE(B199,""en"",""pl"")"),"Stopnie i minuty dziesiętne (DDM)")</f>
        <v>Stopnie i minuty dziesiętne (DDM)</v>
      </c>
      <c r="AS199" s="4" t="str">
        <f>IFERROR(__xludf.DUMMYFUNCTION("GOOGLETRANSLATE(B199,""en"",""sv"")"),"Grader decimalminuter (DDM)")</f>
        <v>Grader decimalminuter (DDM)</v>
      </c>
      <c r="AT199" s="4" t="str">
        <f>IFERROR(__xludf.DUMMYFUNCTION("GOOGLETRANSLATE(B199,""en"",""uk"")"),"Градуси, десяткові хвилини (DDM)")</f>
        <v>Градуси, десяткові хвилини (DDM)</v>
      </c>
      <c r="AU199" s="4" t="str">
        <f>IFERROR(__xludf.DUMMYFUNCTION("GOOGLETRANSLATE(B199,""en"",""zu"")"),"AmaDegree Decimal Amaminithi (DDM)")</f>
        <v>AmaDegree Decimal Amaminithi (DDM)</v>
      </c>
      <c r="AV199" s="4" t="str">
        <f>IFERROR(__xludf.DUMMYFUNCTION("GOOGLETRANSLATE(B199,""en"",""sr"")"),"Децимални минути (ДДМ)")</f>
        <v>Децимални минути (ДДМ)</v>
      </c>
    </row>
    <row r="200">
      <c r="A200" s="3" t="s">
        <v>428</v>
      </c>
      <c r="B200" s="3" t="s">
        <v>429</v>
      </c>
      <c r="C200" s="4" t="str">
        <f>IFERROR(__xludf.DUMMYFUNCTION("GOOGLETRANSLATE(B200,""en"",""ta"")"),"யுடிஎம்")</f>
        <v>யுடிஎம்</v>
      </c>
      <c r="D200" s="4" t="str">
        <f>IFERROR(__xludf.DUMMYFUNCTION("GOOGLETRANSLATE(B200,""en"",""hi"")"),"यूटीएम")</f>
        <v>यूटीएम</v>
      </c>
      <c r="E200" s="4" t="str">
        <f>IFERROR(__xludf.DUMMYFUNCTION("GOOGLETRANSLATE(B200,""en"",""id"")"),"Bahasa Indonesia: UTM")</f>
        <v>Bahasa Indonesia: UTM</v>
      </c>
      <c r="F200" s="4" t="str">
        <f>IFERROR(__xludf.DUMMYFUNCTION("GOOGLETRANSLATE(B200,""en"",""ms"")"),"UTM")</f>
        <v>UTM</v>
      </c>
      <c r="G200" s="4" t="str">
        <f>IFERROR(__xludf.DUMMYFUNCTION("GOOGLETRANSLATE(B200,""en"",""de"")"),"UTM")</f>
        <v>UTM</v>
      </c>
      <c r="H200" s="4" t="str">
        <f>IFERROR(__xludf.DUMMYFUNCTION("GOOGLETRANSLATE(B200,""en"",""es"")"),"UTM")</f>
        <v>UTM</v>
      </c>
      <c r="I200" s="4" t="str">
        <f>IFERROR(__xludf.DUMMYFUNCTION("GOOGLETRANSLATE(B200,""en"",""fr"")"),"UTM")</f>
        <v>UTM</v>
      </c>
      <c r="J200" s="4" t="str">
        <f>IFERROR(__xludf.DUMMYFUNCTION("GOOGLETRANSLATE(B200,""en"",""it"")"),"UTM")</f>
        <v>UTM</v>
      </c>
      <c r="K200" s="4" t="str">
        <f>IFERROR(__xludf.DUMMYFUNCTION("GOOGLETRANSLATE(B200,""en"",""pt"")"),"UTM")</f>
        <v>UTM</v>
      </c>
      <c r="L200" s="4" t="str">
        <f>IFERROR(__xludf.DUMMYFUNCTION("GOOGLETRANSLATE(B200,""en"",""ro"")"),"UTM")</f>
        <v>UTM</v>
      </c>
      <c r="M200" s="4" t="str">
        <f>IFERROR(__xludf.DUMMYFUNCTION("GOOGLETRANSLATE(B200,""en"",""vi"")"),"UTM")</f>
        <v>UTM</v>
      </c>
      <c r="N200" s="4" t="str">
        <f>IFERROR(__xludf.DUMMYFUNCTION("GOOGLETRANSLATE(B200,""en"",""ru"")"),"УТМ")</f>
        <v>УТМ</v>
      </c>
      <c r="O200" s="4" t="str">
        <f>IFERROR(__xludf.DUMMYFUNCTION("GOOGLETRANSLATE(B200,""en"",""tr"")"),"UTM")</f>
        <v>UTM</v>
      </c>
      <c r="P200" s="4" t="str">
        <f>IFERROR(__xludf.DUMMYFUNCTION("GOOGLETRANSLATE(B200,""en"",""ar"")"),"جامعة تورنتو ميسيسيبي")</f>
        <v>جامعة تورنتو ميسيسيبي</v>
      </c>
      <c r="Q200" s="4" t="str">
        <f>IFERROR(__xludf.DUMMYFUNCTION("GOOGLETRANSLATE(B200,""en"",""mr"")"),"UTM")</f>
        <v>UTM</v>
      </c>
      <c r="R200" s="4" t="str">
        <f>IFERROR(__xludf.DUMMYFUNCTION("GOOGLETRANSLATE(B200,""en"",""gu"")"),"યુટીએમ")</f>
        <v>યુટીએમ</v>
      </c>
      <c r="S200" s="4" t="str">
        <f>IFERROR(__xludf.DUMMYFUNCTION("GOOGLETRANSLATE(B200,""en"",""bn"")"),"ইউটিএম")</f>
        <v>ইউটিএম</v>
      </c>
      <c r="T200" s="4" t="str">
        <f>IFERROR(__xludf.DUMMYFUNCTION("GOOGLETRANSLATE(B200,""en"",""pa"")"),"UTM")</f>
        <v>UTM</v>
      </c>
      <c r="U200" s="4" t="str">
        <f>IFERROR(__xludf.DUMMYFUNCTION("GOOGLETRANSLATE(B200,""en"",""te"")"),"UTM")</f>
        <v>UTM</v>
      </c>
      <c r="V200" s="4" t="str">
        <f>IFERROR(__xludf.DUMMYFUNCTION("GOOGLETRANSLATE(B200,""en"",""kn"")"),"UTM")</f>
        <v>UTM</v>
      </c>
      <c r="W200" s="4" t="str">
        <f>IFERROR(__xludf.DUMMYFUNCTION("GOOGLETRANSLATE(B200,""en"",""ml"")"),"UTM")</f>
        <v>UTM</v>
      </c>
      <c r="X200" s="4" t="str">
        <f>IFERROR(__xludf.DUMMYFUNCTION("GOOGLETRANSLATE(B200,""en"",""th"")"),"ยูทีเอ็ม")</f>
        <v>ยูทีเอ็ม</v>
      </c>
      <c r="Y200" s="4" t="str">
        <f>IFERROR(__xludf.DUMMYFUNCTION("GOOGLETRANSLATE(B200,""en"",""ko"")"),"유티엠")</f>
        <v>유티엠</v>
      </c>
      <c r="Z200" s="4" t="str">
        <f>IFERROR(__xludf.DUMMYFUNCTION("GOOGLETRANSLATE(B200,""en"",""zh"")"),"UTM")</f>
        <v>UTM</v>
      </c>
      <c r="AA200" s="4" t="str">
        <f>IFERROR(__xludf.DUMMYFUNCTION("GOOGLETRANSLATE(B200,""en"",""zh-TW"")"),"UTM")</f>
        <v>UTM</v>
      </c>
      <c r="AB200" s="4" t="str">
        <f>IFERROR(__xludf.DUMMYFUNCTION("GOOGLETRANSLATE(B200,""en"",""ja"")"),"UTM")</f>
        <v>UTM</v>
      </c>
      <c r="AC200" s="4" t="str">
        <f>IFERROR(__xludf.DUMMYFUNCTION("GOOGLETRANSLATE(B200,""en"",""bg"")"),"UTM")</f>
        <v>UTM</v>
      </c>
      <c r="AD200" s="4" t="str">
        <f>IFERROR(__xludf.DUMMYFUNCTION("GOOGLETRANSLATE(B200,""en"",""cs"")"),"UTM")</f>
        <v>UTM</v>
      </c>
      <c r="AE200" s="4" t="str">
        <f>IFERROR(__xludf.DUMMYFUNCTION("GOOGLETRANSLATE(B200,""en"",""da"")"),"UTM")</f>
        <v>UTM</v>
      </c>
      <c r="AF200" s="4" t="str">
        <f>IFERROR(__xludf.DUMMYFUNCTION("GOOGLETRANSLATE(B200,""en"",""el"")"),"UTM")</f>
        <v>UTM</v>
      </c>
      <c r="AG200" s="4" t="str">
        <f>IFERROR(__xludf.DUMMYFUNCTION("GOOGLETRANSLATE(B200,""en"",""et"")"),"UTM")</f>
        <v>UTM</v>
      </c>
      <c r="AH200" s="4" t="str">
        <f>IFERROR(__xludf.DUMMYFUNCTION("GOOGLETRANSLATE(B200,""en"",""fi"")"),"UTM")</f>
        <v>UTM</v>
      </c>
      <c r="AI200" s="4" t="str">
        <f>IFERROR(__xludf.DUMMYFUNCTION("GOOGLETRANSLATE(B200,""en"",""hr"")"),"UTM")</f>
        <v>UTM</v>
      </c>
      <c r="AJ200" s="4" t="str">
        <f>IFERROR(__xludf.DUMMYFUNCTION("GOOGLETRANSLATE(B200,""en"",""hu"")"),"UTM")</f>
        <v>UTM</v>
      </c>
      <c r="AK200" s="4" t="str">
        <f>IFERROR(__xludf.DUMMYFUNCTION("GOOGLETRANSLATE(B200,""en"",""hy"")"),"UTM")</f>
        <v>UTM</v>
      </c>
      <c r="AL200" s="4" t="str">
        <f>IFERROR(__xludf.DUMMYFUNCTION("GOOGLETRANSLATE(B200,""en"",""ca"")"),"UTM")</f>
        <v>UTM</v>
      </c>
      <c r="AM200" s="4" t="str">
        <f>IFERROR(__xludf.DUMMYFUNCTION("GOOGLETRANSLATE(B200,""en"",""nl"")"),"UTM")</f>
        <v>UTM</v>
      </c>
      <c r="AN200" s="4" t="str">
        <f>IFERROR(__xludf.DUMMYFUNCTION("GOOGLETRANSLATE(B200,""en"",""he"")"),"UTM")</f>
        <v>UTM</v>
      </c>
      <c r="AO200" s="4" t="str">
        <f>IFERROR(__xludf.DUMMYFUNCTION("GOOGLETRANSLATE(B200,""en"",""is"")"),"UTM")</f>
        <v>UTM</v>
      </c>
      <c r="AP200" s="4" t="str">
        <f>IFERROR(__xludf.DUMMYFUNCTION("GOOGLETRANSLATE(B200,""en"",""no"")"),"UTM")</f>
        <v>UTM</v>
      </c>
      <c r="AQ200" s="4" t="str">
        <f>IFERROR(__xludf.DUMMYFUNCTION("GOOGLETRANSLATE(B200,""en"",""fa"")"),"UTM")</f>
        <v>UTM</v>
      </c>
      <c r="AR200" s="4" t="str">
        <f>IFERROR(__xludf.DUMMYFUNCTION("GOOGLETRANSLATE(B200,""en"",""pl"")"),"UTM")</f>
        <v>UTM</v>
      </c>
      <c r="AS200" s="4" t="str">
        <f>IFERROR(__xludf.DUMMYFUNCTION("GOOGLETRANSLATE(B200,""en"",""sv"")"),"UTM")</f>
        <v>UTM</v>
      </c>
      <c r="AT200" s="4" t="str">
        <f>IFERROR(__xludf.DUMMYFUNCTION("GOOGLETRANSLATE(B200,""en"",""uk"")"),"UTM")</f>
        <v>UTM</v>
      </c>
      <c r="AU200" s="4" t="str">
        <f>IFERROR(__xludf.DUMMYFUNCTION("GOOGLETRANSLATE(B200,""en"",""zu"")"),"I-UTM")</f>
        <v>I-UTM</v>
      </c>
      <c r="AV200" s="4" t="str">
        <f>IFERROR(__xludf.DUMMYFUNCTION("GOOGLETRANSLATE(B200,""en"",""sr"")"),"УТМ")</f>
        <v>УТМ</v>
      </c>
    </row>
    <row r="201">
      <c r="A201" s="3" t="s">
        <v>430</v>
      </c>
      <c r="B201" s="3" t="s">
        <v>431</v>
      </c>
      <c r="C201" s="4" t="str">
        <f>IFERROR(__xludf.DUMMYFUNCTION("GOOGLETRANSLATE(B201,""en"",""ta"")"),"தவிர்க்கவும்")</f>
        <v>தவிர்க்கவும்</v>
      </c>
      <c r="D201" s="4" t="str">
        <f>IFERROR(__xludf.DUMMYFUNCTION("GOOGLETRANSLATE(B201,""en"",""hi"")"),"छोडना")</f>
        <v>छोडना</v>
      </c>
      <c r="E201" s="4" t="str">
        <f>IFERROR(__xludf.DUMMYFUNCTION("GOOGLETRANSLATE(B201,""en"",""id"")"),"Melewati")</f>
        <v>Melewati</v>
      </c>
      <c r="F201" s="4" t="str">
        <f>IFERROR(__xludf.DUMMYFUNCTION("GOOGLETRANSLATE(B201,""en"",""ms"")"),"Langkau")</f>
        <v>Langkau</v>
      </c>
      <c r="G201" s="4" t="str">
        <f>IFERROR(__xludf.DUMMYFUNCTION("GOOGLETRANSLATE(B201,""en"",""de"")"),"Überspringen")</f>
        <v>Überspringen</v>
      </c>
      <c r="H201" s="4" t="str">
        <f>IFERROR(__xludf.DUMMYFUNCTION("GOOGLETRANSLATE(B201,""en"",""es"")"),"Saltar")</f>
        <v>Saltar</v>
      </c>
      <c r="I201" s="4" t="str">
        <f>IFERROR(__xludf.DUMMYFUNCTION("GOOGLETRANSLATE(B201,""en"",""fr"")"),"Sauter")</f>
        <v>Sauter</v>
      </c>
      <c r="J201" s="4" t="str">
        <f>IFERROR(__xludf.DUMMYFUNCTION("GOOGLETRANSLATE(B201,""en"",""it"")"),"Saltare")</f>
        <v>Saltare</v>
      </c>
      <c r="K201" s="4" t="str">
        <f>IFERROR(__xludf.DUMMYFUNCTION("GOOGLETRANSLATE(B201,""en"",""pt"")"),"Pular")</f>
        <v>Pular</v>
      </c>
      <c r="L201" s="4" t="str">
        <f>IFERROR(__xludf.DUMMYFUNCTION("GOOGLETRANSLATE(B201,""en"",""ro"")"),"Sari peste")</f>
        <v>Sari peste</v>
      </c>
      <c r="M201" s="4" t="str">
        <f>IFERROR(__xludf.DUMMYFUNCTION("GOOGLETRANSLATE(B201,""en"",""vi"")"),"Nhảy")</f>
        <v>Nhảy</v>
      </c>
      <c r="N201" s="4" t="str">
        <f>IFERROR(__xludf.DUMMYFUNCTION("GOOGLETRANSLATE(B201,""en"",""ru"")"),"Пропускать")</f>
        <v>Пропускать</v>
      </c>
      <c r="O201" s="4" t="str">
        <f>IFERROR(__xludf.DUMMYFUNCTION("GOOGLETRANSLATE(B201,""en"",""tr"")"),"Atlamak")</f>
        <v>Atlamak</v>
      </c>
      <c r="P201" s="4" t="str">
        <f>IFERROR(__xludf.DUMMYFUNCTION("GOOGLETRANSLATE(B201,""en"",""ar"")"),"يتخطى")</f>
        <v>يتخطى</v>
      </c>
      <c r="Q201" s="4" t="str">
        <f>IFERROR(__xludf.DUMMYFUNCTION("GOOGLETRANSLATE(B201,""en"",""mr"")"),"वगळा")</f>
        <v>वगळा</v>
      </c>
      <c r="R201" s="4" t="str">
        <f>IFERROR(__xludf.DUMMYFUNCTION("GOOGLETRANSLATE(B201,""en"",""gu"")"),"છોડો")</f>
        <v>છોડો</v>
      </c>
      <c r="S201" s="4" t="str">
        <f>IFERROR(__xludf.DUMMYFUNCTION("GOOGLETRANSLATE(B201,""en"",""bn"")"),"এড়িয়ে যান")</f>
        <v>এড়িয়ে যান</v>
      </c>
      <c r="T201" s="4" t="str">
        <f>IFERROR(__xludf.DUMMYFUNCTION("GOOGLETRANSLATE(B201,""en"",""pa"")"),"ਛੱਡੋ")</f>
        <v>ਛੱਡੋ</v>
      </c>
      <c r="U201" s="4" t="str">
        <f>IFERROR(__xludf.DUMMYFUNCTION("GOOGLETRANSLATE(B201,""en"",""te"")"),"దాటవేయి")</f>
        <v>దాటవేయి</v>
      </c>
      <c r="V201" s="4" t="str">
        <f>IFERROR(__xludf.DUMMYFUNCTION("GOOGLETRANSLATE(B201,""en"",""kn"")"),"ಬಿಟ್ಟುಬಿಡಿ")</f>
        <v>ಬಿಟ್ಟುಬಿಡಿ</v>
      </c>
      <c r="W201" s="4" t="str">
        <f>IFERROR(__xludf.DUMMYFUNCTION("GOOGLETRANSLATE(B201,""en"",""ml"")"),"ഒഴിവാക്കുക")</f>
        <v>ഒഴിവാക്കുക</v>
      </c>
      <c r="X201" s="4" t="str">
        <f>IFERROR(__xludf.DUMMYFUNCTION("GOOGLETRANSLATE(B201,""en"",""th"")"),"ข้าม")</f>
        <v>ข้าม</v>
      </c>
      <c r="Y201" s="4" t="str">
        <f>IFERROR(__xludf.DUMMYFUNCTION("GOOGLETRANSLATE(B201,""en"",""ko"")"),"건너뛰다")</f>
        <v>건너뛰다</v>
      </c>
      <c r="Z201" s="4" t="str">
        <f>IFERROR(__xludf.DUMMYFUNCTION("GOOGLETRANSLATE(B201,""en"",""zh"")"),"跳过")</f>
        <v>跳过</v>
      </c>
      <c r="AA201" s="4" t="str">
        <f>IFERROR(__xludf.DUMMYFUNCTION("GOOGLETRANSLATE(B201,""en"",""zh-TW"")"),"跳過")</f>
        <v>跳過</v>
      </c>
      <c r="AB201" s="4" t="str">
        <f>IFERROR(__xludf.DUMMYFUNCTION("GOOGLETRANSLATE(B201,""en"",""ja"")"),"スキップ")</f>
        <v>スキップ</v>
      </c>
      <c r="AC201" s="4" t="str">
        <f>IFERROR(__xludf.DUMMYFUNCTION("GOOGLETRANSLATE(B201,""en"",""bg"")"),"Пропускане")</f>
        <v>Пропускане</v>
      </c>
      <c r="AD201" s="4" t="str">
        <f>IFERROR(__xludf.DUMMYFUNCTION("GOOGLETRANSLATE(B201,""en"",""cs"")"),"Přeskočit")</f>
        <v>Přeskočit</v>
      </c>
      <c r="AE201" s="4" t="str">
        <f>IFERROR(__xludf.DUMMYFUNCTION("GOOGLETRANSLATE(B201,""en"",""da"")"),"Springe")</f>
        <v>Springe</v>
      </c>
      <c r="AF201" s="4" t="str">
        <f>IFERROR(__xludf.DUMMYFUNCTION("GOOGLETRANSLATE(B201,""en"",""el"")"),"Παραλείπω")</f>
        <v>Παραλείπω</v>
      </c>
      <c r="AG201" s="4" t="str">
        <f>IFERROR(__xludf.DUMMYFUNCTION("GOOGLETRANSLATE(B201,""en"",""et"")"),"Jäta vahele")</f>
        <v>Jäta vahele</v>
      </c>
      <c r="AH201" s="4" t="str">
        <f>IFERROR(__xludf.DUMMYFUNCTION("GOOGLETRANSLATE(B201,""en"",""fi"")"),"Ohita")</f>
        <v>Ohita</v>
      </c>
      <c r="AI201" s="4" t="str">
        <f>IFERROR(__xludf.DUMMYFUNCTION("GOOGLETRANSLATE(B201,""en"",""hr"")"),"Preskočiti")</f>
        <v>Preskočiti</v>
      </c>
      <c r="AJ201" s="4" t="str">
        <f>IFERROR(__xludf.DUMMYFUNCTION("GOOGLETRANSLATE(B201,""en"",""hu"")"),"Kihagyás")</f>
        <v>Kihagyás</v>
      </c>
      <c r="AK201" s="4" t="str">
        <f>IFERROR(__xludf.DUMMYFUNCTION("GOOGLETRANSLATE(B201,""en"",""hy"")"),"Բաց թողնել")</f>
        <v>Բաց թողնել</v>
      </c>
      <c r="AL201" s="4" t="str">
        <f>IFERROR(__xludf.DUMMYFUNCTION("GOOGLETRANSLATE(B201,""en"",""ca"")"),"Saltar")</f>
        <v>Saltar</v>
      </c>
      <c r="AM201" s="4" t="str">
        <f>IFERROR(__xludf.DUMMYFUNCTION("GOOGLETRANSLATE(B201,""en"",""nl"")"),"Overslaan")</f>
        <v>Overslaan</v>
      </c>
      <c r="AN201" s="4" t="str">
        <f>IFERROR(__xludf.DUMMYFUNCTION("GOOGLETRANSLATE(B201,""en"",""he"")"),"לְדַלֵג")</f>
        <v>לְדַלֵג</v>
      </c>
      <c r="AO201" s="4" t="str">
        <f>IFERROR(__xludf.DUMMYFUNCTION("GOOGLETRANSLATE(B201,""en"",""is"")"),"Sleppa")</f>
        <v>Sleppa</v>
      </c>
      <c r="AP201" s="4" t="str">
        <f>IFERROR(__xludf.DUMMYFUNCTION("GOOGLETRANSLATE(B201,""en"",""no"")"),"Hopp over")</f>
        <v>Hopp over</v>
      </c>
      <c r="AQ201" s="4" t="str">
        <f>IFERROR(__xludf.DUMMYFUNCTION("GOOGLETRANSLATE(B201,""en"",""fa"")"),"پرش کنید")</f>
        <v>پرش کنید</v>
      </c>
      <c r="AR201" s="4" t="str">
        <f>IFERROR(__xludf.DUMMYFUNCTION("GOOGLETRANSLATE(B201,""en"",""pl"")"),"Pominąć")</f>
        <v>Pominąć</v>
      </c>
      <c r="AS201" s="4" t="str">
        <f>IFERROR(__xludf.DUMMYFUNCTION("GOOGLETRANSLATE(B201,""en"",""sv"")"),"Hoppa")</f>
        <v>Hoppa</v>
      </c>
      <c r="AT201" s="4" t="str">
        <f>IFERROR(__xludf.DUMMYFUNCTION("GOOGLETRANSLATE(B201,""en"",""uk"")"),"Пропустити")</f>
        <v>Пропустити</v>
      </c>
      <c r="AU201" s="4" t="str">
        <f>IFERROR(__xludf.DUMMYFUNCTION("GOOGLETRANSLATE(B201,""en"",""zu"")"),"Yeqa")</f>
        <v>Yeqa</v>
      </c>
      <c r="AV201" s="4" t="str">
        <f>IFERROR(__xludf.DUMMYFUNCTION("GOOGLETRANSLATE(B201,""en"",""sr"")"),"Скип")</f>
        <v>Скип</v>
      </c>
    </row>
    <row r="202">
      <c r="A202" s="3" t="s">
        <v>432</v>
      </c>
      <c r="B202" s="3" t="s">
        <v>433</v>
      </c>
      <c r="C202" s="4" t="str">
        <f>IFERROR(__xludf.DUMMYFUNCTION("GOOGLETRANSLATE(B202,""en"",""ta"")"),"அடுத்து")</f>
        <v>அடுத்து</v>
      </c>
      <c r="D202" s="4" t="str">
        <f>IFERROR(__xludf.DUMMYFUNCTION("GOOGLETRANSLATE(B202,""en"",""hi"")"),"अगला")</f>
        <v>अगला</v>
      </c>
      <c r="E202" s="4" t="str">
        <f>IFERROR(__xludf.DUMMYFUNCTION("GOOGLETRANSLATE(B202,""en"",""id"")"),"Berikutnya")</f>
        <v>Berikutnya</v>
      </c>
      <c r="F202" s="4" t="str">
        <f>IFERROR(__xludf.DUMMYFUNCTION("GOOGLETRANSLATE(B202,""en"",""ms"")"),"Seterusnya")</f>
        <v>Seterusnya</v>
      </c>
      <c r="G202" s="4" t="str">
        <f>IFERROR(__xludf.DUMMYFUNCTION("GOOGLETRANSLATE(B202,""en"",""de"")"),"Nächste")</f>
        <v>Nächste</v>
      </c>
      <c r="H202" s="4" t="str">
        <f>IFERROR(__xludf.DUMMYFUNCTION("GOOGLETRANSLATE(B202,""en"",""es"")"),"Próximo")</f>
        <v>Próximo</v>
      </c>
      <c r="I202" s="4" t="str">
        <f>IFERROR(__xludf.DUMMYFUNCTION("GOOGLETRANSLATE(B202,""en"",""fr"")"),"Suivant")</f>
        <v>Suivant</v>
      </c>
      <c r="J202" s="4" t="str">
        <f>IFERROR(__xludf.DUMMYFUNCTION("GOOGLETRANSLATE(B202,""en"",""it"")"),"Prossimo")</f>
        <v>Prossimo</v>
      </c>
      <c r="K202" s="4" t="str">
        <f>IFERROR(__xludf.DUMMYFUNCTION("GOOGLETRANSLATE(B202,""en"",""pt"")"),"Próximo")</f>
        <v>Próximo</v>
      </c>
      <c r="L202" s="4" t="str">
        <f>IFERROR(__xludf.DUMMYFUNCTION("GOOGLETRANSLATE(B202,""en"",""ro"")"),"Următorul")</f>
        <v>Următorul</v>
      </c>
      <c r="M202" s="4" t="str">
        <f>IFERROR(__xludf.DUMMYFUNCTION("GOOGLETRANSLATE(B202,""en"",""vi"")"),"Kế tiếp")</f>
        <v>Kế tiếp</v>
      </c>
      <c r="N202" s="4" t="str">
        <f>IFERROR(__xludf.DUMMYFUNCTION("GOOGLETRANSLATE(B202,""en"",""ru"")"),"Следующий")</f>
        <v>Следующий</v>
      </c>
      <c r="O202" s="4" t="str">
        <f>IFERROR(__xludf.DUMMYFUNCTION("GOOGLETRANSLATE(B202,""en"",""tr"")"),"Sonraki")</f>
        <v>Sonraki</v>
      </c>
      <c r="P202" s="4" t="str">
        <f>IFERROR(__xludf.DUMMYFUNCTION("GOOGLETRANSLATE(B202,""en"",""ar"")"),"التالي")</f>
        <v>التالي</v>
      </c>
      <c r="Q202" s="4" t="str">
        <f>IFERROR(__xludf.DUMMYFUNCTION("GOOGLETRANSLATE(B202,""en"",""mr"")"),"पुढे")</f>
        <v>पुढे</v>
      </c>
      <c r="R202" s="4" t="str">
        <f>IFERROR(__xludf.DUMMYFUNCTION("GOOGLETRANSLATE(B202,""en"",""gu"")"),"આગળ")</f>
        <v>આગળ</v>
      </c>
      <c r="S202" s="4" t="str">
        <f>IFERROR(__xludf.DUMMYFUNCTION("GOOGLETRANSLATE(B202,""en"",""bn"")"),"পরবর্তী")</f>
        <v>পরবর্তী</v>
      </c>
      <c r="T202" s="4" t="str">
        <f>IFERROR(__xludf.DUMMYFUNCTION("GOOGLETRANSLATE(B202,""en"",""pa"")"),"ਅਗਲਾ")</f>
        <v>ਅਗਲਾ</v>
      </c>
      <c r="U202" s="4" t="str">
        <f>IFERROR(__xludf.DUMMYFUNCTION("GOOGLETRANSLATE(B202,""en"",""te"")"),"తదుపరి")</f>
        <v>తదుపరి</v>
      </c>
      <c r="V202" s="4" t="str">
        <f>IFERROR(__xludf.DUMMYFUNCTION("GOOGLETRANSLATE(B202,""en"",""kn"")"),"ಮುಂದೆ")</f>
        <v>ಮುಂದೆ</v>
      </c>
      <c r="W202" s="4" t="str">
        <f>IFERROR(__xludf.DUMMYFUNCTION("GOOGLETRANSLATE(B202,""en"",""ml"")"),"അടുത്തത്")</f>
        <v>അടുത്തത്</v>
      </c>
      <c r="X202" s="4" t="str">
        <f>IFERROR(__xludf.DUMMYFUNCTION("GOOGLETRANSLATE(B202,""en"",""th"")"),"ต่อไป")</f>
        <v>ต่อไป</v>
      </c>
      <c r="Y202" s="4" t="str">
        <f>IFERROR(__xludf.DUMMYFUNCTION("GOOGLETRANSLATE(B202,""en"",""ko"")"),"다음")</f>
        <v>다음</v>
      </c>
      <c r="Z202" s="4" t="str">
        <f>IFERROR(__xludf.DUMMYFUNCTION("GOOGLETRANSLATE(B202,""en"",""zh"")"),"下一个")</f>
        <v>下一个</v>
      </c>
      <c r="AA202" s="4" t="str">
        <f>IFERROR(__xludf.DUMMYFUNCTION("GOOGLETRANSLATE(B202,""en"",""zh-TW"")"),"下一個")</f>
        <v>下一個</v>
      </c>
      <c r="AB202" s="4" t="str">
        <f>IFERROR(__xludf.DUMMYFUNCTION("GOOGLETRANSLATE(B202,""en"",""ja"")"),"次")</f>
        <v>次</v>
      </c>
      <c r="AC202" s="4" t="str">
        <f>IFERROR(__xludf.DUMMYFUNCTION("GOOGLETRANSLATE(B202,""en"",""bg"")"),"Следваща")</f>
        <v>Следваща</v>
      </c>
      <c r="AD202" s="4" t="str">
        <f>IFERROR(__xludf.DUMMYFUNCTION("GOOGLETRANSLATE(B202,""en"",""cs"")"),"Další")</f>
        <v>Další</v>
      </c>
      <c r="AE202" s="4" t="str">
        <f>IFERROR(__xludf.DUMMYFUNCTION("GOOGLETRANSLATE(B202,""en"",""da"")"),"Næste")</f>
        <v>Næste</v>
      </c>
      <c r="AF202" s="4" t="str">
        <f>IFERROR(__xludf.DUMMYFUNCTION("GOOGLETRANSLATE(B202,""en"",""el"")"),"Επόμενος")</f>
        <v>Επόμενος</v>
      </c>
      <c r="AG202" s="4" t="str">
        <f>IFERROR(__xludf.DUMMYFUNCTION("GOOGLETRANSLATE(B202,""en"",""et"")"),"Edasi")</f>
        <v>Edasi</v>
      </c>
      <c r="AH202" s="4" t="str">
        <f>IFERROR(__xludf.DUMMYFUNCTION("GOOGLETRANSLATE(B202,""en"",""fi"")"),"Seuraavaksi")</f>
        <v>Seuraavaksi</v>
      </c>
      <c r="AI202" s="4" t="str">
        <f>IFERROR(__xludf.DUMMYFUNCTION("GOOGLETRANSLATE(B202,""en"",""hr"")"),"Sljedeći")</f>
        <v>Sljedeći</v>
      </c>
      <c r="AJ202" s="4" t="str">
        <f>IFERROR(__xludf.DUMMYFUNCTION("GOOGLETRANSLATE(B202,""en"",""hu"")"),"Következő")</f>
        <v>Következő</v>
      </c>
      <c r="AK202" s="4" t="str">
        <f>IFERROR(__xludf.DUMMYFUNCTION("GOOGLETRANSLATE(B202,""en"",""hy"")"),"Հաջորդը")</f>
        <v>Հաջորդը</v>
      </c>
      <c r="AL202" s="4" t="str">
        <f>IFERROR(__xludf.DUMMYFUNCTION("GOOGLETRANSLATE(B202,""en"",""ca"")"),"A continuació")</f>
        <v>A continuació</v>
      </c>
      <c r="AM202" s="4" t="str">
        <f>IFERROR(__xludf.DUMMYFUNCTION("GOOGLETRANSLATE(B202,""en"",""nl"")"),"Volgende")</f>
        <v>Volgende</v>
      </c>
      <c r="AN202" s="4" t="str">
        <f>IFERROR(__xludf.DUMMYFUNCTION("GOOGLETRANSLATE(B202,""en"",""he"")"),"הַבָּא")</f>
        <v>הַבָּא</v>
      </c>
      <c r="AO202" s="4" t="str">
        <f>IFERROR(__xludf.DUMMYFUNCTION("GOOGLETRANSLATE(B202,""en"",""is"")"),"Næst")</f>
        <v>Næst</v>
      </c>
      <c r="AP202" s="4" t="str">
        <f>IFERROR(__xludf.DUMMYFUNCTION("GOOGLETRANSLATE(B202,""en"",""no"")"),"Neste")</f>
        <v>Neste</v>
      </c>
      <c r="AQ202" s="4" t="str">
        <f>IFERROR(__xludf.DUMMYFUNCTION("GOOGLETRANSLATE(B202,""en"",""fa"")"),"بعدی")</f>
        <v>بعدی</v>
      </c>
      <c r="AR202" s="4" t="str">
        <f>IFERROR(__xludf.DUMMYFUNCTION("GOOGLETRANSLATE(B202,""en"",""pl"")"),"Następny")</f>
        <v>Następny</v>
      </c>
      <c r="AS202" s="4" t="str">
        <f>IFERROR(__xludf.DUMMYFUNCTION("GOOGLETRANSLATE(B202,""en"",""sv"")"),"Nästa")</f>
        <v>Nästa</v>
      </c>
      <c r="AT202" s="4" t="str">
        <f>IFERROR(__xludf.DUMMYFUNCTION("GOOGLETRANSLATE(B202,""en"",""uk"")"),"Далі")</f>
        <v>Далі</v>
      </c>
      <c r="AU202" s="4" t="str">
        <f>IFERROR(__xludf.DUMMYFUNCTION("GOOGLETRANSLATE(B202,""en"",""zu"")"),"Olandelayo")</f>
        <v>Olandelayo</v>
      </c>
      <c r="AV202" s="4" t="str">
        <f>IFERROR(__xludf.DUMMYFUNCTION("GOOGLETRANSLATE(B202,""en"",""sr"")"),"Следеће")</f>
        <v>Следеће</v>
      </c>
    </row>
    <row r="203">
      <c r="A203" s="3" t="s">
        <v>434</v>
      </c>
      <c r="B203" s="3" t="s">
        <v>435</v>
      </c>
      <c r="C203" s="4" t="str">
        <f>IFERROR(__xludf.DUMMYFUNCTION("GOOGLETRANSLATE(B203,""en"",""ta"")"),"தொடங்குங்கள்")</f>
        <v>தொடங்குங்கள்</v>
      </c>
      <c r="D203" s="4" t="str">
        <f>IFERROR(__xludf.DUMMYFUNCTION("GOOGLETRANSLATE(B203,""en"",""hi"")"),"शुरू हो जाओ")</f>
        <v>शुरू हो जाओ</v>
      </c>
      <c r="E203" s="4" t="str">
        <f>IFERROR(__xludf.DUMMYFUNCTION("GOOGLETRANSLATE(B203,""en"",""id"")"),"Memulai")</f>
        <v>Memulai</v>
      </c>
      <c r="F203" s="4" t="str">
        <f>IFERROR(__xludf.DUMMYFUNCTION("GOOGLETRANSLATE(B203,""en"",""ms"")"),"Mulakan")</f>
        <v>Mulakan</v>
      </c>
      <c r="G203" s="4" t="str">
        <f>IFERROR(__xludf.DUMMYFUNCTION("GOOGLETRANSLATE(B203,""en"",""de"")"),"Erste Schritte")</f>
        <v>Erste Schritte</v>
      </c>
      <c r="H203" s="4" t="str">
        <f>IFERROR(__xludf.DUMMYFUNCTION("GOOGLETRANSLATE(B203,""en"",""es"")"),"Empezar")</f>
        <v>Empezar</v>
      </c>
      <c r="I203" s="4" t="str">
        <f>IFERROR(__xludf.DUMMYFUNCTION("GOOGLETRANSLATE(B203,""en"",""fr"")"),"Commencer")</f>
        <v>Commencer</v>
      </c>
      <c r="J203" s="4" t="str">
        <f>IFERROR(__xludf.DUMMYFUNCTION("GOOGLETRANSLATE(B203,""en"",""it"")"),"Per iniziare")</f>
        <v>Per iniziare</v>
      </c>
      <c r="K203" s="4" t="str">
        <f>IFERROR(__xludf.DUMMYFUNCTION("GOOGLETRANSLATE(B203,""en"",""pt"")"),"Começar")</f>
        <v>Começar</v>
      </c>
      <c r="L203" s="4" t="str">
        <f>IFERROR(__xludf.DUMMYFUNCTION("GOOGLETRANSLATE(B203,""en"",""ro"")"),"Începeți")</f>
        <v>Începeți</v>
      </c>
      <c r="M203" s="4" t="str">
        <f>IFERROR(__xludf.DUMMYFUNCTION("GOOGLETRANSLATE(B203,""en"",""vi"")"),"Bắt đầu")</f>
        <v>Bắt đầu</v>
      </c>
      <c r="N203" s="4" t="str">
        <f>IFERROR(__xludf.DUMMYFUNCTION("GOOGLETRANSLATE(B203,""en"",""ru"")"),"Начать")</f>
        <v>Начать</v>
      </c>
      <c r="O203" s="4" t="str">
        <f>IFERROR(__xludf.DUMMYFUNCTION("GOOGLETRANSLATE(B203,""en"",""tr"")"),"Başlayın")</f>
        <v>Başlayın</v>
      </c>
      <c r="P203" s="4" t="str">
        <f>IFERROR(__xludf.DUMMYFUNCTION("GOOGLETRANSLATE(B203,""en"",""ar"")"),"البدء")</f>
        <v>البدء</v>
      </c>
      <c r="Q203" s="4" t="str">
        <f>IFERROR(__xludf.DUMMYFUNCTION("GOOGLETRANSLATE(B203,""en"",""mr"")"),"प्रारंभ करा")</f>
        <v>प्रारंभ करा</v>
      </c>
      <c r="R203" s="4" t="str">
        <f>IFERROR(__xludf.DUMMYFUNCTION("GOOGLETRANSLATE(B203,""en"",""gu"")"),"પ્રારંભ કરો")</f>
        <v>પ્રારંભ કરો</v>
      </c>
      <c r="S203" s="4" t="str">
        <f>IFERROR(__xludf.DUMMYFUNCTION("GOOGLETRANSLATE(B203,""en"",""bn"")"),"শুরু করুন")</f>
        <v>শুরু করুন</v>
      </c>
      <c r="T203" s="4" t="str">
        <f>IFERROR(__xludf.DUMMYFUNCTION("GOOGLETRANSLATE(B203,""en"",""pa"")"),"ਸ਼ੁਰੂ ਕਰੋ")</f>
        <v>ਸ਼ੁਰੂ ਕਰੋ</v>
      </c>
      <c r="U203" s="4" t="str">
        <f>IFERROR(__xludf.DUMMYFUNCTION("GOOGLETRANSLATE(B203,""en"",""te"")"),"ప్రారంభించండి")</f>
        <v>ప్రారంభించండి</v>
      </c>
      <c r="V203" s="4" t="str">
        <f>IFERROR(__xludf.DUMMYFUNCTION("GOOGLETRANSLATE(B203,""en"",""kn"")"),"ಪ್ರಾರಂಭಿಸಿ")</f>
        <v>ಪ್ರಾರಂಭಿಸಿ</v>
      </c>
      <c r="W203" s="4" t="str">
        <f>IFERROR(__xludf.DUMMYFUNCTION("GOOGLETRANSLATE(B203,""en"",""ml"")"),"ആരംഭിക്കുക")</f>
        <v>ആരംഭിക്കുക</v>
      </c>
      <c r="X203" s="4" t="str">
        <f>IFERROR(__xludf.DUMMYFUNCTION("GOOGLETRANSLATE(B203,""en"",""th"")"),"เริ่มต้นใช้งาน")</f>
        <v>เริ่มต้นใช้งาน</v>
      </c>
      <c r="Y203" s="4" t="str">
        <f>IFERROR(__xludf.DUMMYFUNCTION("GOOGLETRANSLATE(B203,""en"",""ko"")"),"시작하기")</f>
        <v>시작하기</v>
      </c>
      <c r="Z203" s="4" t="str">
        <f>IFERROR(__xludf.DUMMYFUNCTION("GOOGLETRANSLATE(B203,""en"",""zh"")"),"开始")</f>
        <v>开始</v>
      </c>
      <c r="AA203" s="4" t="str">
        <f>IFERROR(__xludf.DUMMYFUNCTION("GOOGLETRANSLATE(B203,""en"",""zh-TW"")"),"開始")</f>
        <v>開始</v>
      </c>
      <c r="AB203" s="4" t="str">
        <f>IFERROR(__xludf.DUMMYFUNCTION("GOOGLETRANSLATE(B203,""en"",""ja"")"),"始める")</f>
        <v>始める</v>
      </c>
      <c r="AC203" s="4" t="str">
        <f>IFERROR(__xludf.DUMMYFUNCTION("GOOGLETRANSLATE(B203,""en"",""bg"")"),"Започнете")</f>
        <v>Започнете</v>
      </c>
      <c r="AD203" s="4" t="str">
        <f>IFERROR(__xludf.DUMMYFUNCTION("GOOGLETRANSLATE(B203,""en"",""cs"")"),"Začněte")</f>
        <v>Začněte</v>
      </c>
      <c r="AE203" s="4" t="str">
        <f>IFERROR(__xludf.DUMMYFUNCTION("GOOGLETRANSLATE(B203,""en"",""da"")"),"Kom i gang")</f>
        <v>Kom i gang</v>
      </c>
      <c r="AF203" s="4" t="str">
        <f>IFERROR(__xludf.DUMMYFUNCTION("GOOGLETRANSLATE(B203,""en"",""el"")"),"Ξεκινήστε")</f>
        <v>Ξεκινήστε</v>
      </c>
      <c r="AG203" s="4" t="str">
        <f>IFERROR(__xludf.DUMMYFUNCTION("GOOGLETRANSLATE(B203,""en"",""et"")"),"Alustage")</f>
        <v>Alustage</v>
      </c>
      <c r="AH203" s="4" t="str">
        <f>IFERROR(__xludf.DUMMYFUNCTION("GOOGLETRANSLATE(B203,""en"",""fi"")"),"Aloita")</f>
        <v>Aloita</v>
      </c>
      <c r="AI203" s="4" t="str">
        <f>IFERROR(__xludf.DUMMYFUNCTION("GOOGLETRANSLATE(B203,""en"",""hr"")"),"Započnite")</f>
        <v>Započnite</v>
      </c>
      <c r="AJ203" s="4" t="str">
        <f>IFERROR(__xludf.DUMMYFUNCTION("GOOGLETRANSLATE(B203,""en"",""hu"")"),"Kezdje el")</f>
        <v>Kezdje el</v>
      </c>
      <c r="AK203" s="4" t="str">
        <f>IFERROR(__xludf.DUMMYFUNCTION("GOOGLETRANSLATE(B203,""en"",""hy"")"),"Սկսեք")</f>
        <v>Սկսեք</v>
      </c>
      <c r="AL203" s="4" t="str">
        <f>IFERROR(__xludf.DUMMYFUNCTION("GOOGLETRANSLATE(B203,""en"",""ca"")"),"Comença")</f>
        <v>Comença</v>
      </c>
      <c r="AM203" s="4" t="str">
        <f>IFERROR(__xludf.DUMMYFUNCTION("GOOGLETRANSLATE(B203,""en"",""nl"")"),"Aan de slag")</f>
        <v>Aan de slag</v>
      </c>
      <c r="AN203" s="4" t="str">
        <f>IFERROR(__xludf.DUMMYFUNCTION("GOOGLETRANSLATE(B203,""en"",""he"")"),"התחל")</f>
        <v>התחל</v>
      </c>
      <c r="AO203" s="4" t="str">
        <f>IFERROR(__xludf.DUMMYFUNCTION("GOOGLETRANSLATE(B203,""en"",""is"")"),"Byrjaðu")</f>
        <v>Byrjaðu</v>
      </c>
      <c r="AP203" s="4" t="str">
        <f>IFERROR(__xludf.DUMMYFUNCTION("GOOGLETRANSLATE(B203,""en"",""no"")"),"Kom i gang")</f>
        <v>Kom i gang</v>
      </c>
      <c r="AQ203" s="4" t="str">
        <f>IFERROR(__xludf.DUMMYFUNCTION("GOOGLETRANSLATE(B203,""en"",""fa"")"),"شروع کنید")</f>
        <v>شروع کنید</v>
      </c>
      <c r="AR203" s="4" t="str">
        <f>IFERROR(__xludf.DUMMYFUNCTION("GOOGLETRANSLATE(B203,""en"",""pl"")"),"Rozpocznij")</f>
        <v>Rozpocznij</v>
      </c>
      <c r="AS203" s="4" t="str">
        <f>IFERROR(__xludf.DUMMYFUNCTION("GOOGLETRANSLATE(B203,""en"",""sv"")"),"Kom igång")</f>
        <v>Kom igång</v>
      </c>
      <c r="AT203" s="4" t="str">
        <f>IFERROR(__xludf.DUMMYFUNCTION("GOOGLETRANSLATE(B203,""en"",""uk"")"),"Почніть роботу")</f>
        <v>Почніть роботу</v>
      </c>
      <c r="AU203" s="4" t="str">
        <f>IFERROR(__xludf.DUMMYFUNCTION("GOOGLETRANSLATE(B203,""en"",""zu"")"),"Qalisa")</f>
        <v>Qalisa</v>
      </c>
      <c r="AV203" s="4" t="str">
        <f>IFERROR(__xludf.DUMMYFUNCTION("GOOGLETRANSLATE(B203,""en"",""sr"")"),"Започните")</f>
        <v>Започните</v>
      </c>
    </row>
    <row r="204">
      <c r="A204" s="3" t="s">
        <v>436</v>
      </c>
      <c r="B204" s="3" t="s">
        <v>437</v>
      </c>
      <c r="C204" s="4" t="str">
        <f>IFERROR(__xludf.DUMMYFUNCTION("GOOGLETRANSLATE(B204,""en"",""ta"")"),"GPS கருவிகளுக்கு வரவேற்கிறோம்")</f>
        <v>GPS கருவிகளுக்கு வரவேற்கிறோம்</v>
      </c>
      <c r="D204" s="4" t="str">
        <f>IFERROR(__xludf.DUMMYFUNCTION("GOOGLETRANSLATE(B204,""en"",""hi"")"),"जीपीएस टूल्स में आपका स्वागत है")</f>
        <v>जीपीएस टूल्स में आपका स्वागत है</v>
      </c>
      <c r="E204" s="4" t="str">
        <f>IFERROR(__xludf.DUMMYFUNCTION("GOOGLETRANSLATE(B204,""en"",""id"")"),"Selamat datang di GPS Tools")</f>
        <v>Selamat datang di GPS Tools</v>
      </c>
      <c r="F204" s="4" t="str">
        <f>IFERROR(__xludf.DUMMYFUNCTION("GOOGLETRANSLATE(B204,""en"",""ms"")"),"Selamat datang ke Alat GPS")</f>
        <v>Selamat datang ke Alat GPS</v>
      </c>
      <c r="G204" s="4" t="str">
        <f>IFERROR(__xludf.DUMMYFUNCTION("GOOGLETRANSLATE(B204,""en"",""de"")"),"Willkommen bei GPS Tools")</f>
        <v>Willkommen bei GPS Tools</v>
      </c>
      <c r="H204" s="4" t="str">
        <f>IFERROR(__xludf.DUMMYFUNCTION("GOOGLETRANSLATE(B204,""en"",""es"")"),"Bienvenido a GPS Tools")</f>
        <v>Bienvenido a GPS Tools</v>
      </c>
      <c r="I204" s="4" t="str">
        <f>IFERROR(__xludf.DUMMYFUNCTION("GOOGLETRANSLATE(B204,""en"",""fr"")"),"Bienvenue sur GPS Tools")</f>
        <v>Bienvenue sur GPS Tools</v>
      </c>
      <c r="J204" s="4" t="str">
        <f>IFERROR(__xludf.DUMMYFUNCTION("GOOGLETRANSLATE(B204,""en"",""it"")"),"Benvenuti a GPS Tools")</f>
        <v>Benvenuti a GPS Tools</v>
      </c>
      <c r="K204" s="4" t="str">
        <f>IFERROR(__xludf.DUMMYFUNCTION("GOOGLETRANSLATE(B204,""en"",""pt"")"),"Bem-vindo ao GPS Tools")</f>
        <v>Bem-vindo ao GPS Tools</v>
      </c>
      <c r="L204" s="4" t="str">
        <f>IFERROR(__xludf.DUMMYFUNCTION("GOOGLETRANSLATE(B204,""en"",""ro"")"),"Bun venit la Instrumentele GPS")</f>
        <v>Bun venit la Instrumentele GPS</v>
      </c>
      <c r="M204" s="4" t="str">
        <f>IFERROR(__xludf.DUMMYFUNCTION("GOOGLETRANSLATE(B204,""en"",""vi"")"),"Chào mừng đến với Công cụ GPS")</f>
        <v>Chào mừng đến với Công cụ GPS</v>
      </c>
      <c r="N204" s="4" t="str">
        <f>IFERROR(__xludf.DUMMYFUNCTION("GOOGLETRANSLATE(B204,""en"",""ru"")"),"Добро пожаловать в GPS-инструменты")</f>
        <v>Добро пожаловать в GPS-инструменты</v>
      </c>
      <c r="O204" s="4" t="str">
        <f>IFERROR(__xludf.DUMMYFUNCTION("GOOGLETRANSLATE(B204,""en"",""tr"")"),"GPS Tools'a Hoş Geldiniz")</f>
        <v>GPS Tools'a Hoş Geldiniz</v>
      </c>
      <c r="P204" s="4" t="str">
        <f>IFERROR(__xludf.DUMMYFUNCTION("GOOGLETRANSLATE(B204,""en"",""ar"")"),"مرحباً بكم في أدوات GPS")</f>
        <v>مرحباً بكم في أدوات GPS</v>
      </c>
      <c r="Q204" s="4" t="str">
        <f>IFERROR(__xludf.DUMMYFUNCTION("GOOGLETRANSLATE(B204,""en"",""mr"")"),"GPS टूल्समध्ये आपले स्वागत आहे")</f>
        <v>GPS टूल्समध्ये आपले स्वागत आहे</v>
      </c>
      <c r="R204" s="4" t="str">
        <f>IFERROR(__xludf.DUMMYFUNCTION("GOOGLETRANSLATE(B204,""en"",""gu"")"),"GPS ટૂલ્સમાં આપનું સ્વાગત છે")</f>
        <v>GPS ટૂલ્સમાં આપનું સ્વાગત છે</v>
      </c>
      <c r="S204" s="4" t="str">
        <f>IFERROR(__xludf.DUMMYFUNCTION("GOOGLETRANSLATE(B204,""en"",""bn"")"),"GPS টুলে স্বাগতম")</f>
        <v>GPS টুলে স্বাগতম</v>
      </c>
      <c r="T204" s="4" t="str">
        <f>IFERROR(__xludf.DUMMYFUNCTION("GOOGLETRANSLATE(B204,""en"",""pa"")"),"GPS ਟੂਲਸ ਵਿੱਚ ਤੁਹਾਡਾ ਸੁਆਗਤ ਹੈ")</f>
        <v>GPS ਟੂਲਸ ਵਿੱਚ ਤੁਹਾਡਾ ਸੁਆਗਤ ਹੈ</v>
      </c>
      <c r="U204" s="4" t="str">
        <f>IFERROR(__xludf.DUMMYFUNCTION("GOOGLETRANSLATE(B204,""en"",""te"")"),"GPS సాధనాలకు స్వాగతం")</f>
        <v>GPS సాధనాలకు స్వాగతం</v>
      </c>
      <c r="V204" s="4" t="str">
        <f>IFERROR(__xludf.DUMMYFUNCTION("GOOGLETRANSLATE(B204,""en"",""kn"")"),"GPS ಪರಿಕರಗಳಿಗೆ ಸುಸ್ವಾಗತ")</f>
        <v>GPS ಪರಿಕರಗಳಿಗೆ ಸುಸ್ವಾಗತ</v>
      </c>
      <c r="W204" s="4" t="str">
        <f>IFERROR(__xludf.DUMMYFUNCTION("GOOGLETRANSLATE(B204,""en"",""ml"")"),"GPS ടൂളുകളിലേക്ക് സ്വാഗതം")</f>
        <v>GPS ടൂളുകളിലേക്ക് സ്വാഗതം</v>
      </c>
      <c r="X204" s="4" t="str">
        <f>IFERROR(__xludf.DUMMYFUNCTION("GOOGLETRANSLATE(B204,""en"",""th"")"),"ยินดีต้อนรับสู่เครื่องมือ GPS")</f>
        <v>ยินดีต้อนรับสู่เครื่องมือ GPS</v>
      </c>
      <c r="Y204" s="4" t="str">
        <f>IFERROR(__xludf.DUMMYFUNCTION("GOOGLETRANSLATE(B204,""en"",""ko"")"),"GPS 도구에 오신 것을 환영합니다")</f>
        <v>GPS 도구에 오신 것을 환영합니다</v>
      </c>
      <c r="Z204" s="4" t="str">
        <f>IFERROR(__xludf.DUMMYFUNCTION("GOOGLETRANSLATE(B204,""en"",""zh"")"),"欢迎使用 GPS 工具")</f>
        <v>欢迎使用 GPS 工具</v>
      </c>
      <c r="AA204" s="4" t="str">
        <f>IFERROR(__xludf.DUMMYFUNCTION("GOOGLETRANSLATE(B204,""en"",""zh-TW"")"),"歡迎使用 GPS 工具")</f>
        <v>歡迎使用 GPS 工具</v>
      </c>
      <c r="AB204" s="4" t="str">
        <f>IFERROR(__xludf.DUMMYFUNCTION("GOOGLETRANSLATE(B204,""en"",""ja"")"),"GPSツールへようこそ")</f>
        <v>GPSツールへようこそ</v>
      </c>
      <c r="AC204" s="4" t="str">
        <f>IFERROR(__xludf.DUMMYFUNCTION("GOOGLETRANSLATE(B204,""en"",""bg"")"),"Добре дошли в GPS инструменти")</f>
        <v>Добре дошли в GPS инструменти</v>
      </c>
      <c r="AD204" s="4" t="str">
        <f>IFERROR(__xludf.DUMMYFUNCTION("GOOGLETRANSLATE(B204,""en"",""cs"")"),"Vítejte v nástrojích GPS")</f>
        <v>Vítejte v nástrojích GPS</v>
      </c>
      <c r="AE204" s="4" t="str">
        <f>IFERROR(__xludf.DUMMYFUNCTION("GOOGLETRANSLATE(B204,""en"",""da"")"),"Velkommen til GPS-værktøjer")</f>
        <v>Velkommen til GPS-værktøjer</v>
      </c>
      <c r="AF204" s="4" t="str">
        <f>IFERROR(__xludf.DUMMYFUNCTION("GOOGLETRANSLATE(B204,""en"",""el"")"),"Καλώς ήλθατε στο GPS Tools")</f>
        <v>Καλώς ήλθατε στο GPS Tools</v>
      </c>
      <c r="AG204" s="4" t="str">
        <f>IFERROR(__xludf.DUMMYFUNCTION("GOOGLETRANSLATE(B204,""en"",""et"")"),"Tere tulemast GPS-tööriistadesse")</f>
        <v>Tere tulemast GPS-tööriistadesse</v>
      </c>
      <c r="AH204" s="4" t="str">
        <f>IFERROR(__xludf.DUMMYFUNCTION("GOOGLETRANSLATE(B204,""en"",""fi"")"),"Tervetuloa GPS-työkaluihin")</f>
        <v>Tervetuloa GPS-työkaluihin</v>
      </c>
      <c r="AI204" s="4" t="str">
        <f>IFERROR(__xludf.DUMMYFUNCTION("GOOGLETRANSLATE(B204,""en"",""hr"")"),"Dobrodošli u GPS alate")</f>
        <v>Dobrodošli u GPS alate</v>
      </c>
      <c r="AJ204" s="4" t="str">
        <f>IFERROR(__xludf.DUMMYFUNCTION("GOOGLETRANSLATE(B204,""en"",""hu"")"),"Üdvözöljük a GPS-eszközökben")</f>
        <v>Üdvözöljük a GPS-eszközökben</v>
      </c>
      <c r="AK204" s="4" t="str">
        <f>IFERROR(__xludf.DUMMYFUNCTION("GOOGLETRANSLATE(B204,""en"",""hy"")"),"Բարի գալուստ GPS գործիքներ")</f>
        <v>Բարի գալուստ GPS գործիքներ</v>
      </c>
      <c r="AL204" s="4" t="str">
        <f>IFERROR(__xludf.DUMMYFUNCTION("GOOGLETRANSLATE(B204,""en"",""ca"")"),"Benvingut a les eines GPS")</f>
        <v>Benvingut a les eines GPS</v>
      </c>
      <c r="AM204" s="4" t="str">
        <f>IFERROR(__xludf.DUMMYFUNCTION("GOOGLETRANSLATE(B204,""en"",""nl"")"),"Welkom bij GPS Tools")</f>
        <v>Welkom bij GPS Tools</v>
      </c>
      <c r="AN204" s="4" t="str">
        <f>IFERROR(__xludf.DUMMYFUNCTION("GOOGLETRANSLATE(B204,""en"",""he"")"),"ברוכים הבאים ל-GPS Tools")</f>
        <v>ברוכים הבאים ל-GPS Tools</v>
      </c>
      <c r="AO204" s="4" t="str">
        <f>IFERROR(__xludf.DUMMYFUNCTION("GOOGLETRANSLATE(B204,""en"",""is"")"),"Velkomin í GPS verkfæri")</f>
        <v>Velkomin í GPS verkfæri</v>
      </c>
      <c r="AP204" s="4" t="str">
        <f>IFERROR(__xludf.DUMMYFUNCTION("GOOGLETRANSLATE(B204,""en"",""no"")"),"Velkommen til GPS-verktøy")</f>
        <v>Velkommen til GPS-verktøy</v>
      </c>
      <c r="AQ204" s="4" t="str">
        <f>IFERROR(__xludf.DUMMYFUNCTION("GOOGLETRANSLATE(B204,""en"",""fa"")"),"به ابزار GPS خوش آمدید")</f>
        <v>به ابزار GPS خوش آمدید</v>
      </c>
      <c r="AR204" s="4" t="str">
        <f>IFERROR(__xludf.DUMMYFUNCTION("GOOGLETRANSLATE(B204,""en"",""pl"")"),"Witamy w narzędziach GPS")</f>
        <v>Witamy w narzędziach GPS</v>
      </c>
      <c r="AS204" s="4" t="str">
        <f>IFERROR(__xludf.DUMMYFUNCTION("GOOGLETRANSLATE(B204,""en"",""sv"")"),"Välkommen till GPS-verktyg")</f>
        <v>Välkommen till GPS-verktyg</v>
      </c>
      <c r="AT204" s="4" t="str">
        <f>IFERROR(__xludf.DUMMYFUNCTION("GOOGLETRANSLATE(B204,""en"",""uk"")"),"Ласкаво просимо до інструментів GPS")</f>
        <v>Ласкаво просимо до інструментів GPS</v>
      </c>
      <c r="AU204" s="4" t="str">
        <f>IFERROR(__xludf.DUMMYFUNCTION("GOOGLETRANSLATE(B204,""en"",""zu"")"),"Siyakwamukela kumathuluzi e-GPS")</f>
        <v>Siyakwamukela kumathuluzi e-GPS</v>
      </c>
      <c r="AV204" s="4" t="str">
        <f>IFERROR(__xludf.DUMMYFUNCTION("GOOGLETRANSLATE(B204,""en"",""sr"")"),"Добродошли у ГПС алате")</f>
        <v>Добродошли у ГПС алате</v>
      </c>
    </row>
    <row r="205">
      <c r="A205" s="3" t="s">
        <v>438</v>
      </c>
      <c r="B205" s="3" t="s">
        <v>439</v>
      </c>
      <c r="C205" s="4" t="str">
        <f>IFERROR(__xludf.DUMMYFUNCTION("GOOGLETRANSLATE(B205,""en"",""ta"")"),"உங்கள் ஆல் இன் ஒன் ஜிபிஎஸ் வழிசெலுத்தல் மற்றும் கண்காணிப்பு தீர்வு")</f>
        <v>உங்கள் ஆல் இன் ஒன் ஜிபிஎஸ் வழிசெலுத்தல் மற்றும் கண்காணிப்பு தீர்வு</v>
      </c>
      <c r="D205" s="4" t="str">
        <f>IFERROR(__xludf.DUMMYFUNCTION("GOOGLETRANSLATE(B205,""en"",""hi"")"),"आपका ऑल-इन-वन GPS नेविगेशन और ट्रैकिंग समाधान")</f>
        <v>आपका ऑल-इन-वन GPS नेविगेशन और ट्रैकिंग समाधान</v>
      </c>
      <c r="E205" s="4" t="str">
        <f>IFERROR(__xludf.DUMMYFUNCTION("GOOGLETRANSLATE(B205,""en"",""id"")"),"Solusi navigasi dan pelacakan GPS lengkap Anda")</f>
        <v>Solusi navigasi dan pelacakan GPS lengkap Anda</v>
      </c>
      <c r="F205" s="4" t="str">
        <f>IFERROR(__xludf.DUMMYFUNCTION("GOOGLETRANSLATE(B205,""en"",""ms"")"),"Navigasi GPS semua-dalam-satu anda dan penyelesaian penjejakan")</f>
        <v>Navigasi GPS semua-dalam-satu anda dan penyelesaian penjejakan</v>
      </c>
      <c r="G205" s="4" t="str">
        <f>IFERROR(__xludf.DUMMYFUNCTION("GOOGLETRANSLATE(B205,""en"",""de"")"),"Ihre All-in-One-GPS-Navigations- und Tracking-Lösung")</f>
        <v>Ihre All-in-One-GPS-Navigations- und Tracking-Lösung</v>
      </c>
      <c r="H205" s="4" t="str">
        <f>IFERROR(__xludf.DUMMYFUNCTION("GOOGLETRANSLATE(B205,""en"",""es"")"),"Su solución de seguimiento y navegación GPS todo en uno")</f>
        <v>Su solución de seguimiento y navegación GPS todo en uno</v>
      </c>
      <c r="I205" s="4" t="str">
        <f>IFERROR(__xludf.DUMMYFUNCTION("GOOGLETRANSLATE(B205,""en"",""fr"")"),"Votre solution de navigation et de suivi GPS tout-en-un")</f>
        <v>Votre solution de navigation et de suivi GPS tout-en-un</v>
      </c>
      <c r="J205" s="4" t="str">
        <f>IFERROR(__xludf.DUMMYFUNCTION("GOOGLETRANSLATE(B205,""en"",""it"")"),"La tua soluzione completa di navigazione e tracciamento GPS")</f>
        <v>La tua soluzione completa di navigazione e tracciamento GPS</v>
      </c>
      <c r="K205" s="4" t="str">
        <f>IFERROR(__xludf.DUMMYFUNCTION("GOOGLETRANSLATE(B205,""en"",""pt"")"),"Sua solução completa de navegação e rastreamento GPS")</f>
        <v>Sua solução completa de navegação e rastreamento GPS</v>
      </c>
      <c r="L205" s="4" t="str">
        <f>IFERROR(__xludf.DUMMYFUNCTION("GOOGLETRANSLATE(B205,""en"",""ro"")"),"Soluția dvs. de navigare și urmărire GPS all-in-one")</f>
        <v>Soluția dvs. de navigare și urmărire GPS all-in-one</v>
      </c>
      <c r="M205" s="4" t="str">
        <f>IFERROR(__xludf.DUMMYFUNCTION("GOOGLETRANSLATE(B205,""en"",""vi"")"),"Giải pháp theo dõi và định vị GPS toàn diện của bạn")</f>
        <v>Giải pháp theo dõi và định vị GPS toàn diện của bạn</v>
      </c>
      <c r="N205" s="4" t="str">
        <f>IFERROR(__xludf.DUMMYFUNCTION("GOOGLETRANSLATE(B205,""en"",""ru"")"),"Ваше комплексное решение для GPS-навигации и отслеживания")</f>
        <v>Ваше комплексное решение для GPS-навигации и отслеживания</v>
      </c>
      <c r="O205" s="4" t="str">
        <f>IFERROR(__xludf.DUMMYFUNCTION("GOOGLETRANSLATE(B205,""en"",""tr"")"),"Hepsi bir arada GPS navigasyon ve izleme çözümünüz")</f>
        <v>Hepsi bir arada GPS navigasyon ve izleme çözümünüz</v>
      </c>
      <c r="P205" s="4" t="str">
        <f>IFERROR(__xludf.DUMMYFUNCTION("GOOGLETRANSLATE(B205,""en"",""ar"")"),"حل الملاحة والتتبع GPS الشامل الخاص بك")</f>
        <v>حل الملاحة والتتبع GPS الشامل الخاص بك</v>
      </c>
      <c r="Q205" s="4" t="str">
        <f>IFERROR(__xludf.DUMMYFUNCTION("GOOGLETRANSLATE(B205,""en"",""mr"")"),"तुमचे सर्व-इन-वन GPS नेव्हिगेशन आणि ट्रॅकिंग समाधान")</f>
        <v>तुमचे सर्व-इन-वन GPS नेव्हिगेशन आणि ट्रॅकिंग समाधान</v>
      </c>
      <c r="R205" s="4" t="str">
        <f>IFERROR(__xludf.DUMMYFUNCTION("GOOGLETRANSLATE(B205,""en"",""gu"")"),"તમારું ઓલ-ઇન-વન જીપીએસ નેવિગેશન અને ટ્રેકિંગ સોલ્યુશન")</f>
        <v>તમારું ઓલ-ઇન-વન જીપીએસ નેવિગેશન અને ટ્રેકિંગ સોલ્યુશન</v>
      </c>
      <c r="S205" s="4" t="str">
        <f>IFERROR(__xludf.DUMMYFUNCTION("GOOGLETRANSLATE(B205,""en"",""bn"")"),"আপনার অল-ইন-ওয়ান জিপিএস নেভিগেশন এবং ট্র্যাকিং সমাধান")</f>
        <v>আপনার অল-ইন-ওয়ান জিপিএস নেভিগেশন এবং ট্র্যাকিং সমাধান</v>
      </c>
      <c r="T205" s="4" t="str">
        <f>IFERROR(__xludf.DUMMYFUNCTION("GOOGLETRANSLATE(B205,""en"",""pa"")"),"ਤੁਹਾਡਾ ਆਲ-ਇਨ-ਵਨ GPS ਨੈਵੀਗੇਸ਼ਨ ਅਤੇ ਟਰੈਕਿੰਗ ਹੱਲ")</f>
        <v>ਤੁਹਾਡਾ ਆਲ-ਇਨ-ਵਨ GPS ਨੈਵੀਗੇਸ਼ਨ ਅਤੇ ਟਰੈਕਿੰਗ ਹੱਲ</v>
      </c>
      <c r="U205" s="4" t="str">
        <f>IFERROR(__xludf.DUMMYFUNCTION("GOOGLETRANSLATE(B205,""en"",""te"")"),"మీ ఆల్ ఇన్ వన్ GPS నావిగేషన్ మరియు ట్రాకింగ్ సొల్యూషన్")</f>
        <v>మీ ఆల్ ఇన్ వన్ GPS నావిగేషన్ మరియు ట్రాకింగ్ సొల్యూషన్</v>
      </c>
      <c r="V205" s="4" t="str">
        <f>IFERROR(__xludf.DUMMYFUNCTION("GOOGLETRANSLATE(B205,""en"",""kn"")"),"ನಿಮ್ಮ ಆಲ್ ಇನ್ ಒನ್ ಜಿಪಿಎಸ್ ನ್ಯಾವಿಗೇಷನ್ ಮತ್ತು ಟ್ರ್ಯಾಕಿಂಗ್ ಪರಿಹಾರ")</f>
        <v>ನಿಮ್ಮ ಆಲ್ ಇನ್ ಒನ್ ಜಿಪಿಎಸ್ ನ್ಯಾವಿಗೇಷನ್ ಮತ್ತು ಟ್ರ್ಯಾಕಿಂಗ್ ಪರಿಹಾರ</v>
      </c>
      <c r="W205" s="4" t="str">
        <f>IFERROR(__xludf.DUMMYFUNCTION("GOOGLETRANSLATE(B205,""en"",""ml"")"),"നിങ്ങളുടെ ഓൾ-ഇൻ-വൺ GPS നാവിഗേഷനും ട്രാക്കിംഗ് സൊല്യൂഷനും")</f>
        <v>നിങ്ങളുടെ ഓൾ-ഇൻ-വൺ GPS നാവിഗേഷനും ട്രാക്കിംഗ് സൊല്യൂഷനും</v>
      </c>
      <c r="X205" s="4" t="str">
        <f>IFERROR(__xludf.DUMMYFUNCTION("GOOGLETRANSLATE(B205,""en"",""th"")"),"โซลูชันการติดตามและนำทาง GPS แบบครบวงจรของคุณ")</f>
        <v>โซลูชันการติดตามและนำทาง GPS แบบครบวงจรของคุณ</v>
      </c>
      <c r="Y205" s="4" t="str">
        <f>IFERROR(__xludf.DUMMYFUNCTION("GOOGLETRANSLATE(B205,""en"",""ko"")"),"올인원 GPS 내비게이션 및 추적 솔루션")</f>
        <v>올인원 GPS 내비게이션 및 추적 솔루션</v>
      </c>
      <c r="Z205" s="4" t="str">
        <f>IFERROR(__xludf.DUMMYFUNCTION("GOOGLETRANSLATE(B205,""en"",""zh"")"),"您的一体化 GPS 导航和跟踪解决方案")</f>
        <v>您的一体化 GPS 导航和跟踪解决方案</v>
      </c>
      <c r="AA205" s="4" t="str">
        <f>IFERROR(__xludf.DUMMYFUNCTION("GOOGLETRANSLATE(B205,""en"",""zh-TW"")"),"您的一體化 GPS 導航和追蹤解決方案")</f>
        <v>您的一體化 GPS 導航和追蹤解決方案</v>
      </c>
      <c r="AB205" s="4" t="str">
        <f>IFERROR(__xludf.DUMMYFUNCTION("GOOGLETRANSLATE(B205,""en"",""ja"")"),"オールインワンのGPSナビゲーションと追跡ソリューション")</f>
        <v>オールインワンのGPSナビゲーションと追跡ソリューション</v>
      </c>
      <c r="AC205" s="4" t="str">
        <f>IFERROR(__xludf.DUMMYFUNCTION("GOOGLETRANSLATE(B205,""en"",""bg"")"),"Вашето решение за GPS навигация и проследяване всичко в едно")</f>
        <v>Вашето решение за GPS навигация и проследяване всичко в едно</v>
      </c>
      <c r="AD205" s="4" t="str">
        <f>IFERROR(__xludf.DUMMYFUNCTION("GOOGLETRANSLATE(B205,""en"",""cs"")"),"Vaše řešení GPS navigace a sledování vše v jednom")</f>
        <v>Vaše řešení GPS navigace a sledování vše v jednom</v>
      </c>
      <c r="AE205" s="4" t="str">
        <f>IFERROR(__xludf.DUMMYFUNCTION("GOOGLETRANSLATE(B205,""en"",""da"")"),"Din alt-i-én GPS-navigations- og sporingsløsning")</f>
        <v>Din alt-i-én GPS-navigations- og sporingsløsning</v>
      </c>
      <c r="AF205" s="4" t="str">
        <f>IFERROR(__xludf.DUMMYFUNCTION("GOOGLETRANSLATE(B205,""en"",""el"")"),"Η λύση πλοήγησης και παρακολούθησης GPS του all-in-one")</f>
        <v>Η λύση πλοήγησης και παρακολούθησης GPS του all-in-one</v>
      </c>
      <c r="AG205" s="4" t="str">
        <f>IFERROR(__xludf.DUMMYFUNCTION("GOOGLETRANSLATE(B205,""en"",""et"")"),"Teie kõik-ühes GPS-navigatsiooni- ja jälgimislahendus")</f>
        <v>Teie kõik-ühes GPS-navigatsiooni- ja jälgimislahendus</v>
      </c>
      <c r="AH205" s="4" t="str">
        <f>IFERROR(__xludf.DUMMYFUNCTION("GOOGLETRANSLATE(B205,""en"",""fi"")"),"All-in-one GPS-navigointi- ja seurantaratkaisusi")</f>
        <v>All-in-one GPS-navigointi- ja seurantaratkaisusi</v>
      </c>
      <c r="AI205" s="4" t="str">
        <f>IFERROR(__xludf.DUMMYFUNCTION("GOOGLETRANSLATE(B205,""en"",""hr"")"),"Vaše sveobuhvatno rješenje za GPS navigaciju i praćenje")</f>
        <v>Vaše sveobuhvatno rješenje za GPS navigaciju i praćenje</v>
      </c>
      <c r="AJ205" s="4" t="str">
        <f>IFERROR(__xludf.DUMMYFUNCTION("GOOGLETRANSLATE(B205,""en"",""hu"")"),"Az Ön minden az egyben GPS-navigációs és nyomkövető megoldása")</f>
        <v>Az Ön minden az egyben GPS-navigációs és nyomkövető megoldása</v>
      </c>
      <c r="AK205" s="4" t="str">
        <f>IFERROR(__xludf.DUMMYFUNCTION("GOOGLETRANSLATE(B205,""en"",""hy"")"),"Ձեր բոլորը մեկում GPS նավիգացիայի և հետևելու լուծումը")</f>
        <v>Ձեր բոլորը մեկում GPS նավիգացիայի և հետևելու լուծումը</v>
      </c>
      <c r="AL205" s="4" t="str">
        <f>IFERROR(__xludf.DUMMYFUNCTION("GOOGLETRANSLATE(B205,""en"",""ca"")"),"La vostra solució de seguiment i navegació GPS tot en un")</f>
        <v>La vostra solució de seguiment i navegació GPS tot en un</v>
      </c>
      <c r="AM205" s="4" t="str">
        <f>IFERROR(__xludf.DUMMYFUNCTION("GOOGLETRANSLATE(B205,""en"",""nl"")"),"Uw alles-in-één GPS-navigatie- en trackingoplossing")</f>
        <v>Uw alles-in-één GPS-navigatie- en trackingoplossing</v>
      </c>
      <c r="AN205" s="4" t="str">
        <f>IFERROR(__xludf.DUMMYFUNCTION("GOOGLETRANSLATE(B205,""en"",""he"")"),"פתרון ניווט ומעקב GPS הכל-באחד שלך")</f>
        <v>פתרון ניווט ומעקב GPS הכל-באחד שלך</v>
      </c>
      <c r="AO205" s="4" t="str">
        <f>IFERROR(__xludf.DUMMYFUNCTION("GOOGLETRANSLATE(B205,""en"",""is"")"),"Allt-í-einn GPS leiðsögu- og rakningarlausnin þín")</f>
        <v>Allt-í-einn GPS leiðsögu- og rakningarlausnin þín</v>
      </c>
      <c r="AP205" s="4" t="str">
        <f>IFERROR(__xludf.DUMMYFUNCTION("GOOGLETRANSLATE(B205,""en"",""no"")"),"Din alt-i-ett GPS-navigasjons- og sporingsløsning")</f>
        <v>Din alt-i-ett GPS-navigasjons- og sporingsløsning</v>
      </c>
      <c r="AQ205" s="4" t="str">
        <f>IFERROR(__xludf.DUMMYFUNCTION("GOOGLETRANSLATE(B205,""en"",""fa"")"),"راه حل همه کاره ناوبری و ردیابی GPS شما")</f>
        <v>راه حل همه کاره ناوبری و ردیابی GPS شما</v>
      </c>
      <c r="AR205" s="4" t="str">
        <f>IFERROR(__xludf.DUMMYFUNCTION("GOOGLETRANSLATE(B205,""en"",""pl"")"),"Kompleksowe rozwiązanie do nawigacji i śledzenia GPS")</f>
        <v>Kompleksowe rozwiązanie do nawigacji i śledzenia GPS</v>
      </c>
      <c r="AS205" s="4" t="str">
        <f>IFERROR(__xludf.DUMMYFUNCTION("GOOGLETRANSLATE(B205,""en"",""sv"")"),"Din allt-i-ett GPS-navigerings- och spårningslösning")</f>
        <v>Din allt-i-ett GPS-navigerings- och spårningslösning</v>
      </c>
      <c r="AT205" s="4" t="str">
        <f>IFERROR(__xludf.DUMMYFUNCTION("GOOGLETRANSLATE(B205,""en"",""uk"")"),"Ваше комплексне рішення для GPS-навігації та відстеження")</f>
        <v>Ваше комплексне рішення для GPS-навігації та відстеження</v>
      </c>
      <c r="AU205" s="4" t="str">
        <f>IFERROR(__xludf.DUMMYFUNCTION("GOOGLETRANSLATE(B205,""en"",""zu"")"),"Isixazululo sakho se-GPS sokuzulazula nokulandela ngomkhondo")</f>
        <v>Isixazululo sakho se-GPS sokuzulazula nokulandela ngomkhondo</v>
      </c>
      <c r="AV205" s="4" t="str">
        <f>IFERROR(__xludf.DUMMYFUNCTION("GOOGLETRANSLATE(B205,""en"",""sr"")"),"Ваше све-у-једном решење за ГПС навигацију и праћење")</f>
        <v>Ваше све-у-једном решење за ГПС навигацију и праћење</v>
      </c>
    </row>
    <row r="206">
      <c r="A206" s="3" t="s">
        <v>440</v>
      </c>
      <c r="B206" s="3" t="s">
        <v>441</v>
      </c>
      <c r="C206" s="4" t="str">
        <f>IFERROR(__xludf.DUMMYFUNCTION("GOOGLETRANSLATE(B206,""en"",""ta"")"),"உங்கள் பயணத்தைக் கண்காணிக்கவும்")</f>
        <v>உங்கள் பயணத்தைக் கண்காணிக்கவும்</v>
      </c>
      <c r="D206" s="4" t="str">
        <f>IFERROR(__xludf.DUMMYFUNCTION("GOOGLETRANSLATE(B206,""en"",""hi"")"),"अपनी यात्रा पर नज़र रखें")</f>
        <v>अपनी यात्रा पर नज़र रखें</v>
      </c>
      <c r="E206" s="4" t="str">
        <f>IFERROR(__xludf.DUMMYFUNCTION("GOOGLETRANSLATE(B206,""en"",""id"")"),"Lacak Perjalanan Anda")</f>
        <v>Lacak Perjalanan Anda</v>
      </c>
      <c r="F206" s="4" t="str">
        <f>IFERROR(__xludf.DUMMYFUNCTION("GOOGLETRANSLATE(B206,""en"",""ms"")"),"Jejaki Perjalanan Anda")</f>
        <v>Jejaki Perjalanan Anda</v>
      </c>
      <c r="G206" s="4" t="str">
        <f>IFERROR(__xludf.DUMMYFUNCTION("GOOGLETRANSLATE(B206,""en"",""de"")"),"Verfolgen Sie Ihre Reise")</f>
        <v>Verfolgen Sie Ihre Reise</v>
      </c>
      <c r="H206" s="4" t="str">
        <f>IFERROR(__xludf.DUMMYFUNCTION("GOOGLETRANSLATE(B206,""en"",""es"")"),"Sigue tu viaje")</f>
        <v>Sigue tu viaje</v>
      </c>
      <c r="I206" s="4" t="str">
        <f>IFERROR(__xludf.DUMMYFUNCTION("GOOGLETRANSLATE(B206,""en"",""fr"")"),"Suivez votre voyage")</f>
        <v>Suivez votre voyage</v>
      </c>
      <c r="J206" s="4" t="str">
        <f>IFERROR(__xludf.DUMMYFUNCTION("GOOGLETRANSLATE(B206,""en"",""it"")"),"Tieni traccia del tuo viaggio")</f>
        <v>Tieni traccia del tuo viaggio</v>
      </c>
      <c r="K206" s="4" t="str">
        <f>IFERROR(__xludf.DUMMYFUNCTION("GOOGLETRANSLATE(B206,""en"",""pt"")"),"Acompanhe sua jornada")</f>
        <v>Acompanhe sua jornada</v>
      </c>
      <c r="L206" s="4" t="str">
        <f>IFERROR(__xludf.DUMMYFUNCTION("GOOGLETRANSLATE(B206,""en"",""ro"")"),"Urmăriți-vă călătoria")</f>
        <v>Urmăriți-vă călătoria</v>
      </c>
      <c r="M206" s="4" t="str">
        <f>IFERROR(__xludf.DUMMYFUNCTION("GOOGLETRANSLATE(B206,""en"",""vi"")"),"Theo dõi hành trình của bạn")</f>
        <v>Theo dõi hành trình của bạn</v>
      </c>
      <c r="N206" s="4" t="str">
        <f>IFERROR(__xludf.DUMMYFUNCTION("GOOGLETRANSLATE(B206,""en"",""ru"")"),"Отслеживайте свое путешествие")</f>
        <v>Отслеживайте свое путешествие</v>
      </c>
      <c r="O206" s="4" t="str">
        <f>IFERROR(__xludf.DUMMYFUNCTION("GOOGLETRANSLATE(B206,""en"",""tr"")"),"Yolculuğunuzu İzleyin")</f>
        <v>Yolculuğunuzu İzleyin</v>
      </c>
      <c r="P206" s="4" t="str">
        <f>IFERROR(__xludf.DUMMYFUNCTION("GOOGLETRANSLATE(B206,""en"",""ar"")"),"تتبع رحلتك")</f>
        <v>تتبع رحلتك</v>
      </c>
      <c r="Q206" s="4" t="str">
        <f>IFERROR(__xludf.DUMMYFUNCTION("GOOGLETRANSLATE(B206,""en"",""mr"")"),"तुमच्या प्रवासाचा मागोवा घ्या")</f>
        <v>तुमच्या प्रवासाचा मागोवा घ्या</v>
      </c>
      <c r="R206" s="4" t="str">
        <f>IFERROR(__xludf.DUMMYFUNCTION("GOOGLETRANSLATE(B206,""en"",""gu"")"),"તમારી જર્ની ટ્રૅક કરો")</f>
        <v>તમારી જર્ની ટ્રૅક કરો</v>
      </c>
      <c r="S206" s="4" t="str">
        <f>IFERROR(__xludf.DUMMYFUNCTION("GOOGLETRANSLATE(B206,""en"",""bn"")"),"আপনার যাত্রা ট্র্যাক")</f>
        <v>আপনার যাত্রা ট্র্যাক</v>
      </c>
      <c r="T206" s="4" t="str">
        <f>IFERROR(__xludf.DUMMYFUNCTION("GOOGLETRANSLATE(B206,""en"",""pa"")"),"ਆਪਣੀ ਯਾਤਰਾ ਨੂੰ ਟਰੈਕ ਕਰੋ")</f>
        <v>ਆਪਣੀ ਯਾਤਰਾ ਨੂੰ ਟਰੈਕ ਕਰੋ</v>
      </c>
      <c r="U206" s="4" t="str">
        <f>IFERROR(__xludf.DUMMYFUNCTION("GOOGLETRANSLATE(B206,""en"",""te"")"),"మీ ప్రయాణాన్ని ట్రాక్ చేయండి")</f>
        <v>మీ ప్రయాణాన్ని ట్రాక్ చేయండి</v>
      </c>
      <c r="V206" s="4" t="str">
        <f>IFERROR(__xludf.DUMMYFUNCTION("GOOGLETRANSLATE(B206,""en"",""kn"")"),"ನಿಮ್ಮ ಪ್ರಯಾಣವನ್ನು ಟ್ರ್ಯಾಕ್ ಮಾಡಿ")</f>
        <v>ನಿಮ್ಮ ಪ್ರಯಾಣವನ್ನು ಟ್ರ್ಯಾಕ್ ಮಾಡಿ</v>
      </c>
      <c r="W206" s="4" t="str">
        <f>IFERROR(__xludf.DUMMYFUNCTION("GOOGLETRANSLATE(B206,""en"",""ml"")"),"നിങ്ങളുടെ യാത്ര ട്രാക്ക് ചെയ്യുക")</f>
        <v>നിങ്ങളുടെ യാത്ര ട്രാക്ക് ചെയ്യുക</v>
      </c>
      <c r="X206" s="4" t="str">
        <f>IFERROR(__xludf.DUMMYFUNCTION("GOOGLETRANSLATE(B206,""en"",""th"")"),"ติดตามการเดินทางของคุณ")</f>
        <v>ติดตามการเดินทางของคุณ</v>
      </c>
      <c r="Y206" s="4" t="str">
        <f>IFERROR(__xludf.DUMMYFUNCTION("GOOGLETRANSLATE(B206,""en"",""ko"")"),"여정을 추적하세요")</f>
        <v>여정을 추적하세요</v>
      </c>
      <c r="Z206" s="4" t="str">
        <f>IFERROR(__xludf.DUMMYFUNCTION("GOOGLETRANSLATE(B206,""en"",""zh"")"),"追踪您的旅程")</f>
        <v>追踪您的旅程</v>
      </c>
      <c r="AA206" s="4" t="str">
        <f>IFERROR(__xludf.DUMMYFUNCTION("GOOGLETRANSLATE(B206,""en"",""zh-TW"")"),"追蹤您的旅程")</f>
        <v>追蹤您的旅程</v>
      </c>
      <c r="AB206" s="4" t="str">
        <f>IFERROR(__xludf.DUMMYFUNCTION("GOOGLETRANSLATE(B206,""en"",""ja"")"),"旅の記録")</f>
        <v>旅の記録</v>
      </c>
      <c r="AC206" s="4" t="str">
        <f>IFERROR(__xludf.DUMMYFUNCTION("GOOGLETRANSLATE(B206,""en"",""bg"")"),"Проследете вашето пътуване")</f>
        <v>Проследете вашето пътуване</v>
      </c>
      <c r="AD206" s="4" t="str">
        <f>IFERROR(__xludf.DUMMYFUNCTION("GOOGLETRANSLATE(B206,""en"",""cs"")"),"Sledujte svou cestu")</f>
        <v>Sledujte svou cestu</v>
      </c>
      <c r="AE206" s="4" t="str">
        <f>IFERROR(__xludf.DUMMYFUNCTION("GOOGLETRANSLATE(B206,""en"",""da"")"),"Spor din rejse")</f>
        <v>Spor din rejse</v>
      </c>
      <c r="AF206" s="4" t="str">
        <f>IFERROR(__xludf.DUMMYFUNCTION("GOOGLETRANSLATE(B206,""en"",""el"")"),"Παρακολουθήστε το ταξίδι σας")</f>
        <v>Παρακολουθήστε το ταξίδι σας</v>
      </c>
      <c r="AG206" s="4" t="str">
        <f>IFERROR(__xludf.DUMMYFUNCTION("GOOGLETRANSLATE(B206,""en"",""et"")"),"Jälgige oma teekonda")</f>
        <v>Jälgige oma teekonda</v>
      </c>
      <c r="AH206" s="4" t="str">
        <f>IFERROR(__xludf.DUMMYFUNCTION("GOOGLETRANSLATE(B206,""en"",""fi"")"),"Seuraa matkaasi")</f>
        <v>Seuraa matkaasi</v>
      </c>
      <c r="AI206" s="4" t="str">
        <f>IFERROR(__xludf.DUMMYFUNCTION("GOOGLETRANSLATE(B206,""en"",""hr"")"),"Pratite svoje putovanje")</f>
        <v>Pratite svoje putovanje</v>
      </c>
      <c r="AJ206" s="4" t="str">
        <f>IFERROR(__xludf.DUMMYFUNCTION("GOOGLETRANSLATE(B206,""en"",""hu"")"),"Kövesse nyomon utazását")</f>
        <v>Kövesse nyomon utazását</v>
      </c>
      <c r="AK206" s="4" t="str">
        <f>IFERROR(__xludf.DUMMYFUNCTION("GOOGLETRANSLATE(B206,""en"",""hy"")"),"Հետևեք ձեր ճանապարհորդությանը")</f>
        <v>Հետևեք ձեր ճանապարհորդությանը</v>
      </c>
      <c r="AL206" s="4" t="str">
        <f>IFERROR(__xludf.DUMMYFUNCTION("GOOGLETRANSLATE(B206,""en"",""ca"")"),"Feu un seguiment del vostre viatge")</f>
        <v>Feu un seguiment del vostre viatge</v>
      </c>
      <c r="AM206" s="4" t="str">
        <f>IFERROR(__xludf.DUMMYFUNCTION("GOOGLETRANSLATE(B206,""en"",""nl"")"),"Volg uw reis")</f>
        <v>Volg uw reis</v>
      </c>
      <c r="AN206" s="4" t="str">
        <f>IFERROR(__xludf.DUMMYFUNCTION("GOOGLETRANSLATE(B206,""en"",""he"")"),"עקוב אחר המסע שלך")</f>
        <v>עקוב אחר המסע שלך</v>
      </c>
      <c r="AO206" s="4" t="str">
        <f>IFERROR(__xludf.DUMMYFUNCTION("GOOGLETRANSLATE(B206,""en"",""is"")"),"Fylgstu með ferð þinni")</f>
        <v>Fylgstu með ferð þinni</v>
      </c>
      <c r="AP206" s="4" t="str">
        <f>IFERROR(__xludf.DUMMYFUNCTION("GOOGLETRANSLATE(B206,""en"",""no"")"),"Spor reisen din")</f>
        <v>Spor reisen din</v>
      </c>
      <c r="AQ206" s="4" t="str">
        <f>IFERROR(__xludf.DUMMYFUNCTION("GOOGLETRANSLATE(B206,""en"",""fa"")"),"سفر خود را دنبال کنید")</f>
        <v>سفر خود را دنبال کنید</v>
      </c>
      <c r="AR206" s="4" t="str">
        <f>IFERROR(__xludf.DUMMYFUNCTION("GOOGLETRANSLATE(B206,""en"",""pl"")"),"Śledź swoją podróż")</f>
        <v>Śledź swoją podróż</v>
      </c>
      <c r="AS206" s="4" t="str">
        <f>IFERROR(__xludf.DUMMYFUNCTION("GOOGLETRANSLATE(B206,""en"",""sv"")"),"Spåra din resa")</f>
        <v>Spåra din resa</v>
      </c>
      <c r="AT206" s="4" t="str">
        <f>IFERROR(__xludf.DUMMYFUNCTION("GOOGLETRANSLATE(B206,""en"",""uk"")"),"Відстежуйте свою подорож")</f>
        <v>Відстежуйте свою подорож</v>
      </c>
      <c r="AU206" s="4" t="str">
        <f>IFERROR(__xludf.DUMMYFUNCTION("GOOGLETRANSLATE(B206,""en"",""zu"")"),"Landelela Uhambo Lwakho")</f>
        <v>Landelela Uhambo Lwakho</v>
      </c>
      <c r="AV206" s="4" t="str">
        <f>IFERROR(__xludf.DUMMYFUNCTION("GOOGLETRANSLATE(B206,""en"",""sr"")"),"Пратите своје путовање")</f>
        <v>Пратите своје путовање</v>
      </c>
    </row>
    <row r="207">
      <c r="A207" s="3" t="s">
        <v>442</v>
      </c>
      <c r="B207" s="3" t="s">
        <v>443</v>
      </c>
      <c r="C207" s="4" t="str">
        <f>IFERROR(__xludf.DUMMYFUNCTION("GOOGLETRANSLATE(B207,""en"",""ta"")"),"உங்கள் வழிகளை துல்லியமாக பதிவு செய்து பகுப்பாய்வு செய்யுங்கள்")</f>
        <v>உங்கள் வழிகளை துல்லியமாக பதிவு செய்து பகுப்பாய்வு செய்யுங்கள்</v>
      </c>
      <c r="D207" s="4" t="str">
        <f>IFERROR(__xludf.DUMMYFUNCTION("GOOGLETRANSLATE(B207,""en"",""hi"")"),"अपने मार्गों को सटीकता के साथ रिकॉर्ड करें और उनका विश्लेषण करें")</f>
        <v>अपने मार्गों को सटीकता के साथ रिकॉर्ड करें और उनका विश्लेषण करें</v>
      </c>
      <c r="E207" s="4" t="str">
        <f>IFERROR(__xludf.DUMMYFUNCTION("GOOGLETRANSLATE(B207,""en"",""id"")"),"Rekam dan analisis rute Anda dengan presisi")</f>
        <v>Rekam dan analisis rute Anda dengan presisi</v>
      </c>
      <c r="F207" s="4" t="str">
        <f>IFERROR(__xludf.DUMMYFUNCTION("GOOGLETRANSLATE(B207,""en"",""ms"")"),"Rakam dan analisa laluan anda dengan tepat")</f>
        <v>Rakam dan analisa laluan anda dengan tepat</v>
      </c>
      <c r="G207" s="4" t="str">
        <f>IFERROR(__xludf.DUMMYFUNCTION("GOOGLETRANSLATE(B207,""en"",""de"")"),"Zeichnen Sie Ihre Routen präzise auf und analysieren Sie sie")</f>
        <v>Zeichnen Sie Ihre Routen präzise auf und analysieren Sie sie</v>
      </c>
      <c r="H207" s="4" t="str">
        <f>IFERROR(__xludf.DUMMYFUNCTION("GOOGLETRANSLATE(B207,""en"",""es"")"),"Graba y analiza tus rutas con precisión")</f>
        <v>Graba y analiza tus rutas con precisión</v>
      </c>
      <c r="I207" s="4" t="str">
        <f>IFERROR(__xludf.DUMMYFUNCTION("GOOGLETRANSLATE(B207,""en"",""fr"")"),"Enregistrez et analysez vos itinéraires avec précision")</f>
        <v>Enregistrez et analysez vos itinéraires avec précision</v>
      </c>
      <c r="J207" s="4" t="str">
        <f>IFERROR(__xludf.DUMMYFUNCTION("GOOGLETRANSLATE(B207,""en"",""it"")"),"Registra e analizza i tuoi percorsi con precisione")</f>
        <v>Registra e analizza i tuoi percorsi con precisione</v>
      </c>
      <c r="K207" s="4" t="str">
        <f>IFERROR(__xludf.DUMMYFUNCTION("GOOGLETRANSLATE(B207,""en"",""pt"")"),"Registre e analise suas rotas com precisão")</f>
        <v>Registre e analise suas rotas com precisão</v>
      </c>
      <c r="L207" s="4" t="str">
        <f>IFERROR(__xludf.DUMMYFUNCTION("GOOGLETRANSLATE(B207,""en"",""ro"")"),"Înregistrați și analizați-vă rutele cu precizie")</f>
        <v>Înregistrați și analizați-vă rutele cu precizie</v>
      </c>
      <c r="M207" s="4" t="str">
        <f>IFERROR(__xludf.DUMMYFUNCTION("GOOGLETRANSLATE(B207,""en"",""vi"")"),"Ghi lại và phân tích các tuyến đường của bạn một cách chính xác")</f>
        <v>Ghi lại và phân tích các tuyến đường của bạn một cách chính xác</v>
      </c>
      <c r="N207" s="4" t="str">
        <f>IFERROR(__xludf.DUMMYFUNCTION("GOOGLETRANSLATE(B207,""en"",""ru"")"),"Точно записывайте и анализируйте свои маршруты")</f>
        <v>Точно записывайте и анализируйте свои маршруты</v>
      </c>
      <c r="O207" s="4" t="str">
        <f>IFERROR(__xludf.DUMMYFUNCTION("GOOGLETRANSLATE(B207,""en"",""tr"")"),"Rotalarınızı hassasiyetle kaydedin ve analiz edin")</f>
        <v>Rotalarınızı hassasiyetle kaydedin ve analiz edin</v>
      </c>
      <c r="P207" s="4" t="str">
        <f>IFERROR(__xludf.DUMMYFUNCTION("GOOGLETRANSLATE(B207,""en"",""ar"")"),"سجل مساراتك وحللها بدقة")</f>
        <v>سجل مساراتك وحللها بدقة</v>
      </c>
      <c r="Q207" s="4" t="str">
        <f>IFERROR(__xludf.DUMMYFUNCTION("GOOGLETRANSLATE(B207,""en"",""mr"")"),"अचूकतेने तुमचे मार्ग रेकॉर्ड करा आणि त्यांचे विश्लेषण करा")</f>
        <v>अचूकतेने तुमचे मार्ग रेकॉर्ड करा आणि त्यांचे विश्लेषण करा</v>
      </c>
      <c r="R207" s="4" t="str">
        <f>IFERROR(__xludf.DUMMYFUNCTION("GOOGLETRANSLATE(B207,""en"",""gu"")"),"તમારા રૂટને ચોકસાઇ સાથે રેકોર્ડ કરો અને તેનું વિશ્લેષણ કરો")</f>
        <v>તમારા રૂટને ચોકસાઇ સાથે રેકોર્ડ કરો અને તેનું વિશ્લેષણ કરો</v>
      </c>
      <c r="S207" s="4" t="str">
        <f>IFERROR(__xludf.DUMMYFUNCTION("GOOGLETRANSLATE(B207,""en"",""bn"")"),"নির্ভুলতার সাথে আপনার রুটগুলি রেকর্ড করুন এবং বিশ্লেষণ করুন")</f>
        <v>নির্ভুলতার সাথে আপনার রুটগুলি রেকর্ড করুন এবং বিশ্লেষণ করুন</v>
      </c>
      <c r="T207" s="4" t="str">
        <f>IFERROR(__xludf.DUMMYFUNCTION("GOOGLETRANSLATE(B207,""en"",""pa"")"),"ਆਪਣੇ ਰੂਟਾਂ ਨੂੰ ਸ਼ੁੱਧਤਾ ਨਾਲ ਰਿਕਾਰਡ ਅਤੇ ਵਿਸ਼ਲੇਸ਼ਣ ਕਰੋ")</f>
        <v>ਆਪਣੇ ਰੂਟਾਂ ਨੂੰ ਸ਼ੁੱਧਤਾ ਨਾਲ ਰਿਕਾਰਡ ਅਤੇ ਵਿਸ਼ਲੇਸ਼ਣ ਕਰੋ</v>
      </c>
      <c r="U207" s="4" t="str">
        <f>IFERROR(__xludf.DUMMYFUNCTION("GOOGLETRANSLATE(B207,""en"",""te"")"),"మీ మార్గాలను ఖచ్చితత్వంతో రికార్డ్ చేయండి మరియు విశ్లేషించండి")</f>
        <v>మీ మార్గాలను ఖచ్చితత్వంతో రికార్డ్ చేయండి మరియు విశ్లేషించండి</v>
      </c>
      <c r="V207" s="4" t="str">
        <f>IFERROR(__xludf.DUMMYFUNCTION("GOOGLETRANSLATE(B207,""en"",""kn"")"),"ನಿಮ್ಮ ಮಾರ್ಗಗಳನ್ನು ನಿಖರವಾಗಿ ರೆಕಾರ್ಡ್ ಮಾಡಿ ಮತ್ತು ವಿಶ್ಲೇಷಿಸಿ")</f>
        <v>ನಿಮ್ಮ ಮಾರ್ಗಗಳನ್ನು ನಿಖರವಾಗಿ ರೆಕಾರ್ಡ್ ಮಾಡಿ ಮತ್ತು ವಿಶ್ಲೇಷಿಸಿ</v>
      </c>
      <c r="W207" s="4" t="str">
        <f>IFERROR(__xludf.DUMMYFUNCTION("GOOGLETRANSLATE(B207,""en"",""ml"")"),"നിങ്ങളുടെ റൂട്ടുകൾ കൃത്യമായി രേഖപ്പെടുത്തുകയും വിശകലനം ചെയ്യുകയും ചെയ്യുക")</f>
        <v>നിങ്ങളുടെ റൂട്ടുകൾ കൃത്യമായി രേഖപ്പെടുത്തുകയും വിശകലനം ചെയ്യുകയും ചെയ്യുക</v>
      </c>
      <c r="X207" s="4" t="str">
        <f>IFERROR(__xludf.DUMMYFUNCTION("GOOGLETRANSLATE(B207,""en"",""th"")"),"บันทึกและวิเคราะห์เส้นทางของคุณด้วยความแม่นยำ")</f>
        <v>บันทึกและวิเคราะห์เส้นทางของคุณด้วยความแม่นยำ</v>
      </c>
      <c r="Y207" s="4" t="str">
        <f>IFERROR(__xludf.DUMMYFUNCTION("GOOGLETRANSLATE(B207,""en"",""ko"")"),"정확한 경로 기록 및 분석")</f>
        <v>정확한 경로 기록 및 분석</v>
      </c>
      <c r="Z207" s="4" t="str">
        <f>IFERROR(__xludf.DUMMYFUNCTION("GOOGLETRANSLATE(B207,""en"",""zh"")"),"精确记录和分析您的路线")</f>
        <v>精确记录和分析您的路线</v>
      </c>
      <c r="AA207" s="4" t="str">
        <f>IFERROR(__xludf.DUMMYFUNCTION("GOOGLETRANSLATE(B207,""en"",""zh-TW"")"),"精確記錄和分析您的路線")</f>
        <v>精確記錄和分析您的路線</v>
      </c>
      <c r="AB207" s="4" t="str">
        <f>IFERROR(__xludf.DUMMYFUNCTION("GOOGLETRANSLATE(B207,""en"",""ja"")"),"ルートを正確に記録して分析する")</f>
        <v>ルートを正確に記録して分析する</v>
      </c>
      <c r="AC207" s="4" t="str">
        <f>IFERROR(__xludf.DUMMYFUNCTION("GOOGLETRANSLATE(B207,""en"",""bg"")"),"Записвайте и анализирайте вашите маршрути с точност")</f>
        <v>Записвайте и анализирайте вашите маршрути с точност</v>
      </c>
      <c r="AD207" s="4" t="str">
        <f>IFERROR(__xludf.DUMMYFUNCTION("GOOGLETRANSLATE(B207,""en"",""cs"")"),"Zaznamenávejte a analyzujte své trasy s přesností")</f>
        <v>Zaznamenávejte a analyzujte své trasy s přesností</v>
      </c>
      <c r="AE207" s="4" t="str">
        <f>IFERROR(__xludf.DUMMYFUNCTION("GOOGLETRANSLATE(B207,""en"",""da"")"),"Optag og analyser dine ruter med præcision")</f>
        <v>Optag og analyser dine ruter med præcision</v>
      </c>
      <c r="AF207" s="4" t="str">
        <f>IFERROR(__xludf.DUMMYFUNCTION("GOOGLETRANSLATE(B207,""en"",""el"")"),"Καταγράψτε και αναλύστε τις διαδρομές σας με ακρίβεια")</f>
        <v>Καταγράψτε και αναλύστε τις διαδρομές σας με ακρίβεια</v>
      </c>
      <c r="AG207" s="4" t="str">
        <f>IFERROR(__xludf.DUMMYFUNCTION("GOOGLETRANSLATE(B207,""en"",""et"")"),"Salvestage ja analüüsige oma marsruute täpselt")</f>
        <v>Salvestage ja analüüsige oma marsruute täpselt</v>
      </c>
      <c r="AH207" s="4" t="str">
        <f>IFERROR(__xludf.DUMMYFUNCTION("GOOGLETRANSLATE(B207,""en"",""fi"")"),"Tallenna ja analysoi reitit tarkasti")</f>
        <v>Tallenna ja analysoi reitit tarkasti</v>
      </c>
      <c r="AI207" s="4" t="str">
        <f>IFERROR(__xludf.DUMMYFUNCTION("GOOGLETRANSLATE(B207,""en"",""hr"")"),"Snimite i analizirajte svoje rute s preciznošću")</f>
        <v>Snimite i analizirajte svoje rute s preciznošću</v>
      </c>
      <c r="AJ207" s="4" t="str">
        <f>IFERROR(__xludf.DUMMYFUNCTION("GOOGLETRANSLATE(B207,""en"",""hu"")"),"Rögzítse és elemezze útvonalait pontosan")</f>
        <v>Rögzítse és elemezze útvonalait pontosan</v>
      </c>
      <c r="AK207" s="4" t="str">
        <f>IFERROR(__xludf.DUMMYFUNCTION("GOOGLETRANSLATE(B207,""en"",""hy"")"),"Ճշգրիտ ձայնագրեք և վերլուծեք ձեր երթուղիները")</f>
        <v>Ճշգրիտ ձայնագրեք և վերլուծեք ձեր երթուղիները</v>
      </c>
      <c r="AL207" s="4" t="str">
        <f>IFERROR(__xludf.DUMMYFUNCTION("GOOGLETRANSLATE(B207,""en"",""ca"")"),"Grava i analitza les teves rutes amb precisió")</f>
        <v>Grava i analitza les teves rutes amb precisió</v>
      </c>
      <c r="AM207" s="4" t="str">
        <f>IFERROR(__xludf.DUMMYFUNCTION("GOOGLETRANSLATE(B207,""en"",""nl"")"),"Registreer en analyseer uw routes nauwkeurig")</f>
        <v>Registreer en analyseer uw routes nauwkeurig</v>
      </c>
      <c r="AN207" s="4" t="str">
        <f>IFERROR(__xludf.DUMMYFUNCTION("GOOGLETRANSLATE(B207,""en"",""he"")"),"הקלט ונתח את המסלולים שלך בדיוק")</f>
        <v>הקלט ונתח את המסלולים שלך בדיוק</v>
      </c>
      <c r="AO207" s="4" t="str">
        <f>IFERROR(__xludf.DUMMYFUNCTION("GOOGLETRANSLATE(B207,""en"",""is"")"),"Skráðu og greindu leiðir þínar með nákvæmni")</f>
        <v>Skráðu og greindu leiðir þínar með nákvæmni</v>
      </c>
      <c r="AP207" s="4" t="str">
        <f>IFERROR(__xludf.DUMMYFUNCTION("GOOGLETRANSLATE(B207,""en"",""no"")"),"Registrer og analyser rutene dine med presisjon")</f>
        <v>Registrer og analyser rutene dine med presisjon</v>
      </c>
      <c r="AQ207" s="4" t="str">
        <f>IFERROR(__xludf.DUMMYFUNCTION("GOOGLETRANSLATE(B207,""en"",""fa"")"),"مسیرهای خود را با دقت ضبط و تجزیه و تحلیل کنید")</f>
        <v>مسیرهای خود را با دقت ضبط و تجزیه و تحلیل کنید</v>
      </c>
      <c r="AR207" s="4" t="str">
        <f>IFERROR(__xludf.DUMMYFUNCTION("GOOGLETRANSLATE(B207,""en"",""pl"")"),"Rejestruj i analizuj swoje trasy z precyzją")</f>
        <v>Rejestruj i analizuj swoje trasy z precyzją</v>
      </c>
      <c r="AS207" s="4" t="str">
        <f>IFERROR(__xludf.DUMMYFUNCTION("GOOGLETRANSLATE(B207,""en"",""sv"")"),"Spela in och analysera dina rutter med precision")</f>
        <v>Spela in och analysera dina rutter med precision</v>
      </c>
      <c r="AT207" s="4" t="str">
        <f>IFERROR(__xludf.DUMMYFUNCTION("GOOGLETRANSLATE(B207,""en"",""uk"")"),"Записуйте та аналізуйте свої маршрути з точністю")</f>
        <v>Записуйте та аналізуйте свої маршрути з точністю</v>
      </c>
      <c r="AU207" s="4" t="str">
        <f>IFERROR(__xludf.DUMMYFUNCTION("GOOGLETRANSLATE(B207,""en"",""zu"")"),"Rekhoda futhi uhlaziye imizila yakho ngokunemba")</f>
        <v>Rekhoda futhi uhlaziye imizila yakho ngokunemba</v>
      </c>
      <c r="AV207" s="4" t="str">
        <f>IFERROR(__xludf.DUMMYFUNCTION("GOOGLETRANSLATE(B207,""en"",""sr"")"),"Снимите и анализирајте своје руте са прецизношћу")</f>
        <v>Снимите и анализирајте своје руте са прецизношћу</v>
      </c>
    </row>
    <row r="208">
      <c r="A208" s="3" t="s">
        <v>444</v>
      </c>
      <c r="B208" s="3" t="s">
        <v>445</v>
      </c>
      <c r="C208" s="4" t="str">
        <f>IFERROR(__xludf.DUMMYFUNCTION("GOOGLETRANSLATE(B208,""en"",""ta"")"),"அம்சங்களை ஆராயுங்கள்")</f>
        <v>அம்சங்களை ஆராயுங்கள்</v>
      </c>
      <c r="D208" s="4" t="str">
        <f>IFERROR(__xludf.DUMMYFUNCTION("GOOGLETRANSLATE(B208,""en"",""hi"")"),"विशेषताएं देखें")</f>
        <v>विशेषताएं देखें</v>
      </c>
      <c r="E208" s="4" t="str">
        <f>IFERROR(__xludf.DUMMYFUNCTION("GOOGLETRANSLATE(B208,""en"",""id"")"),"Jelajahi Fitur")</f>
        <v>Jelajahi Fitur</v>
      </c>
      <c r="F208" s="4" t="str">
        <f>IFERROR(__xludf.DUMMYFUNCTION("GOOGLETRANSLATE(B208,""en"",""ms"")"),"Terokai Ciri")</f>
        <v>Terokai Ciri</v>
      </c>
      <c r="G208" s="4" t="str">
        <f>IFERROR(__xludf.DUMMYFUNCTION("GOOGLETRANSLATE(B208,""en"",""de"")"),"Funktionen entdecken")</f>
        <v>Funktionen entdecken</v>
      </c>
      <c r="H208" s="4" t="str">
        <f>IFERROR(__xludf.DUMMYFUNCTION("GOOGLETRANSLATE(B208,""en"",""es"")"),"Explorar funciones")</f>
        <v>Explorar funciones</v>
      </c>
      <c r="I208" s="4" t="str">
        <f>IFERROR(__xludf.DUMMYFUNCTION("GOOGLETRANSLATE(B208,""en"",""fr"")"),"Explorer les fonctionnalités")</f>
        <v>Explorer les fonctionnalités</v>
      </c>
      <c r="J208" s="4" t="str">
        <f>IFERROR(__xludf.DUMMYFUNCTION("GOOGLETRANSLATE(B208,""en"",""it"")"),"Esplora le funzionalità")</f>
        <v>Esplora le funzionalità</v>
      </c>
      <c r="K208" s="4" t="str">
        <f>IFERROR(__xludf.DUMMYFUNCTION("GOOGLETRANSLATE(B208,""en"",""pt"")"),"Explorar recursos")</f>
        <v>Explorar recursos</v>
      </c>
      <c r="L208" s="4" t="str">
        <f>IFERROR(__xludf.DUMMYFUNCTION("GOOGLETRANSLATE(B208,""en"",""ro"")"),"Explorați caracteristicile")</f>
        <v>Explorați caracteristicile</v>
      </c>
      <c r="M208" s="4" t="str">
        <f>IFERROR(__xludf.DUMMYFUNCTION("GOOGLETRANSLATE(B208,""en"",""vi"")"),"Khám phá các tính năng")</f>
        <v>Khám phá các tính năng</v>
      </c>
      <c r="N208" s="4" t="str">
        <f>IFERROR(__xludf.DUMMYFUNCTION("GOOGLETRANSLATE(B208,""en"",""ru"")"),"Исследуйте особенности")</f>
        <v>Исследуйте особенности</v>
      </c>
      <c r="O208" s="4" t="str">
        <f>IFERROR(__xludf.DUMMYFUNCTION("GOOGLETRANSLATE(B208,""en"",""tr"")"),"Özellikleri Keşfedin")</f>
        <v>Özellikleri Keşfedin</v>
      </c>
      <c r="P208" s="4" t="str">
        <f>IFERROR(__xludf.DUMMYFUNCTION("GOOGLETRANSLATE(B208,""en"",""ar"")"),"استكشاف الميزات")</f>
        <v>استكشاف الميزات</v>
      </c>
      <c r="Q208" s="4" t="str">
        <f>IFERROR(__xludf.DUMMYFUNCTION("GOOGLETRANSLATE(B208,""en"",""mr"")"),"वैशिष्ट्ये एक्सप्लोर करा")</f>
        <v>वैशिष्ट्ये एक्सप्लोर करा</v>
      </c>
      <c r="R208" s="4" t="str">
        <f>IFERROR(__xludf.DUMMYFUNCTION("GOOGLETRANSLATE(B208,""en"",""gu"")"),"વિશેષતાઓનું અન્વેષણ કરો")</f>
        <v>વિશેષતાઓનું અન્વેષણ કરો</v>
      </c>
      <c r="S208" s="4" t="str">
        <f>IFERROR(__xludf.DUMMYFUNCTION("GOOGLETRANSLATE(B208,""en"",""bn"")"),"অন্বেষণ বৈশিষ্ট্য")</f>
        <v>অন্বেষণ বৈশিষ্ট্য</v>
      </c>
      <c r="T208" s="4" t="str">
        <f>IFERROR(__xludf.DUMMYFUNCTION("GOOGLETRANSLATE(B208,""en"",""pa"")"),"ਵਿਸ਼ੇਸ਼ਤਾਵਾਂ ਦੀ ਪੜਚੋਲ ਕਰੋ")</f>
        <v>ਵਿਸ਼ੇਸ਼ਤਾਵਾਂ ਦੀ ਪੜਚੋਲ ਕਰੋ</v>
      </c>
      <c r="U208" s="4" t="str">
        <f>IFERROR(__xludf.DUMMYFUNCTION("GOOGLETRANSLATE(B208,""en"",""te"")"),"ఫీచర్లను అన్వేషించండి")</f>
        <v>ఫీచర్లను అన్వేషించండి</v>
      </c>
      <c r="V208" s="4" t="str">
        <f>IFERROR(__xludf.DUMMYFUNCTION("GOOGLETRANSLATE(B208,""en"",""kn"")"),"ವೈಶಿಷ್ಟ್ಯಗಳನ್ನು ಅನ್ವೇಷಿಸಿ")</f>
        <v>ವೈಶಿಷ್ಟ್ಯಗಳನ್ನು ಅನ್ವೇಷಿಸಿ</v>
      </c>
      <c r="W208" s="4" t="str">
        <f>IFERROR(__xludf.DUMMYFUNCTION("GOOGLETRANSLATE(B208,""en"",""ml"")"),"സവിശേഷതകൾ പര്യവേക്ഷണം ചെയ്യുക")</f>
        <v>സവിശേഷതകൾ പര്യവേക്ഷണം ചെയ്യുക</v>
      </c>
      <c r="X208" s="4" t="str">
        <f>IFERROR(__xludf.DUMMYFUNCTION("GOOGLETRANSLATE(B208,""en"",""th"")"),"สำรวจคุณสมบัติ")</f>
        <v>สำรวจคุณสมบัติ</v>
      </c>
      <c r="Y208" s="4" t="str">
        <f>IFERROR(__xludf.DUMMYFUNCTION("GOOGLETRANSLATE(B208,""en"",""ko"")"),"기능 탐색")</f>
        <v>기능 탐색</v>
      </c>
      <c r="Z208" s="4" t="str">
        <f>IFERROR(__xludf.DUMMYFUNCTION("GOOGLETRANSLATE(B208,""en"",""zh"")"),"探索功能")</f>
        <v>探索功能</v>
      </c>
      <c r="AA208" s="4" t="str">
        <f>IFERROR(__xludf.DUMMYFUNCTION("GOOGLETRANSLATE(B208,""en"",""zh-TW"")"),"探索功能")</f>
        <v>探索功能</v>
      </c>
      <c r="AB208" s="4" t="str">
        <f>IFERROR(__xludf.DUMMYFUNCTION("GOOGLETRANSLATE(B208,""en"",""ja"")"),"機能の詳細を見る")</f>
        <v>機能の詳細を見る</v>
      </c>
      <c r="AC208" s="4" t="str">
        <f>IFERROR(__xludf.DUMMYFUNCTION("GOOGLETRANSLATE(B208,""en"",""bg"")"),"Разгледайте функциите")</f>
        <v>Разгледайте функциите</v>
      </c>
      <c r="AD208" s="4" t="str">
        <f>IFERROR(__xludf.DUMMYFUNCTION("GOOGLETRANSLATE(B208,""en"",""cs"")"),"Prozkoumat funkce")</f>
        <v>Prozkoumat funkce</v>
      </c>
      <c r="AE208" s="4" t="str">
        <f>IFERROR(__xludf.DUMMYFUNCTION("GOOGLETRANSLATE(B208,""en"",""da"")"),"Udforsk funktioner")</f>
        <v>Udforsk funktioner</v>
      </c>
      <c r="AF208" s="4" t="str">
        <f>IFERROR(__xludf.DUMMYFUNCTION("GOOGLETRANSLATE(B208,""en"",""el"")"),"Εξερευνήστε τις λειτουργίες")</f>
        <v>Εξερευνήστε τις λειτουργίες</v>
      </c>
      <c r="AG208" s="4" t="str">
        <f>IFERROR(__xludf.DUMMYFUNCTION("GOOGLETRANSLATE(B208,""en"",""et"")"),"Tutvuge funktsioonidega")</f>
        <v>Tutvuge funktsioonidega</v>
      </c>
      <c r="AH208" s="4" t="str">
        <f>IFERROR(__xludf.DUMMYFUNCTION("GOOGLETRANSLATE(B208,""en"",""fi"")"),"Tutustu ominaisuuksiin")</f>
        <v>Tutustu ominaisuuksiin</v>
      </c>
      <c r="AI208" s="4" t="str">
        <f>IFERROR(__xludf.DUMMYFUNCTION("GOOGLETRANSLATE(B208,""en"",""hr"")"),"Istražite značajke")</f>
        <v>Istražite značajke</v>
      </c>
      <c r="AJ208" s="4" t="str">
        <f>IFERROR(__xludf.DUMMYFUNCTION("GOOGLETRANSLATE(B208,""en"",""hu"")"),"Fedezze fel a funkciókat")</f>
        <v>Fedezze fel a funkciókat</v>
      </c>
      <c r="AK208" s="4" t="str">
        <f>IFERROR(__xludf.DUMMYFUNCTION("GOOGLETRANSLATE(B208,""en"",""hy"")"),"Ուսումնասիրեք առանձնահատկությունները")</f>
        <v>Ուսումնասիրեք առանձնահատկությունները</v>
      </c>
      <c r="AL208" s="4" t="str">
        <f>IFERROR(__xludf.DUMMYFUNCTION("GOOGLETRANSLATE(B208,""en"",""ca"")"),"Exploreu les característiques")</f>
        <v>Exploreu les característiques</v>
      </c>
      <c r="AM208" s="4" t="str">
        <f>IFERROR(__xludf.DUMMYFUNCTION("GOOGLETRANSLATE(B208,""en"",""nl"")"),"Ontdek functies")</f>
        <v>Ontdek functies</v>
      </c>
      <c r="AN208" s="4" t="str">
        <f>IFERROR(__xludf.DUMMYFUNCTION("GOOGLETRANSLATE(B208,""en"",""he"")"),"חקור תכונות")</f>
        <v>חקור תכונות</v>
      </c>
      <c r="AO208" s="4" t="str">
        <f>IFERROR(__xludf.DUMMYFUNCTION("GOOGLETRANSLATE(B208,""en"",""is"")"),"Kanna eiginleika")</f>
        <v>Kanna eiginleika</v>
      </c>
      <c r="AP208" s="4" t="str">
        <f>IFERROR(__xludf.DUMMYFUNCTION("GOOGLETRANSLATE(B208,""en"",""no"")"),"Utforsk funksjoner")</f>
        <v>Utforsk funksjoner</v>
      </c>
      <c r="AQ208" s="4" t="str">
        <f>IFERROR(__xludf.DUMMYFUNCTION("GOOGLETRANSLATE(B208,""en"",""fa"")"),"ویژگی ها را کاوش کنید")</f>
        <v>ویژگی ها را کاوش کنید</v>
      </c>
      <c r="AR208" s="4" t="str">
        <f>IFERROR(__xludf.DUMMYFUNCTION("GOOGLETRANSLATE(B208,""en"",""pl"")"),"Poznaj funkcje")</f>
        <v>Poznaj funkcje</v>
      </c>
      <c r="AS208" s="4" t="str">
        <f>IFERROR(__xludf.DUMMYFUNCTION("GOOGLETRANSLATE(B208,""en"",""sv"")"),"Utforska funktioner")</f>
        <v>Utforska funktioner</v>
      </c>
      <c r="AT208" s="4" t="str">
        <f>IFERROR(__xludf.DUMMYFUNCTION("GOOGLETRANSLATE(B208,""en"",""uk"")"),"Ознайомтеся з функціями")</f>
        <v>Ознайомтеся з функціями</v>
      </c>
      <c r="AU208" s="4" t="str">
        <f>IFERROR(__xludf.DUMMYFUNCTION("GOOGLETRANSLATE(B208,""en"",""zu"")"),"Hlola Izici")</f>
        <v>Hlola Izici</v>
      </c>
      <c r="AV208" s="4" t="str">
        <f>IFERROR(__xludf.DUMMYFUNCTION("GOOGLETRANSLATE(B208,""en"",""sr"")"),"Истражите карактеристике")</f>
        <v>Истражите карактеристике</v>
      </c>
    </row>
    <row r="209">
      <c r="A209" s="3" t="s">
        <v>446</v>
      </c>
      <c r="B209" s="3" t="s">
        <v>447</v>
      </c>
      <c r="C209" s="4" t="str">
        <f>IFERROR(__xludf.DUMMYFUNCTION("GOOGLETRANSLATE(B209,""en"",""ta"")"),"வழிசெலுத்தல் மற்றும் இருப்பிட கண்காணிப்புக்கான சக்திவாய்ந்த கருவிகளைக் கண்டறியவும்")</f>
        <v>வழிசெலுத்தல் மற்றும் இருப்பிட கண்காணிப்புக்கான சக்திவாய்ந்த கருவிகளைக் கண்டறியவும்</v>
      </c>
      <c r="D209" s="4" t="str">
        <f>IFERROR(__xludf.DUMMYFUNCTION("GOOGLETRANSLATE(B209,""en"",""hi"")"),"नेविगेशन और स्थान ट्रैकिंग के लिए शक्तिशाली टूल खोजें")</f>
        <v>नेविगेशन और स्थान ट्रैकिंग के लिए शक्तिशाली टूल खोजें</v>
      </c>
      <c r="E209" s="4" t="str">
        <f>IFERROR(__xludf.DUMMYFUNCTION("GOOGLETRANSLATE(B209,""en"",""id"")"),"Temukan alat canggih untuk navigasi dan pelacakan lokasi")</f>
        <v>Temukan alat canggih untuk navigasi dan pelacakan lokasi</v>
      </c>
      <c r="F209" s="4" t="str">
        <f>IFERROR(__xludf.DUMMYFUNCTION("GOOGLETRANSLATE(B209,""en"",""ms"")"),"Temui alatan berkuasa untuk navigasi dan penjejakan lokasi")</f>
        <v>Temui alatan berkuasa untuk navigasi dan penjejakan lokasi</v>
      </c>
      <c r="G209" s="4" t="str">
        <f>IFERROR(__xludf.DUMMYFUNCTION("GOOGLETRANSLATE(B209,""en"",""de"")"),"Entdecken Sie leistungsstarke Tools zur Navigation und Standortverfolgung")</f>
        <v>Entdecken Sie leistungsstarke Tools zur Navigation und Standortverfolgung</v>
      </c>
      <c r="H209" s="4" t="str">
        <f>IFERROR(__xludf.DUMMYFUNCTION("GOOGLETRANSLATE(B209,""en"",""es"")"),"Descubra potentes herramientas para la navegación y el seguimiento de la ubicación")</f>
        <v>Descubra potentes herramientas para la navegación y el seguimiento de la ubicación</v>
      </c>
      <c r="I209" s="4" t="str">
        <f>IFERROR(__xludf.DUMMYFUNCTION("GOOGLETRANSLATE(B209,""en"",""fr"")"),"Découvrez des outils puissants pour la navigation et le suivi de localisation")</f>
        <v>Découvrez des outils puissants pour la navigation et le suivi de localisation</v>
      </c>
      <c r="J209" s="4" t="str">
        <f>IFERROR(__xludf.DUMMYFUNCTION("GOOGLETRANSLATE(B209,""en"",""it"")"),"Scopri potenti strumenti per la navigazione e il monitoraggio della posizione")</f>
        <v>Scopri potenti strumenti per la navigazione e il monitoraggio della posizione</v>
      </c>
      <c r="K209" s="4" t="str">
        <f>IFERROR(__xludf.DUMMYFUNCTION("GOOGLETRANSLATE(B209,""en"",""pt"")"),"Descubra ferramentas poderosas para navegação e rastreamento de localização")</f>
        <v>Descubra ferramentas poderosas para navegação e rastreamento de localização</v>
      </c>
      <c r="L209" s="4" t="str">
        <f>IFERROR(__xludf.DUMMYFUNCTION("GOOGLETRANSLATE(B209,""en"",""ro"")"),"Descoperiți instrumente puternice pentru navigare și urmărirea locației")</f>
        <v>Descoperiți instrumente puternice pentru navigare și urmărirea locației</v>
      </c>
      <c r="M209" s="4" t="str">
        <f>IFERROR(__xludf.DUMMYFUNCTION("GOOGLETRANSLATE(B209,""en"",""vi"")"),"Khám phá các công cụ mạnh mẽ để điều hướng và theo dõi vị trí")</f>
        <v>Khám phá các công cụ mạnh mẽ để điều hướng và theo dõi vị trí</v>
      </c>
      <c r="N209" s="4" t="str">
        <f>IFERROR(__xludf.DUMMYFUNCTION("GOOGLETRANSLATE(B209,""en"",""ru"")"),"Откройте для себя мощные инструменты для навигации и отслеживания местоположения")</f>
        <v>Откройте для себя мощные инструменты для навигации и отслеживания местоположения</v>
      </c>
      <c r="O209" s="4" t="str">
        <f>IFERROR(__xludf.DUMMYFUNCTION("GOOGLETRANSLATE(B209,""en"",""tr"")"),"Navigasyon ve konum takibi için güçlü araçları keşfedin")</f>
        <v>Navigasyon ve konum takibi için güçlü araçları keşfedin</v>
      </c>
      <c r="P209" s="4" t="str">
        <f>IFERROR(__xludf.DUMMYFUNCTION("GOOGLETRANSLATE(B209,""en"",""ar"")"),"اكتشف أدوات قوية للملاحة وتتبع الموقع")</f>
        <v>اكتشف أدوات قوية للملاحة وتتبع الموقع</v>
      </c>
      <c r="Q209" s="4" t="str">
        <f>IFERROR(__xludf.DUMMYFUNCTION("GOOGLETRANSLATE(B209,""en"",""mr"")"),"नेव्हिगेशन आणि स्थान ट्रॅकिंगसाठी शक्तिशाली साधने शोधा")</f>
        <v>नेव्हिगेशन आणि स्थान ट्रॅकिंगसाठी शक्तिशाली साधने शोधा</v>
      </c>
      <c r="R209" s="4" t="str">
        <f>IFERROR(__xludf.DUMMYFUNCTION("GOOGLETRANSLATE(B209,""en"",""gu"")"),"નેવિગેશન અને સ્થાન ટ્રેકિંગ માટે શક્તિશાળી સાધનો શોધો")</f>
        <v>નેવિગેશન અને સ્થાન ટ્રેકિંગ માટે શક્તિશાળી સાધનો શોધો</v>
      </c>
      <c r="S209" s="4" t="str">
        <f>IFERROR(__xludf.DUMMYFUNCTION("GOOGLETRANSLATE(B209,""en"",""bn"")"),"নেভিগেশন এবং অবস্থান ট্র্যাকিং জন্য শক্তিশালী সরঞ্জাম আবিষ্কার করুন")</f>
        <v>নেভিগেশন এবং অবস্থান ট্র্যাকিং জন্য শক্তিশালী সরঞ্জাম আবিষ্কার করুন</v>
      </c>
      <c r="T209" s="4" t="str">
        <f>IFERROR(__xludf.DUMMYFUNCTION("GOOGLETRANSLATE(B209,""en"",""pa"")"),"ਨੈਵੀਗੇਸ਼ਨ ਅਤੇ ਟਿਕਾਣਾ ਟਰੈਕਿੰਗ ਲਈ ਸ਼ਕਤੀਸ਼ਾਲੀ ਸਾਧਨਾਂ ਦੀ ਖੋਜ ਕਰੋ")</f>
        <v>ਨੈਵੀਗੇਸ਼ਨ ਅਤੇ ਟਿਕਾਣਾ ਟਰੈਕਿੰਗ ਲਈ ਸ਼ਕਤੀਸ਼ਾਲੀ ਸਾਧਨਾਂ ਦੀ ਖੋਜ ਕਰੋ</v>
      </c>
      <c r="U209" s="4" t="str">
        <f>IFERROR(__xludf.DUMMYFUNCTION("GOOGLETRANSLATE(B209,""en"",""te"")"),"నావిగేషన్ మరియు లొకేషన్ ట్రాకింగ్ కోసం శక్తివంతమైన సాధనాలను కనుగొనండి")</f>
        <v>నావిగేషన్ మరియు లొకేషన్ ట్రాకింగ్ కోసం శక్తివంతమైన సాధనాలను కనుగొనండి</v>
      </c>
      <c r="V209" s="4" t="str">
        <f>IFERROR(__xludf.DUMMYFUNCTION("GOOGLETRANSLATE(B209,""en"",""kn"")"),"ನ್ಯಾವಿಗೇಷನ್ ಮತ್ತು ಸ್ಥಳ ಟ್ರ್ಯಾಕಿಂಗ್‌ಗಾಗಿ ಶಕ್ತಿಯುತ ಸಾಧನಗಳನ್ನು ಅನ್ವೇಷಿಸಿ")</f>
        <v>ನ್ಯಾವಿಗೇಷನ್ ಮತ್ತು ಸ್ಥಳ ಟ್ರ್ಯಾಕಿಂಗ್‌ಗಾಗಿ ಶಕ್ತಿಯುತ ಸಾಧನಗಳನ್ನು ಅನ್ವೇಷಿಸಿ</v>
      </c>
      <c r="W209" s="4" t="str">
        <f>IFERROR(__xludf.DUMMYFUNCTION("GOOGLETRANSLATE(B209,""en"",""ml"")"),"നാവിഗേഷനും ലൊക്കേഷൻ ട്രാക്കിംഗിനും ശക്തമായ ടൂളുകൾ കണ്ടെത്തുക")</f>
        <v>നാവിഗേഷനും ലൊക്കേഷൻ ട്രാക്കിംഗിനും ശക്തമായ ടൂളുകൾ കണ്ടെത്തുക</v>
      </c>
      <c r="X209" s="4" t="str">
        <f>IFERROR(__xludf.DUMMYFUNCTION("GOOGLETRANSLATE(B209,""en"",""th"")"),"ค้นพบเครื่องมืออันทรงพลังสำหรับการนำทางและการติดตามตำแหน่ง")</f>
        <v>ค้นพบเครื่องมืออันทรงพลังสำหรับการนำทางและการติดตามตำแหน่ง</v>
      </c>
      <c r="Y209" s="4" t="str">
        <f>IFERROR(__xludf.DUMMYFUNCTION("GOOGLETRANSLATE(B209,""en"",""ko"")"),"탐색 및 위치 추적을 위한 강력한 도구를 알아보세요")</f>
        <v>탐색 및 위치 추적을 위한 강력한 도구를 알아보세요</v>
      </c>
      <c r="Z209" s="4" t="str">
        <f>IFERROR(__xludf.DUMMYFUNCTION("GOOGLETRANSLATE(B209,""en"",""zh"")"),"发现强大的导航和位置跟踪工具")</f>
        <v>发现强大的导航和位置跟踪工具</v>
      </c>
      <c r="AA209" s="4" t="str">
        <f>IFERROR(__xludf.DUMMYFUNCTION("GOOGLETRANSLATE(B209,""en"",""zh-TW"")"),"發現強大的導航和位置追蹤工具")</f>
        <v>發現強大的導航和位置追蹤工具</v>
      </c>
      <c r="AB209" s="4" t="str">
        <f>IFERROR(__xludf.DUMMYFUNCTION("GOOGLETRANSLATE(B209,""en"",""ja"")"),"ナビゲーションと位置追跡のための強力なツールを発見")</f>
        <v>ナビゲーションと位置追跡のための強力なツールを発見</v>
      </c>
      <c r="AC209" s="4" t="str">
        <f>IFERROR(__xludf.DUMMYFUNCTION("GOOGLETRANSLATE(B209,""en"",""bg"")"),"Открийте мощни инструменти за навигация и проследяване на местоположението")</f>
        <v>Открийте мощни инструменти за навигация и проследяване на местоположението</v>
      </c>
      <c r="AD209" s="4" t="str">
        <f>IFERROR(__xludf.DUMMYFUNCTION("GOOGLETRANSLATE(B209,""en"",""cs"")"),"Objevte výkonné nástroje pro navigaci a sledování polohy")</f>
        <v>Objevte výkonné nástroje pro navigaci a sledování polohy</v>
      </c>
      <c r="AE209" s="4" t="str">
        <f>IFERROR(__xludf.DUMMYFUNCTION("GOOGLETRANSLATE(B209,""en"",""da"")"),"Oplev kraftfulde værktøjer til navigation og placeringssporing")</f>
        <v>Oplev kraftfulde værktøjer til navigation og placeringssporing</v>
      </c>
      <c r="AF209" s="4" t="str">
        <f>IFERROR(__xludf.DUMMYFUNCTION("GOOGLETRANSLATE(B209,""en"",""el"")"),"Ανακαλύψτε ισχυρά εργαλεία για πλοήγηση και παρακολούθηση τοποθεσίας")</f>
        <v>Ανακαλύψτε ισχυρά εργαλεία για πλοήγηση και παρακολούθηση τοποθεσίας</v>
      </c>
      <c r="AG209" s="4" t="str">
        <f>IFERROR(__xludf.DUMMYFUNCTION("GOOGLETRANSLATE(B209,""en"",""et"")"),"Avastage võimsad tööriistad navigeerimiseks ja asukoha jälgimiseks")</f>
        <v>Avastage võimsad tööriistad navigeerimiseks ja asukoha jälgimiseks</v>
      </c>
      <c r="AH209" s="4" t="str">
        <f>IFERROR(__xludf.DUMMYFUNCTION("GOOGLETRANSLATE(B209,""en"",""fi"")"),"Löydä tehokkaita työkaluja navigointiin ja sijainnin seurantaan")</f>
        <v>Löydä tehokkaita työkaluja navigointiin ja sijainnin seurantaan</v>
      </c>
      <c r="AI209" s="4" t="str">
        <f>IFERROR(__xludf.DUMMYFUNCTION("GOOGLETRANSLATE(B209,""en"",""hr"")"),"Otkrijte moćne alate za navigaciju i praćenje lokacije")</f>
        <v>Otkrijte moćne alate za navigaciju i praćenje lokacije</v>
      </c>
      <c r="AJ209" s="4" t="str">
        <f>IFERROR(__xludf.DUMMYFUNCTION("GOOGLETRANSLATE(B209,""en"",""hu"")"),"Fedezze fel a navigáció és a helymeghatározás hatékony eszközeit")</f>
        <v>Fedezze fel a navigáció és a helymeghatározás hatékony eszközeit</v>
      </c>
      <c r="AK209" s="4" t="str">
        <f>IFERROR(__xludf.DUMMYFUNCTION("GOOGLETRANSLATE(B209,""en"",""hy"")"),"Բացահայտեք նավիգացիայի և գտնվելու վայրի հետևման հզոր գործիքներ")</f>
        <v>Բացահայտեք նավիգացիայի և գտնվելու վայրի հետևման հզոր գործիքներ</v>
      </c>
      <c r="AL209" s="4" t="str">
        <f>IFERROR(__xludf.DUMMYFUNCTION("GOOGLETRANSLATE(B209,""en"",""ca"")"),"Descobriu eines potents per a la navegació i el seguiment d'ubicacions")</f>
        <v>Descobriu eines potents per a la navegació i el seguiment d'ubicacions</v>
      </c>
      <c r="AM209" s="4" t="str">
        <f>IFERROR(__xludf.DUMMYFUNCTION("GOOGLETRANSLATE(B209,""en"",""nl"")"),"Ontdek krachtige tools voor navigatie en locatiebepaling")</f>
        <v>Ontdek krachtige tools voor navigatie en locatiebepaling</v>
      </c>
      <c r="AN209" s="4" t="str">
        <f>IFERROR(__xludf.DUMMYFUNCTION("GOOGLETRANSLATE(B209,""en"",""he"")"),"גלה כלים רבי עוצמה לניווט ולמעקב אחר מיקום")</f>
        <v>גלה כלים רבי עוצמה לניווט ולמעקב אחר מיקום</v>
      </c>
      <c r="AO209" s="4" t="str">
        <f>IFERROR(__xludf.DUMMYFUNCTION("GOOGLETRANSLATE(B209,""en"",""is"")"),"Uppgötvaðu öflug verkfæri fyrir siglingar og staðsetningarrakningu")</f>
        <v>Uppgötvaðu öflug verkfæri fyrir siglingar og staðsetningarrakningu</v>
      </c>
      <c r="AP209" s="4" t="str">
        <f>IFERROR(__xludf.DUMMYFUNCTION("GOOGLETRANSLATE(B209,""en"",""no"")"),"Oppdag kraftige verktøy for navigasjon og posisjonssporing")</f>
        <v>Oppdag kraftige verktøy for navigasjon og posisjonssporing</v>
      </c>
      <c r="AQ209" s="4" t="str">
        <f>IFERROR(__xludf.DUMMYFUNCTION("GOOGLETRANSLATE(B209,""en"",""fa"")"),"ابزارهای قدرتمند برای ناوبری و ردیابی موقعیت مکانی را کشف کنید")</f>
        <v>ابزارهای قدرتمند برای ناوبری و ردیابی موقعیت مکانی را کشف کنید</v>
      </c>
      <c r="AR209" s="4" t="str">
        <f>IFERROR(__xludf.DUMMYFUNCTION("GOOGLETRANSLATE(B209,""en"",""pl"")"),"Odkryj potężne narzędzia do nawigacji i śledzenia lokalizacji")</f>
        <v>Odkryj potężne narzędzia do nawigacji i śledzenia lokalizacji</v>
      </c>
      <c r="AS209" s="4" t="str">
        <f>IFERROR(__xludf.DUMMYFUNCTION("GOOGLETRANSLATE(B209,""en"",""sv"")"),"Upptäck kraftfulla verktyg för navigering och platsspårning")</f>
        <v>Upptäck kraftfulla verktyg för navigering och platsspårning</v>
      </c>
      <c r="AT209" s="4" t="str">
        <f>IFERROR(__xludf.DUMMYFUNCTION("GOOGLETRANSLATE(B209,""en"",""uk"")"),"Відкрийте для себе потужні інструменти для навігації та відстеження місцезнаходження")</f>
        <v>Відкрийте для себе потужні інструменти для навігації та відстеження місцезнаходження</v>
      </c>
      <c r="AU209" s="4" t="str">
        <f>IFERROR(__xludf.DUMMYFUNCTION("GOOGLETRANSLATE(B209,""en"",""zu"")"),"Zitholele amathuluzi anamandla okuzulazula nokulandelela indawo")</f>
        <v>Zitholele amathuluzi anamandla okuzulazula nokulandelela indawo</v>
      </c>
      <c r="AV209" s="4" t="str">
        <f>IFERROR(__xludf.DUMMYFUNCTION("GOOGLETRANSLATE(B209,""en"",""sr"")"),"Откријте моћне алате за навигацију и праћење локације")</f>
        <v>Откријте моћне алате за навигацију и праћење локације</v>
      </c>
    </row>
    <row r="210">
      <c r="A210" s="3" t="s">
        <v>448</v>
      </c>
      <c r="B210" s="3" t="s">
        <v>449</v>
      </c>
      <c r="C210" s="4" t="str">
        <f>IFERROR(__xludf.DUMMYFUNCTION("GOOGLETRANSLATE(B210,""en"",""ta"")"),"தொடங்கத் தயாரா?")</f>
        <v>தொடங்கத் தயாரா?</v>
      </c>
      <c r="D210" s="4" t="str">
        <f>IFERROR(__xludf.DUMMYFUNCTION("GOOGLETRANSLATE(B210,""en"",""hi"")"),"शुरू करने के लिए तैयार हैं?")</f>
        <v>शुरू करने के लिए तैयार हैं?</v>
      </c>
      <c r="E210" s="4" t="str">
        <f>IFERROR(__xludf.DUMMYFUNCTION("GOOGLETRANSLATE(B210,""en"",""id"")"),"Siap untuk Memulai?")</f>
        <v>Siap untuk Memulai?</v>
      </c>
      <c r="F210" s="4" t="str">
        <f>IFERROR(__xludf.DUMMYFUNCTION("GOOGLETRANSLATE(B210,""en"",""ms"")"),"Bersedia untuk Bermula?")</f>
        <v>Bersedia untuk Bermula?</v>
      </c>
      <c r="G210" s="4" t="str">
        <f>IFERROR(__xludf.DUMMYFUNCTION("GOOGLETRANSLATE(B210,""en"",""de"")"),"Bereit zum Start?")</f>
        <v>Bereit zum Start?</v>
      </c>
      <c r="H210" s="4" t="str">
        <f>IFERROR(__xludf.DUMMYFUNCTION("GOOGLETRANSLATE(B210,""en"",""es"")"),"¿Listo para empezar?")</f>
        <v>¿Listo para empezar?</v>
      </c>
      <c r="I210" s="4" t="str">
        <f>IFERROR(__xludf.DUMMYFUNCTION("GOOGLETRANSLATE(B210,""en"",""fr"")"),"Prêt à commencer ?")</f>
        <v>Prêt à commencer ?</v>
      </c>
      <c r="J210" s="4" t="str">
        <f>IFERROR(__xludf.DUMMYFUNCTION("GOOGLETRANSLATE(B210,""en"",""it"")"),"Pronti per iniziare?")</f>
        <v>Pronti per iniziare?</v>
      </c>
      <c r="K210" s="4" t="str">
        <f>IFERROR(__xludf.DUMMYFUNCTION("GOOGLETRANSLATE(B210,""en"",""pt"")"),"Pronto para começar?")</f>
        <v>Pronto para começar?</v>
      </c>
      <c r="L210" s="4" t="str">
        <f>IFERROR(__xludf.DUMMYFUNCTION("GOOGLETRANSLATE(B210,""en"",""ro"")"),"Sunteți gata să începeți?")</f>
        <v>Sunteți gata să începeți?</v>
      </c>
      <c r="M210" s="4" t="str">
        <f>IFERROR(__xludf.DUMMYFUNCTION("GOOGLETRANSLATE(B210,""en"",""vi"")"),"Sẵn sàng bắt đầu chưa?")</f>
        <v>Sẵn sàng bắt đầu chưa?</v>
      </c>
      <c r="N210" s="4" t="str">
        <f>IFERROR(__xludf.DUMMYFUNCTION("GOOGLETRANSLATE(B210,""en"",""ru"")"),"Готовы начать?")</f>
        <v>Готовы начать?</v>
      </c>
      <c r="O210" s="4" t="str">
        <f>IFERROR(__xludf.DUMMYFUNCTION("GOOGLETRANSLATE(B210,""en"",""tr"")"),"Başlamaya hazır mısınız?")</f>
        <v>Başlamaya hazır mısınız?</v>
      </c>
      <c r="P210" s="4" t="str">
        <f>IFERROR(__xludf.DUMMYFUNCTION("GOOGLETRANSLATE(B210,""en"",""ar"")"),"هل أنت مستعد للبدء؟")</f>
        <v>هل أنت مستعد للبدء؟</v>
      </c>
      <c r="Q210" s="4" t="str">
        <f>IFERROR(__xludf.DUMMYFUNCTION("GOOGLETRANSLATE(B210,""en"",""mr"")"),"प्रारंभ करण्यास तयार आहात?")</f>
        <v>प्रारंभ करण्यास तयार आहात?</v>
      </c>
      <c r="R210" s="4" t="str">
        <f>IFERROR(__xludf.DUMMYFUNCTION("GOOGLETRANSLATE(B210,""en"",""gu"")"),"શરૂ કરવા માટે તૈયાર છો?")</f>
        <v>શરૂ કરવા માટે તૈયાર છો?</v>
      </c>
      <c r="S210" s="4" t="str">
        <f>IFERROR(__xludf.DUMMYFUNCTION("GOOGLETRANSLATE(B210,""en"",""bn"")"),"শুরু করতে প্রস্তুত?")</f>
        <v>শুরু করতে প্রস্তুত?</v>
      </c>
      <c r="T210" s="4" t="str">
        <f>IFERROR(__xludf.DUMMYFUNCTION("GOOGLETRANSLATE(B210,""en"",""pa"")"),"ਸ਼ੁਰੂ ਕਰਨ ਲਈ ਤਿਆਰ ਹੋ?")</f>
        <v>ਸ਼ੁਰੂ ਕਰਨ ਲਈ ਤਿਆਰ ਹੋ?</v>
      </c>
      <c r="U210" s="4" t="str">
        <f>IFERROR(__xludf.DUMMYFUNCTION("GOOGLETRANSLATE(B210,""en"",""te"")"),"ప్రారంభించడానికి సిద్ధంగా ఉన్నారా?")</f>
        <v>ప్రారంభించడానికి సిద్ధంగా ఉన్నారా?</v>
      </c>
      <c r="V210" s="4" t="str">
        <f>IFERROR(__xludf.DUMMYFUNCTION("GOOGLETRANSLATE(B210,""en"",""kn"")"),"ಪ್ರಾರಂಭಿಸಲು ಸಿದ್ಧರಿದ್ದೀರಾ?")</f>
        <v>ಪ್ರಾರಂಭಿಸಲು ಸಿದ್ಧರಿದ್ದೀರಾ?</v>
      </c>
      <c r="W210" s="4" t="str">
        <f>IFERROR(__xludf.DUMMYFUNCTION("GOOGLETRANSLATE(B210,""en"",""ml"")"),"ആരംഭിക്കാൻ തയ്യാറാണോ?")</f>
        <v>ആരംഭിക്കാൻ തയ്യാറാണോ?</v>
      </c>
      <c r="X210" s="4" t="str">
        <f>IFERROR(__xludf.DUMMYFUNCTION("GOOGLETRANSLATE(B210,""en"",""th"")"),"พร้อมที่จะเริ่มต้นหรือยัง?")</f>
        <v>พร้อมที่จะเริ่มต้นหรือยัง?</v>
      </c>
      <c r="Y210" s="4" t="str">
        <f>IFERROR(__xludf.DUMMYFUNCTION("GOOGLETRANSLATE(B210,""en"",""ko"")"),"시작할 준비가 되셨나요?")</f>
        <v>시작할 준비가 되셨나요?</v>
      </c>
      <c r="Z210" s="4" t="str">
        <f>IFERROR(__xludf.DUMMYFUNCTION("GOOGLETRANSLATE(B210,""en"",""zh"")"),"准备开始了吗？")</f>
        <v>准备开始了吗？</v>
      </c>
      <c r="AA210" s="4" t="str">
        <f>IFERROR(__xludf.DUMMYFUNCTION("GOOGLETRANSLATE(B210,""en"",""zh-TW"")"),"準備開始了嗎？")</f>
        <v>準備開始了嗎？</v>
      </c>
      <c r="AB210" s="4" t="str">
        <f>IFERROR(__xludf.DUMMYFUNCTION("GOOGLETRANSLATE(B210,""en"",""ja"")"),"始める準備はできましたか?")</f>
        <v>始める準備はできましたか?</v>
      </c>
      <c r="AC210" s="4" t="str">
        <f>IFERROR(__xludf.DUMMYFUNCTION("GOOGLETRANSLATE(B210,""en"",""bg"")"),"Готови ли сте да започнете?")</f>
        <v>Готови ли сте да започнете?</v>
      </c>
      <c r="AD210" s="4" t="str">
        <f>IFERROR(__xludf.DUMMYFUNCTION("GOOGLETRANSLATE(B210,""en"",""cs"")"),"Jste připraveni začít?")</f>
        <v>Jste připraveni začít?</v>
      </c>
      <c r="AE210" s="4" t="str">
        <f>IFERROR(__xludf.DUMMYFUNCTION("GOOGLETRANSLATE(B210,""en"",""da"")"),"Klar til at starte?")</f>
        <v>Klar til at starte?</v>
      </c>
      <c r="AF210" s="4" t="str">
        <f>IFERROR(__xludf.DUMMYFUNCTION("GOOGLETRANSLATE(B210,""en"",""el"")"),"Έτοιμοι να ξεκινήσετε;")</f>
        <v>Έτοιμοι να ξεκινήσετε;</v>
      </c>
      <c r="AG210" s="4" t="str">
        <f>IFERROR(__xludf.DUMMYFUNCTION("GOOGLETRANSLATE(B210,""en"",""et"")"),"Kas olete alustamiseks valmis?")</f>
        <v>Kas olete alustamiseks valmis?</v>
      </c>
      <c r="AH210" s="4" t="str">
        <f>IFERROR(__xludf.DUMMYFUNCTION("GOOGLETRANSLATE(B210,""en"",""fi"")"),"Oletko valmis aloittamaan?")</f>
        <v>Oletko valmis aloittamaan?</v>
      </c>
      <c r="AI210" s="4" t="str">
        <f>IFERROR(__xludf.DUMMYFUNCTION("GOOGLETRANSLATE(B210,""en"",""hr"")"),"Spremni za početak?")</f>
        <v>Spremni za početak?</v>
      </c>
      <c r="AJ210" s="4" t="str">
        <f>IFERROR(__xludf.DUMMYFUNCTION("GOOGLETRANSLATE(B210,""en"",""hu"")"),"Készen áll a kezdésre?")</f>
        <v>Készen áll a kezdésre?</v>
      </c>
      <c r="AK210" s="4" t="str">
        <f>IFERROR(__xludf.DUMMYFUNCTION("GOOGLETRANSLATE(B210,""en"",""hy"")"),"Պատրա՞ստ եք սկսել:")</f>
        <v>Պատրա՞ստ եք սկսել:</v>
      </c>
      <c r="AL210" s="4" t="str">
        <f>IFERROR(__xludf.DUMMYFUNCTION("GOOGLETRANSLATE(B210,""en"",""ca"")"),"Preparat per començar?")</f>
        <v>Preparat per començar?</v>
      </c>
      <c r="AM210" s="4" t="str">
        <f>IFERROR(__xludf.DUMMYFUNCTION("GOOGLETRANSLATE(B210,""en"",""nl"")"),"Klaar om te beginnen?")</f>
        <v>Klaar om te beginnen?</v>
      </c>
      <c r="AN210" s="4" t="str">
        <f>IFERROR(__xludf.DUMMYFUNCTION("GOOGLETRANSLATE(B210,""en"",""he"")"),"מוכן להתחיל?")</f>
        <v>מוכן להתחיל?</v>
      </c>
      <c r="AO210" s="4" t="str">
        <f>IFERROR(__xludf.DUMMYFUNCTION("GOOGLETRANSLATE(B210,""en"",""is"")"),"Tilbúinn til að byrja?")</f>
        <v>Tilbúinn til að byrja?</v>
      </c>
      <c r="AP210" s="4" t="str">
        <f>IFERROR(__xludf.DUMMYFUNCTION("GOOGLETRANSLATE(B210,""en"",""no"")"),"Klar til å starte?")</f>
        <v>Klar til å starte?</v>
      </c>
      <c r="AQ210" s="4" t="str">
        <f>IFERROR(__xludf.DUMMYFUNCTION("GOOGLETRANSLATE(B210,""en"",""fa"")"),"آماده برای شروع؟")</f>
        <v>آماده برای شروع؟</v>
      </c>
      <c r="AR210" s="4" t="str">
        <f>IFERROR(__xludf.DUMMYFUNCTION("GOOGLETRANSLATE(B210,""en"",""pl"")"),"Gotowy, żeby zacząć?")</f>
        <v>Gotowy, żeby zacząć?</v>
      </c>
      <c r="AS210" s="4" t="str">
        <f>IFERROR(__xludf.DUMMYFUNCTION("GOOGLETRANSLATE(B210,""en"",""sv"")"),"Redo att börja?")</f>
        <v>Redo att börja?</v>
      </c>
      <c r="AT210" s="4" t="str">
        <f>IFERROR(__xludf.DUMMYFUNCTION("GOOGLETRANSLATE(B210,""en"",""uk"")"),"Готові почати?")</f>
        <v>Готові почати?</v>
      </c>
      <c r="AU210" s="4" t="str">
        <f>IFERROR(__xludf.DUMMYFUNCTION("GOOGLETRANSLATE(B210,""en"",""zu"")"),"Usulungele Ukuqala?")</f>
        <v>Usulungele Ukuqala?</v>
      </c>
      <c r="AV210" s="4" t="str">
        <f>IFERROR(__xludf.DUMMYFUNCTION("GOOGLETRANSLATE(B210,""en"",""sr"")"),"Спремни за почетак?")</f>
        <v>Спремни за почетак?</v>
      </c>
    </row>
    <row r="211">
      <c r="A211" s="3" t="s">
        <v>450</v>
      </c>
      <c r="B211" s="3" t="s">
        <v>451</v>
      </c>
      <c r="C211" s="4" t="str">
        <f>IFERROR(__xludf.DUMMYFUNCTION("GOOGLETRANSLATE(B211,""en"",""ta"")"),"ஜிபிஎஸ் கருவிகள் மூலம் உங்கள் பயணத்தை இன்றே தொடங்குங்கள்")</f>
        <v>ஜிபிஎஸ் கருவிகள் மூலம் உங்கள் பயணத்தை இன்றே தொடங்குங்கள்</v>
      </c>
      <c r="D211" s="4" t="str">
        <f>IFERROR(__xludf.DUMMYFUNCTION("GOOGLETRANSLATE(B211,""en"",""hi"")"),"आज ही GPS टूल्स के साथ अपनी यात्रा शुरू करें")</f>
        <v>आज ही GPS टूल्स के साथ अपनी यात्रा शुरू करें</v>
      </c>
      <c r="E211" s="4" t="str">
        <f>IFERROR(__xludf.DUMMYFUNCTION("GOOGLETRANSLATE(B211,""en"",""id"")"),"Mulailah perjalanan Anda dengan Alat GPS hari ini")</f>
        <v>Mulailah perjalanan Anda dengan Alat GPS hari ini</v>
      </c>
      <c r="F211" s="4" t="str">
        <f>IFERROR(__xludf.DUMMYFUNCTION("GOOGLETRANSLATE(B211,""en"",""ms"")"),"Mulakan perjalanan anda dengan Alat GPS hari ini")</f>
        <v>Mulakan perjalanan anda dengan Alat GPS hari ini</v>
      </c>
      <c r="G211" s="4" t="str">
        <f>IFERROR(__xludf.DUMMYFUNCTION("GOOGLETRANSLATE(B211,""en"",""de"")"),"Beginnen Sie Ihre Reise mit GPS Tools noch heute")</f>
        <v>Beginnen Sie Ihre Reise mit GPS Tools noch heute</v>
      </c>
      <c r="H211" s="4" t="str">
        <f>IFERROR(__xludf.DUMMYFUNCTION("GOOGLETRANSLATE(B211,""en"",""es"")"),"Comience su viaje con GPS Tools hoy")</f>
        <v>Comience su viaje con GPS Tools hoy</v>
      </c>
      <c r="I211" s="4" t="str">
        <f>IFERROR(__xludf.DUMMYFUNCTION("GOOGLETRANSLATE(B211,""en"",""fr"")"),"Commencez votre voyage avec GPS Tools dès aujourd'hui")</f>
        <v>Commencez votre voyage avec GPS Tools dès aujourd'hui</v>
      </c>
      <c r="J211" s="4" t="str">
        <f>IFERROR(__xludf.DUMMYFUNCTION("GOOGLETRANSLATE(B211,""en"",""it"")"),"Inizia oggi il tuo viaggio con GPS Tools")</f>
        <v>Inizia oggi il tuo viaggio con GPS Tools</v>
      </c>
      <c r="K211" s="4" t="str">
        <f>IFERROR(__xludf.DUMMYFUNCTION("GOOGLETRANSLATE(B211,""en"",""pt"")"),"Comece sua jornada com a GPS Tools hoje mesmo")</f>
        <v>Comece sua jornada com a GPS Tools hoje mesmo</v>
      </c>
      <c r="L211" s="4" t="str">
        <f>IFERROR(__xludf.DUMMYFUNCTION("GOOGLETRANSLATE(B211,""en"",""ro"")"),"Începeți-vă călătoria cu Instrumentele GPS astăzi")</f>
        <v>Începeți-vă călătoria cu Instrumentele GPS astăzi</v>
      </c>
      <c r="M211" s="4" t="str">
        <f>IFERROR(__xludf.DUMMYFUNCTION("GOOGLETRANSLATE(B211,""en"",""vi"")"),"Bắt đầu hành trình của bạn với GPS Tools ngay hôm nay")</f>
        <v>Bắt đầu hành trình của bạn với GPS Tools ngay hôm nay</v>
      </c>
      <c r="N211" s="4" t="str">
        <f>IFERROR(__xludf.DUMMYFUNCTION("GOOGLETRANSLATE(B211,""en"",""ru"")"),"Начните свое путешествие с GPS Tools сегодня")</f>
        <v>Начните свое путешествие с GPS Tools сегодня</v>
      </c>
      <c r="O211" s="4" t="str">
        <f>IFERROR(__xludf.DUMMYFUNCTION("GOOGLETRANSLATE(B211,""en"",""tr"")"),"GPS Tools ile yolculuğunuza bugün başlayın")</f>
        <v>GPS Tools ile yolculuğunuza bugün başlayın</v>
      </c>
      <c r="P211" s="4" t="str">
        <f>IFERROR(__xludf.DUMMYFUNCTION("GOOGLETRANSLATE(B211,""en"",""ar"")"),"ابدأ رحلتك مع أدوات GPS اليوم")</f>
        <v>ابدأ رحلتك مع أدوات GPS اليوم</v>
      </c>
      <c r="Q211" s="4" t="str">
        <f>IFERROR(__xludf.DUMMYFUNCTION("GOOGLETRANSLATE(B211,""en"",""mr"")"),"आजच तुमचा प्रवास GPS टूल्ससह सुरू करा")</f>
        <v>आजच तुमचा प्रवास GPS टूल्ससह सुरू करा</v>
      </c>
      <c r="R211" s="4" t="str">
        <f>IFERROR(__xludf.DUMMYFUNCTION("GOOGLETRANSLATE(B211,""en"",""gu"")"),"આજે જ જીપીએસ ટૂલ્સ સાથે તમારી મુસાફરી શરૂ કરો")</f>
        <v>આજે જ જીપીએસ ટૂલ્સ સાથે તમારી મુસાફરી શરૂ કરો</v>
      </c>
      <c r="S211" s="4" t="str">
        <f>IFERROR(__xludf.DUMMYFUNCTION("GOOGLETRANSLATE(B211,""en"",""bn"")"),"আজই জিপিএস টুল দিয়ে আপনার যাত্রা শুরু করুন")</f>
        <v>আজই জিপিএস টুল দিয়ে আপনার যাত্রা শুরু করুন</v>
      </c>
      <c r="T211" s="4" t="str">
        <f>IFERROR(__xludf.DUMMYFUNCTION("GOOGLETRANSLATE(B211,""en"",""pa"")"),"ਅੱਜ ਹੀ GPS ਟੂਲਸ ਨਾਲ ਆਪਣੀ ਯਾਤਰਾ ਸ਼ੁਰੂ ਕਰੋ")</f>
        <v>ਅੱਜ ਹੀ GPS ਟੂਲਸ ਨਾਲ ਆਪਣੀ ਯਾਤਰਾ ਸ਼ੁਰੂ ਕਰੋ</v>
      </c>
      <c r="U211" s="4" t="str">
        <f>IFERROR(__xludf.DUMMYFUNCTION("GOOGLETRANSLATE(B211,""en"",""te"")"),"ఈరోజే GPS సాధనాలతో మీ ప్రయాణాన్ని ప్రారంభించండి")</f>
        <v>ఈరోజే GPS సాధనాలతో మీ ప్రయాణాన్ని ప్రారంభించండి</v>
      </c>
      <c r="V211" s="4" t="str">
        <f>IFERROR(__xludf.DUMMYFUNCTION("GOOGLETRANSLATE(B211,""en"",""kn"")"),"ಇಂದು GPS ಪರಿಕರಗಳೊಂದಿಗೆ ನಿಮ್ಮ ಪ್ರಯಾಣವನ್ನು ಪ್ರಾರಂಭಿಸಿ")</f>
        <v>ಇಂದು GPS ಪರಿಕರಗಳೊಂದಿಗೆ ನಿಮ್ಮ ಪ್ರಯಾಣವನ್ನು ಪ್ರಾರಂಭಿಸಿ</v>
      </c>
      <c r="W211" s="4" t="str">
        <f>IFERROR(__xludf.DUMMYFUNCTION("GOOGLETRANSLATE(B211,""en"",""ml"")"),"ഇന്ന് തന്നെ GPS ടൂളുകൾ ഉപയോഗിച്ച് നിങ്ങളുടെ യാത്ര ആരംഭിക്കുക")</f>
        <v>ഇന്ന് തന്നെ GPS ടൂളുകൾ ഉപയോഗിച്ച് നിങ്ങളുടെ യാത്ര ആരംഭിക്കുക</v>
      </c>
      <c r="X211" s="4" t="str">
        <f>IFERROR(__xludf.DUMMYFUNCTION("GOOGLETRANSLATE(B211,""en"",""th"")"),"เริ่มต้นการเดินทางของคุณด้วยเครื่องมือ GPS วันนี้")</f>
        <v>เริ่มต้นการเดินทางของคุณด้วยเครื่องมือ GPS วันนี้</v>
      </c>
      <c r="Y211" s="4" t="str">
        <f>IFERROR(__xludf.DUMMYFUNCTION("GOOGLETRANSLATE(B211,""en"",""ko"")"),"지금 GPS 도구로 여행을 시작하세요")</f>
        <v>지금 GPS 도구로 여행을 시작하세요</v>
      </c>
      <c r="Z211" s="4" t="str">
        <f>IFERROR(__xludf.DUMMYFUNCTION("GOOGLETRANSLATE(B211,""en"",""zh"")"),"立即使用 GPS 工具开始您的旅程")</f>
        <v>立即使用 GPS 工具开始您的旅程</v>
      </c>
      <c r="AA211" s="4" t="str">
        <f>IFERROR(__xludf.DUMMYFUNCTION("GOOGLETRANSLATE(B211,""en"",""zh-TW"")"),"立即使用 GPS 工具開始您的旅程")</f>
        <v>立即使用 GPS 工具開始您的旅程</v>
      </c>
      <c r="AB211" s="4" t="str">
        <f>IFERROR(__xludf.DUMMYFUNCTION("GOOGLETRANSLATE(B211,""en"",""ja"")"),"今すぐGPSツールで旅を始めましょう")</f>
        <v>今すぐGPSツールで旅を始めましょう</v>
      </c>
      <c r="AC211" s="4" t="str">
        <f>IFERROR(__xludf.DUMMYFUNCTION("GOOGLETRANSLATE(B211,""en"",""bg"")"),"Започнете вашето пътуване с GPS инструменти днес")</f>
        <v>Започнете вашето пътуване с GPS инструменти днес</v>
      </c>
      <c r="AD211" s="4" t="str">
        <f>IFERROR(__xludf.DUMMYFUNCTION("GOOGLETRANSLATE(B211,""en"",""cs"")"),"Začněte svou cestu s nástroji GPS ještě dnes")</f>
        <v>Začněte svou cestu s nástroji GPS ještě dnes</v>
      </c>
      <c r="AE211" s="4" t="str">
        <f>IFERROR(__xludf.DUMMYFUNCTION("GOOGLETRANSLATE(B211,""en"",""da"")"),"Begynd din rejse med GPS-værktøjer i dag")</f>
        <v>Begynd din rejse med GPS-værktøjer i dag</v>
      </c>
      <c r="AF211" s="4" t="str">
        <f>IFERROR(__xludf.DUMMYFUNCTION("GOOGLETRANSLATE(B211,""en"",""el"")"),"Ξεκινήστε το ταξίδι σας με τα Εργαλεία GPS σήμερα")</f>
        <v>Ξεκινήστε το ταξίδι σας με τα Εργαλεία GPS σήμερα</v>
      </c>
      <c r="AG211" s="4" t="str">
        <f>IFERROR(__xludf.DUMMYFUNCTION("GOOGLETRANSLATE(B211,""en"",""et"")"),"Alustage oma reisi GPS-i tööriistadega juba täna")</f>
        <v>Alustage oma reisi GPS-i tööriistadega juba täna</v>
      </c>
      <c r="AH211" s="4" t="str">
        <f>IFERROR(__xludf.DUMMYFUNCTION("GOOGLETRANSLATE(B211,""en"",""fi"")"),"Aloita matkasi GPS-työkaluilla tänään")</f>
        <v>Aloita matkasi GPS-työkaluilla tänään</v>
      </c>
      <c r="AI211" s="4" t="str">
        <f>IFERROR(__xludf.DUMMYFUNCTION("GOOGLETRANSLATE(B211,""en"",""hr"")"),"Započnite svoje putovanje s GPS alatima danas")</f>
        <v>Započnite svoje putovanje s GPS alatima danas</v>
      </c>
      <c r="AJ211" s="4" t="str">
        <f>IFERROR(__xludf.DUMMYFUNCTION("GOOGLETRANSLATE(B211,""en"",""hu"")"),"Kezdje utazását a GPS-eszközökkel még ma")</f>
        <v>Kezdje utazását a GPS-eszközökkel még ma</v>
      </c>
      <c r="AK211" s="4" t="str">
        <f>IFERROR(__xludf.DUMMYFUNCTION("GOOGLETRANSLATE(B211,""en"",""hy"")"),"Սկսեք ձեր ճանապարհորդությունը GPS գործիքներով այսօր")</f>
        <v>Սկսեք ձեր ճանապարհորդությունը GPS գործիքներով այսօր</v>
      </c>
      <c r="AL211" s="4" t="str">
        <f>IFERROR(__xludf.DUMMYFUNCTION("GOOGLETRANSLATE(B211,""en"",""ca"")"),"Comenceu el vostre viatge amb les eines GPS avui mateix")</f>
        <v>Comenceu el vostre viatge amb les eines GPS avui mateix</v>
      </c>
      <c r="AM211" s="4" t="str">
        <f>IFERROR(__xludf.DUMMYFUNCTION("GOOGLETRANSLATE(B211,""en"",""nl"")"),"Begin vandaag nog uw reis met GPS Tools")</f>
        <v>Begin vandaag nog uw reis met GPS Tools</v>
      </c>
      <c r="AN211" s="4" t="str">
        <f>IFERROR(__xludf.DUMMYFUNCTION("GOOGLETRANSLATE(B211,""en"",""he"")"),"התחל את המסע שלך עם כלי GPS עוד היום")</f>
        <v>התחל את המסע שלך עם כלי GPS עוד היום</v>
      </c>
      <c r="AO211" s="4" t="str">
        <f>IFERROR(__xludf.DUMMYFUNCTION("GOOGLETRANSLATE(B211,""en"",""is"")"),"Byrjaðu ferð þína með GPS tólum í dag")</f>
        <v>Byrjaðu ferð þína með GPS tólum í dag</v>
      </c>
      <c r="AP211" s="4" t="str">
        <f>IFERROR(__xludf.DUMMYFUNCTION("GOOGLETRANSLATE(B211,""en"",""no"")"),"Begynn reisen med GPS-verktøy i dag")</f>
        <v>Begynn reisen med GPS-verktøy i dag</v>
      </c>
      <c r="AQ211" s="4" t="str">
        <f>IFERROR(__xludf.DUMMYFUNCTION("GOOGLETRANSLATE(B211,""en"",""fa"")"),"سفر خود را با GPS Tools از امروز آغاز کنید")</f>
        <v>سفر خود را با GPS Tools از امروز آغاز کنید</v>
      </c>
      <c r="AR211" s="4" t="str">
        <f>IFERROR(__xludf.DUMMYFUNCTION("GOOGLETRANSLATE(B211,""en"",""pl"")"),"Rozpocznij swoją podróż z narzędziami GPS już dziś")</f>
        <v>Rozpocznij swoją podróż z narzędziami GPS już dziś</v>
      </c>
      <c r="AS211" s="4" t="str">
        <f>IFERROR(__xludf.DUMMYFUNCTION("GOOGLETRANSLATE(B211,""en"",""sv"")"),"Börja din resa med GPS-verktyg idag")</f>
        <v>Börja din resa med GPS-verktyg idag</v>
      </c>
      <c r="AT211" s="4" t="str">
        <f>IFERROR(__xludf.DUMMYFUNCTION("GOOGLETRANSLATE(B211,""en"",""uk"")"),"Почніть свою подорож із GPS-інструментами сьогодні")</f>
        <v>Почніть свою подорож із GPS-інструментами сьогодні</v>
      </c>
      <c r="AU211" s="4" t="str">
        <f>IFERROR(__xludf.DUMMYFUNCTION("GOOGLETRANSLATE(B211,""en"",""zu"")"),"Qala uhambo lwakho ngamathuluzi e-GPS namuhla")</f>
        <v>Qala uhambo lwakho ngamathuluzi e-GPS namuhla</v>
      </c>
      <c r="AV211" s="4" t="str">
        <f>IFERROR(__xludf.DUMMYFUNCTION("GOOGLETRANSLATE(B211,""en"",""sr"")"),"Започните своје путовање са ГПС алатима већ данас")</f>
        <v>Започните своје путовање са ГПС алатима већ данас</v>
      </c>
    </row>
    <row r="212">
      <c r="A212" s="3" t="s">
        <v>452</v>
      </c>
      <c r="B212" s="3" t="s">
        <v>453</v>
      </c>
      <c r="C212" s="4" t="str">
        <f>IFERROR(__xludf.DUMMYFUNCTION("GOOGLETRANSLATE(B212,""en"",""ta"")"),"தயவுசெய்து உள்நுழையவும்")</f>
        <v>தயவுசெய்து உள்நுழையவும்</v>
      </c>
      <c r="D212" s="4" t="str">
        <f>IFERROR(__xludf.DUMMYFUNCTION("GOOGLETRANSLATE(B212,""en"",""hi"")"),"साइन इन करें")</f>
        <v>साइन इन करें</v>
      </c>
      <c r="E212" s="4" t="str">
        <f>IFERROR(__xludf.DUMMYFUNCTION("GOOGLETRANSLATE(B212,""en"",""id"")"),"Silakan Masuk")</f>
        <v>Silakan Masuk</v>
      </c>
      <c r="F212" s="4" t="str">
        <f>IFERROR(__xludf.DUMMYFUNCTION("GOOGLETRANSLATE(B212,""en"",""ms"")"),"Sila Log Masuk")</f>
        <v>Sila Log Masuk</v>
      </c>
      <c r="G212" s="4" t="str">
        <f>IFERROR(__xludf.DUMMYFUNCTION("GOOGLETRANSLATE(B212,""en"",""de"")"),"Bitte melden Sie sich an")</f>
        <v>Bitte melden Sie sich an</v>
      </c>
      <c r="H212" s="4" t="str">
        <f>IFERROR(__xludf.DUMMYFUNCTION("GOOGLETRANSLATE(B212,""en"",""es"")"),"Por favor, inicie sesión")</f>
        <v>Por favor, inicie sesión</v>
      </c>
      <c r="I212" s="4" t="str">
        <f>IFERROR(__xludf.DUMMYFUNCTION("GOOGLETRANSLATE(B212,""en"",""fr"")"),"Veuillez vous connecter")</f>
        <v>Veuillez vous connecter</v>
      </c>
      <c r="J212" s="4" t="str">
        <f>IFERROR(__xludf.DUMMYFUNCTION("GOOGLETRANSLATE(B212,""en"",""it"")"),"Per favore accedi")</f>
        <v>Per favore accedi</v>
      </c>
      <c r="K212" s="4" t="str">
        <f>IFERROR(__xludf.DUMMYFUNCTION("GOOGLETRANSLATE(B212,""en"",""pt"")"),"Por favor, faça login")</f>
        <v>Por favor, faça login</v>
      </c>
      <c r="L212" s="4" t="str">
        <f>IFERROR(__xludf.DUMMYFUNCTION("GOOGLETRANSLATE(B212,""en"",""ro"")"),"Vă rugăm să vă conectați")</f>
        <v>Vă rugăm să vă conectați</v>
      </c>
      <c r="M212" s="4" t="str">
        <f>IFERROR(__xludf.DUMMYFUNCTION("GOOGLETRANSLATE(B212,""en"",""vi"")"),"Vui lòng đăng nhập")</f>
        <v>Vui lòng đăng nhập</v>
      </c>
      <c r="N212" s="4" t="str">
        <f>IFERROR(__xludf.DUMMYFUNCTION("GOOGLETRANSLATE(B212,""en"",""ru"")"),"Пожалуйста, войдите в систему")</f>
        <v>Пожалуйста, войдите в систему</v>
      </c>
      <c r="O212" s="4" t="str">
        <f>IFERROR(__xludf.DUMMYFUNCTION("GOOGLETRANSLATE(B212,""en"",""tr"")"),"Lütfen Giriş Yapın")</f>
        <v>Lütfen Giriş Yapın</v>
      </c>
      <c r="P212" s="4" t="str">
        <f>IFERROR(__xludf.DUMMYFUNCTION("GOOGLETRANSLATE(B212,""en"",""ar"")"),"الرجاء تسجيل الدخول")</f>
        <v>الرجاء تسجيل الدخول</v>
      </c>
      <c r="Q212" s="4" t="str">
        <f>IFERROR(__xludf.DUMMYFUNCTION("GOOGLETRANSLATE(B212,""en"",""mr"")"),"कृपया साइन इन करा")</f>
        <v>कृपया साइन इन करा</v>
      </c>
      <c r="R212" s="4" t="str">
        <f>IFERROR(__xludf.DUMMYFUNCTION("GOOGLETRANSLATE(B212,""en"",""gu"")"),"કૃપા કરીને સાઇન ઇન કરો")</f>
        <v>કૃપા કરીને સાઇન ઇન કરો</v>
      </c>
      <c r="S212" s="4" t="str">
        <f>IFERROR(__xludf.DUMMYFUNCTION("GOOGLETRANSLATE(B212,""en"",""bn"")"),"অনুগ্রহ করে সাইন ইন করুন")</f>
        <v>অনুগ্রহ করে সাইন ইন করুন</v>
      </c>
      <c r="T212" s="4" t="str">
        <f>IFERROR(__xludf.DUMMYFUNCTION("GOOGLETRANSLATE(B212,""en"",""pa"")"),"ਕਿਰਪਾ ਕਰਕੇ ਸਾਈਨ ਇਨ ਕਰੋ")</f>
        <v>ਕਿਰਪਾ ਕਰਕੇ ਸਾਈਨ ਇਨ ਕਰੋ</v>
      </c>
      <c r="U212" s="4" t="str">
        <f>IFERROR(__xludf.DUMMYFUNCTION("GOOGLETRANSLATE(B212,""en"",""te"")"),"దయచేసి సైన్ ఇన్ చేయండి")</f>
        <v>దయచేసి సైన్ ఇన్ చేయండి</v>
      </c>
      <c r="V212" s="4" t="str">
        <f>IFERROR(__xludf.DUMMYFUNCTION("GOOGLETRANSLATE(B212,""en"",""kn"")"),"ದಯವಿಟ್ಟು ಸೈನ್ ಇನ್ ಮಾಡಿ")</f>
        <v>ದಯವಿಟ್ಟು ಸೈನ್ ಇನ್ ಮಾಡಿ</v>
      </c>
      <c r="W212" s="4" t="str">
        <f>IFERROR(__xludf.DUMMYFUNCTION("GOOGLETRANSLATE(B212,""en"",""ml"")"),"ദയവായി സൈൻ ഇൻ ചെയ്യുക")</f>
        <v>ദയവായി സൈൻ ഇൻ ചെയ്യുക</v>
      </c>
      <c r="X212" s="4" t="str">
        <f>IFERROR(__xludf.DUMMYFUNCTION("GOOGLETRANSLATE(B212,""en"",""th"")"),"กรุณาลงชื่อเข้าใช้")</f>
        <v>กรุณาลงชื่อเข้าใช้</v>
      </c>
      <c r="Y212" s="4" t="str">
        <f>IFERROR(__xludf.DUMMYFUNCTION("GOOGLETRANSLATE(B212,""en"",""ko"")"),"로그인해주세요")</f>
        <v>로그인해주세요</v>
      </c>
      <c r="Z212" s="4" t="str">
        <f>IFERROR(__xludf.DUMMYFUNCTION("GOOGLETRANSLATE(B212,""en"",""zh"")"),"请登录")</f>
        <v>请登录</v>
      </c>
      <c r="AA212" s="4" t="str">
        <f>IFERROR(__xludf.DUMMYFUNCTION("GOOGLETRANSLATE(B212,""en"",""zh-TW"")"),"請登入")</f>
        <v>請登入</v>
      </c>
      <c r="AB212" s="4" t="str">
        <f>IFERROR(__xludf.DUMMYFUNCTION("GOOGLETRANSLATE(B212,""en"",""ja"")"),"サインインしてください")</f>
        <v>サインインしてください</v>
      </c>
      <c r="AC212" s="4" t="str">
        <f>IFERROR(__xludf.DUMMYFUNCTION("GOOGLETRANSLATE(B212,""en"",""bg"")"),"Моля, влезте")</f>
        <v>Моля, влезте</v>
      </c>
      <c r="AD212" s="4" t="str">
        <f>IFERROR(__xludf.DUMMYFUNCTION("GOOGLETRANSLATE(B212,""en"",""cs"")"),"Přihlaste se prosím")</f>
        <v>Přihlaste se prosím</v>
      </c>
      <c r="AE212" s="4" t="str">
        <f>IFERROR(__xludf.DUMMYFUNCTION("GOOGLETRANSLATE(B212,""en"",""da"")"),"Log venligst ind")</f>
        <v>Log venligst ind</v>
      </c>
      <c r="AF212" s="4" t="str">
        <f>IFERROR(__xludf.DUMMYFUNCTION("GOOGLETRANSLATE(B212,""en"",""el"")"),"Παρακαλώ Συνδεθείτε")</f>
        <v>Παρακαλώ Συνδεθείτε</v>
      </c>
      <c r="AG212" s="4" t="str">
        <f>IFERROR(__xludf.DUMMYFUNCTION("GOOGLETRANSLATE(B212,""en"",""et"")"),"Palun logige sisse")</f>
        <v>Palun logige sisse</v>
      </c>
      <c r="AH212" s="4" t="str">
        <f>IFERROR(__xludf.DUMMYFUNCTION("GOOGLETRANSLATE(B212,""en"",""fi"")"),"Ole hyvä ja kirjaudu sisään")</f>
        <v>Ole hyvä ja kirjaudu sisään</v>
      </c>
      <c r="AI212" s="4" t="str">
        <f>IFERROR(__xludf.DUMMYFUNCTION("GOOGLETRANSLATE(B212,""en"",""hr"")"),"Molimo prijavite se")</f>
        <v>Molimo prijavite se</v>
      </c>
      <c r="AJ212" s="4" t="str">
        <f>IFERROR(__xludf.DUMMYFUNCTION("GOOGLETRANSLATE(B212,""en"",""hu"")"),"Kérjük, jelentkezzen be")</f>
        <v>Kérjük, jelentkezzen be</v>
      </c>
      <c r="AK212" s="4" t="str">
        <f>IFERROR(__xludf.DUMMYFUNCTION("GOOGLETRANSLATE(B212,""en"",""hy"")"),"Խնդրում ենք մուտք գործել")</f>
        <v>Խնդրում ենք մուտք գործել</v>
      </c>
      <c r="AL212" s="4" t="str">
        <f>IFERROR(__xludf.DUMMYFUNCTION("GOOGLETRANSLATE(B212,""en"",""ca"")"),"Si us plau, inicieu la sessió")</f>
        <v>Si us plau, inicieu la sessió</v>
      </c>
      <c r="AM212" s="4" t="str">
        <f>IFERROR(__xludf.DUMMYFUNCTION("GOOGLETRANSLATE(B212,""en"",""nl"")"),"Meld u aan")</f>
        <v>Meld u aan</v>
      </c>
      <c r="AN212" s="4" t="str">
        <f>IFERROR(__xludf.DUMMYFUNCTION("GOOGLETRANSLATE(B212,""en"",""he"")"),"אנא היכנס")</f>
        <v>אנא היכנס</v>
      </c>
      <c r="AO212" s="4" t="str">
        <f>IFERROR(__xludf.DUMMYFUNCTION("GOOGLETRANSLATE(B212,""en"",""is"")"),"Vinsamlegast skráðu þig inn")</f>
        <v>Vinsamlegast skráðu þig inn</v>
      </c>
      <c r="AP212" s="4" t="str">
        <f>IFERROR(__xludf.DUMMYFUNCTION("GOOGLETRANSLATE(B212,""en"",""no"")"),"Logg på")</f>
        <v>Logg på</v>
      </c>
      <c r="AQ212" s="4" t="str">
        <f>IFERROR(__xludf.DUMMYFUNCTION("GOOGLETRANSLATE(B212,""en"",""fa"")"),"لطفا وارد شوید")</f>
        <v>لطفا وارد شوید</v>
      </c>
      <c r="AR212" s="4" t="str">
        <f>IFERROR(__xludf.DUMMYFUNCTION("GOOGLETRANSLATE(B212,""en"",""pl"")"),"Proszę się zalogować")</f>
        <v>Proszę się zalogować</v>
      </c>
      <c r="AS212" s="4" t="str">
        <f>IFERROR(__xludf.DUMMYFUNCTION("GOOGLETRANSLATE(B212,""en"",""sv"")"),"Logga in")</f>
        <v>Logga in</v>
      </c>
      <c r="AT212" s="4" t="str">
        <f>IFERROR(__xludf.DUMMYFUNCTION("GOOGLETRANSLATE(B212,""en"",""uk"")"),"Будь ласка, увійдіть")</f>
        <v>Будь ласка, увійдіть</v>
      </c>
      <c r="AU212" s="4" t="str">
        <f>IFERROR(__xludf.DUMMYFUNCTION("GOOGLETRANSLATE(B212,""en"",""zu"")"),"Sicela Ungene Ngemvume")</f>
        <v>Sicela Ungene Ngemvume</v>
      </c>
      <c r="AV212" s="4" t="str">
        <f>IFERROR(__xludf.DUMMYFUNCTION("GOOGLETRANSLATE(B212,""en"",""sr"")"),"Молимо пријавите се")</f>
        <v>Молимо пријавите се</v>
      </c>
    </row>
    <row r="213">
      <c r="A213" s="3" t="s">
        <v>454</v>
      </c>
      <c r="B213" s="3" t="s">
        <v>455</v>
      </c>
      <c r="C213" s="4" t="str">
        <f>IFERROR(__xludf.DUMMYFUNCTION("GOOGLETRANSLATE(B213,""en"",""ta"")"),"உங்கள் கணக்கை அணுக உள்நுழையவும்")</f>
        <v>உங்கள் கணக்கை அணுக உள்நுழையவும்</v>
      </c>
      <c r="D213" s="4" t="str">
        <f>IFERROR(__xludf.DUMMYFUNCTION("GOOGLETRANSLATE(B213,""en"",""hi"")"),"अपने अकांउट तक पहुंचने के लिए साइन इन करें")</f>
        <v>अपने अकांउट तक पहुंचने के लिए साइन इन करें</v>
      </c>
      <c r="E213" s="4" t="str">
        <f>IFERROR(__xludf.DUMMYFUNCTION("GOOGLETRANSLATE(B213,""en"",""id"")"),"Masuk untuk mengakses akun Anda")</f>
        <v>Masuk untuk mengakses akun Anda</v>
      </c>
      <c r="F213" s="4" t="str">
        <f>IFERROR(__xludf.DUMMYFUNCTION("GOOGLETRANSLATE(B213,""en"",""ms"")"),"Log masuk untuk mengakses akaun anda")</f>
        <v>Log masuk untuk mengakses akaun anda</v>
      </c>
      <c r="G213" s="4" t="str">
        <f>IFERROR(__xludf.DUMMYFUNCTION("GOOGLETRANSLATE(B213,""en"",""de"")"),"Melden Sie sich an, um auf Ihr Konto zuzugreifen")</f>
        <v>Melden Sie sich an, um auf Ihr Konto zuzugreifen</v>
      </c>
      <c r="H213" s="4" t="str">
        <f>IFERROR(__xludf.DUMMYFUNCTION("GOOGLETRANSLATE(B213,""en"",""es"")"),"Inicie sesión para acceder a su cuenta")</f>
        <v>Inicie sesión para acceder a su cuenta</v>
      </c>
      <c r="I213" s="4" t="str">
        <f>IFERROR(__xludf.DUMMYFUNCTION("GOOGLETRANSLATE(B213,""en"",""fr"")"),"Connectez-vous pour accéder à votre compte")</f>
        <v>Connectez-vous pour accéder à votre compte</v>
      </c>
      <c r="J213" s="4" t="str">
        <f>IFERROR(__xludf.DUMMYFUNCTION("GOOGLETRANSLATE(B213,""en"",""it"")"),"Accedi per accedere al tuo account")</f>
        <v>Accedi per accedere al tuo account</v>
      </c>
      <c r="K213" s="4" t="str">
        <f>IFERROR(__xludf.DUMMYFUNCTION("GOOGLETRANSLATE(B213,""en"",""pt"")"),"Entre para acessar sua conta")</f>
        <v>Entre para acessar sua conta</v>
      </c>
      <c r="L213" s="4" t="str">
        <f>IFERROR(__xludf.DUMMYFUNCTION("GOOGLETRANSLATE(B213,""en"",""ro"")"),"Conectați-vă pentru a vă accesa contul")</f>
        <v>Conectați-vă pentru a vă accesa contul</v>
      </c>
      <c r="M213" s="4" t="str">
        <f>IFERROR(__xludf.DUMMYFUNCTION("GOOGLETRANSLATE(B213,""en"",""vi"")"),"Đăng nhập để truy cập tài khoản của bạn")</f>
        <v>Đăng nhập để truy cập tài khoản của bạn</v>
      </c>
      <c r="N213" s="4" t="str">
        <f>IFERROR(__xludf.DUMMYFUNCTION("GOOGLETRANSLATE(B213,""en"",""ru"")"),"Войдите, чтобы получить доступ к своей учетной записи")</f>
        <v>Войдите, чтобы получить доступ к своей учетной записи</v>
      </c>
      <c r="O213" s="4" t="str">
        <f>IFERROR(__xludf.DUMMYFUNCTION("GOOGLETRANSLATE(B213,""en"",""tr"")"),"Hesabınıza erişmek için oturum açın")</f>
        <v>Hesabınıza erişmek için oturum açın</v>
      </c>
      <c r="P213" s="4" t="str">
        <f>IFERROR(__xludf.DUMMYFUNCTION("GOOGLETRANSLATE(B213,""en"",""ar"")"),"تسجيل الدخول للوصول إلى حسابك")</f>
        <v>تسجيل الدخول للوصول إلى حسابك</v>
      </c>
      <c r="Q213" s="4" t="str">
        <f>IFERROR(__xludf.DUMMYFUNCTION("GOOGLETRANSLATE(B213,""en"",""mr"")"),"तुमच्या खात्यात प्रवेश करण्यासाठी साइन इन करा")</f>
        <v>तुमच्या खात्यात प्रवेश करण्यासाठी साइन इन करा</v>
      </c>
      <c r="R213" s="4" t="str">
        <f>IFERROR(__xludf.DUMMYFUNCTION("GOOGLETRANSLATE(B213,""en"",""gu"")"),"તમારા એકાઉન્ટને ઍક્સેસ કરવા માટે સાઇન ઇન કરો")</f>
        <v>તમારા એકાઉન્ટને ઍક્સેસ કરવા માટે સાઇન ઇન કરો</v>
      </c>
      <c r="S213" s="4" t="str">
        <f>IFERROR(__xludf.DUMMYFUNCTION("GOOGLETRANSLATE(B213,""en"",""bn"")"),"আপনার অ্যাকাউন্ট অ্যাক্সেস করতে সাইন ইন করুন")</f>
        <v>আপনার অ্যাকাউন্ট অ্যাক্সেস করতে সাইন ইন করুন</v>
      </c>
      <c r="T213" s="4" t="str">
        <f>IFERROR(__xludf.DUMMYFUNCTION("GOOGLETRANSLATE(B213,""en"",""pa"")"),"ਆਪਣੇ ਖਾਤੇ ਤੱਕ ਪਹੁੰਚ ਕਰਨ ਲਈ ਸਾਈਨ ਇਨ ਕਰੋ")</f>
        <v>ਆਪਣੇ ਖਾਤੇ ਤੱਕ ਪਹੁੰਚ ਕਰਨ ਲਈ ਸਾਈਨ ਇਨ ਕਰੋ</v>
      </c>
      <c r="U213" s="4" t="str">
        <f>IFERROR(__xludf.DUMMYFUNCTION("GOOGLETRANSLATE(B213,""en"",""te"")"),"మీ ఖాతాను యాక్సెస్ చేయడానికి సైన్ ఇన్ చేయండి")</f>
        <v>మీ ఖాతాను యాక్సెస్ చేయడానికి సైన్ ఇన్ చేయండి</v>
      </c>
      <c r="V213" s="4" t="str">
        <f>IFERROR(__xludf.DUMMYFUNCTION("GOOGLETRANSLATE(B213,""en"",""kn"")"),"ನಿಮ್ಮ ಖಾತೆಯನ್ನು ಪ್ರವೇಶಿಸಲು ಸೈನ್ ಇನ್ ಮಾಡಿ")</f>
        <v>ನಿಮ್ಮ ಖಾತೆಯನ್ನು ಪ್ರವೇಶಿಸಲು ಸೈನ್ ಇನ್ ಮಾಡಿ</v>
      </c>
      <c r="W213" s="4" t="str">
        <f>IFERROR(__xludf.DUMMYFUNCTION("GOOGLETRANSLATE(B213,""en"",""ml"")"),"നിങ്ങളുടെ അക്കൗണ്ട് ആക്‌സസ് ചെയ്യാൻ സൈൻ ഇൻ ചെയ്യുക")</f>
        <v>നിങ്ങളുടെ അക്കൗണ്ട് ആക്‌സസ് ചെയ്യാൻ സൈൻ ഇൻ ചെയ്യുക</v>
      </c>
      <c r="X213" s="4" t="str">
        <f>IFERROR(__xludf.DUMMYFUNCTION("GOOGLETRANSLATE(B213,""en"",""th"")"),"ลงชื่อเข้าใช้เพื่อเข้าถึงบัญชีของคุณ")</f>
        <v>ลงชื่อเข้าใช้เพื่อเข้าถึงบัญชีของคุณ</v>
      </c>
      <c r="Y213" s="4" t="str">
        <f>IFERROR(__xludf.DUMMYFUNCTION("GOOGLETRANSLATE(B213,""en"",""ko"")"),"계정에 액세스하려면 로그인하세요")</f>
        <v>계정에 액세스하려면 로그인하세요</v>
      </c>
      <c r="Z213" s="4" t="str">
        <f>IFERROR(__xludf.DUMMYFUNCTION("GOOGLETRANSLATE(B213,""en"",""zh"")"),"登录以访问您的帐户")</f>
        <v>登录以访问您的帐户</v>
      </c>
      <c r="AA213" s="4" t="str">
        <f>IFERROR(__xludf.DUMMYFUNCTION("GOOGLETRANSLATE(B213,""en"",""zh-TW"")"),"登入以存取您的帳戶")</f>
        <v>登入以存取您的帳戶</v>
      </c>
      <c r="AB213" s="4" t="str">
        <f>IFERROR(__xludf.DUMMYFUNCTION("GOOGLETRANSLATE(B213,""en"",""ja"")"),"アカウントにアクセスするにはサインインしてください")</f>
        <v>アカウントにアクセスするにはサインインしてください</v>
      </c>
      <c r="AC213" s="4" t="str">
        <f>IFERROR(__xludf.DUMMYFUNCTION("GOOGLETRANSLATE(B213,""en"",""bg"")"),"Влезте за достъп до вашия акаунт")</f>
        <v>Влезте за достъп до вашия акаунт</v>
      </c>
      <c r="AD213" s="4" t="str">
        <f>IFERROR(__xludf.DUMMYFUNCTION("GOOGLETRANSLATE(B213,""en"",""cs"")"),"Chcete-li získat přístup ke svému účtu, přihlaste se")</f>
        <v>Chcete-li získat přístup ke svému účtu, přihlaste se</v>
      </c>
      <c r="AE213" s="4" t="str">
        <f>IFERROR(__xludf.DUMMYFUNCTION("GOOGLETRANSLATE(B213,""en"",""da"")"),"Log ind for at få adgang til din konto")</f>
        <v>Log ind for at få adgang til din konto</v>
      </c>
      <c r="AF213" s="4" t="str">
        <f>IFERROR(__xludf.DUMMYFUNCTION("GOOGLETRANSLATE(B213,""en"",""el"")"),"Συνδεθείτε για να αποκτήσετε πρόσβαση στον λογαριασμό σας")</f>
        <v>Συνδεθείτε για να αποκτήσετε πρόσβαση στον λογαριασμό σας</v>
      </c>
      <c r="AG213" s="4" t="str">
        <f>IFERROR(__xludf.DUMMYFUNCTION("GOOGLETRANSLATE(B213,""en"",""et"")"),"Oma kontole juurdepääsuks logige sisse")</f>
        <v>Oma kontole juurdepääsuks logige sisse</v>
      </c>
      <c r="AH213" s="4" t="str">
        <f>IFERROR(__xludf.DUMMYFUNCTION("GOOGLETRANSLATE(B213,""en"",""fi"")"),"Kirjaudu sisään päästäksesi tiliisi")</f>
        <v>Kirjaudu sisään päästäksesi tiliisi</v>
      </c>
      <c r="AI213" s="4" t="str">
        <f>IFERROR(__xludf.DUMMYFUNCTION("GOOGLETRANSLATE(B213,""en"",""hr"")"),"Prijavite se za pristup svom računu")</f>
        <v>Prijavite se za pristup svom računu</v>
      </c>
      <c r="AJ213" s="4" t="str">
        <f>IFERROR(__xludf.DUMMYFUNCTION("GOOGLETRANSLATE(B213,""en"",""hu"")"),"Jelentkezzen be fiókja eléréséhez")</f>
        <v>Jelentkezzen be fiókja eléréséhez</v>
      </c>
      <c r="AK213" s="4" t="str">
        <f>IFERROR(__xludf.DUMMYFUNCTION("GOOGLETRANSLATE(B213,""en"",""hy"")"),"Մուտք գործեք ձեր հաշիվ մուտք գործելու համար")</f>
        <v>Մուտք գործեք ձեր հաշիվ մուտք գործելու համար</v>
      </c>
      <c r="AL213" s="4" t="str">
        <f>IFERROR(__xludf.DUMMYFUNCTION("GOOGLETRANSLATE(B213,""en"",""ca"")"),"Inicieu la sessió per accedir al vostre compte")</f>
        <v>Inicieu la sessió per accedir al vostre compte</v>
      </c>
      <c r="AM213" s="4" t="str">
        <f>IFERROR(__xludf.DUMMYFUNCTION("GOOGLETRANSLATE(B213,""en"",""nl"")"),"Meld u aan om toegang te krijgen tot uw account")</f>
        <v>Meld u aan om toegang te krijgen tot uw account</v>
      </c>
      <c r="AN213" s="4" t="str">
        <f>IFERROR(__xludf.DUMMYFUNCTION("GOOGLETRANSLATE(B213,""en"",""he"")"),"היכנס כדי לגשת לחשבון שלך")</f>
        <v>היכנס כדי לגשת לחשבון שלך</v>
      </c>
      <c r="AO213" s="4" t="str">
        <f>IFERROR(__xludf.DUMMYFUNCTION("GOOGLETRANSLATE(B213,""en"",""is"")"),"Skráðu þig inn til að fá aðgang að reikningnum þínum")</f>
        <v>Skráðu þig inn til að fá aðgang að reikningnum þínum</v>
      </c>
      <c r="AP213" s="4" t="str">
        <f>IFERROR(__xludf.DUMMYFUNCTION("GOOGLETRANSLATE(B213,""en"",""no"")"),"Logg på for å få tilgang til kontoen din")</f>
        <v>Logg på for å få tilgang til kontoen din</v>
      </c>
      <c r="AQ213" s="4" t="str">
        <f>IFERROR(__xludf.DUMMYFUNCTION("GOOGLETRANSLATE(B213,""en"",""fa"")"),"برای دسترسی به حساب کاربری خود وارد شوید")</f>
        <v>برای دسترسی به حساب کاربری خود وارد شوید</v>
      </c>
      <c r="AR213" s="4" t="str">
        <f>IFERROR(__xludf.DUMMYFUNCTION("GOOGLETRANSLATE(B213,""en"",""pl"")"),"Zaloguj się, aby uzyskać dostęp do swojego konta")</f>
        <v>Zaloguj się, aby uzyskać dostęp do swojego konta</v>
      </c>
      <c r="AS213" s="4" t="str">
        <f>IFERROR(__xludf.DUMMYFUNCTION("GOOGLETRANSLATE(B213,""en"",""sv"")"),"Logga in för att komma åt ditt konto")</f>
        <v>Logga in för att komma åt ditt konto</v>
      </c>
      <c r="AT213" s="4" t="str">
        <f>IFERROR(__xludf.DUMMYFUNCTION("GOOGLETRANSLATE(B213,""en"",""uk"")"),"Увійдіть, щоб отримати доступ до свого облікового запису")</f>
        <v>Увійдіть, щоб отримати доступ до свого облікового запису</v>
      </c>
      <c r="AU213" s="4" t="str">
        <f>IFERROR(__xludf.DUMMYFUNCTION("GOOGLETRANSLATE(B213,""en"",""zu"")"),"Ngena ngemvume ukuze ufinyelele i-akhawunti yakho")</f>
        <v>Ngena ngemvume ukuze ufinyelele i-akhawunti yakho</v>
      </c>
      <c r="AV213" s="4" t="str">
        <f>IFERROR(__xludf.DUMMYFUNCTION("GOOGLETRANSLATE(B213,""en"",""sr"")"),"Пријавите се да бисте приступили свом налогу")</f>
        <v>Пријавите се да бисте приступили свом налогу</v>
      </c>
    </row>
    <row r="214">
      <c r="A214" s="3" t="s">
        <v>456</v>
      </c>
      <c r="B214" s="3" t="s">
        <v>457</v>
      </c>
      <c r="C214" s="4" t="str">
        <f>IFERROR(__xludf.DUMMYFUNCTION("GOOGLETRANSLATE(B214,""en"",""ta"")"),"உள்நுழையவும்")</f>
        <v>உள்நுழையவும்</v>
      </c>
      <c r="D214" s="4" t="str">
        <f>IFERROR(__xludf.DUMMYFUNCTION("GOOGLETRANSLATE(B214,""en"",""hi"")"),"दाखिल करना")</f>
        <v>दाखिल करना</v>
      </c>
      <c r="E214" s="4" t="str">
        <f>IFERROR(__xludf.DUMMYFUNCTION("GOOGLETRANSLATE(B214,""en"",""id"")"),"Masuk")</f>
        <v>Masuk</v>
      </c>
      <c r="F214" s="4" t="str">
        <f>IFERROR(__xludf.DUMMYFUNCTION("GOOGLETRANSLATE(B214,""en"",""ms"")"),"Log Masuk")</f>
        <v>Log Masuk</v>
      </c>
      <c r="G214" s="4" t="str">
        <f>IFERROR(__xludf.DUMMYFUNCTION("GOOGLETRANSLATE(B214,""en"",""de"")"),"Anmelden")</f>
        <v>Anmelden</v>
      </c>
      <c r="H214" s="4" t="str">
        <f>IFERROR(__xludf.DUMMYFUNCTION("GOOGLETRANSLATE(B214,""en"",""es"")"),"Iniciar sesión")</f>
        <v>Iniciar sesión</v>
      </c>
      <c r="I214" s="4" t="str">
        <f>IFERROR(__xludf.DUMMYFUNCTION("GOOGLETRANSLATE(B214,""en"",""fr"")"),"Se connecter")</f>
        <v>Se connecter</v>
      </c>
      <c r="J214" s="4" t="str">
        <f>IFERROR(__xludf.DUMMYFUNCTION("GOOGLETRANSLATE(B214,""en"",""it"")"),"Registrazione")</f>
        <v>Registrazione</v>
      </c>
      <c r="K214" s="4" t="str">
        <f>IFERROR(__xludf.DUMMYFUNCTION("GOOGLETRANSLATE(B214,""en"",""pt"")"),"Entrar")</f>
        <v>Entrar</v>
      </c>
      <c r="L214" s="4" t="str">
        <f>IFERROR(__xludf.DUMMYFUNCTION("GOOGLETRANSLATE(B214,""en"",""ro"")"),"Conectare")</f>
        <v>Conectare</v>
      </c>
      <c r="M214" s="4" t="str">
        <f>IFERROR(__xludf.DUMMYFUNCTION("GOOGLETRANSLATE(B214,""en"",""vi"")"),"Đăng nhập")</f>
        <v>Đăng nhập</v>
      </c>
      <c r="N214" s="4" t="str">
        <f>IFERROR(__xludf.DUMMYFUNCTION("GOOGLETRANSLATE(B214,""en"",""ru"")"),"Войти")</f>
        <v>Войти</v>
      </c>
      <c r="O214" s="4" t="str">
        <f>IFERROR(__xludf.DUMMYFUNCTION("GOOGLETRANSLATE(B214,""en"",""tr"")"),"Oturum aç")</f>
        <v>Oturum aç</v>
      </c>
      <c r="P214" s="4" t="str">
        <f>IFERROR(__xludf.DUMMYFUNCTION("GOOGLETRANSLATE(B214,""en"",""ar"")"),"تسجيل الدخول")</f>
        <v>تسجيل الدخول</v>
      </c>
      <c r="Q214" s="4" t="str">
        <f>IFERROR(__xludf.DUMMYFUNCTION("GOOGLETRANSLATE(B214,""en"",""mr"")"),"साइन इन करा")</f>
        <v>साइन इन करा</v>
      </c>
      <c r="R214" s="4" t="str">
        <f>IFERROR(__xludf.DUMMYFUNCTION("GOOGLETRANSLATE(B214,""en"",""gu"")"),"સાઇન ઇન કરો")</f>
        <v>સાઇન ઇન કરો</v>
      </c>
      <c r="S214" s="4" t="str">
        <f>IFERROR(__xludf.DUMMYFUNCTION("GOOGLETRANSLATE(B214,""en"",""bn"")"),"সাইন ইন করুন")</f>
        <v>সাইন ইন করুন</v>
      </c>
      <c r="T214" s="4" t="str">
        <f>IFERROR(__xludf.DUMMYFUNCTION("GOOGLETRANSLATE(B214,""en"",""pa"")"),"ਸਾਈਨ - ਇਨ")</f>
        <v>ਸਾਈਨ - ਇਨ</v>
      </c>
      <c r="U214" s="4" t="str">
        <f>IFERROR(__xludf.DUMMYFUNCTION("GOOGLETRANSLATE(B214,""en"",""te"")"),"సైన్ ఇన్ చేయండి")</f>
        <v>సైన్ ఇన్ చేయండి</v>
      </c>
      <c r="V214" s="4" t="str">
        <f>IFERROR(__xludf.DUMMYFUNCTION("GOOGLETRANSLATE(B214,""en"",""kn"")"),"ಸೈನ್ ಇನ್ ಮಾಡಿ")</f>
        <v>ಸೈನ್ ಇನ್ ಮಾಡಿ</v>
      </c>
      <c r="W214" s="4" t="str">
        <f>IFERROR(__xludf.DUMMYFUNCTION("GOOGLETRANSLATE(B214,""en"",""ml"")"),"സൈൻ ഇൻ")</f>
        <v>സൈൻ ഇൻ</v>
      </c>
      <c r="X214" s="4" t="str">
        <f>IFERROR(__xludf.DUMMYFUNCTION("GOOGLETRANSLATE(B214,""en"",""th"")"),"เข้าสู่ระบบ")</f>
        <v>เข้าสู่ระบบ</v>
      </c>
      <c r="Y214" s="4" t="str">
        <f>IFERROR(__xludf.DUMMYFUNCTION("GOOGLETRANSLATE(B214,""en"",""ko"")"),"로그인")</f>
        <v>로그인</v>
      </c>
      <c r="Z214" s="4" t="str">
        <f>IFERROR(__xludf.DUMMYFUNCTION("GOOGLETRANSLATE(B214,""en"",""zh"")"),"登入")</f>
        <v>登入</v>
      </c>
      <c r="AA214" s="4" t="str">
        <f>IFERROR(__xludf.DUMMYFUNCTION("GOOGLETRANSLATE(B214,""en"",""zh-TW"")"),"登入")</f>
        <v>登入</v>
      </c>
      <c r="AB214" s="4" t="str">
        <f>IFERROR(__xludf.DUMMYFUNCTION("GOOGLETRANSLATE(B214,""en"",""ja"")"),"サインイン")</f>
        <v>サインイン</v>
      </c>
      <c r="AC214" s="4" t="str">
        <f>IFERROR(__xludf.DUMMYFUNCTION("GOOGLETRANSLATE(B214,""en"",""bg"")"),"Вход")</f>
        <v>Вход</v>
      </c>
      <c r="AD214" s="4" t="str">
        <f>IFERROR(__xludf.DUMMYFUNCTION("GOOGLETRANSLATE(B214,""en"",""cs"")"),"Přihlaste se")</f>
        <v>Přihlaste se</v>
      </c>
      <c r="AE214" s="4" t="str">
        <f>IFERROR(__xludf.DUMMYFUNCTION("GOOGLETRANSLATE(B214,""en"",""da"")"),"Log ind")</f>
        <v>Log ind</v>
      </c>
      <c r="AF214" s="4" t="str">
        <f>IFERROR(__xludf.DUMMYFUNCTION("GOOGLETRANSLATE(B214,""en"",""el"")"),"Είσοδος")</f>
        <v>Είσοδος</v>
      </c>
      <c r="AG214" s="4" t="str">
        <f>IFERROR(__xludf.DUMMYFUNCTION("GOOGLETRANSLATE(B214,""en"",""et"")"),"Logi sisse")</f>
        <v>Logi sisse</v>
      </c>
      <c r="AH214" s="4" t="str">
        <f>IFERROR(__xludf.DUMMYFUNCTION("GOOGLETRANSLATE(B214,""en"",""fi"")"),"Kirjaudu sisään")</f>
        <v>Kirjaudu sisään</v>
      </c>
      <c r="AI214" s="4" t="str">
        <f>IFERROR(__xludf.DUMMYFUNCTION("GOOGLETRANSLATE(B214,""en"",""hr"")"),"Prijavite se")</f>
        <v>Prijavite se</v>
      </c>
      <c r="AJ214" s="4" t="str">
        <f>IFERROR(__xludf.DUMMYFUNCTION("GOOGLETRANSLATE(B214,""en"",""hu"")"),"Jelentkezzen be")</f>
        <v>Jelentkezzen be</v>
      </c>
      <c r="AK214" s="4" t="str">
        <f>IFERROR(__xludf.DUMMYFUNCTION("GOOGLETRANSLATE(B214,""en"",""hy"")"),"Մուտք գործեք")</f>
        <v>Մուտք գործեք</v>
      </c>
      <c r="AL214" s="4" t="str">
        <f>IFERROR(__xludf.DUMMYFUNCTION("GOOGLETRANSLATE(B214,""en"",""ca"")"),"Inicieu la sessió")</f>
        <v>Inicieu la sessió</v>
      </c>
      <c r="AM214" s="4" t="str">
        <f>IFERROR(__xludf.DUMMYFUNCTION("GOOGLETRANSLATE(B214,""en"",""nl"")"),"Aanmelden")</f>
        <v>Aanmelden</v>
      </c>
      <c r="AN214" s="4" t="str">
        <f>IFERROR(__xludf.DUMMYFUNCTION("GOOGLETRANSLATE(B214,""en"",""he"")"),"היכנס")</f>
        <v>היכנס</v>
      </c>
      <c r="AO214" s="4" t="str">
        <f>IFERROR(__xludf.DUMMYFUNCTION("GOOGLETRANSLATE(B214,""en"",""is"")"),"Skráðu þig inn")</f>
        <v>Skráðu þig inn</v>
      </c>
      <c r="AP214" s="4" t="str">
        <f>IFERROR(__xludf.DUMMYFUNCTION("GOOGLETRANSLATE(B214,""en"",""no"")"),"Logg på")</f>
        <v>Logg på</v>
      </c>
      <c r="AQ214" s="4" t="str">
        <f>IFERROR(__xludf.DUMMYFUNCTION("GOOGLETRANSLATE(B214,""en"",""fa"")"),"وارد شوید")</f>
        <v>وارد شوید</v>
      </c>
      <c r="AR214" s="4" t="str">
        <f>IFERROR(__xludf.DUMMYFUNCTION("GOOGLETRANSLATE(B214,""en"",""pl"")"),"Zalogować się")</f>
        <v>Zalogować się</v>
      </c>
      <c r="AS214" s="4" t="str">
        <f>IFERROR(__xludf.DUMMYFUNCTION("GOOGLETRANSLATE(B214,""en"",""sv"")"),"Logga in")</f>
        <v>Logga in</v>
      </c>
      <c r="AT214" s="4" t="str">
        <f>IFERROR(__xludf.DUMMYFUNCTION("GOOGLETRANSLATE(B214,""en"",""uk"")"),"Увійти")</f>
        <v>Увійти</v>
      </c>
      <c r="AU214" s="4" t="str">
        <f>IFERROR(__xludf.DUMMYFUNCTION("GOOGLETRANSLATE(B214,""en"",""zu"")"),"Ngena ngemvume")</f>
        <v>Ngena ngemvume</v>
      </c>
      <c r="AV214" s="4" t="str">
        <f>IFERROR(__xludf.DUMMYFUNCTION("GOOGLETRANSLATE(B214,""en"",""sr"")"),"Пријавите се")</f>
        <v>Пријавите се</v>
      </c>
    </row>
    <row r="215">
      <c r="A215" s="3" t="s">
        <v>458</v>
      </c>
      <c r="B215" s="3" t="s">
        <v>459</v>
      </c>
      <c r="C215" s="4" t="str">
        <f>IFERROR(__xludf.DUMMYFUNCTION("GOOGLETRANSLATE(B215,""en"",""ta"")"),"சுயவிவரத்தைத் திருத்து")</f>
        <v>சுயவிவரத்தைத் திருத்து</v>
      </c>
      <c r="D215" s="4" t="str">
        <f>IFERROR(__xludf.DUMMYFUNCTION("GOOGLETRANSLATE(B215,""en"",""hi"")"),"प्रोफ़ाइल संपादित करें")</f>
        <v>प्रोफ़ाइल संपादित करें</v>
      </c>
      <c r="E215" s="4" t="str">
        <f>IFERROR(__xludf.DUMMYFUNCTION("GOOGLETRANSLATE(B215,""en"",""id"")"),"Edit Profil")</f>
        <v>Edit Profil</v>
      </c>
      <c r="F215" s="4" t="str">
        <f>IFERROR(__xludf.DUMMYFUNCTION("GOOGLETRANSLATE(B215,""en"",""ms"")"),"Edit Profil")</f>
        <v>Edit Profil</v>
      </c>
      <c r="G215" s="4" t="str">
        <f>IFERROR(__xludf.DUMMYFUNCTION("GOOGLETRANSLATE(B215,""en"",""de"")"),"Profil bearbeiten")</f>
        <v>Profil bearbeiten</v>
      </c>
      <c r="H215" s="4" t="str">
        <f>IFERROR(__xludf.DUMMYFUNCTION("GOOGLETRANSLATE(B215,""en"",""es"")"),"Editar perfil")</f>
        <v>Editar perfil</v>
      </c>
      <c r="I215" s="4" t="str">
        <f>IFERROR(__xludf.DUMMYFUNCTION("GOOGLETRANSLATE(B215,""en"",""fr"")"),"Modifier le profil")</f>
        <v>Modifier le profil</v>
      </c>
      <c r="J215" s="4" t="str">
        <f>IFERROR(__xludf.DUMMYFUNCTION("GOOGLETRANSLATE(B215,""en"",""it"")"),"Modifica profilo")</f>
        <v>Modifica profilo</v>
      </c>
      <c r="K215" s="4" t="str">
        <f>IFERROR(__xludf.DUMMYFUNCTION("GOOGLETRANSLATE(B215,""en"",""pt"")"),"Editar perfil")</f>
        <v>Editar perfil</v>
      </c>
      <c r="L215" s="4" t="str">
        <f>IFERROR(__xludf.DUMMYFUNCTION("GOOGLETRANSLATE(B215,""en"",""ro"")"),"Editați profilul")</f>
        <v>Editați profilul</v>
      </c>
      <c r="M215" s="4" t="str">
        <f>IFERROR(__xludf.DUMMYFUNCTION("GOOGLETRANSLATE(B215,""en"",""vi"")"),"Chỉnh sửa hồ sơ")</f>
        <v>Chỉnh sửa hồ sơ</v>
      </c>
      <c r="N215" s="4" t="str">
        <f>IFERROR(__xludf.DUMMYFUNCTION("GOOGLETRANSLATE(B215,""en"",""ru"")"),"Редактировать профиль")</f>
        <v>Редактировать профиль</v>
      </c>
      <c r="O215" s="4" t="str">
        <f>IFERROR(__xludf.DUMMYFUNCTION("GOOGLETRANSLATE(B215,""en"",""tr"")"),"Profili Düzenle")</f>
        <v>Profili Düzenle</v>
      </c>
      <c r="P215" s="4" t="str">
        <f>IFERROR(__xludf.DUMMYFUNCTION("GOOGLETRANSLATE(B215,""en"",""ar"")"),"تعديل الملف الشخصي")</f>
        <v>تعديل الملف الشخصي</v>
      </c>
      <c r="Q215" s="4" t="str">
        <f>IFERROR(__xludf.DUMMYFUNCTION("GOOGLETRANSLATE(B215,""en"",""mr"")"),"प्रोफाइल संपादित करा")</f>
        <v>प्रोफाइल संपादित करा</v>
      </c>
      <c r="R215" s="4" t="str">
        <f>IFERROR(__xludf.DUMMYFUNCTION("GOOGLETRANSLATE(B215,""en"",""gu"")"),"પ્રોફાઇલ સંપાદિત કરો")</f>
        <v>પ્રોફાઇલ સંપાદિત કરો</v>
      </c>
      <c r="S215" s="4" t="str">
        <f>IFERROR(__xludf.DUMMYFUNCTION("GOOGLETRANSLATE(B215,""en"",""bn"")"),"প্রোফাইল সম্পাদনা করুন")</f>
        <v>প্রোফাইল সম্পাদনা করুন</v>
      </c>
      <c r="T215" s="4" t="str">
        <f>IFERROR(__xludf.DUMMYFUNCTION("GOOGLETRANSLATE(B215,""en"",""pa"")"),"ਪ੍ਰੋਫਾਈਲ ਦਾ ਸੰਪਾਦਨ ਕਰੋ")</f>
        <v>ਪ੍ਰੋਫਾਈਲ ਦਾ ਸੰਪਾਦਨ ਕਰੋ</v>
      </c>
      <c r="U215" s="4" t="str">
        <f>IFERROR(__xludf.DUMMYFUNCTION("GOOGLETRANSLATE(B215,""en"",""te"")"),"ప్రొఫైల్‌ని సవరించండి")</f>
        <v>ప్రొఫైల్‌ని సవరించండి</v>
      </c>
      <c r="V215" s="4" t="str">
        <f>IFERROR(__xludf.DUMMYFUNCTION("GOOGLETRANSLATE(B215,""en"",""kn"")"),"ಪ್ರೊಫೈಲ್ ಸಂಪಾದಿಸಿ")</f>
        <v>ಪ್ರೊಫೈಲ್ ಸಂಪಾದಿಸಿ</v>
      </c>
      <c r="W215" s="4" t="str">
        <f>IFERROR(__xludf.DUMMYFUNCTION("GOOGLETRANSLATE(B215,""en"",""ml"")"),"പ്രൊഫൈൽ എഡിറ്റ് ചെയ്യുക")</f>
        <v>പ്രൊഫൈൽ എഡിറ്റ് ചെയ്യുക</v>
      </c>
      <c r="X215" s="4" t="str">
        <f>IFERROR(__xludf.DUMMYFUNCTION("GOOGLETRANSLATE(B215,""en"",""th"")"),"แก้ไขโปรไฟล์")</f>
        <v>แก้ไขโปรไฟล์</v>
      </c>
      <c r="Y215" s="4" t="str">
        <f>IFERROR(__xludf.DUMMYFUNCTION("GOOGLETRANSLATE(B215,""en"",""ko"")"),"프로필 편집")</f>
        <v>프로필 편집</v>
      </c>
      <c r="Z215" s="4" t="str">
        <f>IFERROR(__xludf.DUMMYFUNCTION("GOOGLETRANSLATE(B215,""en"",""zh"")"),"编辑个人资料")</f>
        <v>编辑个人资料</v>
      </c>
      <c r="AA215" s="4" t="str">
        <f>IFERROR(__xludf.DUMMYFUNCTION("GOOGLETRANSLATE(B215,""en"",""zh-TW"")"),"編輯個人資料")</f>
        <v>編輯個人資料</v>
      </c>
      <c r="AB215" s="4" t="str">
        <f>IFERROR(__xludf.DUMMYFUNCTION("GOOGLETRANSLATE(B215,""en"",""ja"")"),"プロフィールを編集")</f>
        <v>プロフィールを編集</v>
      </c>
      <c r="AC215" s="4" t="str">
        <f>IFERROR(__xludf.DUMMYFUNCTION("GOOGLETRANSLATE(B215,""en"",""bg"")"),"Редактиране на профил")</f>
        <v>Редактиране на профил</v>
      </c>
      <c r="AD215" s="4" t="str">
        <f>IFERROR(__xludf.DUMMYFUNCTION("GOOGLETRANSLATE(B215,""en"",""cs"")"),"Upravit profil")</f>
        <v>Upravit profil</v>
      </c>
      <c r="AE215" s="4" t="str">
        <f>IFERROR(__xludf.DUMMYFUNCTION("GOOGLETRANSLATE(B215,""en"",""da"")"),"Rediger profil")</f>
        <v>Rediger profil</v>
      </c>
      <c r="AF215" s="4" t="str">
        <f>IFERROR(__xludf.DUMMYFUNCTION("GOOGLETRANSLATE(B215,""en"",""el"")"),"Επεξεργασία προφίλ")</f>
        <v>Επεξεργασία προφίλ</v>
      </c>
      <c r="AG215" s="4" t="str">
        <f>IFERROR(__xludf.DUMMYFUNCTION("GOOGLETRANSLATE(B215,""en"",""et"")"),"Redigeeri profiili")</f>
        <v>Redigeeri profiili</v>
      </c>
      <c r="AH215" s="4" t="str">
        <f>IFERROR(__xludf.DUMMYFUNCTION("GOOGLETRANSLATE(B215,""en"",""fi"")"),"Muokkaa profiilia")</f>
        <v>Muokkaa profiilia</v>
      </c>
      <c r="AI215" s="4" t="str">
        <f>IFERROR(__xludf.DUMMYFUNCTION("GOOGLETRANSLATE(B215,""en"",""hr"")"),"Uredi profil")</f>
        <v>Uredi profil</v>
      </c>
      <c r="AJ215" s="4" t="str">
        <f>IFERROR(__xludf.DUMMYFUNCTION("GOOGLETRANSLATE(B215,""en"",""hu"")"),"Profil szerkesztése")</f>
        <v>Profil szerkesztése</v>
      </c>
      <c r="AK215" s="4" t="str">
        <f>IFERROR(__xludf.DUMMYFUNCTION("GOOGLETRANSLATE(B215,""en"",""hy"")"),"Խմբագրել պրոֆիլը")</f>
        <v>Խմբագրել պրոֆիլը</v>
      </c>
      <c r="AL215" s="4" t="str">
        <f>IFERROR(__xludf.DUMMYFUNCTION("GOOGLETRANSLATE(B215,""en"",""ca"")"),"Edita el perfil")</f>
        <v>Edita el perfil</v>
      </c>
      <c r="AM215" s="4" t="str">
        <f>IFERROR(__xludf.DUMMYFUNCTION("GOOGLETRANSLATE(B215,""en"",""nl"")"),"Profiel bewerken")</f>
        <v>Profiel bewerken</v>
      </c>
      <c r="AN215" s="4" t="str">
        <f>IFERROR(__xludf.DUMMYFUNCTION("GOOGLETRANSLATE(B215,""en"",""he"")"),"ערוך פרופיל")</f>
        <v>ערוך פרופיל</v>
      </c>
      <c r="AO215" s="4" t="str">
        <f>IFERROR(__xludf.DUMMYFUNCTION("GOOGLETRANSLATE(B215,""en"",""is"")"),"Breyta prófíl")</f>
        <v>Breyta prófíl</v>
      </c>
      <c r="AP215" s="4" t="str">
        <f>IFERROR(__xludf.DUMMYFUNCTION("GOOGLETRANSLATE(B215,""en"",""no"")"),"Rediger profil")</f>
        <v>Rediger profil</v>
      </c>
      <c r="AQ215" s="4" t="str">
        <f>IFERROR(__xludf.DUMMYFUNCTION("GOOGLETRANSLATE(B215,""en"",""fa"")"),"ویرایش نمایه")</f>
        <v>ویرایش نمایه</v>
      </c>
      <c r="AR215" s="4" t="str">
        <f>IFERROR(__xludf.DUMMYFUNCTION("GOOGLETRANSLATE(B215,""en"",""pl"")"),"Edytuj profil")</f>
        <v>Edytuj profil</v>
      </c>
      <c r="AS215" s="4" t="str">
        <f>IFERROR(__xludf.DUMMYFUNCTION("GOOGLETRANSLATE(B215,""en"",""sv"")"),"Redigera profil")</f>
        <v>Redigera profil</v>
      </c>
      <c r="AT215" s="4" t="str">
        <f>IFERROR(__xludf.DUMMYFUNCTION("GOOGLETRANSLATE(B215,""en"",""uk"")"),"Редагувати профіль")</f>
        <v>Редагувати профіль</v>
      </c>
      <c r="AU215" s="4" t="str">
        <f>IFERROR(__xludf.DUMMYFUNCTION("GOOGLETRANSLATE(B215,""en"",""zu"")"),"Hlela iphrofayela")</f>
        <v>Hlela iphrofayela</v>
      </c>
      <c r="AV215" s="4" t="str">
        <f>IFERROR(__xludf.DUMMYFUNCTION("GOOGLETRANSLATE(B215,""en"",""sr"")"),"Уреди профил")</f>
        <v>Уреди профил</v>
      </c>
    </row>
    <row r="216">
      <c r="A216" s="3" t="s">
        <v>460</v>
      </c>
      <c r="B216" s="3" t="s">
        <v>155</v>
      </c>
      <c r="C216" s="4" t="str">
        <f>IFERROR(__xludf.DUMMYFUNCTION("GOOGLETRANSLATE(B216,""en"",""ta"")"),"அமைப்புகள்")</f>
        <v>அமைப்புகள்</v>
      </c>
      <c r="D216" s="4" t="str">
        <f>IFERROR(__xludf.DUMMYFUNCTION("GOOGLETRANSLATE(B216,""en"",""hi"")"),"सेटिंग्स")</f>
        <v>सेटिंग्स</v>
      </c>
      <c r="E216" s="4" t="str">
        <f>IFERROR(__xludf.DUMMYFUNCTION("GOOGLETRANSLATE(B216,""en"",""id"")"),"Pengaturan")</f>
        <v>Pengaturan</v>
      </c>
      <c r="F216" s="4" t="str">
        <f>IFERROR(__xludf.DUMMYFUNCTION("GOOGLETRANSLATE(B216,""en"",""ms"")"),"tetapan")</f>
        <v>tetapan</v>
      </c>
      <c r="G216" s="4" t="str">
        <f>IFERROR(__xludf.DUMMYFUNCTION("GOOGLETRANSLATE(B216,""en"",""de"")"),"Einstellungen")</f>
        <v>Einstellungen</v>
      </c>
      <c r="H216" s="4" t="str">
        <f>IFERROR(__xludf.DUMMYFUNCTION("GOOGLETRANSLATE(B216,""en"",""es"")"),"Ajustes")</f>
        <v>Ajustes</v>
      </c>
      <c r="I216" s="4" t="str">
        <f>IFERROR(__xludf.DUMMYFUNCTION("GOOGLETRANSLATE(B216,""en"",""fr"")"),"Paramètres")</f>
        <v>Paramètres</v>
      </c>
      <c r="J216" s="4" t="str">
        <f>IFERROR(__xludf.DUMMYFUNCTION("GOOGLETRANSLATE(B216,""en"",""it"")"),"Impostazioni")</f>
        <v>Impostazioni</v>
      </c>
      <c r="K216" s="4" t="str">
        <f>IFERROR(__xludf.DUMMYFUNCTION("GOOGLETRANSLATE(B216,""en"",""pt"")"),"Configurações")</f>
        <v>Configurações</v>
      </c>
      <c r="L216" s="4" t="str">
        <f>IFERROR(__xludf.DUMMYFUNCTION("GOOGLETRANSLATE(B216,""en"",""ro"")"),"Setări")</f>
        <v>Setări</v>
      </c>
      <c r="M216" s="4" t="str">
        <f>IFERROR(__xludf.DUMMYFUNCTION("GOOGLETRANSLATE(B216,""en"",""vi"")"),"Cài đặt")</f>
        <v>Cài đặt</v>
      </c>
      <c r="N216" s="4" t="str">
        <f>IFERROR(__xludf.DUMMYFUNCTION("GOOGLETRANSLATE(B216,""en"",""ru"")"),"Настройки")</f>
        <v>Настройки</v>
      </c>
      <c r="O216" s="4" t="str">
        <f>IFERROR(__xludf.DUMMYFUNCTION("GOOGLETRANSLATE(B216,""en"",""tr"")"),"Ayarlar")</f>
        <v>Ayarlar</v>
      </c>
      <c r="P216" s="4" t="str">
        <f>IFERROR(__xludf.DUMMYFUNCTION("GOOGLETRANSLATE(B216,""en"",""ar"")"),"إعدادات")</f>
        <v>إعدادات</v>
      </c>
      <c r="Q216" s="4" t="str">
        <f>IFERROR(__xludf.DUMMYFUNCTION("GOOGLETRANSLATE(B216,""en"",""mr"")"),"सेटिंग्ज")</f>
        <v>सेटिंग्ज</v>
      </c>
      <c r="R216" s="4" t="str">
        <f>IFERROR(__xludf.DUMMYFUNCTION("GOOGLETRANSLATE(B216,""en"",""gu"")"),"સેટિંગ્સ")</f>
        <v>સેટિંગ્સ</v>
      </c>
      <c r="S216" s="4" t="str">
        <f>IFERROR(__xludf.DUMMYFUNCTION("GOOGLETRANSLATE(B216,""en"",""bn"")"),"সেটিংস")</f>
        <v>সেটিংস</v>
      </c>
      <c r="T216" s="4" t="str">
        <f>IFERROR(__xludf.DUMMYFUNCTION("GOOGLETRANSLATE(B216,""en"",""pa"")"),"ਸੈਟਿੰਗਾਂ")</f>
        <v>ਸੈਟਿੰਗਾਂ</v>
      </c>
      <c r="U216" s="4" t="str">
        <f>IFERROR(__xludf.DUMMYFUNCTION("GOOGLETRANSLATE(B216,""en"",""te"")"),"సెట్టింగ్‌లు")</f>
        <v>సెట్టింగ్‌లు</v>
      </c>
      <c r="V216" s="4" t="str">
        <f>IFERROR(__xludf.DUMMYFUNCTION("GOOGLETRANSLATE(B216,""en"",""kn"")"),"ಸೆಟ್ಟಿಂಗ್‌ಗಳು")</f>
        <v>ಸೆಟ್ಟಿಂಗ್‌ಗಳು</v>
      </c>
      <c r="W216" s="4" t="str">
        <f>IFERROR(__xludf.DUMMYFUNCTION("GOOGLETRANSLATE(B216,""en"",""ml"")"),"ക്രമീകരണങ്ങൾ")</f>
        <v>ക്രമീകരണങ്ങൾ</v>
      </c>
      <c r="X216" s="4" t="str">
        <f>IFERROR(__xludf.DUMMYFUNCTION("GOOGLETRANSLATE(B216,""en"",""th"")"),"การตั้งค่า")</f>
        <v>การตั้งค่า</v>
      </c>
      <c r="Y216" s="4" t="str">
        <f>IFERROR(__xludf.DUMMYFUNCTION("GOOGLETRANSLATE(B216,""en"",""ko"")"),"설정")</f>
        <v>설정</v>
      </c>
      <c r="Z216" s="4" t="str">
        <f>IFERROR(__xludf.DUMMYFUNCTION("GOOGLETRANSLATE(B216,""en"",""zh"")"),"设置")</f>
        <v>设置</v>
      </c>
      <c r="AA216" s="4" t="str">
        <f>IFERROR(__xludf.DUMMYFUNCTION("GOOGLETRANSLATE(B216,""en"",""zh-TW"")"),"設定")</f>
        <v>設定</v>
      </c>
      <c r="AB216" s="4" t="str">
        <f>IFERROR(__xludf.DUMMYFUNCTION("GOOGLETRANSLATE(B216,""en"",""ja"")"),"設定")</f>
        <v>設定</v>
      </c>
      <c r="AC216" s="4" t="str">
        <f>IFERROR(__xludf.DUMMYFUNCTION("GOOGLETRANSLATE(B216,""en"",""bg"")"),"Настройки")</f>
        <v>Настройки</v>
      </c>
      <c r="AD216" s="4" t="str">
        <f>IFERROR(__xludf.DUMMYFUNCTION("GOOGLETRANSLATE(B216,""en"",""cs"")"),"Nastavení")</f>
        <v>Nastavení</v>
      </c>
      <c r="AE216" s="4" t="str">
        <f>IFERROR(__xludf.DUMMYFUNCTION("GOOGLETRANSLATE(B216,""en"",""da"")"),"Indstillinger")</f>
        <v>Indstillinger</v>
      </c>
      <c r="AF216" s="4" t="str">
        <f>IFERROR(__xludf.DUMMYFUNCTION("GOOGLETRANSLATE(B216,""en"",""el"")"),"Ρυθμίσεις")</f>
        <v>Ρυθμίσεις</v>
      </c>
      <c r="AG216" s="4" t="str">
        <f>IFERROR(__xludf.DUMMYFUNCTION("GOOGLETRANSLATE(B216,""en"",""et"")"),"Seaded")</f>
        <v>Seaded</v>
      </c>
      <c r="AH216" s="4" t="str">
        <f>IFERROR(__xludf.DUMMYFUNCTION("GOOGLETRANSLATE(B216,""en"",""fi"")"),"Asetukset")</f>
        <v>Asetukset</v>
      </c>
      <c r="AI216" s="4" t="str">
        <f>IFERROR(__xludf.DUMMYFUNCTION("GOOGLETRANSLATE(B216,""en"",""hr"")"),"postavke")</f>
        <v>postavke</v>
      </c>
      <c r="AJ216" s="4" t="str">
        <f>IFERROR(__xludf.DUMMYFUNCTION("GOOGLETRANSLATE(B216,""en"",""hu"")"),"Beállítások elemre")</f>
        <v>Beállítások elemre</v>
      </c>
      <c r="AK216" s="4" t="str">
        <f>IFERROR(__xludf.DUMMYFUNCTION("GOOGLETRANSLATE(B216,""en"",""hy"")"),"Կարգավորումներ")</f>
        <v>Կարգավորումներ</v>
      </c>
      <c r="AL216" s="4" t="str">
        <f>IFERROR(__xludf.DUMMYFUNCTION("GOOGLETRANSLATE(B216,""en"",""ca"")"),"Configuració")</f>
        <v>Configuració</v>
      </c>
      <c r="AM216" s="4" t="str">
        <f>IFERROR(__xludf.DUMMYFUNCTION("GOOGLETRANSLATE(B216,""en"",""nl"")"),"Instellingen")</f>
        <v>Instellingen</v>
      </c>
      <c r="AN216" s="4" t="str">
        <f>IFERROR(__xludf.DUMMYFUNCTION("GOOGLETRANSLATE(B216,""en"",""he"")"),"הגדרות")</f>
        <v>הגדרות</v>
      </c>
      <c r="AO216" s="4" t="str">
        <f>IFERROR(__xludf.DUMMYFUNCTION("GOOGLETRANSLATE(B216,""en"",""is"")"),"Stillingar")</f>
        <v>Stillingar</v>
      </c>
      <c r="AP216" s="4" t="str">
        <f>IFERROR(__xludf.DUMMYFUNCTION("GOOGLETRANSLATE(B216,""en"",""no"")"),"Innstillinger")</f>
        <v>Innstillinger</v>
      </c>
      <c r="AQ216" s="4" t="str">
        <f>IFERROR(__xludf.DUMMYFUNCTION("GOOGLETRANSLATE(B216,""en"",""fa"")"),"تنظیمات")</f>
        <v>تنظیمات</v>
      </c>
      <c r="AR216" s="4" t="str">
        <f>IFERROR(__xludf.DUMMYFUNCTION("GOOGLETRANSLATE(B216,""en"",""pl"")"),"Ustawienia")</f>
        <v>Ustawienia</v>
      </c>
      <c r="AS216" s="4" t="str">
        <f>IFERROR(__xludf.DUMMYFUNCTION("GOOGLETRANSLATE(B216,""en"",""sv"")"),"Inställningar")</f>
        <v>Inställningar</v>
      </c>
      <c r="AT216" s="4" t="str">
        <f>IFERROR(__xludf.DUMMYFUNCTION("GOOGLETRANSLATE(B216,""en"",""uk"")"),"Налаштування")</f>
        <v>Налаштування</v>
      </c>
      <c r="AU216" s="4" t="str">
        <f>IFERROR(__xludf.DUMMYFUNCTION("GOOGLETRANSLATE(B216,""en"",""zu"")"),"Izilungiselelo")</f>
        <v>Izilungiselelo</v>
      </c>
      <c r="AV216" s="4" t="str">
        <f>IFERROR(__xludf.DUMMYFUNCTION("GOOGLETRANSLATE(B216,""en"",""sr"")"),"Подешавања")</f>
        <v>Подешавања</v>
      </c>
    </row>
    <row r="217">
      <c r="A217" s="3" t="s">
        <v>461</v>
      </c>
      <c r="B217" s="3" t="s">
        <v>462</v>
      </c>
      <c r="C217" s="4" t="str">
        <f>IFERROR(__xludf.DUMMYFUNCTION("GOOGLETRANSLATE(B217,""en"",""ta"")"),"தனியுரிமை &amp; பாதுகாப்பு")</f>
        <v>தனியுரிமை &amp; பாதுகாப்பு</v>
      </c>
      <c r="D217" s="4" t="str">
        <f>IFERROR(__xludf.DUMMYFUNCTION("GOOGLETRANSLATE(B217,""en"",""hi"")"),"निजता एवं सुरक्षा")</f>
        <v>निजता एवं सुरक्षा</v>
      </c>
      <c r="E217" s="4" t="str">
        <f>IFERROR(__xludf.DUMMYFUNCTION("GOOGLETRANSLATE(B217,""en"",""id"")"),"Privasi &amp; Keamanan")</f>
        <v>Privasi &amp; Keamanan</v>
      </c>
      <c r="F217" s="4" t="str">
        <f>IFERROR(__xludf.DUMMYFUNCTION("GOOGLETRANSLATE(B217,""en"",""ms"")"),"Privasi &amp; Keselamatan")</f>
        <v>Privasi &amp; Keselamatan</v>
      </c>
      <c r="G217" s="4" t="str">
        <f>IFERROR(__xludf.DUMMYFUNCTION("GOOGLETRANSLATE(B217,""en"",""de"")"),"Datenschutz &amp; Sicherheit")</f>
        <v>Datenschutz &amp; Sicherheit</v>
      </c>
      <c r="H217" s="4" t="str">
        <f>IFERROR(__xludf.DUMMYFUNCTION("GOOGLETRANSLATE(B217,""en"",""es"")"),"Privacidad y seguridad")</f>
        <v>Privacidad y seguridad</v>
      </c>
      <c r="I217" s="4" t="str">
        <f>IFERROR(__xludf.DUMMYFUNCTION("GOOGLETRANSLATE(B217,""en"",""fr"")"),"Confidentialité et sécurité")</f>
        <v>Confidentialité et sécurité</v>
      </c>
      <c r="J217" s="4" t="str">
        <f>IFERROR(__xludf.DUMMYFUNCTION("GOOGLETRANSLATE(B217,""en"",""it"")"),"Privacy e sicurezza")</f>
        <v>Privacy e sicurezza</v>
      </c>
      <c r="K217" s="4" t="str">
        <f>IFERROR(__xludf.DUMMYFUNCTION("GOOGLETRANSLATE(B217,""en"",""pt"")"),"Privacidade e Segurança")</f>
        <v>Privacidade e Segurança</v>
      </c>
      <c r="L217" s="4" t="str">
        <f>IFERROR(__xludf.DUMMYFUNCTION("GOOGLETRANSLATE(B217,""en"",""ro"")"),"Confidențialitate și securitate")</f>
        <v>Confidențialitate și securitate</v>
      </c>
      <c r="M217" s="4" t="str">
        <f>IFERROR(__xludf.DUMMYFUNCTION("GOOGLETRANSLATE(B217,""en"",""vi"")"),"Quyền riêng tư và bảo mật")</f>
        <v>Quyền riêng tư và bảo mật</v>
      </c>
      <c r="N217" s="4" t="str">
        <f>IFERROR(__xludf.DUMMYFUNCTION("GOOGLETRANSLATE(B217,""en"",""ru"")"),"Конфиденциальность и безопасность")</f>
        <v>Конфиденциальность и безопасность</v>
      </c>
      <c r="O217" s="4" t="str">
        <f>IFERROR(__xludf.DUMMYFUNCTION("GOOGLETRANSLATE(B217,""en"",""tr"")"),"Gizlilik ve Güvenlik")</f>
        <v>Gizlilik ve Güvenlik</v>
      </c>
      <c r="P217" s="4" t="str">
        <f>IFERROR(__xludf.DUMMYFUNCTION("GOOGLETRANSLATE(B217,""en"",""ar"")"),"الخصوصية والأمان")</f>
        <v>الخصوصية والأمان</v>
      </c>
      <c r="Q217" s="4" t="str">
        <f>IFERROR(__xludf.DUMMYFUNCTION("GOOGLETRANSLATE(B217,""en"",""mr"")"),"गोपनीयता आणि सुरक्षा")</f>
        <v>गोपनीयता आणि सुरक्षा</v>
      </c>
      <c r="R217" s="4" t="str">
        <f>IFERROR(__xludf.DUMMYFUNCTION("GOOGLETRANSLATE(B217,""en"",""gu"")"),"ગોપનીયતા અને સુરક્ષા")</f>
        <v>ગોપનીયતા અને સુરક્ષા</v>
      </c>
      <c r="S217" s="4" t="str">
        <f>IFERROR(__xludf.DUMMYFUNCTION("GOOGLETRANSLATE(B217,""en"",""bn"")"),"গোপনীয়তা এবং নিরাপত্তা")</f>
        <v>গোপনীয়তা এবং নিরাপত্তা</v>
      </c>
      <c r="T217" s="4" t="str">
        <f>IFERROR(__xludf.DUMMYFUNCTION("GOOGLETRANSLATE(B217,""en"",""pa"")"),"ਗੋਪਨੀਯਤਾ ਅਤੇ ਸੁਰੱਖਿਆ")</f>
        <v>ਗੋਪਨੀਯਤਾ ਅਤੇ ਸੁਰੱਖਿਆ</v>
      </c>
      <c r="U217" s="4" t="str">
        <f>IFERROR(__xludf.DUMMYFUNCTION("GOOGLETRANSLATE(B217,""en"",""te"")"),"గోప్యత &amp; భద్రత")</f>
        <v>గోప్యత &amp; భద్రత</v>
      </c>
      <c r="V217" s="4" t="str">
        <f>IFERROR(__xludf.DUMMYFUNCTION("GOOGLETRANSLATE(B217,""en"",""kn"")"),"ಗೌಪ್ಯತೆ ಮತ್ತು ಭದ್ರತೆ")</f>
        <v>ಗೌಪ್ಯತೆ ಮತ್ತು ಭದ್ರತೆ</v>
      </c>
      <c r="W217" s="4" t="str">
        <f>IFERROR(__xludf.DUMMYFUNCTION("GOOGLETRANSLATE(B217,""en"",""ml"")"),"സ്വകാര്യതയും സുരക്ഷയും")</f>
        <v>സ്വകാര്യതയും സുരക്ഷയും</v>
      </c>
      <c r="X217" s="4" t="str">
        <f>IFERROR(__xludf.DUMMYFUNCTION("GOOGLETRANSLATE(B217,""en"",""th"")"),"ความเป็นส่วนตัวและความปลอดภัย")</f>
        <v>ความเป็นส่วนตัวและความปลอดภัย</v>
      </c>
      <c r="Y217" s="4" t="str">
        <f>IFERROR(__xludf.DUMMYFUNCTION("GOOGLETRANSLATE(B217,""en"",""ko"")"),"개인정보 보호 및 보안")</f>
        <v>개인정보 보호 및 보안</v>
      </c>
      <c r="Z217" s="4" t="str">
        <f>IFERROR(__xludf.DUMMYFUNCTION("GOOGLETRANSLATE(B217,""en"",""zh"")"),"隐私和安全")</f>
        <v>隐私和安全</v>
      </c>
      <c r="AA217" s="4" t="str">
        <f>IFERROR(__xludf.DUMMYFUNCTION("GOOGLETRANSLATE(B217,""en"",""zh-TW"")"),"隱私和安全")</f>
        <v>隱私和安全</v>
      </c>
      <c r="AB217" s="4" t="str">
        <f>IFERROR(__xludf.DUMMYFUNCTION("GOOGLETRANSLATE(B217,""en"",""ja"")"),"プライバシーとセキュリティ")</f>
        <v>プライバシーとセキュリティ</v>
      </c>
      <c r="AC217" s="4" t="str">
        <f>IFERROR(__xludf.DUMMYFUNCTION("GOOGLETRANSLATE(B217,""en"",""bg"")"),"Поверителност и сигурност")</f>
        <v>Поверителност и сигурност</v>
      </c>
      <c r="AD217" s="4" t="str">
        <f>IFERROR(__xludf.DUMMYFUNCTION("GOOGLETRANSLATE(B217,""en"",""cs"")"),"Ochrana osobních údajů a zabezpečení")</f>
        <v>Ochrana osobních údajů a zabezpečení</v>
      </c>
      <c r="AE217" s="4" t="str">
        <f>IFERROR(__xludf.DUMMYFUNCTION("GOOGLETRANSLATE(B217,""en"",""da"")"),"Privatliv og sikkerhed")</f>
        <v>Privatliv og sikkerhed</v>
      </c>
      <c r="AF217" s="4" t="str">
        <f>IFERROR(__xludf.DUMMYFUNCTION("GOOGLETRANSLATE(B217,""en"",""el"")"),"Απόρρητο και ασφάλεια")</f>
        <v>Απόρρητο και ασφάλεια</v>
      </c>
      <c r="AG217" s="4" t="str">
        <f>IFERROR(__xludf.DUMMYFUNCTION("GOOGLETRANSLATE(B217,""en"",""et"")"),"Privaatsus ja turvalisus")</f>
        <v>Privaatsus ja turvalisus</v>
      </c>
      <c r="AH217" s="4" t="str">
        <f>IFERROR(__xludf.DUMMYFUNCTION("GOOGLETRANSLATE(B217,""en"",""fi"")"),"Yksityisyys ja turvallisuus")</f>
        <v>Yksityisyys ja turvallisuus</v>
      </c>
      <c r="AI217" s="4" t="str">
        <f>IFERROR(__xludf.DUMMYFUNCTION("GOOGLETRANSLATE(B217,""en"",""hr"")"),"Privatnost i sigurnost")</f>
        <v>Privatnost i sigurnost</v>
      </c>
      <c r="AJ217" s="4" t="str">
        <f>IFERROR(__xludf.DUMMYFUNCTION("GOOGLETRANSLATE(B217,""en"",""hu"")"),"Adatvédelem és biztonság")</f>
        <v>Adatvédelem és biztonság</v>
      </c>
      <c r="AK217" s="4" t="str">
        <f>IFERROR(__xludf.DUMMYFUNCTION("GOOGLETRANSLATE(B217,""en"",""hy"")"),"Գաղտնիություն և անվտանգություն")</f>
        <v>Գաղտնիություն և անվտանգություն</v>
      </c>
      <c r="AL217" s="4" t="str">
        <f>IFERROR(__xludf.DUMMYFUNCTION("GOOGLETRANSLATE(B217,""en"",""ca"")"),"Privacitat i seguretat")</f>
        <v>Privacitat i seguretat</v>
      </c>
      <c r="AM217" s="4" t="str">
        <f>IFERROR(__xludf.DUMMYFUNCTION("GOOGLETRANSLATE(B217,""en"",""nl"")"),"Privacy en beveiliging")</f>
        <v>Privacy en beveiliging</v>
      </c>
      <c r="AN217" s="4" t="str">
        <f>IFERROR(__xludf.DUMMYFUNCTION("GOOGLETRANSLATE(B217,""en"",""he"")"),"פרטיות ואבטחה")</f>
        <v>פרטיות ואבטחה</v>
      </c>
      <c r="AO217" s="4" t="str">
        <f>IFERROR(__xludf.DUMMYFUNCTION("GOOGLETRANSLATE(B217,""en"",""is"")"),"Persónuvernd og öryggi")</f>
        <v>Persónuvernd og öryggi</v>
      </c>
      <c r="AP217" s="4" t="str">
        <f>IFERROR(__xludf.DUMMYFUNCTION("GOOGLETRANSLATE(B217,""en"",""no"")"),"Personvern og sikkerhet")</f>
        <v>Personvern og sikkerhet</v>
      </c>
      <c r="AQ217" s="4" t="str">
        <f>IFERROR(__xludf.DUMMYFUNCTION("GOOGLETRANSLATE(B217,""en"",""fa"")"),"حریم خصوصی و امنیت")</f>
        <v>حریم خصوصی و امنیت</v>
      </c>
      <c r="AR217" s="4" t="str">
        <f>IFERROR(__xludf.DUMMYFUNCTION("GOOGLETRANSLATE(B217,""en"",""pl"")"),"Prywatność i bezpieczeństwo")</f>
        <v>Prywatność i bezpieczeństwo</v>
      </c>
      <c r="AS217" s="4" t="str">
        <f>IFERROR(__xludf.DUMMYFUNCTION("GOOGLETRANSLATE(B217,""en"",""sv"")"),"Sekretess och säkerhet")</f>
        <v>Sekretess och säkerhet</v>
      </c>
      <c r="AT217" s="4" t="str">
        <f>IFERROR(__xludf.DUMMYFUNCTION("GOOGLETRANSLATE(B217,""en"",""uk"")"),"Конфіденційність і безпека")</f>
        <v>Конфіденційність і безпека</v>
      </c>
      <c r="AU217" s="4" t="str">
        <f>IFERROR(__xludf.DUMMYFUNCTION("GOOGLETRANSLATE(B217,""en"",""zu"")"),"Ubumfihlo Nokuphepha")</f>
        <v>Ubumfihlo Nokuphepha</v>
      </c>
      <c r="AV217" s="4" t="str">
        <f>IFERROR(__xludf.DUMMYFUNCTION("GOOGLETRANSLATE(B217,""en"",""sr"")"),"Приватност и безбедност")</f>
        <v>Приватност и безбедност</v>
      </c>
    </row>
    <row r="218">
      <c r="A218" s="3" t="s">
        <v>463</v>
      </c>
      <c r="B218" s="3" t="s">
        <v>464</v>
      </c>
      <c r="C218" s="4" t="str">
        <f>IFERROR(__xludf.DUMMYFUNCTION("GOOGLETRANSLATE(B218,""en"",""ta"")"),"உதவி &amp; ஆதரவு")</f>
        <v>உதவி &amp; ஆதரவு</v>
      </c>
      <c r="D218" s="4" t="str">
        <f>IFERROR(__xludf.DUMMYFUNCTION("GOOGLETRANSLATE(B218,""en"",""hi"")"),"सहायता एवं समर्थन")</f>
        <v>सहायता एवं समर्थन</v>
      </c>
      <c r="E218" s="4" t="str">
        <f>IFERROR(__xludf.DUMMYFUNCTION("GOOGLETRANSLATE(B218,""en"",""id"")"),"Bantuan &amp; Dukungan")</f>
        <v>Bantuan &amp; Dukungan</v>
      </c>
      <c r="F218" s="4" t="str">
        <f>IFERROR(__xludf.DUMMYFUNCTION("GOOGLETRANSLATE(B218,""en"",""ms"")"),"Bantuan &amp; Sokongan")</f>
        <v>Bantuan &amp; Sokongan</v>
      </c>
      <c r="G218" s="4" t="str">
        <f>IFERROR(__xludf.DUMMYFUNCTION("GOOGLETRANSLATE(B218,""en"",""de"")"),"Hilfe &amp; Support")</f>
        <v>Hilfe &amp; Support</v>
      </c>
      <c r="H218" s="4" t="str">
        <f>IFERROR(__xludf.DUMMYFUNCTION("GOOGLETRANSLATE(B218,""en"",""es"")"),"Ayuda y soporte")</f>
        <v>Ayuda y soporte</v>
      </c>
      <c r="I218" s="4" t="str">
        <f>IFERROR(__xludf.DUMMYFUNCTION("GOOGLETRANSLATE(B218,""en"",""fr"")"),"Aide et support")</f>
        <v>Aide et support</v>
      </c>
      <c r="J218" s="4" t="str">
        <f>IFERROR(__xludf.DUMMYFUNCTION("GOOGLETRANSLATE(B218,""en"",""it"")"),"Aiuto e supporto")</f>
        <v>Aiuto e supporto</v>
      </c>
      <c r="K218" s="4" t="str">
        <f>IFERROR(__xludf.DUMMYFUNCTION("GOOGLETRANSLATE(B218,""en"",""pt"")"),"Ajuda e Suporte")</f>
        <v>Ajuda e Suporte</v>
      </c>
      <c r="L218" s="4" t="str">
        <f>IFERROR(__xludf.DUMMYFUNCTION("GOOGLETRANSLATE(B218,""en"",""ro"")"),"Ajutor și asistență")</f>
        <v>Ajutor și asistență</v>
      </c>
      <c r="M218" s="4" t="str">
        <f>IFERROR(__xludf.DUMMYFUNCTION("GOOGLETRANSLATE(B218,""en"",""vi"")"),"Trợ giúp &amp; Hỗ trợ")</f>
        <v>Trợ giúp &amp; Hỗ trợ</v>
      </c>
      <c r="N218" s="4" t="str">
        <f>IFERROR(__xludf.DUMMYFUNCTION("GOOGLETRANSLATE(B218,""en"",""ru"")"),"Помощь и поддержка")</f>
        <v>Помощь и поддержка</v>
      </c>
      <c r="O218" s="4" t="str">
        <f>IFERROR(__xludf.DUMMYFUNCTION("GOOGLETRANSLATE(B218,""en"",""tr"")"),"Yardım ve Destek")</f>
        <v>Yardım ve Destek</v>
      </c>
      <c r="P218" s="4" t="str">
        <f>IFERROR(__xludf.DUMMYFUNCTION("GOOGLETRANSLATE(B218,""en"",""ar"")"),"المساعدة والدعم")</f>
        <v>المساعدة والدعم</v>
      </c>
      <c r="Q218" s="4" t="str">
        <f>IFERROR(__xludf.DUMMYFUNCTION("GOOGLETRANSLATE(B218,""en"",""mr"")"),"मदत आणि समर्थन")</f>
        <v>मदत आणि समर्थन</v>
      </c>
      <c r="R218" s="4" t="str">
        <f>IFERROR(__xludf.DUMMYFUNCTION("GOOGLETRANSLATE(B218,""en"",""gu"")"),"મદદ અને આધાર")</f>
        <v>મદદ અને આધાર</v>
      </c>
      <c r="S218" s="4" t="str">
        <f>IFERROR(__xludf.DUMMYFUNCTION("GOOGLETRANSLATE(B218,""en"",""bn"")"),"সাহায্য এবং সমর্থন")</f>
        <v>সাহায্য এবং সমর্থন</v>
      </c>
      <c r="T218" s="4" t="str">
        <f>IFERROR(__xludf.DUMMYFUNCTION("GOOGLETRANSLATE(B218,""en"",""pa"")"),"ਮਦਦ ਅਤੇ ਸਹਾਇਤਾ")</f>
        <v>ਮਦਦ ਅਤੇ ਸਹਾਇਤਾ</v>
      </c>
      <c r="U218" s="4" t="str">
        <f>IFERROR(__xludf.DUMMYFUNCTION("GOOGLETRANSLATE(B218,""en"",""te"")"),"సహాయం &amp; మద్దతు")</f>
        <v>సహాయం &amp; మద్దతు</v>
      </c>
      <c r="V218" s="4" t="str">
        <f>IFERROR(__xludf.DUMMYFUNCTION("GOOGLETRANSLATE(B218,""en"",""kn"")"),"ಸಹಾಯ ಮತ್ತು ಬೆಂಬಲ")</f>
        <v>ಸಹಾಯ ಮತ್ತು ಬೆಂಬಲ</v>
      </c>
      <c r="W218" s="4" t="str">
        <f>IFERROR(__xludf.DUMMYFUNCTION("GOOGLETRANSLATE(B218,""en"",""ml"")"),"സഹായവും പിന്തുണയും")</f>
        <v>സഹായവും പിന്തുണയും</v>
      </c>
      <c r="X218" s="4" t="str">
        <f>IFERROR(__xludf.DUMMYFUNCTION("GOOGLETRANSLATE(B218,""en"",""th"")"),"ช่วยเหลือและการสนับสนุน")</f>
        <v>ช่วยเหลือและการสนับสนุน</v>
      </c>
      <c r="Y218" s="4" t="str">
        <f>IFERROR(__xludf.DUMMYFUNCTION("GOOGLETRANSLATE(B218,""en"",""ko"")"),"도움말 및 지원")</f>
        <v>도움말 및 지원</v>
      </c>
      <c r="Z218" s="4" t="str">
        <f>IFERROR(__xludf.DUMMYFUNCTION("GOOGLETRANSLATE(B218,""en"",""zh"")"),"帮助与支持")</f>
        <v>帮助与支持</v>
      </c>
      <c r="AA218" s="4" t="str">
        <f>IFERROR(__xludf.DUMMYFUNCTION("GOOGLETRANSLATE(B218,""en"",""zh-TW"")"),"幫助與支持")</f>
        <v>幫助與支持</v>
      </c>
      <c r="AB218" s="4" t="str">
        <f>IFERROR(__xludf.DUMMYFUNCTION("GOOGLETRANSLATE(B218,""en"",""ja"")"),"ヘルプとサポート")</f>
        <v>ヘルプとサポート</v>
      </c>
      <c r="AC218" s="4" t="str">
        <f>IFERROR(__xludf.DUMMYFUNCTION("GOOGLETRANSLATE(B218,""en"",""bg"")"),"Помощ и поддръжка")</f>
        <v>Помощ и поддръжка</v>
      </c>
      <c r="AD218" s="4" t="str">
        <f>IFERROR(__xludf.DUMMYFUNCTION("GOOGLETRANSLATE(B218,""en"",""cs"")"),"Nápověda a podpora")</f>
        <v>Nápověda a podpora</v>
      </c>
      <c r="AE218" s="4" t="str">
        <f>IFERROR(__xludf.DUMMYFUNCTION("GOOGLETRANSLATE(B218,""en"",""da"")"),"Hjælp &amp; Support")</f>
        <v>Hjælp &amp; Support</v>
      </c>
      <c r="AF218" s="4" t="str">
        <f>IFERROR(__xludf.DUMMYFUNCTION("GOOGLETRANSLATE(B218,""en"",""el"")"),"Βοήθεια &amp; Υποστήριξη")</f>
        <v>Βοήθεια &amp; Υποστήριξη</v>
      </c>
      <c r="AG218" s="4" t="str">
        <f>IFERROR(__xludf.DUMMYFUNCTION("GOOGLETRANSLATE(B218,""en"",""et"")"),"Abi ja tugi")</f>
        <v>Abi ja tugi</v>
      </c>
      <c r="AH218" s="4" t="str">
        <f>IFERROR(__xludf.DUMMYFUNCTION("GOOGLETRANSLATE(B218,""en"",""fi"")"),"Apua ja tuki")</f>
        <v>Apua ja tuki</v>
      </c>
      <c r="AI218" s="4" t="str">
        <f>IFERROR(__xludf.DUMMYFUNCTION("GOOGLETRANSLATE(B218,""en"",""hr"")"),"Pomoć i podrška")</f>
        <v>Pomoć i podrška</v>
      </c>
      <c r="AJ218" s="4" t="str">
        <f>IFERROR(__xludf.DUMMYFUNCTION("GOOGLETRANSLATE(B218,""en"",""hu"")"),"Súgó és támogatás")</f>
        <v>Súgó és támogatás</v>
      </c>
      <c r="AK218" s="4" t="str">
        <f>IFERROR(__xludf.DUMMYFUNCTION("GOOGLETRANSLATE(B218,""en"",""hy"")"),"Օգնություն և աջակցություն")</f>
        <v>Օգնություն և աջակցություն</v>
      </c>
      <c r="AL218" s="4" t="str">
        <f>IFERROR(__xludf.DUMMYFUNCTION("GOOGLETRANSLATE(B218,""en"",""ca"")"),"Ajuda i Suport")</f>
        <v>Ajuda i Suport</v>
      </c>
      <c r="AM218" s="4" t="str">
        <f>IFERROR(__xludf.DUMMYFUNCTION("GOOGLETRANSLATE(B218,""en"",""nl"")"),"Hulp en ondersteuning")</f>
        <v>Hulp en ondersteuning</v>
      </c>
      <c r="AN218" s="4" t="str">
        <f>IFERROR(__xludf.DUMMYFUNCTION("GOOGLETRANSLATE(B218,""en"",""he"")"),"עזרה ותמיכה")</f>
        <v>עזרה ותמיכה</v>
      </c>
      <c r="AO218" s="4" t="str">
        <f>IFERROR(__xludf.DUMMYFUNCTION("GOOGLETRANSLATE(B218,""en"",""is"")"),"Hjálp og stuðningur")</f>
        <v>Hjálp og stuðningur</v>
      </c>
      <c r="AP218" s="4" t="str">
        <f>IFERROR(__xludf.DUMMYFUNCTION("GOOGLETRANSLATE(B218,""en"",""no"")"),"Hjelp og støtte")</f>
        <v>Hjelp og støtte</v>
      </c>
      <c r="AQ218" s="4" t="str">
        <f>IFERROR(__xludf.DUMMYFUNCTION("GOOGLETRANSLATE(B218,""en"",""fa"")"),"راهنما و پشتیبانی")</f>
        <v>راهنما و پشتیبانی</v>
      </c>
      <c r="AR218" s="4" t="str">
        <f>IFERROR(__xludf.DUMMYFUNCTION("GOOGLETRANSLATE(B218,""en"",""pl"")"),"Pomoc i wsparcie")</f>
        <v>Pomoc i wsparcie</v>
      </c>
      <c r="AS218" s="4" t="str">
        <f>IFERROR(__xludf.DUMMYFUNCTION("GOOGLETRANSLATE(B218,""en"",""sv"")"),"Hjälp &amp; Support")</f>
        <v>Hjälp &amp; Support</v>
      </c>
      <c r="AT218" s="4" t="str">
        <f>IFERROR(__xludf.DUMMYFUNCTION("GOOGLETRANSLATE(B218,""en"",""uk"")"),"Допомога та підтримка")</f>
        <v>Допомога та підтримка</v>
      </c>
      <c r="AU218" s="4" t="str">
        <f>IFERROR(__xludf.DUMMYFUNCTION("GOOGLETRANSLATE(B218,""en"",""zu"")"),"Usizo Nosekelo")</f>
        <v>Usizo Nosekelo</v>
      </c>
      <c r="AV218" s="4" t="str">
        <f>IFERROR(__xludf.DUMMYFUNCTION("GOOGLETRANSLATE(B218,""en"",""sr"")"),"Помоћ и подршка")</f>
        <v>Помоћ и подршка</v>
      </c>
    </row>
    <row r="219">
      <c r="A219" s="3" t="s">
        <v>465</v>
      </c>
      <c r="B219" s="3" t="s">
        <v>466</v>
      </c>
      <c r="C219" s="4" t="str">
        <f>IFERROR(__xludf.DUMMYFUNCTION("GOOGLETRANSLATE(B219,""en"",""ta"")"),"வெளியேறு")</f>
        <v>வெளியேறு</v>
      </c>
      <c r="D219" s="4" t="str">
        <f>IFERROR(__xludf.DUMMYFUNCTION("GOOGLETRANSLATE(B219,""en"",""hi"")"),"लॉग आउट")</f>
        <v>लॉग आउट</v>
      </c>
      <c r="E219" s="4" t="str">
        <f>IFERROR(__xludf.DUMMYFUNCTION("GOOGLETRANSLATE(B219,""en"",""id"")"),"Keluar")</f>
        <v>Keluar</v>
      </c>
      <c r="F219" s="4" t="str">
        <f>IFERROR(__xludf.DUMMYFUNCTION("GOOGLETRANSLATE(B219,""en"",""ms"")"),"Log keluar")</f>
        <v>Log keluar</v>
      </c>
      <c r="G219" s="4" t="str">
        <f>IFERROR(__xludf.DUMMYFUNCTION("GOOGLETRANSLATE(B219,""en"",""de"")"),"Ausloggen")</f>
        <v>Ausloggen</v>
      </c>
      <c r="H219" s="4" t="str">
        <f>IFERROR(__xludf.DUMMYFUNCTION("GOOGLETRANSLATE(B219,""en"",""es"")"),"Cerrar sesión")</f>
        <v>Cerrar sesión</v>
      </c>
      <c r="I219" s="4" t="str">
        <f>IFERROR(__xludf.DUMMYFUNCTION("GOOGLETRANSLATE(B219,""en"",""fr"")"),"Déconnexion")</f>
        <v>Déconnexion</v>
      </c>
      <c r="J219" s="4" t="str">
        <f>IFERROR(__xludf.DUMMYFUNCTION("GOOGLETRANSLATE(B219,""en"",""it"")"),"Esci")</f>
        <v>Esci</v>
      </c>
      <c r="K219" s="4" t="str">
        <f>IFERROR(__xludf.DUMMYFUNCTION("GOOGLETRANSLATE(B219,""en"",""pt"")"),"Sair")</f>
        <v>Sair</v>
      </c>
      <c r="L219" s="4" t="str">
        <f>IFERROR(__xludf.DUMMYFUNCTION("GOOGLETRANSLATE(B219,""en"",""ro"")"),"Deconectare")</f>
        <v>Deconectare</v>
      </c>
      <c r="M219" s="4" t="str">
        <f>IFERROR(__xludf.DUMMYFUNCTION("GOOGLETRANSLATE(B219,""en"",""vi"")"),"Đăng xuất")</f>
        <v>Đăng xuất</v>
      </c>
      <c r="N219" s="4" t="str">
        <f>IFERROR(__xludf.DUMMYFUNCTION("GOOGLETRANSLATE(B219,""en"",""ru"")"),"Выйти")</f>
        <v>Выйти</v>
      </c>
      <c r="O219" s="4" t="str">
        <f>IFERROR(__xludf.DUMMYFUNCTION("GOOGLETRANSLATE(B219,""en"",""tr"")"),"Çıkış Yap")</f>
        <v>Çıkış Yap</v>
      </c>
      <c r="P219" s="4" t="str">
        <f>IFERROR(__xludf.DUMMYFUNCTION("GOOGLETRANSLATE(B219,""en"",""ar"")"),"تسجيل الخروج")</f>
        <v>تسجيل الخروج</v>
      </c>
      <c r="Q219" s="4" t="str">
        <f>IFERROR(__xludf.DUMMYFUNCTION("GOOGLETRANSLATE(B219,""en"",""mr"")"),"लॉगआउट करा")</f>
        <v>लॉगआउट करा</v>
      </c>
      <c r="R219" s="4" t="str">
        <f>IFERROR(__xludf.DUMMYFUNCTION("GOOGLETRANSLATE(B219,""en"",""gu"")"),"લોગઆઉટ")</f>
        <v>લોગઆઉટ</v>
      </c>
      <c r="S219" s="4" t="str">
        <f>IFERROR(__xludf.DUMMYFUNCTION("GOOGLETRANSLATE(B219,""en"",""bn"")"),"লগআউট")</f>
        <v>লগআউট</v>
      </c>
      <c r="T219" s="4" t="str">
        <f>IFERROR(__xludf.DUMMYFUNCTION("GOOGLETRANSLATE(B219,""en"",""pa"")"),"ਲਾਗਆਉਟ")</f>
        <v>ਲਾਗਆਉਟ</v>
      </c>
      <c r="U219" s="4" t="str">
        <f>IFERROR(__xludf.DUMMYFUNCTION("GOOGLETRANSLATE(B219,""en"",""te"")"),"లాగ్అవుట్")</f>
        <v>లాగ్అవుట్</v>
      </c>
      <c r="V219" s="4" t="str">
        <f>IFERROR(__xludf.DUMMYFUNCTION("GOOGLETRANSLATE(B219,""en"",""kn"")"),"ಲಾಗ್ಔಟ್")</f>
        <v>ಲಾಗ್ಔಟ್</v>
      </c>
      <c r="W219" s="4" t="str">
        <f>IFERROR(__xludf.DUMMYFUNCTION("GOOGLETRANSLATE(B219,""en"",""ml"")"),"പുറത്തുകടക്കുക")</f>
        <v>പുറത്തുകടക്കുക</v>
      </c>
      <c r="X219" s="4" t="str">
        <f>IFERROR(__xludf.DUMMYFUNCTION("GOOGLETRANSLATE(B219,""en"",""th"")"),"ออกจากระบบ")</f>
        <v>ออกจากระบบ</v>
      </c>
      <c r="Y219" s="4" t="str">
        <f>IFERROR(__xludf.DUMMYFUNCTION("GOOGLETRANSLATE(B219,""en"",""ko"")"),"로그아웃")</f>
        <v>로그아웃</v>
      </c>
      <c r="Z219" s="4" t="str">
        <f>IFERROR(__xludf.DUMMYFUNCTION("GOOGLETRANSLATE(B219,""en"",""zh"")"),"登出")</f>
        <v>登出</v>
      </c>
      <c r="AA219" s="4" t="str">
        <f>IFERROR(__xludf.DUMMYFUNCTION("GOOGLETRANSLATE(B219,""en"",""zh-TW"")"),"登出")</f>
        <v>登出</v>
      </c>
      <c r="AB219" s="4" t="str">
        <f>IFERROR(__xludf.DUMMYFUNCTION("GOOGLETRANSLATE(B219,""en"",""ja"")"),"ログアウト")</f>
        <v>ログアウト</v>
      </c>
      <c r="AC219" s="4" t="str">
        <f>IFERROR(__xludf.DUMMYFUNCTION("GOOGLETRANSLATE(B219,""en"",""bg"")"),"Изход")</f>
        <v>Изход</v>
      </c>
      <c r="AD219" s="4" t="str">
        <f>IFERROR(__xludf.DUMMYFUNCTION("GOOGLETRANSLATE(B219,""en"",""cs"")"),"Odhlášení")</f>
        <v>Odhlášení</v>
      </c>
      <c r="AE219" s="4" t="str">
        <f>IFERROR(__xludf.DUMMYFUNCTION("GOOGLETRANSLATE(B219,""en"",""da"")"),"Log ud")</f>
        <v>Log ud</v>
      </c>
      <c r="AF219" s="4" t="str">
        <f>IFERROR(__xludf.DUMMYFUNCTION("GOOGLETRANSLATE(B219,""en"",""el"")"),"Αποσύνδεση")</f>
        <v>Αποσύνδεση</v>
      </c>
      <c r="AG219" s="4" t="str">
        <f>IFERROR(__xludf.DUMMYFUNCTION("GOOGLETRANSLATE(B219,""en"",""et"")"),"Väljalogimine")</f>
        <v>Väljalogimine</v>
      </c>
      <c r="AH219" s="4" t="str">
        <f>IFERROR(__xludf.DUMMYFUNCTION("GOOGLETRANSLATE(B219,""en"",""fi"")"),"Kirjaudu ulos")</f>
        <v>Kirjaudu ulos</v>
      </c>
      <c r="AI219" s="4" t="str">
        <f>IFERROR(__xludf.DUMMYFUNCTION("GOOGLETRANSLATE(B219,""en"",""hr"")"),"Odjava")</f>
        <v>Odjava</v>
      </c>
      <c r="AJ219" s="4" t="str">
        <f>IFERROR(__xludf.DUMMYFUNCTION("GOOGLETRANSLATE(B219,""en"",""hu"")"),"Kijelentkezés")</f>
        <v>Kijelentkezés</v>
      </c>
      <c r="AK219" s="4" t="str">
        <f>IFERROR(__xludf.DUMMYFUNCTION("GOOGLETRANSLATE(B219,""en"",""hy"")"),"Դուրս գալ")</f>
        <v>Դուրս գալ</v>
      </c>
      <c r="AL219" s="4" t="str">
        <f>IFERROR(__xludf.DUMMYFUNCTION("GOOGLETRANSLATE(B219,""en"",""ca"")"),"Tanca la sessió")</f>
        <v>Tanca la sessió</v>
      </c>
      <c r="AM219" s="4" t="str">
        <f>IFERROR(__xludf.DUMMYFUNCTION("GOOGLETRANSLATE(B219,""en"",""nl"")"),"Uitloggen")</f>
        <v>Uitloggen</v>
      </c>
      <c r="AN219" s="4" t="str">
        <f>IFERROR(__xludf.DUMMYFUNCTION("GOOGLETRANSLATE(B219,""en"",""he"")"),"התנתק")</f>
        <v>התנתק</v>
      </c>
      <c r="AO219" s="4" t="str">
        <f>IFERROR(__xludf.DUMMYFUNCTION("GOOGLETRANSLATE(B219,""en"",""is"")"),"Útskrá")</f>
        <v>Útskrá</v>
      </c>
      <c r="AP219" s="4" t="str">
        <f>IFERROR(__xludf.DUMMYFUNCTION("GOOGLETRANSLATE(B219,""en"",""no"")"),"Logg ut")</f>
        <v>Logg ut</v>
      </c>
      <c r="AQ219" s="4" t="str">
        <f>IFERROR(__xludf.DUMMYFUNCTION("GOOGLETRANSLATE(B219,""en"",""fa"")"),"خروج از سیستم")</f>
        <v>خروج از سیستم</v>
      </c>
      <c r="AR219" s="4" t="str">
        <f>IFERROR(__xludf.DUMMYFUNCTION("GOOGLETRANSLATE(B219,""en"",""pl"")"),"Wyloguj")</f>
        <v>Wyloguj</v>
      </c>
      <c r="AS219" s="4" t="str">
        <f>IFERROR(__xludf.DUMMYFUNCTION("GOOGLETRANSLATE(B219,""en"",""sv"")"),"Utloggning")</f>
        <v>Utloggning</v>
      </c>
      <c r="AT219" s="4" t="str">
        <f>IFERROR(__xludf.DUMMYFUNCTION("GOOGLETRANSLATE(B219,""en"",""uk"")"),"Вийти")</f>
        <v>Вийти</v>
      </c>
      <c r="AU219" s="4" t="str">
        <f>IFERROR(__xludf.DUMMYFUNCTION("GOOGLETRANSLATE(B219,""en"",""zu"")"),"Phuma")</f>
        <v>Phuma</v>
      </c>
      <c r="AV219" s="4" t="str">
        <f>IFERROR(__xludf.DUMMYFUNCTION("GOOGLETRANSLATE(B219,""en"",""sr"")"),"Одјава")</f>
        <v>Одјава</v>
      </c>
    </row>
    <row r="220">
      <c r="A220" s="3" t="s">
        <v>467</v>
      </c>
      <c r="B220" s="3" t="s">
        <v>79</v>
      </c>
      <c r="C220" s="4" t="str">
        <f>IFERROR(__xludf.DUMMYFUNCTION("GOOGLETRANSLATE(B220,""en"",""ta"")"),"சேமிக்கவும்")</f>
        <v>சேமிக்கவும்</v>
      </c>
      <c r="D220" s="4" t="str">
        <f>IFERROR(__xludf.DUMMYFUNCTION("GOOGLETRANSLATE(B220,""en"",""hi"")"),"बचाना")</f>
        <v>बचाना</v>
      </c>
      <c r="E220" s="4" t="str">
        <f>IFERROR(__xludf.DUMMYFUNCTION("GOOGLETRANSLATE(B220,""en"",""id"")"),"Menyimpan")</f>
        <v>Menyimpan</v>
      </c>
      <c r="F220" s="4" t="str">
        <f>IFERROR(__xludf.DUMMYFUNCTION("GOOGLETRANSLATE(B220,""en"",""ms"")"),"Jimat")</f>
        <v>Jimat</v>
      </c>
      <c r="G220" s="4" t="str">
        <f>IFERROR(__xludf.DUMMYFUNCTION("GOOGLETRANSLATE(B220,""en"",""de"")"),"Speichern")</f>
        <v>Speichern</v>
      </c>
      <c r="H220" s="4" t="str">
        <f>IFERROR(__xludf.DUMMYFUNCTION("GOOGLETRANSLATE(B220,""en"",""es"")"),"Ahorrar")</f>
        <v>Ahorrar</v>
      </c>
      <c r="I220" s="4" t="str">
        <f>IFERROR(__xludf.DUMMYFUNCTION("GOOGLETRANSLATE(B220,""en"",""fr"")"),"Sauvegarder")</f>
        <v>Sauvegarder</v>
      </c>
      <c r="J220" s="4" t="str">
        <f>IFERROR(__xludf.DUMMYFUNCTION("GOOGLETRANSLATE(B220,""en"",""it"")"),"Salva")</f>
        <v>Salva</v>
      </c>
      <c r="K220" s="4" t="str">
        <f>IFERROR(__xludf.DUMMYFUNCTION("GOOGLETRANSLATE(B220,""en"",""pt"")"),"Salvar")</f>
        <v>Salvar</v>
      </c>
      <c r="L220" s="4" t="str">
        <f>IFERROR(__xludf.DUMMYFUNCTION("GOOGLETRANSLATE(B220,""en"",""ro"")"),"Salva")</f>
        <v>Salva</v>
      </c>
      <c r="M220" s="4" t="str">
        <f>IFERROR(__xludf.DUMMYFUNCTION("GOOGLETRANSLATE(B220,""en"",""vi"")"),"Cứu")</f>
        <v>Cứu</v>
      </c>
      <c r="N220" s="4" t="str">
        <f>IFERROR(__xludf.DUMMYFUNCTION("GOOGLETRANSLATE(B220,""en"",""ru"")"),"Сохранять")</f>
        <v>Сохранять</v>
      </c>
      <c r="O220" s="4" t="str">
        <f>IFERROR(__xludf.DUMMYFUNCTION("GOOGLETRANSLATE(B220,""en"",""tr"")"),"Kaydetmek")</f>
        <v>Kaydetmek</v>
      </c>
      <c r="P220" s="4" t="str">
        <f>IFERROR(__xludf.DUMMYFUNCTION("GOOGLETRANSLATE(B220,""en"",""ar"")"),"يحفظ")</f>
        <v>يحفظ</v>
      </c>
      <c r="Q220" s="4" t="str">
        <f>IFERROR(__xludf.DUMMYFUNCTION("GOOGLETRANSLATE(B220,""en"",""mr"")"),"जतन करा")</f>
        <v>जतन करा</v>
      </c>
      <c r="R220" s="4" t="str">
        <f>IFERROR(__xludf.DUMMYFUNCTION("GOOGLETRANSLATE(B220,""en"",""gu"")"),"સાચવો")</f>
        <v>સાચવો</v>
      </c>
      <c r="S220" s="4" t="str">
        <f>IFERROR(__xludf.DUMMYFUNCTION("GOOGLETRANSLATE(B220,""en"",""bn"")"),"সংরক্ষণ করুন")</f>
        <v>সংরক্ষণ করুন</v>
      </c>
      <c r="T220" s="4" t="str">
        <f>IFERROR(__xludf.DUMMYFUNCTION("GOOGLETRANSLATE(B220,""en"",""pa"")"),"ਸੇਵ ਕਰੋ")</f>
        <v>ਸੇਵ ਕਰੋ</v>
      </c>
      <c r="U220" s="4" t="str">
        <f>IFERROR(__xludf.DUMMYFUNCTION("GOOGLETRANSLATE(B220,""en"",""te"")"),"సేవ్ చేయండి")</f>
        <v>సేవ్ చేయండి</v>
      </c>
      <c r="V220" s="4" t="str">
        <f>IFERROR(__xludf.DUMMYFUNCTION("GOOGLETRANSLATE(B220,""en"",""kn"")"),"ಉಳಿಸಿ")</f>
        <v>ಉಳಿಸಿ</v>
      </c>
      <c r="W220" s="4" t="str">
        <f>IFERROR(__xludf.DUMMYFUNCTION("GOOGLETRANSLATE(B220,""en"",""ml"")"),"സംരക്ഷിക്കുക")</f>
        <v>സംരക്ഷിക്കുക</v>
      </c>
      <c r="X220" s="4" t="str">
        <f>IFERROR(__xludf.DUMMYFUNCTION("GOOGLETRANSLATE(B220,""en"",""th"")"),"บันทึก")</f>
        <v>บันทึก</v>
      </c>
      <c r="Y220" s="4" t="str">
        <f>IFERROR(__xludf.DUMMYFUNCTION("GOOGLETRANSLATE(B220,""en"",""ko"")"),"구하다")</f>
        <v>구하다</v>
      </c>
      <c r="Z220" s="4" t="str">
        <f>IFERROR(__xludf.DUMMYFUNCTION("GOOGLETRANSLATE(B220,""en"",""zh"")"),"节省")</f>
        <v>节省</v>
      </c>
      <c r="AA220" s="4" t="str">
        <f>IFERROR(__xludf.DUMMYFUNCTION("GOOGLETRANSLATE(B220,""en"",""zh-TW"")"),"節省")</f>
        <v>節省</v>
      </c>
      <c r="AB220" s="4" t="str">
        <f>IFERROR(__xludf.DUMMYFUNCTION("GOOGLETRANSLATE(B220,""en"",""ja"")"),"保存")</f>
        <v>保存</v>
      </c>
      <c r="AC220" s="4" t="str">
        <f>IFERROR(__xludf.DUMMYFUNCTION("GOOGLETRANSLATE(B220,""en"",""bg"")"),"Запазване")</f>
        <v>Запазване</v>
      </c>
      <c r="AD220" s="4" t="str">
        <f>IFERROR(__xludf.DUMMYFUNCTION("GOOGLETRANSLATE(B220,""en"",""cs"")"),"Uložit")</f>
        <v>Uložit</v>
      </c>
      <c r="AE220" s="4" t="str">
        <f>IFERROR(__xludf.DUMMYFUNCTION("GOOGLETRANSLATE(B220,""en"",""da"")"),"Spare")</f>
        <v>Spare</v>
      </c>
      <c r="AF220" s="4" t="str">
        <f>IFERROR(__xludf.DUMMYFUNCTION("GOOGLETRANSLATE(B220,""en"",""el"")"),"Εκτός")</f>
        <v>Εκτός</v>
      </c>
      <c r="AG220" s="4" t="str">
        <f>IFERROR(__xludf.DUMMYFUNCTION("GOOGLETRANSLATE(B220,""en"",""et"")"),"Salvesta")</f>
        <v>Salvesta</v>
      </c>
      <c r="AH220" s="4" t="str">
        <f>IFERROR(__xludf.DUMMYFUNCTION("GOOGLETRANSLATE(B220,""en"",""fi"")"),"Tallentaa")</f>
        <v>Tallentaa</v>
      </c>
      <c r="AI220" s="4" t="str">
        <f>IFERROR(__xludf.DUMMYFUNCTION("GOOGLETRANSLATE(B220,""en"",""hr"")"),"Uštedjeti")</f>
        <v>Uštedjeti</v>
      </c>
      <c r="AJ220" s="4" t="str">
        <f>IFERROR(__xludf.DUMMYFUNCTION("GOOGLETRANSLATE(B220,""en"",""hu"")"),"Megtakarítás")</f>
        <v>Megtakarítás</v>
      </c>
      <c r="AK220" s="4" t="str">
        <f>IFERROR(__xludf.DUMMYFUNCTION("GOOGLETRANSLATE(B220,""en"",""hy"")"),"Պահպանել")</f>
        <v>Պահպանել</v>
      </c>
      <c r="AL220" s="4" t="str">
        <f>IFERROR(__xludf.DUMMYFUNCTION("GOOGLETRANSLATE(B220,""en"",""ca"")"),"Desa")</f>
        <v>Desa</v>
      </c>
      <c r="AM220" s="4" t="str">
        <f>IFERROR(__xludf.DUMMYFUNCTION("GOOGLETRANSLATE(B220,""en"",""nl"")"),"Redden")</f>
        <v>Redden</v>
      </c>
      <c r="AN220" s="4" t="str">
        <f>IFERROR(__xludf.DUMMYFUNCTION("GOOGLETRANSLATE(B220,""en"",""he"")"),"לְהַצִיל")</f>
        <v>לְהַצִיל</v>
      </c>
      <c r="AO220" s="4" t="str">
        <f>IFERROR(__xludf.DUMMYFUNCTION("GOOGLETRANSLATE(B220,""en"",""is"")"),"Vista")</f>
        <v>Vista</v>
      </c>
      <c r="AP220" s="4" t="str">
        <f>IFERROR(__xludf.DUMMYFUNCTION("GOOGLETRANSLATE(B220,""en"",""no"")"),"Spare")</f>
        <v>Spare</v>
      </c>
      <c r="AQ220" s="4" t="str">
        <f>IFERROR(__xludf.DUMMYFUNCTION("GOOGLETRANSLATE(B220,""en"",""fa"")"),"ذخیره کنید")</f>
        <v>ذخیره کنید</v>
      </c>
      <c r="AR220" s="4" t="str">
        <f>IFERROR(__xludf.DUMMYFUNCTION("GOOGLETRANSLATE(B220,""en"",""pl"")"),"Ratować")</f>
        <v>Ratować</v>
      </c>
      <c r="AS220" s="4" t="str">
        <f>IFERROR(__xludf.DUMMYFUNCTION("GOOGLETRANSLATE(B220,""en"",""sv"")"),"Spara")</f>
        <v>Spara</v>
      </c>
      <c r="AT220" s="4" t="str">
        <f>IFERROR(__xludf.DUMMYFUNCTION("GOOGLETRANSLATE(B220,""en"",""uk"")"),"зберегти")</f>
        <v>зберегти</v>
      </c>
      <c r="AU220" s="4" t="str">
        <f>IFERROR(__xludf.DUMMYFUNCTION("GOOGLETRANSLATE(B220,""en"",""zu"")"),"Londoloza")</f>
        <v>Londoloza</v>
      </c>
      <c r="AV220" s="4" t="str">
        <f>IFERROR(__xludf.DUMMYFUNCTION("GOOGLETRANSLATE(B220,""en"",""sr"")"),"Сачувај")</f>
        <v>Сачувај</v>
      </c>
    </row>
    <row r="221">
      <c r="A221" s="3" t="s">
        <v>468</v>
      </c>
      <c r="B221" s="3" t="s">
        <v>469</v>
      </c>
      <c r="C221" s="4" t="str">
        <f>IFERROR(__xludf.DUMMYFUNCTION("GOOGLETRANSLATE(B221,""en"",""ta"")"),"மொழி அமைப்புகள் வெற்றிகரமாக புதுப்பிக்கப்பட்டன")</f>
        <v>மொழி அமைப்புகள் வெற்றிகரமாக புதுப்பிக்கப்பட்டன</v>
      </c>
      <c r="D221" s="4" t="str">
        <f>IFERROR(__xludf.DUMMYFUNCTION("GOOGLETRANSLATE(B221,""en"",""hi"")"),"भाषा सेटिंग सफलतापूर्वक अपडेट की गई")</f>
        <v>भाषा सेटिंग सफलतापूर्वक अपडेट की गई</v>
      </c>
      <c r="E221" s="4" t="str">
        <f>IFERROR(__xludf.DUMMYFUNCTION("GOOGLETRANSLATE(B221,""en"",""id"")"),"Pengaturan bahasa berhasil diperbarui")</f>
        <v>Pengaturan bahasa berhasil diperbarui</v>
      </c>
      <c r="F221" s="4" t="str">
        <f>IFERROR(__xludf.DUMMYFUNCTION("GOOGLETRANSLATE(B221,""en"",""ms"")"),"Tetapan bahasa berjaya dikemas kini")</f>
        <v>Tetapan bahasa berjaya dikemas kini</v>
      </c>
      <c r="G221" s="4" t="str">
        <f>IFERROR(__xludf.DUMMYFUNCTION("GOOGLETRANSLATE(B221,""en"",""de"")"),"Spracheinstellungen erfolgreich aktualisiert")</f>
        <v>Spracheinstellungen erfolgreich aktualisiert</v>
      </c>
      <c r="H221" s="4" t="str">
        <f>IFERROR(__xludf.DUMMYFUNCTION("GOOGLETRANSLATE(B221,""en"",""es"")"),"La configuración del idioma se actualizó correctamente")</f>
        <v>La configuración del idioma se actualizó correctamente</v>
      </c>
      <c r="I221" s="4" t="str">
        <f>IFERROR(__xludf.DUMMYFUNCTION("GOOGLETRANSLATE(B221,""en"",""fr"")"),"Les paramètres de langue ont été mis à jour avec succès")</f>
        <v>Les paramètres de langue ont été mis à jour avec succès</v>
      </c>
      <c r="J221" s="4" t="str">
        <f>IFERROR(__xludf.DUMMYFUNCTION("GOOGLETRANSLATE(B221,""en"",""it"")"),"Impostazioni della lingua aggiornate correttamente")</f>
        <v>Impostazioni della lingua aggiornate correttamente</v>
      </c>
      <c r="K221" s="4" t="str">
        <f>IFERROR(__xludf.DUMMYFUNCTION("GOOGLETRANSLATE(B221,""en"",""pt"")"),"Configurações de idioma atualizadas com sucesso")</f>
        <v>Configurações de idioma atualizadas com sucesso</v>
      </c>
      <c r="L221" s="4" t="str">
        <f>IFERROR(__xludf.DUMMYFUNCTION("GOOGLETRANSLATE(B221,""en"",""ro"")"),"Setările de limbă au fost actualizate cu succes")</f>
        <v>Setările de limbă au fost actualizate cu succes</v>
      </c>
      <c r="M221" s="4" t="str">
        <f>IFERROR(__xludf.DUMMYFUNCTION("GOOGLETRANSLATE(B221,""en"",""vi"")"),"Cài đặt ngôn ngữ đã được cập nhật thành công")</f>
        <v>Cài đặt ngôn ngữ đã được cập nhật thành công</v>
      </c>
      <c r="N221" s="4" t="str">
        <f>IFERROR(__xludf.DUMMYFUNCTION("GOOGLETRANSLATE(B221,""en"",""ru"")"),"Настройки языка успешно обновлены")</f>
        <v>Настройки языка успешно обновлены</v>
      </c>
      <c r="O221" s="4" t="str">
        <f>IFERROR(__xludf.DUMMYFUNCTION("GOOGLETRANSLATE(B221,""en"",""tr"")"),"Dil ayarları başarıyla güncellendi")</f>
        <v>Dil ayarları başarıyla güncellendi</v>
      </c>
      <c r="P221" s="4" t="str">
        <f>IFERROR(__xludf.DUMMYFUNCTION("GOOGLETRANSLATE(B221,""en"",""ar"")"),"تم تحديث إعدادات اللغة بنجاح")</f>
        <v>تم تحديث إعدادات اللغة بنجاح</v>
      </c>
      <c r="Q221" s="4" t="str">
        <f>IFERROR(__xludf.DUMMYFUNCTION("GOOGLETRANSLATE(B221,""en"",""mr"")"),"भाषा सेटिंग्ज यशस्वीरीत्या अपडेट केल्या")</f>
        <v>भाषा सेटिंग्ज यशस्वीरीत्या अपडेट केल्या</v>
      </c>
      <c r="R221" s="4" t="str">
        <f>IFERROR(__xludf.DUMMYFUNCTION("GOOGLETRANSLATE(B221,""en"",""gu"")"),"ભાષા સેટિંગ્સ સફળતાપૂર્વક અપડેટ થઈ")</f>
        <v>ભાષા સેટિંગ્સ સફળતાપૂર્વક અપડેટ થઈ</v>
      </c>
      <c r="S221" s="4" t="str">
        <f>IFERROR(__xludf.DUMMYFUNCTION("GOOGLETRANSLATE(B221,""en"",""bn"")"),"ভাষা সেটিংস সফলভাবে আপডেট করা হয়েছে৷")</f>
        <v>ভাষা সেটিংস সফলভাবে আপডেট করা হয়েছে৷</v>
      </c>
      <c r="T221" s="4" t="str">
        <f>IFERROR(__xludf.DUMMYFUNCTION("GOOGLETRANSLATE(B221,""en"",""pa"")"),"ਭਾਸ਼ਾ ਸੈਟਿੰਗਾਂ ਸਫਲਤਾਪੂਰਵਕ ਅੱਪਡੇਟ ਕੀਤੀਆਂ ਗਈਆਂ")</f>
        <v>ਭਾਸ਼ਾ ਸੈਟਿੰਗਾਂ ਸਫਲਤਾਪੂਰਵਕ ਅੱਪਡੇਟ ਕੀਤੀਆਂ ਗਈਆਂ</v>
      </c>
      <c r="U221" s="4" t="str">
        <f>IFERROR(__xludf.DUMMYFUNCTION("GOOGLETRANSLATE(B221,""en"",""te"")"),"భాషా సెట్టింగ్‌లు విజయవంతంగా నవీకరించబడ్డాయి")</f>
        <v>భాషా సెట్టింగ్‌లు విజయవంతంగా నవీకరించబడ్డాయి</v>
      </c>
      <c r="V221" s="4" t="str">
        <f>IFERROR(__xludf.DUMMYFUNCTION("GOOGLETRANSLATE(B221,""en"",""kn"")"),"ಭಾಷೆಯ ಸೆಟ್ಟಿಂಗ್‌ಗಳನ್ನು ಯಶಸ್ವಿಯಾಗಿ ನವೀಕರಿಸಲಾಗಿದೆ")</f>
        <v>ಭಾಷೆಯ ಸೆಟ್ಟಿಂಗ್‌ಗಳನ್ನು ಯಶಸ್ವಿಯಾಗಿ ನವೀಕರಿಸಲಾಗಿದೆ</v>
      </c>
      <c r="W221" s="4" t="str">
        <f>IFERROR(__xludf.DUMMYFUNCTION("GOOGLETRANSLATE(B221,""en"",""ml"")"),"ഭാഷാ ക്രമീകരണങ്ങൾ വിജയകരമായി അപ്ഡേറ്റ് ചെയ്തു")</f>
        <v>ഭാഷാ ക്രമീകരണങ്ങൾ വിജയകരമായി അപ്ഡേറ്റ് ചെയ്തു</v>
      </c>
      <c r="X221" s="4" t="str">
        <f>IFERROR(__xludf.DUMMYFUNCTION("GOOGLETRANSLATE(B221,""en"",""th"")"),"อัปเดตการตั้งค่าภาษาเรียบร้อยแล้ว")</f>
        <v>อัปเดตการตั้งค่าภาษาเรียบร้อยแล้ว</v>
      </c>
      <c r="Y221" s="4" t="str">
        <f>IFERROR(__xludf.DUMMYFUNCTION("GOOGLETRANSLATE(B221,""en"",""ko"")"),"언어 설정이 성공적으로 업데이트되었습니다.")</f>
        <v>언어 설정이 성공적으로 업데이트되었습니다.</v>
      </c>
      <c r="Z221" s="4" t="str">
        <f>IFERROR(__xludf.DUMMYFUNCTION("GOOGLETRANSLATE(B221,""en"",""zh"")"),"语言设置更新成功")</f>
        <v>语言设置更新成功</v>
      </c>
      <c r="AA221" s="4" t="str">
        <f>IFERROR(__xludf.DUMMYFUNCTION("GOOGLETRANSLATE(B221,""en"",""zh-TW"")"),"語言設定更新成功")</f>
        <v>語言設定更新成功</v>
      </c>
      <c r="AB221" s="4" t="str">
        <f>IFERROR(__xludf.DUMMYFUNCTION("GOOGLETRANSLATE(B221,""en"",""ja"")"),"言語設定が正常に更新されました")</f>
        <v>言語設定が正常に更新されました</v>
      </c>
      <c r="AC221" s="4" t="str">
        <f>IFERROR(__xludf.DUMMYFUNCTION("GOOGLETRANSLATE(B221,""en"",""bg"")"),"Езиковите настройки са актуализирани успешно")</f>
        <v>Езиковите настройки са актуализирани успешно</v>
      </c>
      <c r="AD221" s="4" t="str">
        <f>IFERROR(__xludf.DUMMYFUNCTION("GOOGLETRANSLATE(B221,""en"",""cs"")"),"Jazyková nastavení byla úspěšně aktualizována")</f>
        <v>Jazyková nastavení byla úspěšně aktualizována</v>
      </c>
      <c r="AE221" s="4" t="str">
        <f>IFERROR(__xludf.DUMMYFUNCTION("GOOGLETRANSLATE(B221,""en"",""da"")"),"Sprogindstillingerne blev opdateret")</f>
        <v>Sprogindstillingerne blev opdateret</v>
      </c>
      <c r="AF221" s="4" t="str">
        <f>IFERROR(__xludf.DUMMYFUNCTION("GOOGLETRANSLATE(B221,""en"",""el"")"),"Οι ρυθμίσεις γλώσσας ενημερώθηκαν με επιτυχία")</f>
        <v>Οι ρυθμίσεις γλώσσας ενημερώθηκαν με επιτυχία</v>
      </c>
      <c r="AG221" s="4" t="str">
        <f>IFERROR(__xludf.DUMMYFUNCTION("GOOGLETRANSLATE(B221,""en"",""et"")"),"Keeleseadete värskendamine õnnestus")</f>
        <v>Keeleseadete värskendamine õnnestus</v>
      </c>
      <c r="AH221" s="4" t="str">
        <f>IFERROR(__xludf.DUMMYFUNCTION("GOOGLETRANSLATE(B221,""en"",""fi"")"),"Kieliasetusten päivitys onnistui")</f>
        <v>Kieliasetusten päivitys onnistui</v>
      </c>
      <c r="AI221" s="4" t="str">
        <f>IFERROR(__xludf.DUMMYFUNCTION("GOOGLETRANSLATE(B221,""en"",""hr"")"),"Postavke jezika uspješno ažurirane")</f>
        <v>Postavke jezika uspješno ažurirane</v>
      </c>
      <c r="AJ221" s="4" t="str">
        <f>IFERROR(__xludf.DUMMYFUNCTION("GOOGLETRANSLATE(B221,""en"",""hu"")"),"A nyelvi beállítások sikeresen frissítve")</f>
        <v>A nyelvi beállítások sikeresen frissítve</v>
      </c>
      <c r="AK221" s="4" t="str">
        <f>IFERROR(__xludf.DUMMYFUNCTION("GOOGLETRANSLATE(B221,""en"",""hy"")"),"Լեզվի կարգավորումները հաջողությամբ թարմացվեցին")</f>
        <v>Լեզվի կարգավորումները հաջողությամբ թարմացվեցին</v>
      </c>
      <c r="AL221" s="4" t="str">
        <f>IFERROR(__xludf.DUMMYFUNCTION("GOOGLETRANSLATE(B221,""en"",""ca"")"),"La configuració d'idioma s'ha actualitzat correctament")</f>
        <v>La configuració d'idioma s'ha actualitzat correctament</v>
      </c>
      <c r="AM221" s="4" t="str">
        <f>IFERROR(__xludf.DUMMYFUNCTION("GOOGLETRANSLATE(B221,""en"",""nl"")"),"Taalinstellingen succesvol bijgewerkt")</f>
        <v>Taalinstellingen succesvol bijgewerkt</v>
      </c>
      <c r="AN221" s="4" t="str">
        <f>IFERROR(__xludf.DUMMYFUNCTION("GOOGLETRANSLATE(B221,""en"",""he"")"),"הגדרות השפה עודכנו בהצלחה")</f>
        <v>הגדרות השפה עודכנו בהצלחה</v>
      </c>
      <c r="AO221" s="4" t="str">
        <f>IFERROR(__xludf.DUMMYFUNCTION("GOOGLETRANSLATE(B221,""en"",""is"")"),"Tungumálastillingar uppfærðar")</f>
        <v>Tungumálastillingar uppfærðar</v>
      </c>
      <c r="AP221" s="4" t="str">
        <f>IFERROR(__xludf.DUMMYFUNCTION("GOOGLETRANSLATE(B221,""en"",""no"")"),"Språkinnstillingene er oppdatert")</f>
        <v>Språkinnstillingene er oppdatert</v>
      </c>
      <c r="AQ221" s="4" t="str">
        <f>IFERROR(__xludf.DUMMYFUNCTION("GOOGLETRANSLATE(B221,""en"",""fa"")"),"تنظیمات زبان با موفقیت به روز شد")</f>
        <v>تنظیمات زبان با موفقیت به روز شد</v>
      </c>
      <c r="AR221" s="4" t="str">
        <f>IFERROR(__xludf.DUMMYFUNCTION("GOOGLETRANSLATE(B221,""en"",""pl"")"),"Ustawienia językowe zostały pomyślnie zaktualizowane")</f>
        <v>Ustawienia językowe zostały pomyślnie zaktualizowane</v>
      </c>
      <c r="AS221" s="4" t="str">
        <f>IFERROR(__xludf.DUMMYFUNCTION("GOOGLETRANSLATE(B221,""en"",""sv"")"),"Språkinställningarna har uppdaterats")</f>
        <v>Språkinställningarna har uppdaterats</v>
      </c>
      <c r="AT221" s="4" t="str">
        <f>IFERROR(__xludf.DUMMYFUNCTION("GOOGLETRANSLATE(B221,""en"",""uk"")"),"Налаштування мови успішно оновлено")</f>
        <v>Налаштування мови успішно оновлено</v>
      </c>
      <c r="AU221" s="4" t="str">
        <f>IFERROR(__xludf.DUMMYFUNCTION("GOOGLETRANSLATE(B221,""en"",""zu"")"),"Izilungiselelo zolimi zibuyekezwe ngempumelelo")</f>
        <v>Izilungiselelo zolimi zibuyekezwe ngempumelelo</v>
      </c>
      <c r="AV221" s="4" t="str">
        <f>IFERROR(__xludf.DUMMYFUNCTION("GOOGLETRANSLATE(B221,""en"",""sr"")"),"Подешавања језика су успешно ажурирана")</f>
        <v>Подешавања језика су успешно ажурирана</v>
      </c>
    </row>
    <row r="222">
      <c r="A222" s="3" t="s">
        <v>470</v>
      </c>
      <c r="B222" s="3" t="s">
        <v>471</v>
      </c>
      <c r="C222" s="4" t="str">
        <f>IFERROR(__xludf.DUMMYFUNCTION("GOOGLETRANSLATE(B222,""en"",""ta"")"),"உங்கள் வழியைத் திட்டமிடுங்கள், ஒரு குறிப்பிட்ட இலக்கை அடைய முன்னேற்றத்தைக் கண்காணிக்கவும் மற்றும் நிலப்பரப்பு மற்றும் வானிலை கண்காணிக்கவும்.")</f>
        <v>உங்கள் வழியைத் திட்டமிடுங்கள், ஒரு குறிப்பிட்ட இலக்கை அடைய முன்னேற்றத்தைக் கண்காணிக்கவும் மற்றும் நிலப்பரப்பு மற்றும் வானிலை கண்காணிக்கவும்.</v>
      </c>
      <c r="D222" s="4" t="str">
        <f>IFERROR(__xludf.DUMMYFUNCTION("GOOGLETRANSLATE(B222,""en"",""hi"")"),"अपने मार्ग की योजना बनाएं, निर्धारित लक्ष्य की ओर प्रगति पर नज़र रखें, तथा भूभाग और मौसम पर नज़र रखें।")</f>
        <v>अपने मार्ग की योजना बनाएं, निर्धारित लक्ष्य की ओर प्रगति पर नज़र रखें, तथा भूभाग और मौसम पर नज़र रखें।</v>
      </c>
      <c r="E222" s="4" t="str">
        <f>IFERROR(__xludf.DUMMYFUNCTION("GOOGLETRANSLATE(B222,""en"",""id"")"),"Rencanakan rute Anda, lacak kemajuan ke tujuan yang ditetapkan, dan pantau medan dan cuaca.")</f>
        <v>Rencanakan rute Anda, lacak kemajuan ke tujuan yang ditetapkan, dan pantau medan dan cuaca.</v>
      </c>
      <c r="F222" s="4" t="str">
        <f>IFERROR(__xludf.DUMMYFUNCTION("GOOGLETRANSLATE(B222,""en"",""ms"")"),"Rancang laluan anda, jejak kemajuan ke matlamat yang ditetapkan dan pantau rupa bumi dan cuaca.")</f>
        <v>Rancang laluan anda, jejak kemajuan ke matlamat yang ditetapkan dan pantau rupa bumi dan cuaca.</v>
      </c>
      <c r="G222" s="4" t="str">
        <f>IFERROR(__xludf.DUMMYFUNCTION("GOOGLETRANSLATE(B222,""en"",""de"")"),"Planen Sie Ihre Route, verfolgen Sie Ihren Fortschritt bis zu einem festgelegten Ziel und überwachen Sie Gelände und Wetter.")</f>
        <v>Planen Sie Ihre Route, verfolgen Sie Ihren Fortschritt bis zu einem festgelegten Ziel und überwachen Sie Gelände und Wetter.</v>
      </c>
      <c r="H222" s="4" t="str">
        <f>IFERROR(__xludf.DUMMYFUNCTION("GOOGLETRANSLATE(B222,""en"",""es"")"),"Planifique su ruta, realice un seguimiento del progreso hacia un objetivo establecido y controle el terreno y el clima.")</f>
        <v>Planifique su ruta, realice un seguimiento del progreso hacia un objetivo establecido y controle el terreno y el clima.</v>
      </c>
      <c r="I222" s="4" t="str">
        <f>IFERROR(__xludf.DUMMYFUNCTION("GOOGLETRANSLATE(B222,""en"",""fr"")"),"Planifiez votre itinéraire, suivez votre progression vers un objectif défini et surveillez le terrain et la météo.")</f>
        <v>Planifiez votre itinéraire, suivez votre progression vers un objectif défini et surveillez le terrain et la météo.</v>
      </c>
      <c r="J222" s="4" t="str">
        <f>IFERROR(__xludf.DUMMYFUNCTION("GOOGLETRANSLATE(B222,""en"",""it"")"),"Pianifica il tuo percorso, monitora i progressi verso un obiettivo prefissato e monitora il terreno e le condizioni meteorologiche.")</f>
        <v>Pianifica il tuo percorso, monitora i progressi verso un obiettivo prefissato e monitora il terreno e le condizioni meteorologiche.</v>
      </c>
      <c r="K222" s="4" t="str">
        <f>IFERROR(__xludf.DUMMYFUNCTION("GOOGLETRANSLATE(B222,""en"",""pt"")"),"Planeje sua rota, acompanhe o progresso até uma meta definida e monitore o terreno e o clima.")</f>
        <v>Planeje sua rota, acompanhe o progresso até uma meta definida e monitore o terreno e o clima.</v>
      </c>
      <c r="L222" s="4" t="str">
        <f>IFERROR(__xludf.DUMMYFUNCTION("GOOGLETRANSLATE(B222,""en"",""ro"")"),"Planificați-vă traseul, urmăriți progresul către un obiectiv stabilit și monitorizați terenul și vremea.")</f>
        <v>Planificați-vă traseul, urmăriți progresul către un obiectiv stabilit și monitorizați terenul și vremea.</v>
      </c>
      <c r="M222" s="4" t="str">
        <f>IFERROR(__xludf.DUMMYFUNCTION("GOOGLETRANSLATE(B222,""en"",""vi"")"),"Lên kế hoạch cho lộ trình, theo dõi tiến độ đạt mục tiêu đã đề ra và theo dõi địa hình cũng như thời tiết.")</f>
        <v>Lên kế hoạch cho lộ trình, theo dõi tiến độ đạt mục tiêu đã đề ra và theo dõi địa hình cũng như thời tiết.</v>
      </c>
      <c r="N222" s="4" t="str">
        <f>IFERROR(__xludf.DUMMYFUNCTION("GOOGLETRANSLATE(B222,""en"",""ru"")"),"Планируйте свой маршрут, отслеживайте прогресс в достижении поставленной цели, следите за рельефом местности и погодой.")</f>
        <v>Планируйте свой маршрут, отслеживайте прогресс в достижении поставленной цели, следите за рельефом местности и погодой.</v>
      </c>
      <c r="O222" s="4" t="str">
        <f>IFERROR(__xludf.DUMMYFUNCTION("GOOGLETRANSLATE(B222,""en"",""tr"")"),"Rotanızı planlayın, belirlenen hedefe doğru ilerlemenizi takip edin, araziyi ve havayı izleyin.")</f>
        <v>Rotanızı planlayın, belirlenen hedefe doğru ilerlemenizi takip edin, araziyi ve havayı izleyin.</v>
      </c>
      <c r="P222" s="4" t="str">
        <f>IFERROR(__xludf.DUMMYFUNCTION("GOOGLETRANSLATE(B222,""en"",""ar"")"),"خطط لمسارك، وتتبع التقدم نحو هدف محدد، وراقب التضاريس والطقس.")</f>
        <v>خطط لمسارك، وتتبع التقدم نحو هدف محدد، وراقب التضاريس والطقس.</v>
      </c>
      <c r="Q222" s="4" t="str">
        <f>IFERROR(__xludf.DUMMYFUNCTION("GOOGLETRANSLATE(B222,""en"",""mr"")"),"तुमच्या मार्गाची योजना करा, निश्चित ध्येयापर्यंत प्रगतीचा मागोवा घ्या आणि भूप्रदेश आणि हवामानाचे निरीक्षण करा.")</f>
        <v>तुमच्या मार्गाची योजना करा, निश्चित ध्येयापर्यंत प्रगतीचा मागोवा घ्या आणि भूप्रदेश आणि हवामानाचे निरीक्षण करा.</v>
      </c>
      <c r="R222" s="4" t="str">
        <f>IFERROR(__xludf.DUMMYFUNCTION("GOOGLETRANSLATE(B222,""en"",""gu"")"),"તમારા રૂટની યોજના બનાવો, નિર્ધારિત ધ્યેય સુધી પ્રગતિને ટ્રૅક કરો અને ભૂપ્રદેશ અને હવામાનનું નિરીક્ષણ કરો.")</f>
        <v>તમારા રૂટની યોજના બનાવો, નિર્ધારિત ધ્યેય સુધી પ્રગતિને ટ્રૅક કરો અને ભૂપ્રદેશ અને હવામાનનું નિરીક્ષણ કરો.</v>
      </c>
      <c r="S222" s="4" t="str">
        <f>IFERROR(__xludf.DUMMYFUNCTION("GOOGLETRANSLATE(B222,""en"",""bn"")"),"আপনার রুট পরিকল্পনা করুন, একটি নির্দিষ্ট লক্ষ্যে অগ্রগতি ট্র্যাক করুন এবং ভূখণ্ড এবং আবহাওয়া পর্যবেক্ষণ করুন।")</f>
        <v>আপনার রুট পরিকল্পনা করুন, একটি নির্দিষ্ট লক্ষ্যে অগ্রগতি ট্র্যাক করুন এবং ভূখণ্ড এবং আবহাওয়া পর্যবেক্ষণ করুন।</v>
      </c>
      <c r="T222" s="4" t="str">
        <f>IFERROR(__xludf.DUMMYFUNCTION("GOOGLETRANSLATE(B222,""en"",""pa"")"),"ਆਪਣੇ ਰੂਟ ਦੀ ਯੋਜਨਾ ਬਣਾਓ, ਇੱਕ ਨਿਰਧਾਰਤ ਟੀਚੇ ਤੱਕ ਪ੍ਰਗਤੀ ਨੂੰ ਟਰੈਕ ਕਰੋ, ਅਤੇ ਭੂਮੀ ਅਤੇ ਮੌਸਮ ਦੀ ਨਿਗਰਾਨੀ ਕਰੋ।")</f>
        <v>ਆਪਣੇ ਰੂਟ ਦੀ ਯੋਜਨਾ ਬਣਾਓ, ਇੱਕ ਨਿਰਧਾਰਤ ਟੀਚੇ ਤੱਕ ਪ੍ਰਗਤੀ ਨੂੰ ਟਰੈਕ ਕਰੋ, ਅਤੇ ਭੂਮੀ ਅਤੇ ਮੌਸਮ ਦੀ ਨਿਗਰਾਨੀ ਕਰੋ।</v>
      </c>
      <c r="U222" s="4" t="str">
        <f>IFERROR(__xludf.DUMMYFUNCTION("GOOGLETRANSLATE(B222,""en"",""te"")"),"మీ మార్గాన్ని ప్లాన్ చేయండి, నిర్ణీత లక్ష్యానికి పురోగతిని ట్రాక్ చేయండి మరియు భూభాగం మరియు వాతావరణాన్ని పర్యవేక్షించండి.")</f>
        <v>మీ మార్గాన్ని ప్లాన్ చేయండి, నిర్ణీత లక్ష్యానికి పురోగతిని ట్రాక్ చేయండి మరియు భూభాగం మరియు వాతావరణాన్ని పర్యవేక్షించండి.</v>
      </c>
      <c r="V222" s="4" t="str">
        <f>IFERROR(__xludf.DUMMYFUNCTION("GOOGLETRANSLATE(B222,""en"",""kn"")"),"ನಿಮ್ಮ ಮಾರ್ಗವನ್ನು ಯೋಜಿಸಿ, ನಿಗದಿತ ಗುರಿಯತ್ತ ಪ್ರಗತಿಯನ್ನು ಟ್ರ್ಯಾಕ್ ಮಾಡಿ ಮತ್ತು ಭೂಪ್ರದೇಶ ಮತ್ತು ಹವಾಮಾನವನ್ನು ಮೇಲ್ವಿಚಾರಣೆ ಮಾಡಿ.")</f>
        <v>ನಿಮ್ಮ ಮಾರ್ಗವನ್ನು ಯೋಜಿಸಿ, ನಿಗದಿತ ಗುರಿಯತ್ತ ಪ್ರಗತಿಯನ್ನು ಟ್ರ್ಯಾಕ್ ಮಾಡಿ ಮತ್ತು ಭೂಪ್ರದೇಶ ಮತ್ತು ಹವಾಮಾನವನ್ನು ಮೇಲ್ವಿಚಾರಣೆ ಮಾಡಿ.</v>
      </c>
      <c r="W222" s="4" t="str">
        <f>IFERROR(__xludf.DUMMYFUNCTION("GOOGLETRANSLATE(B222,""en"",""ml"")"),"നിങ്ങളുടെ റൂട്ട് ആസൂത്രണം ചെയ്യുക, ഒരു നിശ്ചിത ലക്ഷ്യത്തിലേക്കുള്ള പുരോഗതി ട്രാക്കുചെയ്യുക, ഭൂപ്രദേശവും കാലാവസ്ഥയും നിരീക്ഷിക്കുക.")</f>
        <v>നിങ്ങളുടെ റൂട്ട് ആസൂത്രണം ചെയ്യുക, ഒരു നിശ്ചിത ലക്ഷ്യത്തിലേക്കുള്ള പുരോഗതി ട്രാക്കുചെയ്യുക, ഭൂപ്രദേശവും കാലാവസ്ഥയും നിരീക്ഷിക്കുക.</v>
      </c>
      <c r="X222" s="4" t="str">
        <f>IFERROR(__xludf.DUMMYFUNCTION("GOOGLETRANSLATE(B222,""en"",""th"")"),"วางแผนเส้นทางของคุณ ติดตามความคืบหน้าไปยังเป้าหมายที่กำหนด และตรวจสอบภูมิประเทศและสภาพอากาศ")</f>
        <v>วางแผนเส้นทางของคุณ ติดตามความคืบหน้าไปยังเป้าหมายที่กำหนด และตรวจสอบภูมิประเทศและสภาพอากาศ</v>
      </c>
      <c r="Y222" s="4" t="str">
        <f>IFERROR(__xludf.DUMMYFUNCTION("GOOGLETRANSLATE(B222,""en"",""ko"")"),"경로를 계획하고, 목표 달성까지의 진행 상황을 추적하고, 지형과 날씨를 모니터링하세요.")</f>
        <v>경로를 계획하고, 목표 달성까지의 진행 상황을 추적하고, 지형과 날씨를 모니터링하세요.</v>
      </c>
      <c r="Z222" s="4" t="str">
        <f>IFERROR(__xludf.DUMMYFUNCTION("GOOGLETRANSLATE(B222,""en"",""zh"")"),"规划您的路线，跟踪设定目标的进度，并监控地形和天气。")</f>
        <v>规划您的路线，跟踪设定目标的进度，并监控地形和天气。</v>
      </c>
      <c r="AA222" s="4" t="str">
        <f>IFERROR(__xludf.DUMMYFUNCTION("GOOGLETRANSLATE(B222,""en"",""zh-TW"")"),"規劃您的路線，追蹤設定目標的進度，並監控地形和天氣。")</f>
        <v>規劃您的路線，追蹤設定目標的進度，並監控地形和天氣。</v>
      </c>
      <c r="AB222" s="4" t="str">
        <f>IFERROR(__xludf.DUMMYFUNCTION("GOOGLETRANSLATE(B222,""en"",""ja"")"),"ルートを計画し、設定された目標までの進捗状況を追跡し、地形と天気を監視します。")</f>
        <v>ルートを計画し、設定された目標までの進捗状況を追跡し、地形と天気を監視します。</v>
      </c>
      <c r="AC222" s="4" t="str">
        <f>IFERROR(__xludf.DUMMYFUNCTION("GOOGLETRANSLATE(B222,""en"",""bg"")"),"Планирайте маршрута си, проследявайте напредъка към поставена цел и наблюдавайте терена и времето.")</f>
        <v>Планирайте маршрута си, проследявайте напредъка към поставена цел и наблюдавайте терена и времето.</v>
      </c>
      <c r="AD222" s="4" t="str">
        <f>IFERROR(__xludf.DUMMYFUNCTION("GOOGLETRANSLATE(B222,""en"",""cs"")"),"Naplánujte si trasu, sledujte pokrok ke stanovenému cíli a sledujte terén a počasí.")</f>
        <v>Naplánujte si trasu, sledujte pokrok ke stanovenému cíli a sledujte terén a počasí.</v>
      </c>
      <c r="AE222" s="4" t="str">
        <f>IFERROR(__xludf.DUMMYFUNCTION("GOOGLETRANSLATE(B222,""en"",""da"")"),"Planlæg din rute, spor fremskridt til et fastsat mål, og overvåg terræn og vejr.")</f>
        <v>Planlæg din rute, spor fremskridt til et fastsat mål, og overvåg terræn og vejr.</v>
      </c>
      <c r="AF222" s="4" t="str">
        <f>IFERROR(__xludf.DUMMYFUNCTION("GOOGLETRANSLATE(B222,""en"",""el"")"),"Σχεδιάστε τη διαδρομή σας, παρακολουθήστε την πρόοδο προς έναν καθορισμένο στόχο και παρακολουθήστε το έδαφος και τον καιρό.")</f>
        <v>Σχεδιάστε τη διαδρομή σας, παρακολουθήστε την πρόοδο προς έναν καθορισμένο στόχο και παρακολουθήστε το έδαφος και τον καιρό.</v>
      </c>
      <c r="AG222" s="4" t="str">
        <f>IFERROR(__xludf.DUMMYFUNCTION("GOOGLETRANSLATE(B222,""en"",""et"")"),"Planeerige oma marsruut, jälgige seatud eesmärgi saavutamist ning jälgige maastikku ja ilma.")</f>
        <v>Planeerige oma marsruut, jälgige seatud eesmärgi saavutamist ning jälgige maastikku ja ilma.</v>
      </c>
      <c r="AH222" s="4" t="str">
        <f>IFERROR(__xludf.DUMMYFUNCTION("GOOGLETRANSLATE(B222,""en"",""fi"")"),"Suunnittele reittisi, seuraa edistymistä asetettuun tavoitteeseen ja seuraa maastoa ja säätä.")</f>
        <v>Suunnittele reittisi, seuraa edistymistä asetettuun tavoitteeseen ja seuraa maastoa ja säätä.</v>
      </c>
      <c r="AI222" s="4" t="str">
        <f>IFERROR(__xludf.DUMMYFUNCTION("GOOGLETRANSLATE(B222,""en"",""hr"")"),"Planirajte svoju rutu, pratite napredak do postavljenog cilja i pratite teren i vremenske prilike.")</f>
        <v>Planirajte svoju rutu, pratite napredak do postavljenog cilja i pratite teren i vremenske prilike.</v>
      </c>
      <c r="AJ222" s="4" t="str">
        <f>IFERROR(__xludf.DUMMYFUNCTION("GOOGLETRANSLATE(B222,""en"",""hu"")"),"Tervezze meg az útvonalat, kövesse nyomon a kitűzött cél elérését, és figyelje a terepet és az időjárást.")</f>
        <v>Tervezze meg az útvonalat, kövesse nyomon a kitűzött cél elérését, és figyelje a terepet és az időjárást.</v>
      </c>
      <c r="AK222" s="4" t="str">
        <f>IFERROR(__xludf.DUMMYFUNCTION("GOOGLETRANSLATE(B222,""en"",""hy"")"),"Պլանավորեք ձեր երթուղին, հետևեք առաջընթացին դեպի սահմանված նպատակ և վերահսկեք տեղանքն ու եղանակը:")</f>
        <v>Պլանավորեք ձեր երթուղին, հետևեք առաջընթացին դեպի սահմանված նպատակ և վերահսկեք տեղանքն ու եղանակը:</v>
      </c>
      <c r="AL222" s="4" t="str">
        <f>IFERROR(__xludf.DUMMYFUNCTION("GOOGLETRANSLATE(B222,""en"",""ca"")"),"Planifiqueu la vostra ruta, feu un seguiment del progrés fins a un objectiu establert i controleu el terreny i el temps.")</f>
        <v>Planifiqueu la vostra ruta, feu un seguiment del progrés fins a un objectiu establert i controleu el terreny i el temps.</v>
      </c>
      <c r="AM222" s="4" t="str">
        <f>IFERROR(__xludf.DUMMYFUNCTION("GOOGLETRANSLATE(B222,""en"",""nl"")"),"Plan uw route, volg uw voortgang naar een bepaald doel en houd het terrein en het weer in de gaten.")</f>
        <v>Plan uw route, volg uw voortgang naar een bepaald doel en houd het terrein en het weer in de gaten.</v>
      </c>
      <c r="AN222" s="4" t="str">
        <f>IFERROR(__xludf.DUMMYFUNCTION("GOOGLETRANSLATE(B222,""en"",""he"")"),"תכנן את המסלול שלך, עקוב אחר ההתקדמות ליעד מוגדר, ועקוב אחר השטח ומזג האוויר.")</f>
        <v>תכנן את המסלול שלך, עקוב אחר ההתקדמות ליעד מוגדר, ועקוב אחר השטח ומזג האוויר.</v>
      </c>
      <c r="AO222" s="4" t="str">
        <f>IFERROR(__xludf.DUMMYFUNCTION("GOOGLETRANSLATE(B222,""en"",""is"")"),"Skipuleggðu leiðina þína, fylgdu framvindu að settu markmiði og fylgstu með landslagi og veðri.")</f>
        <v>Skipuleggðu leiðina þína, fylgdu framvindu að settu markmiði og fylgstu með landslagi og veðri.</v>
      </c>
      <c r="AP222" s="4" t="str">
        <f>IFERROR(__xludf.DUMMYFUNCTION("GOOGLETRANSLATE(B222,""en"",""no"")"),"Planlegg ruten din, følg fremdriften til et fastsatt mål, og overvåk terreng og vær.")</f>
        <v>Planlegg ruten din, følg fremdriften til et fastsatt mål, og overvåk terreng og vær.</v>
      </c>
      <c r="AQ222" s="4" t="str">
        <f>IFERROR(__xludf.DUMMYFUNCTION("GOOGLETRANSLATE(B222,""en"",""fa"")"),"مسیر خود را برنامه ریزی کنید، پیشرفت را برای رسیدن به یک هدف تعیین شده دنبال کنید و بر زمین و آب و هوا نظارت کنید.")</f>
        <v>مسیر خود را برنامه ریزی کنید، پیشرفت را برای رسیدن به یک هدف تعیین شده دنبال کنید و بر زمین و آب و هوا نظارت کنید.</v>
      </c>
      <c r="AR222" s="4" t="str">
        <f>IFERROR(__xludf.DUMMYFUNCTION("GOOGLETRANSLATE(B222,""en"",""pl"")"),"Zaplanuj trasę, śledź postępy w dążeniu do wyznaczonego celu oraz monitoruj teren i pogodę.")</f>
        <v>Zaplanuj trasę, śledź postępy w dążeniu do wyznaczonego celu oraz monitoruj teren i pogodę.</v>
      </c>
      <c r="AS222" s="4" t="str">
        <f>IFERROR(__xludf.DUMMYFUNCTION("GOOGLETRANSLATE(B222,""en"",""sv"")"),"Planera din rutt, spåra framsteg mot ett uppsatt mål och övervaka terräng och väder.")</f>
        <v>Planera din rutt, spåra framsteg mot ett uppsatt mål och övervaka terräng och väder.</v>
      </c>
      <c r="AT222" s="4" t="str">
        <f>IFERROR(__xludf.DUMMYFUNCTION("GOOGLETRANSLATE(B222,""en"",""uk"")"),"Плануйте свій маршрут, відстежуйте прогрес до поставленої мети та спостерігайте за місцевістю та погодою.")</f>
        <v>Плануйте свій маршрут, відстежуйте прогрес до поставленої мети та спостерігайте за місцевістю та погодою.</v>
      </c>
      <c r="AU222" s="4" t="str">
        <f>IFERROR(__xludf.DUMMYFUNCTION("GOOGLETRANSLATE(B222,""en"",""zu"")"),"Hlela umzila wakho, landelela inqubekelaphambili kumgomo omisiwe, futhi uqaphe isimo sezwe nesimo sezulu.")</f>
        <v>Hlela umzila wakho, landelela inqubekelaphambili kumgomo omisiwe, futhi uqaphe isimo sezwe nesimo sezulu.</v>
      </c>
      <c r="AV222" s="4" t="str">
        <f>IFERROR(__xludf.DUMMYFUNCTION("GOOGLETRANSLATE(B222,""en"",""sr"")"),"Планирајте своју руту, пратите напредак до постављеног циља и пратите терен и временске прилике.")</f>
        <v>Планирајте своју руту, пратите напредак до постављеног циља и пратите терен и временске прилике.</v>
      </c>
    </row>
    <row r="223">
      <c r="A223" s="3" t="s">
        <v>472</v>
      </c>
      <c r="B223" s="3" t="s">
        <v>473</v>
      </c>
      <c r="C223" s="4" t="str">
        <f>IFERROR(__xludf.DUMMYFUNCTION("GOOGLETRANSLATE(B223,""en"",""ta"")"),"இலவச மலையேற்ற முறை")</f>
        <v>இலவச மலையேற்ற முறை</v>
      </c>
      <c r="D223" s="4" t="str">
        <f>IFERROR(__xludf.DUMMYFUNCTION("GOOGLETRANSLATE(B223,""en"",""hi"")"),"निःशुल्क ट्रेकिंग मोड")</f>
        <v>निःशुल्क ट्रेकिंग मोड</v>
      </c>
      <c r="E223" s="4" t="str">
        <f>IFERROR(__xludf.DUMMYFUNCTION("GOOGLETRANSLATE(B223,""en"",""id"")"),"Mode Trekking Gratis")</f>
        <v>Mode Trekking Gratis</v>
      </c>
      <c r="F223" s="4" t="str">
        <f>IFERROR(__xludf.DUMMYFUNCTION("GOOGLETRANSLATE(B223,""en"",""ms"")"),"Mod Trekking Percuma")</f>
        <v>Mod Trekking Percuma</v>
      </c>
      <c r="G223" s="4" t="str">
        <f>IFERROR(__xludf.DUMMYFUNCTION("GOOGLETRANSLATE(B223,""en"",""de"")"),"Kostenloser Trekking-Modus")</f>
        <v>Kostenloser Trekking-Modus</v>
      </c>
      <c r="H223" s="4" t="str">
        <f>IFERROR(__xludf.DUMMYFUNCTION("GOOGLETRANSLATE(B223,""en"",""es"")"),"Modo de trekking libre")</f>
        <v>Modo de trekking libre</v>
      </c>
      <c r="I223" s="4" t="str">
        <f>IFERROR(__xludf.DUMMYFUNCTION("GOOGLETRANSLATE(B223,""en"",""fr"")"),"Mode Trekking gratuit")</f>
        <v>Mode Trekking gratuit</v>
      </c>
      <c r="J223" s="4" t="str">
        <f>IFERROR(__xludf.DUMMYFUNCTION("GOOGLETRANSLATE(B223,""en"",""it"")"),"Modalità Trekking gratuita")</f>
        <v>Modalità Trekking gratuita</v>
      </c>
      <c r="K223" s="4" t="str">
        <f>IFERROR(__xludf.DUMMYFUNCTION("GOOGLETRANSLATE(B223,""en"",""pt"")"),"Modo Trekking Livre")</f>
        <v>Modo Trekking Livre</v>
      </c>
      <c r="L223" s="4" t="str">
        <f>IFERROR(__xludf.DUMMYFUNCTION("GOOGLETRANSLATE(B223,""en"",""ro"")"),"Mod Trekking gratuit")</f>
        <v>Mod Trekking gratuit</v>
      </c>
      <c r="M223" s="4" t="str">
        <f>IFERROR(__xludf.DUMMYFUNCTION("GOOGLETRANSLATE(B223,""en"",""vi"")"),"Chế độ Trekking miễn phí")</f>
        <v>Chế độ Trekking miễn phí</v>
      </c>
      <c r="N223" s="4" t="str">
        <f>IFERROR(__xludf.DUMMYFUNCTION("GOOGLETRANSLATE(B223,""en"",""ru"")"),"Режим свободного треккинга")</f>
        <v>Режим свободного треккинга</v>
      </c>
      <c r="O223" s="4" t="str">
        <f>IFERROR(__xludf.DUMMYFUNCTION("GOOGLETRANSLATE(B223,""en"",""tr"")"),"Ücretsiz Trekking Modu")</f>
        <v>Ücretsiz Trekking Modu</v>
      </c>
      <c r="P223" s="4" t="str">
        <f>IFERROR(__xludf.DUMMYFUNCTION("GOOGLETRANSLATE(B223,""en"",""ar"")"),"وضع الرحلات المجانية")</f>
        <v>وضع الرحلات المجانية</v>
      </c>
      <c r="Q223" s="4" t="str">
        <f>IFERROR(__xludf.DUMMYFUNCTION("GOOGLETRANSLATE(B223,""en"",""mr"")"),"मोफत ट्रेकिंग मोड")</f>
        <v>मोफत ट्रेकिंग मोड</v>
      </c>
      <c r="R223" s="4" t="str">
        <f>IFERROR(__xludf.DUMMYFUNCTION("GOOGLETRANSLATE(B223,""en"",""gu"")"),"મફત ટ્રેકિંગ મોડ")</f>
        <v>મફત ટ્રેકિંગ મોડ</v>
      </c>
      <c r="S223" s="4" t="str">
        <f>IFERROR(__xludf.DUMMYFUNCTION("GOOGLETRANSLATE(B223,""en"",""bn"")"),"ফ্রি ট্রেকিং মোড")</f>
        <v>ফ্রি ট্রেকিং মোড</v>
      </c>
      <c r="T223" s="4" t="str">
        <f>IFERROR(__xludf.DUMMYFUNCTION("GOOGLETRANSLATE(B223,""en"",""pa"")"),"ਮੁਫਤ ਟ੍ਰੈਕਿੰਗ ਮੋਡ")</f>
        <v>ਮੁਫਤ ਟ੍ਰੈਕਿੰਗ ਮੋਡ</v>
      </c>
      <c r="U223" s="4" t="str">
        <f>IFERROR(__xludf.DUMMYFUNCTION("GOOGLETRANSLATE(B223,""en"",""te"")"),"ఉచిత ట్రెక్కింగ్ మోడ్")</f>
        <v>ఉచిత ట్రెక్కింగ్ మోడ్</v>
      </c>
      <c r="V223" s="4" t="str">
        <f>IFERROR(__xludf.DUMMYFUNCTION("GOOGLETRANSLATE(B223,""en"",""kn"")"),"ಉಚಿತ ಟ್ರೆಕ್ಕಿಂಗ್ ಮೋಡ್")</f>
        <v>ಉಚಿತ ಟ್ರೆಕ್ಕಿಂಗ್ ಮೋಡ್</v>
      </c>
      <c r="W223" s="4" t="str">
        <f>IFERROR(__xludf.DUMMYFUNCTION("GOOGLETRANSLATE(B223,""en"",""ml"")"),"സൗജന്യ ട്രെക്കിംഗ് മോഡ്")</f>
        <v>സൗജന്യ ട്രെക്കിംഗ് മോഡ്</v>
      </c>
      <c r="X223" s="4" t="str">
        <f>IFERROR(__xludf.DUMMYFUNCTION("GOOGLETRANSLATE(B223,""en"",""th"")"),"โหมดการเดินป่าแบบอิสระ")</f>
        <v>โหมดการเดินป่าแบบอิสระ</v>
      </c>
      <c r="Y223" s="4" t="str">
        <f>IFERROR(__xludf.DUMMYFUNCTION("GOOGLETRANSLATE(B223,""en"",""ko"")"),"자유 트레킹 모드")</f>
        <v>자유 트레킹 모드</v>
      </c>
      <c r="Z223" s="4" t="str">
        <f>IFERROR(__xludf.DUMMYFUNCTION("GOOGLETRANSLATE(B223,""en"",""zh"")"),"自由徒步模式")</f>
        <v>自由徒步模式</v>
      </c>
      <c r="AA223" s="4" t="str">
        <f>IFERROR(__xludf.DUMMYFUNCTION("GOOGLETRANSLATE(B223,""en"",""zh-TW"")"),"自由健行模式")</f>
        <v>自由健行模式</v>
      </c>
      <c r="AB223" s="4" t="str">
        <f>IFERROR(__xludf.DUMMYFUNCTION("GOOGLETRANSLATE(B223,""en"",""ja"")"),"フリートレッキングモード")</f>
        <v>フリートレッキングモード</v>
      </c>
      <c r="AC223" s="4" t="str">
        <f>IFERROR(__xludf.DUMMYFUNCTION("GOOGLETRANSLATE(B223,""en"",""bg"")"),"Безплатен режим на трекинг")</f>
        <v>Безплатен режим на трекинг</v>
      </c>
      <c r="AD223" s="4" t="str">
        <f>IFERROR(__xludf.DUMMYFUNCTION("GOOGLETRANSLATE(B223,""en"",""cs"")"),"Free Treking Mode")</f>
        <v>Free Treking Mode</v>
      </c>
      <c r="AE223" s="4" t="str">
        <f>IFERROR(__xludf.DUMMYFUNCTION("GOOGLETRANSLATE(B223,""en"",""da"")"),"Gratis trekking-tilstand")</f>
        <v>Gratis trekking-tilstand</v>
      </c>
      <c r="AF223" s="4" t="str">
        <f>IFERROR(__xludf.DUMMYFUNCTION("GOOGLETRANSLATE(B223,""en"",""el"")"),"Δωρεάν Λειτουργία Πεζοπορίας")</f>
        <v>Δωρεάν Λειτουργία Πεζοπορίας</v>
      </c>
      <c r="AG223" s="4" t="str">
        <f>IFERROR(__xludf.DUMMYFUNCTION("GOOGLETRANSLATE(B223,""en"",""et"")"),"Tasuta matkarežiim")</f>
        <v>Tasuta matkarežiim</v>
      </c>
      <c r="AH223" s="4" t="str">
        <f>IFERROR(__xludf.DUMMYFUNCTION("GOOGLETRANSLATE(B223,""en"",""fi"")"),"Ilmainen vaellustila")</f>
        <v>Ilmainen vaellustila</v>
      </c>
      <c r="AI223" s="4" t="str">
        <f>IFERROR(__xludf.DUMMYFUNCTION("GOOGLETRANSLATE(B223,""en"",""hr"")"),"Besplatan način rada za planinarenje")</f>
        <v>Besplatan način rada za planinarenje</v>
      </c>
      <c r="AJ223" s="4" t="str">
        <f>IFERROR(__xludf.DUMMYFUNCTION("GOOGLETRANSLATE(B223,""en"",""hu"")"),"Ingyenes Trekking mód")</f>
        <v>Ingyenes Trekking mód</v>
      </c>
      <c r="AK223" s="4" t="str">
        <f>IFERROR(__xludf.DUMMYFUNCTION("GOOGLETRANSLATE(B223,""en"",""hy"")"),"Անվճար արշավի ռեժիմ")</f>
        <v>Անվճար արշավի ռեժիմ</v>
      </c>
      <c r="AL223" s="4" t="str">
        <f>IFERROR(__xludf.DUMMYFUNCTION("GOOGLETRANSLATE(B223,""en"",""ca"")"),"Mode de trekking gratuït")</f>
        <v>Mode de trekking gratuït</v>
      </c>
      <c r="AM223" s="4" t="str">
        <f>IFERROR(__xludf.DUMMYFUNCTION("GOOGLETRANSLATE(B223,""en"",""nl"")"),"Gratis Trekkingmodus")</f>
        <v>Gratis Trekkingmodus</v>
      </c>
      <c r="AN223" s="4" t="str">
        <f>IFERROR(__xludf.DUMMYFUNCTION("GOOGLETRANSLATE(B223,""en"",""he"")"),"מצב טרקים חינם")</f>
        <v>מצב טרקים חינם</v>
      </c>
      <c r="AO223" s="4" t="str">
        <f>IFERROR(__xludf.DUMMYFUNCTION("GOOGLETRANSLATE(B223,""en"",""is"")"),"Ókeypis gönguhamur")</f>
        <v>Ókeypis gönguhamur</v>
      </c>
      <c r="AP223" s="4" t="str">
        <f>IFERROR(__xludf.DUMMYFUNCTION("GOOGLETRANSLATE(B223,""en"",""no"")"),"Gratis turmodus")</f>
        <v>Gratis turmodus</v>
      </c>
      <c r="AQ223" s="4" t="str">
        <f>IFERROR(__xludf.DUMMYFUNCTION("GOOGLETRANSLATE(B223,""en"",""fa"")"),"حالت پیاده روی رایگان")</f>
        <v>حالت پیاده روی رایگان</v>
      </c>
      <c r="AR223" s="4" t="str">
        <f>IFERROR(__xludf.DUMMYFUNCTION("GOOGLETRANSLATE(B223,""en"",""pl"")"),"Tryb swobodnego trekkingu")</f>
        <v>Tryb swobodnego trekkingu</v>
      </c>
      <c r="AS223" s="4" t="str">
        <f>IFERROR(__xludf.DUMMYFUNCTION("GOOGLETRANSLATE(B223,""en"",""sv"")"),"Gratis vandringsläge")</f>
        <v>Gratis vandringsläge</v>
      </c>
      <c r="AT223" s="4" t="str">
        <f>IFERROR(__xludf.DUMMYFUNCTION("GOOGLETRANSLATE(B223,""en"",""uk"")"),"Безкоштовний режим трекінгу")</f>
        <v>Безкоштовний режим трекінгу</v>
      </c>
      <c r="AU223" s="4" t="str">
        <f>IFERROR(__xludf.DUMMYFUNCTION("GOOGLETRANSLATE(B223,""en"",""zu"")"),"Imodi Yamahhala Yokuhamba")</f>
        <v>Imodi Yamahhala Yokuhamba</v>
      </c>
      <c r="AV223" s="4" t="str">
        <f>IFERROR(__xludf.DUMMYFUNCTION("GOOGLETRANSLATE(B223,""en"",""sr"")"),"Фрее Треккинг Моде")</f>
        <v>Фрее Треккинг Моде</v>
      </c>
    </row>
    <row r="224">
      <c r="A224" s="3" t="s">
        <v>474</v>
      </c>
      <c r="B224" s="3" t="s">
        <v>475</v>
      </c>
      <c r="C224" s="4" t="str">
        <f>IFERROR(__xludf.DUMMYFUNCTION("GOOGLETRANSLATE(B224,""en"",""ta"")"),"உயரம், படிகள், இருப்பிடம் மற்றும் பலவற்றைக் கண்காணிக்கும் போது, ​​நிலையான பாதை இல்லாமல் சுதந்திரமாக ஆராயுங்கள்.")</f>
        <v>உயரம், படிகள், இருப்பிடம் மற்றும் பலவற்றைக் கண்காணிக்கும் போது, ​​நிலையான பாதை இல்லாமல் சுதந்திரமாக ஆராயுங்கள்.</v>
      </c>
      <c r="D224" s="4" t="str">
        <f>IFERROR(__xludf.DUMMYFUNCTION("GOOGLETRANSLATE(B224,""en"",""hi"")"),"बिना किसी निश्चित पथ के स्वतंत्र रूप से अन्वेषण करें, तथा ऊंचाई, कदम, स्थान आदि पर भी नज़र रखें।")</f>
        <v>बिना किसी निश्चित पथ के स्वतंत्र रूप से अन्वेषण करें, तथा ऊंचाई, कदम, स्थान आदि पर भी नज़र रखें।</v>
      </c>
      <c r="E224" s="4" t="str">
        <f>IFERROR(__xludf.DUMMYFUNCTION("GOOGLETRANSLATE(B224,""en"",""id"")"),"Jelajahi dengan bebas tanpa jalur tetap, sambil tetap melacak ketinggian, langkah, lokasi, dan banyak lagi.")</f>
        <v>Jelajahi dengan bebas tanpa jalur tetap, sambil tetap melacak ketinggian, langkah, lokasi, dan banyak lagi.</v>
      </c>
      <c r="F224" s="4" t="str">
        <f>IFERROR(__xludf.DUMMYFUNCTION("GOOGLETRANSLATE(B224,""en"",""ms"")"),"Teroka secara bebas tanpa laluan tetap, sambil menjejaki ketinggian, langkah, lokasi dan banyak lagi.")</f>
        <v>Teroka secara bebas tanpa laluan tetap, sambil menjejaki ketinggian, langkah, lokasi dan banyak lagi.</v>
      </c>
      <c r="G224" s="4" t="str">
        <f>IFERROR(__xludf.DUMMYFUNCTION("GOOGLETRANSLATE(B224,""en"",""de"")"),"Erkunden Sie die Gegend frei ohne festen Weg und verfolgen Sie dabei trotzdem Höhe, Schritte, Standort und mehr.")</f>
        <v>Erkunden Sie die Gegend frei ohne festen Weg und verfolgen Sie dabei trotzdem Höhe, Schritte, Standort und mehr.</v>
      </c>
      <c r="H224" s="4" t="str">
        <f>IFERROR(__xludf.DUMMYFUNCTION("GOOGLETRANSLATE(B224,""en"",""es"")"),"Explora libremente sin una ruta fija, mientras sigues registrando la altitud, los pasos, la ubicación y más.")</f>
        <v>Explora libremente sin una ruta fija, mientras sigues registrando la altitud, los pasos, la ubicación y más.</v>
      </c>
      <c r="I224" s="4" t="str">
        <f>IFERROR(__xludf.DUMMYFUNCTION("GOOGLETRANSLATE(B224,""en"",""fr"")"),"Explorez librement sans chemin fixe, tout en suivant l'altitude, les pas, l'emplacement et bien plus encore.")</f>
        <v>Explorez librement sans chemin fixe, tout en suivant l'altitude, les pas, l'emplacement et bien plus encore.</v>
      </c>
      <c r="J224" s="4" t="str">
        <f>IFERROR(__xludf.DUMMYFUNCTION("GOOGLETRANSLATE(B224,""en"",""it"")"),"Esplora liberamente senza un percorso fisso, continuando a monitorare altitudine, passi, posizione e altro ancora.")</f>
        <v>Esplora liberamente senza un percorso fisso, continuando a monitorare altitudine, passi, posizione e altro ancora.</v>
      </c>
      <c r="K224" s="4" t="str">
        <f>IFERROR(__xludf.DUMMYFUNCTION("GOOGLETRANSLATE(B224,""en"",""pt"")"),"Explore livremente sem um caminho fixo, enquanto ainda monitora altitude, passos, localização e muito mais.")</f>
        <v>Explore livremente sem um caminho fixo, enquanto ainda monitora altitude, passos, localização e muito mais.</v>
      </c>
      <c r="L224" s="4" t="str">
        <f>IFERROR(__xludf.DUMMYFUNCTION("GOOGLETRANSLATE(B224,""en"",""ro"")"),"Explorați liber, fără o cale fixă, în timp ce urmăriți în continuare altitudinea, pașii, locația și multe altele.")</f>
        <v>Explorați liber, fără o cale fixă, în timp ce urmăriți în continuare altitudinea, pașii, locația și multe altele.</v>
      </c>
      <c r="M224" s="4" t="str">
        <f>IFERROR(__xludf.DUMMYFUNCTION("GOOGLETRANSLATE(B224,""en"",""vi"")"),"Khám phá tự do mà không cần theo đường dẫn cố định, đồng thời vẫn theo dõi được độ cao, số bước chân, vị trí, v.v.")</f>
        <v>Khám phá tự do mà không cần theo đường dẫn cố định, đồng thời vẫn theo dõi được độ cao, số bước chân, vị trí, v.v.</v>
      </c>
      <c r="N224" s="4" t="str">
        <f>IFERROR(__xludf.DUMMYFUNCTION("GOOGLETRANSLATE(B224,""en"",""ru"")"),"Исследуйте местность свободно, без фиксированного маршрута, продолжая отслеживать высоту, шаги, местоположение и многое другое.")</f>
        <v>Исследуйте местность свободно, без фиксированного маршрута, продолжая отслеживать высоту, шаги, местоположение и многое другое.</v>
      </c>
      <c r="O224" s="4" t="str">
        <f>IFERROR(__xludf.DUMMYFUNCTION("GOOGLETRANSLATE(B224,""en"",""tr"")"),"Sabit bir rota olmadan, yüksekliği, adımları, konumu ve daha fazlasını takip ederek özgürce keşfedin.")</f>
        <v>Sabit bir rota olmadan, yüksekliği, adımları, konumu ve daha fazlasını takip ederek özgürce keşfedin.</v>
      </c>
      <c r="P224" s="4" t="str">
        <f>IFERROR(__xludf.DUMMYFUNCTION("GOOGLETRANSLATE(B224,""en"",""ar"")"),"استكشف بحرية دون مسار ثابت، مع الاستمرار في تتبع الارتفاع والخطوات والموقع والمزيد.")</f>
        <v>استكشف بحرية دون مسار ثابت، مع الاستمرار في تتبع الارتفاع والخطوات والموقع والمزيد.</v>
      </c>
      <c r="Q224" s="4" t="str">
        <f>IFERROR(__xludf.DUMMYFUNCTION("GOOGLETRANSLATE(B224,""en"",""mr"")"),"उंची, पायऱ्या, स्थान आणि बरेच काही ट्रॅक करत असताना, निश्चित मार्गाशिवाय मुक्तपणे एक्सप्लोर करा.")</f>
        <v>उंची, पायऱ्या, स्थान आणि बरेच काही ट्रॅक करत असताना, निश्चित मार्गाशिवाय मुक्तपणे एक्सप्लोर करा.</v>
      </c>
      <c r="R224" s="4" t="str">
        <f>IFERROR(__xludf.DUMMYFUNCTION("GOOGLETRANSLATE(B224,""en"",""gu"")"),"ઊંચાઈ, પગલાં, સ્થાન અને વધુને ટ્રૅક કરતી વખતે, નિશ્ચિત પાથ વિના મુક્તપણે અન્વેષણ કરો.")</f>
        <v>ઊંચાઈ, પગલાં, સ્થાન અને વધુને ટ્રૅક કરતી વખતે, નિશ્ચિત પાથ વિના મુક્તપણે અન્વેષણ કરો.</v>
      </c>
      <c r="S224" s="4" t="str">
        <f>IFERROR(__xludf.DUMMYFUNCTION("GOOGLETRANSLATE(B224,""en"",""bn"")"),"উচ্চতা, পদক্ষেপ, অবস্থান এবং আরও অনেক কিছু ট্র্যাক করার সময় একটি নির্দিষ্ট পথ ছাড়াই অবাধে অন্বেষণ করুন।")</f>
        <v>উচ্চতা, পদক্ষেপ, অবস্থান এবং আরও অনেক কিছু ট্র্যাক করার সময় একটি নির্দিষ্ট পথ ছাড়াই অবাধে অন্বেষণ করুন।</v>
      </c>
      <c r="T224" s="4" t="str">
        <f>IFERROR(__xludf.DUMMYFUNCTION("GOOGLETRANSLATE(B224,""en"",""pa"")"),"ਉਚਾਈ, ਕਦਮਾਂ, ਸਥਾਨ ਅਤੇ ਹੋਰ ਬਹੁਤ ਕੁਝ ਨੂੰ ਟਰੈਕ ਕਰਦੇ ਹੋਏ, ਇੱਕ ਨਿਸ਼ਚਿਤ ਮਾਰਗ ਤੋਂ ਬਿਨਾਂ ਸੁਤੰਤਰ ਰੂਪ ਵਿੱਚ ਪੜਚੋਲ ਕਰੋ।")</f>
        <v>ਉਚਾਈ, ਕਦਮਾਂ, ਸਥਾਨ ਅਤੇ ਹੋਰ ਬਹੁਤ ਕੁਝ ਨੂੰ ਟਰੈਕ ਕਰਦੇ ਹੋਏ, ਇੱਕ ਨਿਸ਼ਚਿਤ ਮਾਰਗ ਤੋਂ ਬਿਨਾਂ ਸੁਤੰਤਰ ਰੂਪ ਵਿੱਚ ਪੜਚੋਲ ਕਰੋ।</v>
      </c>
      <c r="U224" s="4" t="str">
        <f>IFERROR(__xludf.DUMMYFUNCTION("GOOGLETRANSLATE(B224,""en"",""te"")"),"ఎత్తు, దశలు, స్థానం మరియు మరిన్నింటిని ట్రాక్ చేస్తూనే, స్థిర మార్గం లేకుండా స్వేచ్ఛగా అన్వేషించండి.")</f>
        <v>ఎత్తు, దశలు, స్థానం మరియు మరిన్నింటిని ట్రాక్ చేస్తూనే, స్థిర మార్గం లేకుండా స్వేచ్ఛగా అన్వేషించండి.</v>
      </c>
      <c r="V224" s="4" t="str">
        <f>IFERROR(__xludf.DUMMYFUNCTION("GOOGLETRANSLATE(B224,""en"",""kn"")"),"ಎತ್ತರ, ಹಂತಗಳು, ಸ್ಥಳ ಮತ್ತು ಹೆಚ್ಚಿನದನ್ನು ಟ್ರ್ಯಾಕ್ ಮಾಡುತ್ತಿರುವಾಗ ಸ್ಥಿರ ಮಾರ್ಗವಿಲ್ಲದೆ ಮುಕ್ತವಾಗಿ ಅನ್ವೇಷಿಸಿ.")</f>
        <v>ಎತ್ತರ, ಹಂತಗಳು, ಸ್ಥಳ ಮತ್ತು ಹೆಚ್ಚಿನದನ್ನು ಟ್ರ್ಯಾಕ್ ಮಾಡುತ್ತಿರುವಾಗ ಸ್ಥಿರ ಮಾರ್ಗವಿಲ್ಲದೆ ಮುಕ್ತವಾಗಿ ಅನ್ವೇಷಿಸಿ.</v>
      </c>
      <c r="W224" s="4" t="str">
        <f>IFERROR(__xludf.DUMMYFUNCTION("GOOGLETRANSLATE(B224,""en"",""ml"")"),"ഉയരം, ചുവടുകൾ, സ്ഥാനം എന്നിവയും മറ്റും ട്രാക്ക് ചെയ്യുന്നതിനിടയിൽ, ഒരു നിശ്ചിത പാതയില്ലാതെ സ്വതന്ത്രമായി പര്യവേക്ഷണം ചെയ്യുക.")</f>
        <v>ഉയരം, ചുവടുകൾ, സ്ഥാനം എന്നിവയും മറ്റും ട്രാക്ക് ചെയ്യുന്നതിനിടയിൽ, ഒരു നിശ്ചിത പാതയില്ലാതെ സ്വതന്ത്രമായി പര്യവേക്ഷണം ചെയ്യുക.</v>
      </c>
      <c r="X224" s="4" t="str">
        <f>IFERROR(__xludf.DUMMYFUNCTION("GOOGLETRANSLATE(B224,""en"",""th"")"),"สำรวจอย่างอิสระโดยไม่ต้องกำหนดเส้นทางที่แน่นอน ขณะที่ยังคงติดตามความสูง จำนวนก้าว ตำแหน่ง และอื่นๆ อีกมากมาย")</f>
        <v>สำรวจอย่างอิสระโดยไม่ต้องกำหนดเส้นทางที่แน่นอน ขณะที่ยังคงติดตามความสูง จำนวนก้าว ตำแหน่ง และอื่นๆ อีกมากมาย</v>
      </c>
      <c r="Y224" s="4" t="str">
        <f>IFERROR(__xludf.DUMMYFUNCTION("GOOGLETRANSLATE(B224,""en"",""ko"")"),"고정된 경로 없이 자유롭게 탐험하면서 고도, 걸음 수, 위치 등을 추적하세요.")</f>
        <v>고정된 경로 없이 자유롭게 탐험하면서 고도, 걸음 수, 위치 등을 추적하세요.</v>
      </c>
      <c r="Z224" s="4" t="str">
        <f>IFERROR(__xludf.DUMMYFUNCTION("GOOGLETRANSLATE(B224,""en"",""zh"")"),"自由探索，没有固定路径，同时仍可跟踪高度、步数、位置等。")</f>
        <v>自由探索，没有固定路径，同时仍可跟踪高度、步数、位置等。</v>
      </c>
      <c r="AA224" s="4" t="str">
        <f>IFERROR(__xludf.DUMMYFUNCTION("GOOGLETRANSLATE(B224,""en"",""zh-TW"")"),"自由探索，沒有固定路徑，同時仍可追蹤高度、步數、位置等。")</f>
        <v>自由探索，沒有固定路徑，同時仍可追蹤高度、步數、位置等。</v>
      </c>
      <c r="AB224" s="4" t="str">
        <f>IFERROR(__xludf.DUMMYFUNCTION("GOOGLETRANSLATE(B224,""en"",""ja"")"),"高度、歩数、位置などを追跡しながら、固定された経路なしで自由に探索できます。")</f>
        <v>高度、歩数、位置などを追跡しながら、固定された経路なしで自由に探索できます。</v>
      </c>
      <c r="AC224" s="4" t="str">
        <f>IFERROR(__xludf.DUMMYFUNCTION("GOOGLETRANSLATE(B224,""en"",""bg"")"),"Изследвайте свободно без фиксиран път, като същевременно проследявате надморска височина, стъпки, местоположение и др.")</f>
        <v>Изследвайте свободно без фиксиран път, като същевременно проследявате надморска височина, стъпки, местоположение и др.</v>
      </c>
      <c r="AD224" s="4" t="str">
        <f>IFERROR(__xludf.DUMMYFUNCTION("GOOGLETRANSLATE(B224,""en"",""cs"")"),"Prozkoumejte volně bez pevné cesty a přitom stále sledujte nadmořskou výšku, kroky, polohu a další.")</f>
        <v>Prozkoumejte volně bez pevné cesty a přitom stále sledujte nadmořskou výšku, kroky, polohu a další.</v>
      </c>
      <c r="AE224" s="4" t="str">
        <f>IFERROR(__xludf.DUMMYFUNCTION("GOOGLETRANSLATE(B224,""en"",""da"")"),"Udforsk frit uden en fast sti, mens du stadig sporer højde, trin, placering og mere.")</f>
        <v>Udforsk frit uden en fast sti, mens du stadig sporer højde, trin, placering og mere.</v>
      </c>
      <c r="AF224" s="4" t="str">
        <f>IFERROR(__xludf.DUMMYFUNCTION("GOOGLETRANSLATE(B224,""en"",""el"")"),"Εξερευνήστε ελεύθερα χωρίς σταθερό μονοπάτι, ενώ παρακολουθείτε υψόμετρο, βήματα, τοποθεσία και πολλά άλλα.")</f>
        <v>Εξερευνήστε ελεύθερα χωρίς σταθερό μονοπάτι, ενώ παρακολουθείτε υψόμετρο, βήματα, τοποθεσία και πολλά άλλα.</v>
      </c>
      <c r="AG224" s="4" t="str">
        <f>IFERROR(__xludf.DUMMYFUNCTION("GOOGLETRANSLATE(B224,""en"",""et"")"),"Avastage vabalt ilma fikseeritud rajata, jälgides samal ajal kõrgust, samme, asukohta ja muud.")</f>
        <v>Avastage vabalt ilma fikseeritud rajata, jälgides samal ajal kõrgust, samme, asukohta ja muud.</v>
      </c>
      <c r="AH224" s="4" t="str">
        <f>IFERROR(__xludf.DUMMYFUNCTION("GOOGLETRANSLATE(B224,""en"",""fi"")"),"Tutki vapaasti ilman kiinteää polkua, samalla kun seuraat korkeutta, askelia, sijaintia ja paljon muuta.")</f>
        <v>Tutki vapaasti ilman kiinteää polkua, samalla kun seuraat korkeutta, askelia, sijaintia ja paljon muuta.</v>
      </c>
      <c r="AI224" s="4" t="str">
        <f>IFERROR(__xludf.DUMMYFUNCTION("GOOGLETRANSLATE(B224,""en"",""hr"")"),"Istražujte slobodno bez fiksne staze, dok i dalje pratite nadmorsku visinu, korake, lokaciju i još mnogo toga.")</f>
        <v>Istražujte slobodno bez fiksne staze, dok i dalje pratite nadmorsku visinu, korake, lokaciju i još mnogo toga.</v>
      </c>
      <c r="AJ224" s="4" t="str">
        <f>IFERROR(__xludf.DUMMYFUNCTION("GOOGLETRANSLATE(B224,""en"",""hu"")"),"Fedezze fel szabadon rögzített útvonal nélkül, miközben továbbra is követi a magasságot, a lépéseket, a helyet és egyebeket.")</f>
        <v>Fedezze fel szabadon rögzített útvonal nélkül, miközben továbbra is követi a magasságot, a lépéseket, a helyet és egyebeket.</v>
      </c>
      <c r="AK224" s="4" t="str">
        <f>IFERROR(__xludf.DUMMYFUNCTION("GOOGLETRANSLATE(B224,""en"",""hy"")"),"Ազատորեն ուսումնասիրեք առանց ֆիքսված ուղու՝ միաժամանակ հետևելով բարձրությանը, քայլերին, գտնվելու վայրին և այլն:")</f>
        <v>Ազատորեն ուսումնասիրեք առանց ֆիքսված ուղու՝ միաժամանակ հետևելով բարձրությանը, քայլերին, գտնվելու վայրին և այլն:</v>
      </c>
      <c r="AL224" s="4" t="str">
        <f>IFERROR(__xludf.DUMMYFUNCTION("GOOGLETRANSLATE(B224,""en"",""ca"")"),"Exploreu lliurement sense un camí fix, mentre continueu fent un seguiment de l'altitud, els passos, la ubicació i molt més.")</f>
        <v>Exploreu lliurement sense un camí fix, mentre continueu fent un seguiment de l'altitud, els passos, la ubicació i molt més.</v>
      </c>
      <c r="AM224" s="4" t="str">
        <f>IFERROR(__xludf.DUMMYFUNCTION("GOOGLETRANSLATE(B224,""en"",""nl"")"),"Verken de wereld zonder een vast pad, maar houd toch de hoogte, het aantal stappen, de locatie en meer bij.")</f>
        <v>Verken de wereld zonder een vast pad, maar houd toch de hoogte, het aantal stappen, de locatie en meer bij.</v>
      </c>
      <c r="AN224" s="4" t="str">
        <f>IFERROR(__xludf.DUMMYFUNCTION("GOOGLETRANSLATE(B224,""en"",""he"")"),"חקור בחופשיות ללא נתיב קבוע, תוך מעקב אחר גובה, צעדים, מיקום ועוד.")</f>
        <v>חקור בחופשיות ללא נתיב קבוע, תוך מעקב אחר גובה, צעדים, מיקום ועוד.</v>
      </c>
      <c r="AO224" s="4" t="str">
        <f>IFERROR(__xludf.DUMMYFUNCTION("GOOGLETRANSLATE(B224,""en"",""is"")"),"Kannaðu frjálslega án fastrar slóðar, en fylgist samt með hæð, skrefum, staðsetningu og fleira.")</f>
        <v>Kannaðu frjálslega án fastrar slóðar, en fylgist samt með hæð, skrefum, staðsetningu og fleira.</v>
      </c>
      <c r="AP224" s="4" t="str">
        <f>IFERROR(__xludf.DUMMYFUNCTION("GOOGLETRANSLATE(B224,""en"",""no"")"),"Utforsk fritt uten en fast sti, mens du fortsatt sporer høyde, trinn, plassering og mer.")</f>
        <v>Utforsk fritt uten en fast sti, mens du fortsatt sporer høyde, trinn, plassering og mer.</v>
      </c>
      <c r="AQ224" s="4" t="str">
        <f>IFERROR(__xludf.DUMMYFUNCTION("GOOGLETRANSLATE(B224,""en"",""fa"")"),"آزادانه بدون مسیر ثابت کاوش کنید، در حالی که همچنان ارتفاع، پله‌ها، مکان و موارد دیگر را ردیابی می‌کنید.")</f>
        <v>آزادانه بدون مسیر ثابت کاوش کنید، در حالی که همچنان ارتفاع، پله‌ها، مکان و موارد دیگر را ردیابی می‌کنید.</v>
      </c>
      <c r="AR224" s="4" t="str">
        <f>IFERROR(__xludf.DUMMYFUNCTION("GOOGLETRANSLATE(B224,""en"",""pl"")"),"Eksploruj świat swobodnie, bez konieczności trzymania się ustalonej trasy, jednocześnie monitorując wysokość, liczbę kroków, lokalizację i inne dane.")</f>
        <v>Eksploruj świat swobodnie, bez konieczności trzymania się ustalonej trasy, jednocześnie monitorując wysokość, liczbę kroków, lokalizację i inne dane.</v>
      </c>
      <c r="AS224" s="4" t="str">
        <f>IFERROR(__xludf.DUMMYFUNCTION("GOOGLETRANSLATE(B224,""en"",""sv"")"),"Utforska fritt utan en fast väg, samtidigt som du spårar höjd, steg, plats och mer.")</f>
        <v>Utforska fritt utan en fast väg, samtidigt som du spårar höjd, steg, plats och mer.</v>
      </c>
      <c r="AT224" s="4" t="str">
        <f>IFERROR(__xludf.DUMMYFUNCTION("GOOGLETRANSLATE(B224,""en"",""uk"")"),"Досліджуйте вільно без фіксованого шляху, відстежуючи висоту, кроки, місцезнаходження тощо.")</f>
        <v>Досліджуйте вільно без фіксованого шляху, відстежуючи висоту, кроки, місцезнаходження тощо.</v>
      </c>
      <c r="AU224" s="4" t="str">
        <f>IFERROR(__xludf.DUMMYFUNCTION("GOOGLETRANSLATE(B224,""en"",""zu"")"),"Hlola ngokukhululekile ngaphandle kwendlela egxilile, kuyilapho ulandelela ukuphakama, izinyathelo, indawo, nokuningi.")</f>
        <v>Hlola ngokukhululekile ngaphandle kwendlela egxilile, kuyilapho ulandelela ukuphakama, izinyathelo, indawo, nokuningi.</v>
      </c>
      <c r="AV224" s="4" t="str">
        <f>IFERROR(__xludf.DUMMYFUNCTION("GOOGLETRANSLATE(B224,""en"",""sr"")"),"Истражујте слободно без фиксне путање, док још увек пратите висину, кораке, локацију и још много тога.")</f>
        <v>Истражујте слободно без фиксне путање, док још увек пратите висину, кораке, локацију и још много тога.</v>
      </c>
    </row>
    <row r="225">
      <c r="A225" s="3" t="s">
        <v>476</v>
      </c>
      <c r="B225" s="3" t="s">
        <v>477</v>
      </c>
      <c r="C225" s="4" t="str">
        <f>IFERROR(__xludf.DUMMYFUNCTION("GOOGLETRANSLATE(B225,""en"",""ta"")"),"சேமிக்கப்பட்ட மலையேற்றங்களைக் காண்க")</f>
        <v>சேமிக்கப்பட்ட மலையேற்றங்களைக் காண்க</v>
      </c>
      <c r="D225" s="4" t="str">
        <f>IFERROR(__xludf.DUMMYFUNCTION("GOOGLETRANSLATE(B225,""en"",""hi"")"),"सहेजे गए ट्रेक देखें")</f>
        <v>सहेजे गए ट्रेक देखें</v>
      </c>
      <c r="E225" s="4" t="str">
        <f>IFERROR(__xludf.DUMMYFUNCTION("GOOGLETRANSLATE(B225,""en"",""id"")"),"Lihat Trek Tersimpan")</f>
        <v>Lihat Trek Tersimpan</v>
      </c>
      <c r="F225" s="4" t="str">
        <f>IFERROR(__xludf.DUMMYFUNCTION("GOOGLETRANSLATE(B225,""en"",""ms"")"),"Lihat Treks Disimpan")</f>
        <v>Lihat Treks Disimpan</v>
      </c>
      <c r="G225" s="4" t="str">
        <f>IFERROR(__xludf.DUMMYFUNCTION("GOOGLETRANSLATE(B225,""en"",""de"")"),"Gespeicherte Treks anzeigen")</f>
        <v>Gespeicherte Treks anzeigen</v>
      </c>
      <c r="H225" s="4" t="str">
        <f>IFERROR(__xludf.DUMMYFUNCTION("GOOGLETRANSLATE(B225,""en"",""es"")"),"Ver rutas guardadas")</f>
        <v>Ver rutas guardadas</v>
      </c>
      <c r="I225" s="4" t="str">
        <f>IFERROR(__xludf.DUMMYFUNCTION("GOOGLETRANSLATE(B225,""en"",""fr"")"),"Voir les randonnées enregistrées")</f>
        <v>Voir les randonnées enregistrées</v>
      </c>
      <c r="J225" s="4" t="str">
        <f>IFERROR(__xludf.DUMMYFUNCTION("GOOGLETRANSLATE(B225,""en"",""it"")"),"Visualizza i trekking salvati")</f>
        <v>Visualizza i trekking salvati</v>
      </c>
      <c r="K225" s="4" t="str">
        <f>IFERROR(__xludf.DUMMYFUNCTION("GOOGLETRANSLATE(B225,""en"",""pt"")"),"Ver trilhas salvas")</f>
        <v>Ver trilhas salvas</v>
      </c>
      <c r="L225" s="4" t="str">
        <f>IFERROR(__xludf.DUMMYFUNCTION("GOOGLETRANSLATE(B225,""en"",""ro"")"),"Vizualizați traseele salvate")</f>
        <v>Vizualizați traseele salvate</v>
      </c>
      <c r="M225" s="4" t="str">
        <f>IFERROR(__xludf.DUMMYFUNCTION("GOOGLETRANSLATE(B225,""en"",""vi"")"),"Xem các chuyến đi đã lưu")</f>
        <v>Xem các chuyến đi đã lưu</v>
      </c>
      <c r="N225" s="4" t="str">
        <f>IFERROR(__xludf.DUMMYFUNCTION("GOOGLETRANSLATE(B225,""en"",""ru"")"),"Просмотреть сохраненные походы")</f>
        <v>Просмотреть сохраненные походы</v>
      </c>
      <c r="O225" s="4" t="str">
        <f>IFERROR(__xludf.DUMMYFUNCTION("GOOGLETRANSLATE(B225,""en"",""tr"")"),"Kaydedilen Gezileri Görüntüle")</f>
        <v>Kaydedilen Gezileri Görüntüle</v>
      </c>
      <c r="P225" s="4" t="str">
        <f>IFERROR(__xludf.DUMMYFUNCTION("GOOGLETRANSLATE(B225,""en"",""ar"")"),"عرض الرحلات المحفوظة")</f>
        <v>عرض الرحلات المحفوظة</v>
      </c>
      <c r="Q225" s="4" t="str">
        <f>IFERROR(__xludf.DUMMYFUNCTION("GOOGLETRANSLATE(B225,""en"",""mr"")"),"जतन केलेले ट्रेक पहा")</f>
        <v>जतन केलेले ट्रेक पहा</v>
      </c>
      <c r="R225" s="4" t="str">
        <f>IFERROR(__xludf.DUMMYFUNCTION("GOOGLETRANSLATE(B225,""en"",""gu"")"),"સાચવેલા ટ્રેક જુઓ")</f>
        <v>સાચવેલા ટ્રેક જુઓ</v>
      </c>
      <c r="S225" s="4" t="str">
        <f>IFERROR(__xludf.DUMMYFUNCTION("GOOGLETRANSLATE(B225,""en"",""bn"")"),"সংরক্ষিত ট্রেক দেখুন")</f>
        <v>সংরক্ষিত ট্রেক দেখুন</v>
      </c>
      <c r="T225" s="4" t="str">
        <f>IFERROR(__xludf.DUMMYFUNCTION("GOOGLETRANSLATE(B225,""en"",""pa"")"),"ਸੁਰੱਖਿਅਤ ਕੀਤੇ ਟ੍ਰੈਕ ਵੇਖੋ")</f>
        <v>ਸੁਰੱਖਿਅਤ ਕੀਤੇ ਟ੍ਰੈਕ ਵੇਖੋ</v>
      </c>
      <c r="U225" s="4" t="str">
        <f>IFERROR(__xludf.DUMMYFUNCTION("GOOGLETRANSLATE(B225,""en"",""te"")"),"సేవ్ చేసిన ట్రెక్‌లను వీక్షించండి")</f>
        <v>సేవ్ చేసిన ట్రెక్‌లను వీక్షించండి</v>
      </c>
      <c r="V225" s="4" t="str">
        <f>IFERROR(__xludf.DUMMYFUNCTION("GOOGLETRANSLATE(B225,""en"",""kn"")"),"ಉಳಿಸಿದ ಚಾರಣಗಳನ್ನು ವೀಕ್ಷಿಸಿ")</f>
        <v>ಉಳಿಸಿದ ಚಾರಣಗಳನ್ನು ವೀಕ್ಷಿಸಿ</v>
      </c>
      <c r="W225" s="4" t="str">
        <f>IFERROR(__xludf.DUMMYFUNCTION("GOOGLETRANSLATE(B225,""en"",""ml"")"),"സംരക്ഷിച്ച ട്രെക്കുകൾ കാണുക")</f>
        <v>സംരക്ഷിച്ച ട്രെക്കുകൾ കാണുക</v>
      </c>
      <c r="X225" s="4" t="str">
        <f>IFERROR(__xludf.DUMMYFUNCTION("GOOGLETRANSLATE(B225,""en"",""th"")"),"ดูเส้นทางที่บันทึกไว้")</f>
        <v>ดูเส้นทางที่บันทึกไว้</v>
      </c>
      <c r="Y225" s="4" t="str">
        <f>IFERROR(__xludf.DUMMYFUNCTION("GOOGLETRANSLATE(B225,""en"",""ko"")"),"저장된 트렉 보기")</f>
        <v>저장된 트렉 보기</v>
      </c>
      <c r="Z225" s="4" t="str">
        <f>IFERROR(__xludf.DUMMYFUNCTION("GOOGLETRANSLATE(B225,""en"",""zh"")"),"查看已保存的徒步路线")</f>
        <v>查看已保存的徒步路线</v>
      </c>
      <c r="AA225" s="4" t="str">
        <f>IFERROR(__xludf.DUMMYFUNCTION("GOOGLETRANSLATE(B225,""en"",""zh-TW"")"),"查看已儲存的健行路線")</f>
        <v>查看已儲存的健行路線</v>
      </c>
      <c r="AB225" s="4" t="str">
        <f>IFERROR(__xludf.DUMMYFUNCTION("GOOGLETRANSLATE(B225,""en"",""ja"")"),"保存したトレッキングを表示")</f>
        <v>保存したトレッキングを表示</v>
      </c>
      <c r="AC225" s="4" t="str">
        <f>IFERROR(__xludf.DUMMYFUNCTION("GOOGLETRANSLATE(B225,""en"",""bg"")"),"Преглед на запазени преходи")</f>
        <v>Преглед на запазени преходи</v>
      </c>
      <c r="AD225" s="4" t="str">
        <f>IFERROR(__xludf.DUMMYFUNCTION("GOOGLETRANSLATE(B225,""en"",""cs"")"),"Zobrazit uložené treky")</f>
        <v>Zobrazit uložené treky</v>
      </c>
      <c r="AE225" s="4" t="str">
        <f>IFERROR(__xludf.DUMMYFUNCTION("GOOGLETRANSLATE(B225,""en"",""da"")"),"Se gemte ture")</f>
        <v>Se gemte ture</v>
      </c>
      <c r="AF225" s="4" t="str">
        <f>IFERROR(__xludf.DUMMYFUNCTION("GOOGLETRANSLATE(B225,""en"",""el"")"),"Προβολή αποθηκευμένων οδοιπορικών")</f>
        <v>Προβολή αποθηκευμένων οδοιπορικών</v>
      </c>
      <c r="AG225" s="4" t="str">
        <f>IFERROR(__xludf.DUMMYFUNCTION("GOOGLETRANSLATE(B225,""en"",""et"")"),"Vaadake salvestatud teekondi")</f>
        <v>Vaadake salvestatud teekondi</v>
      </c>
      <c r="AH225" s="4" t="str">
        <f>IFERROR(__xludf.DUMMYFUNCTION("GOOGLETRANSLATE(B225,""en"",""fi"")"),"Näytä tallennetut retket")</f>
        <v>Näytä tallennetut retket</v>
      </c>
      <c r="AI225" s="4" t="str">
        <f>IFERROR(__xludf.DUMMYFUNCTION("GOOGLETRANSLATE(B225,""en"",""hr"")"),"Pogledajte spremljena putovanja")</f>
        <v>Pogledajte spremljena putovanja</v>
      </c>
      <c r="AJ225" s="4" t="str">
        <f>IFERROR(__xludf.DUMMYFUNCTION("GOOGLETRANSLATE(B225,""en"",""hu"")"),"Mentett túrák megtekintése")</f>
        <v>Mentett túrák megtekintése</v>
      </c>
      <c r="AK225" s="4" t="str">
        <f>IFERROR(__xludf.DUMMYFUNCTION("GOOGLETRANSLATE(B225,""en"",""hy"")"),"Դիտեք Պահված արշավները")</f>
        <v>Դիտեք Պահված արշավները</v>
      </c>
      <c r="AL225" s="4" t="str">
        <f>IFERROR(__xludf.DUMMYFUNCTION("GOOGLETRANSLATE(B225,""en"",""ca"")"),"Veure trajectes desats")</f>
        <v>Veure trajectes desats</v>
      </c>
      <c r="AM225" s="4" t="str">
        <f>IFERROR(__xludf.DUMMYFUNCTION("GOOGLETRANSLATE(B225,""en"",""nl"")"),"Bekijk opgeslagen tochten")</f>
        <v>Bekijk opgeslagen tochten</v>
      </c>
      <c r="AN225" s="4" t="str">
        <f>IFERROR(__xludf.DUMMYFUNCTION("GOOGLETRANSLATE(B225,""en"",""he"")"),"הצג טרקים שמורים")</f>
        <v>הצג טרקים שמורים</v>
      </c>
      <c r="AO225" s="4" t="str">
        <f>IFERROR(__xludf.DUMMYFUNCTION("GOOGLETRANSLATE(B225,""en"",""is"")"),"Skoða vistaðar ferðir")</f>
        <v>Skoða vistaðar ferðir</v>
      </c>
      <c r="AP225" s="4" t="str">
        <f>IFERROR(__xludf.DUMMYFUNCTION("GOOGLETRANSLATE(B225,""en"",""no"")"),"Se lagrede turer")</f>
        <v>Se lagrede turer</v>
      </c>
      <c r="AQ225" s="4" t="str">
        <f>IFERROR(__xludf.DUMMYFUNCTION("GOOGLETRANSLATE(B225,""en"",""fa"")"),"مشاهده سفرهای ذخیره شده")</f>
        <v>مشاهده سفرهای ذخیره شده</v>
      </c>
      <c r="AR225" s="4" t="str">
        <f>IFERROR(__xludf.DUMMYFUNCTION("GOOGLETRANSLATE(B225,""en"",""pl"")"),"Zobacz zapisane wędrówki")</f>
        <v>Zobacz zapisane wędrówki</v>
      </c>
      <c r="AS225" s="4" t="str">
        <f>IFERROR(__xludf.DUMMYFUNCTION("GOOGLETRANSLATE(B225,""en"",""sv"")"),"Visa sparade vandringar")</f>
        <v>Visa sparade vandringar</v>
      </c>
      <c r="AT225" s="4" t="str">
        <f>IFERROR(__xludf.DUMMYFUNCTION("GOOGLETRANSLATE(B225,""en"",""uk"")"),"Переглянути збережені треки")</f>
        <v>Переглянути збережені треки</v>
      </c>
      <c r="AU225" s="4" t="str">
        <f>IFERROR(__xludf.DUMMYFUNCTION("GOOGLETRANSLATE(B225,""en"",""zu"")"),"Buka Ama-Treks Alondoloziwe")</f>
        <v>Buka Ama-Treks Alondoloziwe</v>
      </c>
      <c r="AV225" s="4" t="str">
        <f>IFERROR(__xludf.DUMMYFUNCTION("GOOGLETRANSLATE(B225,""en"",""sr"")"),"Прикажи сачуване стазе")</f>
        <v>Прикажи сачуване стазе</v>
      </c>
    </row>
    <row r="226">
      <c r="A226" s="3" t="s">
        <v>478</v>
      </c>
      <c r="B226" s="3" t="s">
        <v>479</v>
      </c>
      <c r="C226" s="4" t="str">
        <f>IFERROR(__xludf.DUMMYFUNCTION("GOOGLETRANSLATE(B226,""en"",""ta"")"),"லீடர்போர்டைப் பார்க்கவும்")</f>
        <v>லீடர்போர்டைப் பார்க்கவும்</v>
      </c>
      <c r="D226" s="4" t="str">
        <f>IFERROR(__xludf.DUMMYFUNCTION("GOOGLETRANSLATE(B226,""en"",""hi"")"),"लीडरबोर्ड देखें")</f>
        <v>लीडरबोर्ड देखें</v>
      </c>
      <c r="E226" s="4" t="str">
        <f>IFERROR(__xludf.DUMMYFUNCTION("GOOGLETRANSLATE(B226,""en"",""id"")"),"Lihat Papan Peringkat")</f>
        <v>Lihat Papan Peringkat</v>
      </c>
      <c r="F226" s="4" t="str">
        <f>IFERROR(__xludf.DUMMYFUNCTION("GOOGLETRANSLATE(B226,""en"",""ms"")"),"Lihat Papan Pendahulu")</f>
        <v>Lihat Papan Pendahulu</v>
      </c>
      <c r="G226" s="4" t="str">
        <f>IFERROR(__xludf.DUMMYFUNCTION("GOOGLETRANSLATE(B226,""en"",""de"")"),"Siehe Bestenliste")</f>
        <v>Siehe Bestenliste</v>
      </c>
      <c r="H226" s="4" t="str">
        <f>IFERROR(__xludf.DUMMYFUNCTION("GOOGLETRANSLATE(B226,""en"",""es"")"),"Ver la tabla de clasificación")</f>
        <v>Ver la tabla de clasificación</v>
      </c>
      <c r="I226" s="4" t="str">
        <f>IFERROR(__xludf.DUMMYFUNCTION("GOOGLETRANSLATE(B226,""en"",""fr"")"),"Voir le classement")</f>
        <v>Voir le classement</v>
      </c>
      <c r="J226" s="4" t="str">
        <f>IFERROR(__xludf.DUMMYFUNCTION("GOOGLETRANSLATE(B226,""en"",""it"")"),"Vedi la classifica")</f>
        <v>Vedi la classifica</v>
      </c>
      <c r="K226" s="4" t="str">
        <f>IFERROR(__xludf.DUMMYFUNCTION("GOOGLETRANSLATE(B226,""en"",""pt"")"),"Veja a tabela de classificação")</f>
        <v>Veja a tabela de classificação</v>
      </c>
      <c r="L226" s="4" t="str">
        <f>IFERROR(__xludf.DUMMYFUNCTION("GOOGLETRANSLATE(B226,""en"",""ro"")"),"Consultați Clasament")</f>
        <v>Consultați Clasament</v>
      </c>
      <c r="M226" s="4" t="str">
        <f>IFERROR(__xludf.DUMMYFUNCTION("GOOGLETRANSLATE(B226,""en"",""vi"")"),"Xem bảng xếp hạng")</f>
        <v>Xem bảng xếp hạng</v>
      </c>
      <c r="N226" s="4" t="str">
        <f>IFERROR(__xludf.DUMMYFUNCTION("GOOGLETRANSLATE(B226,""en"",""ru"")"),"Посмотреть таблицу лидеров")</f>
        <v>Посмотреть таблицу лидеров</v>
      </c>
      <c r="O226" s="4" t="str">
        <f>IFERROR(__xludf.DUMMYFUNCTION("GOOGLETRANSLATE(B226,""en"",""tr"")"),"Liderlik Tablosunu Gör")</f>
        <v>Liderlik Tablosunu Gör</v>
      </c>
      <c r="P226" s="4" t="str">
        <f>IFERROR(__xludf.DUMMYFUNCTION("GOOGLETRANSLATE(B226,""en"",""ar"")"),"انظر لوحة المتصدرين")</f>
        <v>انظر لوحة المتصدرين</v>
      </c>
      <c r="Q226" s="4" t="str">
        <f>IFERROR(__xludf.DUMMYFUNCTION("GOOGLETRANSLATE(B226,""en"",""mr"")"),"लीडरबोर्ड पहा")</f>
        <v>लीडरबोर्ड पहा</v>
      </c>
      <c r="R226" s="4" t="str">
        <f>IFERROR(__xludf.DUMMYFUNCTION("GOOGLETRANSLATE(B226,""en"",""gu"")"),"લીડરબોર્ડ જુઓ")</f>
        <v>લીડરબોર્ડ જુઓ</v>
      </c>
      <c r="S226" s="4" t="str">
        <f>IFERROR(__xludf.DUMMYFUNCTION("GOOGLETRANSLATE(B226,""en"",""bn"")"),"লিডারবোর্ড দেখুন")</f>
        <v>লিডারবোর্ড দেখুন</v>
      </c>
      <c r="T226" s="4" t="str">
        <f>IFERROR(__xludf.DUMMYFUNCTION("GOOGLETRANSLATE(B226,""en"",""pa"")"),"ਲੀਡਰਬੋਰਡ ਦੇਖੋ")</f>
        <v>ਲੀਡਰਬੋਰਡ ਦੇਖੋ</v>
      </c>
      <c r="U226" s="4" t="str">
        <f>IFERROR(__xludf.DUMMYFUNCTION("GOOGLETRANSLATE(B226,""en"",""te"")"),"లీడర్‌బోర్డ్‌ని చూడండి")</f>
        <v>లీడర్‌బోర్డ్‌ని చూడండి</v>
      </c>
      <c r="V226" s="4" t="str">
        <f>IFERROR(__xludf.DUMMYFUNCTION("GOOGLETRANSLATE(B226,""en"",""kn"")"),"ಲೀಡರ್‌ಬೋರ್ಡ್ ನೋಡಿ")</f>
        <v>ಲೀಡರ್‌ಬೋರ್ಡ್ ನೋಡಿ</v>
      </c>
      <c r="W226" s="4" t="str">
        <f>IFERROR(__xludf.DUMMYFUNCTION("GOOGLETRANSLATE(B226,""en"",""ml"")"),"ലീഡർബോർഡ് കാണുക")</f>
        <v>ലീഡർബോർഡ് കാണുക</v>
      </c>
      <c r="X226" s="4" t="str">
        <f>IFERROR(__xludf.DUMMYFUNCTION("GOOGLETRANSLATE(B226,""en"",""th"")"),"ดูกระดานผู้นำ")</f>
        <v>ดูกระดานผู้นำ</v>
      </c>
      <c r="Y226" s="4" t="str">
        <f>IFERROR(__xludf.DUMMYFUNCTION("GOOGLETRANSLATE(B226,""en"",""ko"")"),"리더보드 보기")</f>
        <v>리더보드 보기</v>
      </c>
      <c r="Z226" s="4" t="str">
        <f>IFERROR(__xludf.DUMMYFUNCTION("GOOGLETRANSLATE(B226,""en"",""zh"")"),"查看排行榜")</f>
        <v>查看排行榜</v>
      </c>
      <c r="AA226" s="4" t="str">
        <f>IFERROR(__xludf.DUMMYFUNCTION("GOOGLETRANSLATE(B226,""en"",""zh-TW"")"),"看排行榜")</f>
        <v>看排行榜</v>
      </c>
      <c r="AB226" s="4" t="str">
        <f>IFERROR(__xludf.DUMMYFUNCTION("GOOGLETRANSLATE(B226,""en"",""ja"")"),"リーダーボードを見る")</f>
        <v>リーダーボードを見る</v>
      </c>
      <c r="AC226" s="4" t="str">
        <f>IFERROR(__xludf.DUMMYFUNCTION("GOOGLETRANSLATE(B226,""en"",""bg"")"),"Вижте класация")</f>
        <v>Вижте класация</v>
      </c>
      <c r="AD226" s="4" t="str">
        <f>IFERROR(__xludf.DUMMYFUNCTION("GOOGLETRANSLATE(B226,""en"",""cs"")"),"Viz výsledková tabulka")</f>
        <v>Viz výsledková tabulka</v>
      </c>
      <c r="AE226" s="4" t="str">
        <f>IFERROR(__xludf.DUMMYFUNCTION("GOOGLETRANSLATE(B226,""en"",""da"")"),"Se Leaderboard")</f>
        <v>Se Leaderboard</v>
      </c>
      <c r="AF226" s="4" t="str">
        <f>IFERROR(__xludf.DUMMYFUNCTION("GOOGLETRANSLATE(B226,""en"",""el"")"),"Δείτε Leaderboard")</f>
        <v>Δείτε Leaderboard</v>
      </c>
      <c r="AG226" s="4" t="str">
        <f>IFERROR(__xludf.DUMMYFUNCTION("GOOGLETRANSLATE(B226,""en"",""et"")"),"Vaadake edetabelit")</f>
        <v>Vaadake edetabelit</v>
      </c>
      <c r="AH226" s="4" t="str">
        <f>IFERROR(__xludf.DUMMYFUNCTION("GOOGLETRANSLATE(B226,""en"",""fi"")"),"Katso Tulostaulukko")</f>
        <v>Katso Tulostaulukko</v>
      </c>
      <c r="AI226" s="4" t="str">
        <f>IFERROR(__xludf.DUMMYFUNCTION("GOOGLETRANSLATE(B226,""en"",""hr"")"),"Pogledajte Leaderboard")</f>
        <v>Pogledajte Leaderboard</v>
      </c>
      <c r="AJ226" s="4" t="str">
        <f>IFERROR(__xludf.DUMMYFUNCTION("GOOGLETRANSLATE(B226,""en"",""hu"")"),"Lásd a ranglistát")</f>
        <v>Lásd a ranglistát</v>
      </c>
      <c r="AK226" s="4" t="str">
        <f>IFERROR(__xludf.DUMMYFUNCTION("GOOGLETRANSLATE(B226,""en"",""hy"")"),"Տես Առաջատար աղյուսակը")</f>
        <v>Տես Առաջատար աղյուսակը</v>
      </c>
      <c r="AL226" s="4" t="str">
        <f>IFERROR(__xludf.DUMMYFUNCTION("GOOGLETRANSLATE(B226,""en"",""ca"")"),"Vegeu Tauler de classificació")</f>
        <v>Vegeu Tauler de classificació</v>
      </c>
      <c r="AM226" s="4" t="str">
        <f>IFERROR(__xludf.DUMMYFUNCTION("GOOGLETRANSLATE(B226,""en"",""nl"")"),"Zie klassement")</f>
        <v>Zie klassement</v>
      </c>
      <c r="AN226" s="4" t="str">
        <f>IFERROR(__xludf.DUMMYFUNCTION("GOOGLETRANSLATE(B226,""en"",""he"")"),"ראה Leaderboard")</f>
        <v>ראה Leaderboard</v>
      </c>
      <c r="AO226" s="4" t="str">
        <f>IFERROR(__xludf.DUMMYFUNCTION("GOOGLETRANSLATE(B226,""en"",""is"")"),"Sjá stigatöflu")</f>
        <v>Sjá stigatöflu</v>
      </c>
      <c r="AP226" s="4" t="str">
        <f>IFERROR(__xludf.DUMMYFUNCTION("GOOGLETRANSLATE(B226,""en"",""no"")"),"Se Leaderboard")</f>
        <v>Se Leaderboard</v>
      </c>
      <c r="AQ226" s="4" t="str">
        <f>IFERROR(__xludf.DUMMYFUNCTION("GOOGLETRANSLATE(B226,""en"",""fa"")"),"به تابلوی امتیازات مراجعه کنید")</f>
        <v>به تابلوی امتیازات مراجعه کنید</v>
      </c>
      <c r="AR226" s="4" t="str">
        <f>IFERROR(__xludf.DUMMYFUNCTION("GOOGLETRANSLATE(B226,""en"",""pl"")"),"Zobacz tabelę wyników")</f>
        <v>Zobacz tabelę wyników</v>
      </c>
      <c r="AS226" s="4" t="str">
        <f>IFERROR(__xludf.DUMMYFUNCTION("GOOGLETRANSLATE(B226,""en"",""sv"")"),"Se Leaderboard")</f>
        <v>Se Leaderboard</v>
      </c>
      <c r="AT226" s="4" t="str">
        <f>IFERROR(__xludf.DUMMYFUNCTION("GOOGLETRANSLATE(B226,""en"",""uk"")"),"Перегляньте таблицю лідерів")</f>
        <v>Перегляньте таблицю лідерів</v>
      </c>
      <c r="AU226" s="4" t="str">
        <f>IFERROR(__xludf.DUMMYFUNCTION("GOOGLETRANSLATE(B226,""en"",""zu"")"),"Bona Ibhodi yabaphambili")</f>
        <v>Bona Ibhodi yabaphambili</v>
      </c>
      <c r="AV226" s="4" t="str">
        <f>IFERROR(__xludf.DUMMYFUNCTION("GOOGLETRANSLATE(B226,""en"",""sr"")"),"Погледајте Леадербоард")</f>
        <v>Погледајте Леадербоард</v>
      </c>
    </row>
    <row r="227">
      <c r="A227" s="3" t="s">
        <v>480</v>
      </c>
      <c r="B227" s="3" t="s">
        <v>481</v>
      </c>
      <c r="C227" s="4" t="str">
        <f>IFERROR(__xludf.DUMMYFUNCTION("GOOGLETRANSLATE(B227,""en"",""ta"")"),"Facebook ட்ரெக்கிங் சமூகத்தில் சேரவும்")</f>
        <v>Facebook ட்ரெக்கிங் சமூகத்தில் சேரவும்</v>
      </c>
      <c r="D227" s="4" t="str">
        <f>IFERROR(__xludf.DUMMYFUNCTION("GOOGLETRANSLATE(B227,""en"",""hi"")"),"फेसबुक ट्रेकिंग समुदाय से जुड़ें")</f>
        <v>फेसबुक ट्रेकिंग समुदाय से जुड़ें</v>
      </c>
      <c r="E227" s="4" t="str">
        <f>IFERROR(__xludf.DUMMYFUNCTION("GOOGLETRANSLATE(B227,""en"",""id"")"),"Bergabunglah dengan Komunitas Trekking Facebook")</f>
        <v>Bergabunglah dengan Komunitas Trekking Facebook</v>
      </c>
      <c r="F227" s="4" t="str">
        <f>IFERROR(__xludf.DUMMYFUNCTION("GOOGLETRANSLATE(B227,""en"",""ms"")"),"Sertai Komuniti Facebook Trekking")</f>
        <v>Sertai Komuniti Facebook Trekking</v>
      </c>
      <c r="G227" s="4" t="str">
        <f>IFERROR(__xludf.DUMMYFUNCTION("GOOGLETRANSLATE(B227,""en"",""de"")"),"Treten Sie der Facebook-Trekking-Community bei")</f>
        <v>Treten Sie der Facebook-Trekking-Community bei</v>
      </c>
      <c r="H227" s="4" t="str">
        <f>IFERROR(__xludf.DUMMYFUNCTION("GOOGLETRANSLATE(B227,""en"",""es"")"),"Únete a la comunidad de trekking de Facebook")</f>
        <v>Únete a la comunidad de trekking de Facebook</v>
      </c>
      <c r="I227" s="4" t="str">
        <f>IFERROR(__xludf.DUMMYFUNCTION("GOOGLETRANSLATE(B227,""en"",""fr"")"),"Rejoignez la communauté Trekking sur Facebook")</f>
        <v>Rejoignez la communauté Trekking sur Facebook</v>
      </c>
      <c r="J227" s="4" t="str">
        <f>IFERROR(__xludf.DUMMYFUNCTION("GOOGLETRANSLATE(B227,""en"",""it"")"),"Unisciti alla comunità di trekking di Facebook")</f>
        <v>Unisciti alla comunità di trekking di Facebook</v>
      </c>
      <c r="K227" s="4" t="str">
        <f>IFERROR(__xludf.DUMMYFUNCTION("GOOGLETRANSLATE(B227,""en"",""pt"")"),"Junte-se à comunidade de trekking do Facebook")</f>
        <v>Junte-se à comunidade de trekking do Facebook</v>
      </c>
      <c r="L227" s="4" t="str">
        <f>IFERROR(__xludf.DUMMYFUNCTION("GOOGLETRANSLATE(B227,""en"",""ro"")"),"Alăturați-vă comunității Facebook Trekking")</f>
        <v>Alăturați-vă comunității Facebook Trekking</v>
      </c>
      <c r="M227" s="4" t="str">
        <f>IFERROR(__xludf.DUMMYFUNCTION("GOOGLETRANSLATE(B227,""en"",""vi"")"),"Tham gia cộng đồng Trekking trên Facebook")</f>
        <v>Tham gia cộng đồng Trekking trên Facebook</v>
      </c>
      <c r="N227" s="4" t="str">
        <f>IFERROR(__xludf.DUMMYFUNCTION("GOOGLETRANSLATE(B227,""en"",""ru"")"),"Присоединяйтесь к сообществу треккинга на Facebook")</f>
        <v>Присоединяйтесь к сообществу треккинга на Facebook</v>
      </c>
      <c r="O227" s="4" t="str">
        <f>IFERROR(__xludf.DUMMYFUNCTION("GOOGLETRANSLATE(B227,""en"",""tr"")"),"Facebook Trekking Topluluğuna Katılın")</f>
        <v>Facebook Trekking Topluluğuna Katılın</v>
      </c>
      <c r="P227" s="4" t="str">
        <f>IFERROR(__xludf.DUMMYFUNCTION("GOOGLETRANSLATE(B227,""en"",""ar"")"),"انضم إلى مجتمع الرحلات على فيسبوك")</f>
        <v>انضم إلى مجتمع الرحلات على فيسبوك</v>
      </c>
      <c r="Q227" s="4" t="str">
        <f>IFERROR(__xludf.DUMMYFUNCTION("GOOGLETRANSLATE(B227,""en"",""mr"")"),"फेसबुक ट्रेकिंग समुदायात सामील व्हा")</f>
        <v>फेसबुक ट्रेकिंग समुदायात सामील व्हा</v>
      </c>
      <c r="R227" s="4" t="str">
        <f>IFERROR(__xludf.DUMMYFUNCTION("GOOGLETRANSLATE(B227,""en"",""gu"")"),"ફેસબુક ટ્રેકિંગ સમુદાયમાં જોડાઓ")</f>
        <v>ફેસબુક ટ્રેકિંગ સમુદાયમાં જોડાઓ</v>
      </c>
      <c r="S227" s="4" t="str">
        <f>IFERROR(__xludf.DUMMYFUNCTION("GOOGLETRANSLATE(B227,""en"",""bn"")"),"ফেসবুক ট্রেকিং কমিউনিটিতে যোগ দিন")</f>
        <v>ফেসবুক ট্রেকিং কমিউনিটিতে যোগ দিন</v>
      </c>
      <c r="T227" s="4" t="str">
        <f>IFERROR(__xludf.DUMMYFUNCTION("GOOGLETRANSLATE(B227,""en"",""pa"")"),"ਫੇਸਬੁੱਕ ਟ੍ਰੈਕਿੰਗ ਕਮਿਊਨਿਟੀ ਵਿੱਚ ਸ਼ਾਮਲ ਹੋਵੋ")</f>
        <v>ਫੇਸਬੁੱਕ ਟ੍ਰੈਕਿੰਗ ਕਮਿਊਨਿਟੀ ਵਿੱਚ ਸ਼ਾਮਲ ਹੋਵੋ</v>
      </c>
      <c r="U227" s="4" t="str">
        <f>IFERROR(__xludf.DUMMYFUNCTION("GOOGLETRANSLATE(B227,""en"",""te"")"),"Facebook ట్రెక్కింగ్ సంఘంలో చేరండి")</f>
        <v>Facebook ట్రెక్కింగ్ సంఘంలో చేరండి</v>
      </c>
      <c r="V227" s="4" t="str">
        <f>IFERROR(__xludf.DUMMYFUNCTION("GOOGLETRANSLATE(B227,""en"",""kn"")"),"Facebook ಟ್ರೆಕ್ಕಿಂಗ್ ಸಮುದಾಯಕ್ಕೆ ಸೇರಿ")</f>
        <v>Facebook ಟ್ರೆಕ್ಕಿಂಗ್ ಸಮುದಾಯಕ್ಕೆ ಸೇರಿ</v>
      </c>
      <c r="W227" s="4" t="str">
        <f>IFERROR(__xludf.DUMMYFUNCTION("GOOGLETRANSLATE(B227,""en"",""ml"")"),"Facebook ട്രെക്കിംഗ് കമ്മ്യൂണിറ്റിയിൽ ചേരുക")</f>
        <v>Facebook ട്രെക്കിംഗ് കമ്മ്യൂണിറ്റിയിൽ ചേരുക</v>
      </c>
      <c r="X227" s="4" t="str">
        <f>IFERROR(__xludf.DUMMYFUNCTION("GOOGLETRANSLATE(B227,""en"",""th"")"),"เข้าร่วมชุมชนการเดินป่าบน Facebook")</f>
        <v>เข้าร่วมชุมชนการเดินป่าบน Facebook</v>
      </c>
      <c r="Y227" s="4" t="str">
        <f>IFERROR(__xludf.DUMMYFUNCTION("GOOGLETRANSLATE(B227,""en"",""ko"")"),"페이스북 트레킹 커뮤니티에 가입하세요")</f>
        <v>페이스북 트레킹 커뮤니티에 가입하세요</v>
      </c>
      <c r="Z227" s="4" t="str">
        <f>IFERROR(__xludf.DUMMYFUNCTION("GOOGLETRANSLATE(B227,""en"",""zh"")"),"加入 Facebook 徒步旅行社区")</f>
        <v>加入 Facebook 徒步旅行社区</v>
      </c>
      <c r="AA227" s="4" t="str">
        <f>IFERROR(__xludf.DUMMYFUNCTION("GOOGLETRANSLATE(B227,""en"",""zh-TW"")"),"加入 Facebook 健行社區")</f>
        <v>加入 Facebook 健行社區</v>
      </c>
      <c r="AB227" s="4" t="str">
        <f>IFERROR(__xludf.DUMMYFUNCTION("GOOGLETRANSLATE(B227,""en"",""ja"")"),"Facebookのトレッキングコミュニティに参加する")</f>
        <v>Facebookのトレッキングコミュニティに参加する</v>
      </c>
      <c r="AC227" s="4" t="str">
        <f>IFERROR(__xludf.DUMMYFUNCTION("GOOGLETRANSLATE(B227,""en"",""bg"")"),"Присъединете се към общността за трекинг във Facebook")</f>
        <v>Присъединете се към общността за трекинг във Facebook</v>
      </c>
      <c r="AD227" s="4" t="str">
        <f>IFERROR(__xludf.DUMMYFUNCTION("GOOGLETRANSLATE(B227,""en"",""cs"")"),"Připojte se ke komunitě Facebook Treking")</f>
        <v>Připojte se ke komunitě Facebook Treking</v>
      </c>
      <c r="AE227" s="4" t="str">
        <f>IFERROR(__xludf.DUMMYFUNCTION("GOOGLETRANSLATE(B227,""en"",""da"")"),"Tilmeld dig Facebook Trekking Community")</f>
        <v>Tilmeld dig Facebook Trekking Community</v>
      </c>
      <c r="AF227" s="4" t="str">
        <f>IFERROR(__xludf.DUMMYFUNCTION("GOOGLETRANSLATE(B227,""en"",""el"")"),"Εγγραφείτε στο Facebook Trekking Community")</f>
        <v>Εγγραφείτε στο Facebook Trekking Community</v>
      </c>
      <c r="AG227" s="4" t="str">
        <f>IFERROR(__xludf.DUMMYFUNCTION("GOOGLETRANSLATE(B227,""en"",""et"")"),"Liituge Facebooki matkade kogukonnaga")</f>
        <v>Liituge Facebooki matkade kogukonnaga</v>
      </c>
      <c r="AH227" s="4" t="str">
        <f>IFERROR(__xludf.DUMMYFUNCTION("GOOGLETRANSLATE(B227,""en"",""fi"")"),"Liity Facebookin vaellusyhteisöön")</f>
        <v>Liity Facebookin vaellusyhteisöön</v>
      </c>
      <c r="AI227" s="4" t="str">
        <f>IFERROR(__xludf.DUMMYFUNCTION("GOOGLETRANSLATE(B227,""en"",""hr"")"),"Pridružite se Facebook Trekking zajednici")</f>
        <v>Pridružite se Facebook Trekking zajednici</v>
      </c>
      <c r="AJ227" s="4" t="str">
        <f>IFERROR(__xludf.DUMMYFUNCTION("GOOGLETRANSLATE(B227,""en"",""hu"")"),"Csatlakozz a Facebook Trekking Közösséghez")</f>
        <v>Csatlakozz a Facebook Trekking Közösséghez</v>
      </c>
      <c r="AK227" s="4" t="str">
        <f>IFERROR(__xludf.DUMMYFUNCTION("GOOGLETRANSLATE(B227,""en"",""hy"")"),"Միացեք Facebook Trekking համայնքին")</f>
        <v>Միացեք Facebook Trekking համայնքին</v>
      </c>
      <c r="AL227" s="4" t="str">
        <f>IFERROR(__xludf.DUMMYFUNCTION("GOOGLETRANSLATE(B227,""en"",""ca"")"),"Uneix-te a la comunitat de trekking de Facebook")</f>
        <v>Uneix-te a la comunitat de trekking de Facebook</v>
      </c>
      <c r="AM227" s="4" t="str">
        <f>IFERROR(__xludf.DUMMYFUNCTION("GOOGLETRANSLATE(B227,""en"",""nl"")"),"Word lid van de Facebook Trekking Community")</f>
        <v>Word lid van de Facebook Trekking Community</v>
      </c>
      <c r="AN227" s="4" t="str">
        <f>IFERROR(__xludf.DUMMYFUNCTION("GOOGLETRANSLATE(B227,""en"",""he"")"),"הצטרף לקהילת טרקים בפייסבוק")</f>
        <v>הצטרף לקהילת טרקים בפייסבוק</v>
      </c>
      <c r="AO227" s="4" t="str">
        <f>IFERROR(__xludf.DUMMYFUNCTION("GOOGLETRANSLATE(B227,""en"",""is"")"),"Skráðu þig á Facebook Trekking Community")</f>
        <v>Skráðu þig á Facebook Trekking Community</v>
      </c>
      <c r="AP227" s="4" t="str">
        <f>IFERROR(__xludf.DUMMYFUNCTION("GOOGLETRANSLATE(B227,""en"",""no"")"),"Bli med på Facebook Trekking Community")</f>
        <v>Bli med på Facebook Trekking Community</v>
      </c>
      <c r="AQ227" s="4" t="str">
        <f>IFERROR(__xludf.DUMMYFUNCTION("GOOGLETRANSLATE(B227,""en"",""fa"")"),"به انجمن راهپیمایی فیس بوک بپیوندید")</f>
        <v>به انجمن راهپیمایی فیس بوک بپیوندید</v>
      </c>
      <c r="AR227" s="4" t="str">
        <f>IFERROR(__xludf.DUMMYFUNCTION("GOOGLETRANSLATE(B227,""en"",""pl"")"),"Dołącz do społeczności Facebook Trekking")</f>
        <v>Dołącz do społeczności Facebook Trekking</v>
      </c>
      <c r="AS227" s="4" t="str">
        <f>IFERROR(__xludf.DUMMYFUNCTION("GOOGLETRANSLATE(B227,""en"",""sv"")"),"Gå med i Facebook Trekking Community")</f>
        <v>Gå med i Facebook Trekking Community</v>
      </c>
      <c r="AT227" s="4" t="str">
        <f>IFERROR(__xludf.DUMMYFUNCTION("GOOGLETRANSLATE(B227,""en"",""uk"")"),"Приєднуйтеся до трекінгової спільноти Facebook")</f>
        <v>Приєднуйтеся до трекінгової спільноти Facebook</v>
      </c>
      <c r="AU227" s="4" t="str">
        <f>IFERROR(__xludf.DUMMYFUNCTION("GOOGLETRANSLATE(B227,""en"",""zu"")"),"Joyina umphakathi we-Facebook Trekking")</f>
        <v>Joyina umphakathi we-Facebook Trekking</v>
      </c>
      <c r="AV227" s="4" t="str">
        <f>IFERROR(__xludf.DUMMYFUNCTION("GOOGLETRANSLATE(B227,""en"",""sr"")"),"Придружите се Фацебоок Треккинг заједници")</f>
        <v>Придружите се Фацебоок Треккинг заједници</v>
      </c>
    </row>
    <row r="228">
      <c r="A228" s="3" t="s">
        <v>482</v>
      </c>
      <c r="B228" s="3" t="s">
        <v>483</v>
      </c>
      <c r="C228" s="4" t="str">
        <f>IFERROR(__xludf.DUMMYFUNCTION("GOOGLETRANSLATE(B228,""en"",""ta"")"),"நடந்துகொண்டிருக்கும் மலையேற்றம்")</f>
        <v>நடந்துகொண்டிருக்கும் மலையேற்றம்</v>
      </c>
      <c r="D228" s="4" t="str">
        <f>IFERROR(__xludf.DUMMYFUNCTION("GOOGLETRANSLATE(B228,""en"",""hi"")"),"चल रहा ट्रेक")</f>
        <v>चल रहा ट्रेक</v>
      </c>
      <c r="E228" s="4" t="str">
        <f>IFERROR(__xludf.DUMMYFUNCTION("GOOGLETRANSLATE(B228,""en"",""id"")"),"Trek yang Sedang Berlangsung")</f>
        <v>Trek yang Sedang Berlangsung</v>
      </c>
      <c r="F228" s="4" t="str">
        <f>IFERROR(__xludf.DUMMYFUNCTION("GOOGLETRANSLATE(B228,""en"",""ms"")"),"Trek Berterusan")</f>
        <v>Trek Berterusan</v>
      </c>
      <c r="G228" s="4" t="str">
        <f>IFERROR(__xludf.DUMMYFUNCTION("GOOGLETRANSLATE(B228,""en"",""de"")"),"Laufende Wanderung")</f>
        <v>Laufende Wanderung</v>
      </c>
      <c r="H228" s="4" t="str">
        <f>IFERROR(__xludf.DUMMYFUNCTION("GOOGLETRANSLATE(B228,""en"",""es"")"),"Caminata en curso")</f>
        <v>Caminata en curso</v>
      </c>
      <c r="I228" s="4" t="str">
        <f>IFERROR(__xludf.DUMMYFUNCTION("GOOGLETRANSLATE(B228,""en"",""fr"")"),"Trek en cours")</f>
        <v>Trek en cours</v>
      </c>
      <c r="J228" s="4" t="str">
        <f>IFERROR(__xludf.DUMMYFUNCTION("GOOGLETRANSLATE(B228,""en"",""it"")"),"Trekking in corso")</f>
        <v>Trekking in corso</v>
      </c>
      <c r="K228" s="4" t="str">
        <f>IFERROR(__xludf.DUMMYFUNCTION("GOOGLETRANSLATE(B228,""en"",""pt"")"),"Caminhada em andamento")</f>
        <v>Caminhada em andamento</v>
      </c>
      <c r="L228" s="4" t="str">
        <f>IFERROR(__xludf.DUMMYFUNCTION("GOOGLETRANSLATE(B228,""en"",""ro"")"),"Trek în curs")</f>
        <v>Trek în curs</v>
      </c>
      <c r="M228" s="4" t="str">
        <f>IFERROR(__xludf.DUMMYFUNCTION("GOOGLETRANSLATE(B228,""en"",""vi"")"),"Chuyến đi đang diễn ra")</f>
        <v>Chuyến đi đang diễn ra</v>
      </c>
      <c r="N228" s="4" t="str">
        <f>IFERROR(__xludf.DUMMYFUNCTION("GOOGLETRANSLATE(B228,""en"",""ru"")"),"Продолжающийся поход")</f>
        <v>Продолжающийся поход</v>
      </c>
      <c r="O228" s="4" t="str">
        <f>IFERROR(__xludf.DUMMYFUNCTION("GOOGLETRANSLATE(B228,""en"",""tr"")"),"Devam Eden Trek")</f>
        <v>Devam Eden Trek</v>
      </c>
      <c r="P228" s="4" t="str">
        <f>IFERROR(__xludf.DUMMYFUNCTION("GOOGLETRANSLATE(B228,""en"",""ar"")"),"رحلة مستمرة")</f>
        <v>رحلة مستمرة</v>
      </c>
      <c r="Q228" s="4" t="str">
        <f>IFERROR(__xludf.DUMMYFUNCTION("GOOGLETRANSLATE(B228,""en"",""mr"")"),"चालू असलेला ट्रेक")</f>
        <v>चालू असलेला ट्रेक</v>
      </c>
      <c r="R228" s="4" t="str">
        <f>IFERROR(__xludf.DUMMYFUNCTION("GOOGLETRANSLATE(B228,""en"",""gu"")"),"ચાલુ ટ્રેક")</f>
        <v>ચાલુ ટ્રેક</v>
      </c>
      <c r="S228" s="4" t="str">
        <f>IFERROR(__xludf.DUMMYFUNCTION("GOOGLETRANSLATE(B228,""en"",""bn"")"),"চলমান ট্রেক")</f>
        <v>চলমান ট্রেক</v>
      </c>
      <c r="T228" s="4" t="str">
        <f>IFERROR(__xludf.DUMMYFUNCTION("GOOGLETRANSLATE(B228,""en"",""pa"")"),"ਚੱਲ ਰਿਹਾ ਟ੍ਰੈਕ")</f>
        <v>ਚੱਲ ਰਿਹਾ ਟ੍ਰੈਕ</v>
      </c>
      <c r="U228" s="4" t="str">
        <f>IFERROR(__xludf.DUMMYFUNCTION("GOOGLETRANSLATE(B228,""en"",""te"")"),"కొనసాగుతున్న ట్రెక్")</f>
        <v>కొనసాగుతున్న ట్రెక్</v>
      </c>
      <c r="V228" s="4" t="str">
        <f>IFERROR(__xludf.DUMMYFUNCTION("GOOGLETRANSLATE(B228,""en"",""kn"")"),"ಚಾರಣ ಚಾರಣ ನಡೆಯುತ್ತಿದೆ")</f>
        <v>ಚಾರಣ ಚಾರಣ ನಡೆಯುತ್ತಿದೆ</v>
      </c>
      <c r="W228" s="4" t="str">
        <f>IFERROR(__xludf.DUMMYFUNCTION("GOOGLETRANSLATE(B228,""en"",""ml"")"),"നടന്നുകൊണ്ടിരിക്കുന്ന ട്രെക്ക്")</f>
        <v>നടന്നുകൊണ്ടിരിക്കുന്ന ട്രെക്ക്</v>
      </c>
      <c r="X228" s="4" t="str">
        <f>IFERROR(__xludf.DUMMYFUNCTION("GOOGLETRANSLATE(B228,""en"",""th"")"),"การเดินทางอย่างต่อเนื่อง")</f>
        <v>การเดินทางอย่างต่อเนื่อง</v>
      </c>
      <c r="Y228" s="4" t="str">
        <f>IFERROR(__xludf.DUMMYFUNCTION("GOOGLETRANSLATE(B228,""en"",""ko"")"),"진행 중인 트레킹")</f>
        <v>진행 중인 트레킹</v>
      </c>
      <c r="Z228" s="4" t="str">
        <f>IFERROR(__xludf.DUMMYFUNCTION("GOOGLETRANSLATE(B228,""en"",""zh"")"),"持续的跋涉")</f>
        <v>持续的跋涉</v>
      </c>
      <c r="AA228" s="4" t="str">
        <f>IFERROR(__xludf.DUMMYFUNCTION("GOOGLETRANSLATE(B228,""en"",""zh-TW"")"),"持續的跋涉")</f>
        <v>持續的跋涉</v>
      </c>
      <c r="AB228" s="4" t="str">
        <f>IFERROR(__xludf.DUMMYFUNCTION("GOOGLETRANSLATE(B228,""en"",""ja"")"),"進行中のトレッキング")</f>
        <v>進行中のトレッキング</v>
      </c>
      <c r="AC228" s="4" t="str">
        <f>IFERROR(__xludf.DUMMYFUNCTION("GOOGLETRANSLATE(B228,""en"",""bg"")"),"Продължаващ Трек")</f>
        <v>Продължаващ Трек</v>
      </c>
      <c r="AD228" s="4" t="str">
        <f>IFERROR(__xludf.DUMMYFUNCTION("GOOGLETRANSLATE(B228,""en"",""cs"")"),"Probíhající Trek")</f>
        <v>Probíhající Trek</v>
      </c>
      <c r="AE228" s="4" t="str">
        <f>IFERROR(__xludf.DUMMYFUNCTION("GOOGLETRANSLATE(B228,""en"",""da"")"),"Igangværende vandring")</f>
        <v>Igangværende vandring</v>
      </c>
      <c r="AF228" s="4" t="str">
        <f>IFERROR(__xludf.DUMMYFUNCTION("GOOGLETRANSLATE(B228,""en"",""el"")"),"Σε εξέλιξη Οδοιπορικό")</f>
        <v>Σε εξέλιξη Οδοιπορικό</v>
      </c>
      <c r="AG228" s="4" t="str">
        <f>IFERROR(__xludf.DUMMYFUNCTION("GOOGLETRANSLATE(B228,""en"",""et"")"),"Käimasolev trek")</f>
        <v>Käimasolev trek</v>
      </c>
      <c r="AH228" s="4" t="str">
        <f>IFERROR(__xludf.DUMMYFUNCTION("GOOGLETRANSLATE(B228,""en"",""fi"")"),"Jatkuva vaellus")</f>
        <v>Jatkuva vaellus</v>
      </c>
      <c r="AI228" s="4" t="str">
        <f>IFERROR(__xludf.DUMMYFUNCTION("GOOGLETRANSLATE(B228,""en"",""hr"")"),"Trek u tijeku")</f>
        <v>Trek u tijeku</v>
      </c>
      <c r="AJ228" s="4" t="str">
        <f>IFERROR(__xludf.DUMMYFUNCTION("GOOGLETRANSLATE(B228,""en"",""hu"")"),"Folyamatos Trek")</f>
        <v>Folyamatos Trek</v>
      </c>
      <c r="AK228" s="4" t="str">
        <f>IFERROR(__xludf.DUMMYFUNCTION("GOOGLETRANSLATE(B228,""en"",""hy"")"),"Ընթացիկ արշավ")</f>
        <v>Ընթացիկ արշավ</v>
      </c>
      <c r="AL228" s="4" t="str">
        <f>IFERROR(__xludf.DUMMYFUNCTION("GOOGLETRANSLATE(B228,""en"",""ca"")"),"Trekking en curs")</f>
        <v>Trekking en curs</v>
      </c>
      <c r="AM228" s="4" t="str">
        <f>IFERROR(__xludf.DUMMYFUNCTION("GOOGLETRANSLATE(B228,""en"",""nl"")"),"Doorlopende trektocht")</f>
        <v>Doorlopende trektocht</v>
      </c>
      <c r="AN228" s="4" t="str">
        <f>IFERROR(__xludf.DUMMYFUNCTION("GOOGLETRANSLATE(B228,""en"",""he"")"),"טרק מתמשך")</f>
        <v>טרק מתמשך</v>
      </c>
      <c r="AO228" s="4" t="str">
        <f>IFERROR(__xludf.DUMMYFUNCTION("GOOGLETRANSLATE(B228,""en"",""is"")"),"Áframhaldandi ferð")</f>
        <v>Áframhaldandi ferð</v>
      </c>
      <c r="AP228" s="4" t="str">
        <f>IFERROR(__xludf.DUMMYFUNCTION("GOOGLETRANSLATE(B228,""en"",""no"")"),"Pågående vandring")</f>
        <v>Pågående vandring</v>
      </c>
      <c r="AQ228" s="4" t="str">
        <f>IFERROR(__xludf.DUMMYFUNCTION("GOOGLETRANSLATE(B228,""en"",""fa"")"),"راهپیمایی در حال انجام")</f>
        <v>راهپیمایی در حال انجام</v>
      </c>
      <c r="AR228" s="4" t="str">
        <f>IFERROR(__xludf.DUMMYFUNCTION("GOOGLETRANSLATE(B228,""en"",""pl"")"),"Trwająca wędrówka")</f>
        <v>Trwająca wędrówka</v>
      </c>
      <c r="AS228" s="4" t="str">
        <f>IFERROR(__xludf.DUMMYFUNCTION("GOOGLETRANSLATE(B228,""en"",""sv"")"),"Pågående vandring")</f>
        <v>Pågående vandring</v>
      </c>
      <c r="AT228" s="4" t="str">
        <f>IFERROR(__xludf.DUMMYFUNCTION("GOOGLETRANSLATE(B228,""en"",""uk"")"),"Постійний похід")</f>
        <v>Постійний похід</v>
      </c>
      <c r="AU228" s="4" t="str">
        <f>IFERROR(__xludf.DUMMYFUNCTION("GOOGLETRANSLATE(B228,""en"",""zu"")"),"Uhambo Oluqhubekayo")</f>
        <v>Uhambo Oluqhubekayo</v>
      </c>
      <c r="AV228" s="4" t="str">
        <f>IFERROR(__xludf.DUMMYFUNCTION("GOOGLETRANSLATE(B228,""en"",""sr"")"),"Трек у току")</f>
        <v>Трек у току</v>
      </c>
    </row>
    <row r="229">
      <c r="A229" s="3" t="s">
        <v>484</v>
      </c>
      <c r="B229" s="3" t="s">
        <v>485</v>
      </c>
      <c r="C229" s="4" t="str">
        <f>IFERROR(__xludf.DUMMYFUNCTION("GOOGLETRANSLATE(B229,""en"",""ta"")"),"நீங்கள் ஏற்கனவே மலையேற்றத்தை மேற்கொண்டு வருகிறீர்கள். உங்களின் தற்போதைய மலையேற்றத்தைத் தொடர விரும்புகிறீர்களா?")</f>
        <v>நீங்கள் ஏற்கனவே மலையேற்றத்தை மேற்கொண்டு வருகிறீர்கள். உங்களின் தற்போதைய மலையேற்றத்தைத் தொடர விரும்புகிறீர்களா?</v>
      </c>
      <c r="D229" s="4" t="str">
        <f>IFERROR(__xludf.DUMMYFUNCTION("GOOGLETRANSLATE(B229,""en"",""hi"")"),"आपका ट्रेक पहले से ही जारी है। क्या आप अपना मौजूदा ट्रेक जारी रखना चाहेंगे?")</f>
        <v>आपका ट्रेक पहले से ही जारी है। क्या आप अपना मौजूदा ट्रेक जारी रखना चाहेंगे?</v>
      </c>
      <c r="E229" s="4" t="str">
        <f>IFERROR(__xludf.DUMMYFUNCTION("GOOGLETRANSLATE(B229,""en"",""id"")"),"Anda sudah memiliki perjalanan yang sedang berlangsung. Apakah Anda ingin melanjutkan perjalanan Anda saat ini?")</f>
        <v>Anda sudah memiliki perjalanan yang sedang berlangsung. Apakah Anda ingin melanjutkan perjalanan Anda saat ini?</v>
      </c>
      <c r="F229" s="4" t="str">
        <f>IFERROR(__xludf.DUMMYFUNCTION("GOOGLETRANSLATE(B229,""en"",""ms"")"),"Anda sudah mempunyai pengembaraan yang berterusan. Adakah anda ingin meneruskan perjalanan semasa anda?")</f>
        <v>Anda sudah mempunyai pengembaraan yang berterusan. Adakah anda ingin meneruskan perjalanan semasa anda?</v>
      </c>
      <c r="G229" s="4" t="str">
        <f>IFERROR(__xludf.DUMMYFUNCTION("GOOGLETRANSLATE(B229,""en"",""de"")"),"Sie haben bereits eine laufende Wanderung. Möchten Sie Ihre aktuelle Wanderung fortsetzen?")</f>
        <v>Sie haben bereits eine laufende Wanderung. Möchten Sie Ihre aktuelle Wanderung fortsetzen?</v>
      </c>
      <c r="H229" s="4" t="str">
        <f>IFERROR(__xludf.DUMMYFUNCTION("GOOGLETRANSLATE(B229,""en"",""es"")"),"Ya tienes una ruta en marcha. ¿Te gustaría continuar con la actual?")</f>
        <v>Ya tienes una ruta en marcha. ¿Te gustaría continuar con la actual?</v>
      </c>
      <c r="I229" s="4" t="str">
        <f>IFERROR(__xludf.DUMMYFUNCTION("GOOGLETRANSLATE(B229,""en"",""fr"")"),"Vous avez déjà un trek en cours. Souhaitez-vous le poursuivre ?")</f>
        <v>Vous avez déjà un trek en cours. Souhaitez-vous le poursuivre ?</v>
      </c>
      <c r="J229" s="4" t="str">
        <f>IFERROR(__xludf.DUMMYFUNCTION("GOOGLETRANSLATE(B229,""en"",""it"")"),"Hai già un trekking in corso. Vuoi continuare con quello attuale?")</f>
        <v>Hai già un trekking in corso. Vuoi continuare con quello attuale?</v>
      </c>
      <c r="K229" s="4" t="str">
        <f>IFERROR(__xludf.DUMMYFUNCTION("GOOGLETRANSLATE(B229,""en"",""pt"")"),"Você já tem uma trilha em andamento. Gostaria de continuar com a sua trilha atual?")</f>
        <v>Você já tem uma trilha em andamento. Gostaria de continuar com a sua trilha atual?</v>
      </c>
      <c r="L229" s="4" t="str">
        <f>IFERROR(__xludf.DUMMYFUNCTION("GOOGLETRANSLATE(B229,""en"",""ro"")"),"Ai deja o călătorie în desfășurare. Doriți să continuați drumul actual?")</f>
        <v>Ai deja o călătorie în desfășurare. Doriți să continuați drumul actual?</v>
      </c>
      <c r="M229" s="4" t="str">
        <f>IFERROR(__xludf.DUMMYFUNCTION("GOOGLETRANSLATE(B229,""en"",""vi"")"),"Bạn đã có một chuyến đi bộ đang diễn ra. Bạn có muốn tiếp tục chuyến đi bộ hiện tại của mình không?")</f>
        <v>Bạn đã có một chuyến đi bộ đang diễn ra. Bạn có muốn tiếp tục chuyến đi bộ hiện tại của mình không?</v>
      </c>
      <c r="N229" s="4" t="str">
        <f>IFERROR(__xludf.DUMMYFUNCTION("GOOGLETRANSLATE(B229,""en"",""ru"")"),"У вас уже есть текущий поход. Хотите продолжить текущий поход?")</f>
        <v>У вас уже есть текущий поход. Хотите продолжить текущий поход?</v>
      </c>
      <c r="O229" s="4" t="str">
        <f>IFERROR(__xludf.DUMMYFUNCTION("GOOGLETRANSLATE(B229,""en"",""tr"")"),"Zaten devam eden bir yürüyüşünüz var. Mevcut yürüyüşünüze devam etmek ister misiniz?")</f>
        <v>Zaten devam eden bir yürüyüşünüz var. Mevcut yürüyüşünüze devam etmek ister misiniz?</v>
      </c>
      <c r="P229" s="4" t="str">
        <f>IFERROR(__xludf.DUMMYFUNCTION("GOOGLETRANSLATE(B229,""en"",""ar"")"),"لديك رحلة مُستمرة. هل ترغب بمواصلة رحلتك الحالية؟")</f>
        <v>لديك رحلة مُستمرة. هل ترغب بمواصلة رحلتك الحالية؟</v>
      </c>
      <c r="Q229" s="4" t="str">
        <f>IFERROR(__xludf.DUMMYFUNCTION("GOOGLETRANSLATE(B229,""en"",""mr"")"),"तुमचा आधीच ट्रेक चालू आहे. तुम्हाला तुमचा सध्याचा ट्रेक चालू ठेवायचा आहे का?")</f>
        <v>तुमचा आधीच ट्रेक चालू आहे. तुम्हाला तुमचा सध्याचा ट्रेक चालू ठेवायचा आहे का?</v>
      </c>
      <c r="R229" s="4" t="str">
        <f>IFERROR(__xludf.DUMMYFUNCTION("GOOGLETRANSLATE(B229,""en"",""gu"")"),"તમારી પાસે પહેલેથી જ ચાલુ ટ્રેક છે. શું તમે તમારા વર્તમાન ટ્રેક સાથે ચાલુ રાખવા માંગો છો?")</f>
        <v>તમારી પાસે પહેલેથી જ ચાલુ ટ્રેક છે. શું તમે તમારા વર્તમાન ટ્રેક સાથે ચાલુ રાખવા માંગો છો?</v>
      </c>
      <c r="S229" s="4" t="str">
        <f>IFERROR(__xludf.DUMMYFUNCTION("GOOGLETRANSLATE(B229,""en"",""bn"")"),"আপনি ইতিমধ্যে একটি চলমান ট্রেক আছে. আপনি কি আপনার বর্তমান ট্রেক চালিয়ে যেতে চান?")</f>
        <v>আপনি ইতিমধ্যে একটি চলমান ট্রেক আছে. আপনি কি আপনার বর্তমান ট্রেক চালিয়ে যেতে চান?</v>
      </c>
      <c r="T229" s="4" t="str">
        <f>IFERROR(__xludf.DUMMYFUNCTION("GOOGLETRANSLATE(B229,""en"",""pa"")"),"ਤੁਹਾਡੇ ਕੋਲ ਪਹਿਲਾਂ ਹੀ ਇੱਕ ਚੱਲ ਰਿਹਾ ਸਫ਼ਰ ਹੈ। ਕੀ ਤੁਸੀਂ ਆਪਣੇ ਮੌਜੂਦਾ ਸਫ਼ਰ ਨੂੰ ਜਾਰੀ ਰੱਖਣਾ ਚਾਹੋਗੇ?")</f>
        <v>ਤੁਹਾਡੇ ਕੋਲ ਪਹਿਲਾਂ ਹੀ ਇੱਕ ਚੱਲ ਰਿਹਾ ਸਫ਼ਰ ਹੈ। ਕੀ ਤੁਸੀਂ ਆਪਣੇ ਮੌਜੂਦਾ ਸਫ਼ਰ ਨੂੰ ਜਾਰੀ ਰੱਖਣਾ ਚਾਹੋਗੇ?</v>
      </c>
      <c r="U229" s="4" t="str">
        <f>IFERROR(__xludf.DUMMYFUNCTION("GOOGLETRANSLATE(B229,""en"",""te"")"),"మీరు ఇప్పటికే కొనసాగుతున్న ట్రెక్‌ని కలిగి ఉన్నారు. మీరు మీ ప్రస్తుత ట్రెక్‌ను కొనసాగించాలనుకుంటున్నారా?")</f>
        <v>మీరు ఇప్పటికే కొనసాగుతున్న ట్రెక్‌ని కలిగి ఉన్నారు. మీరు మీ ప్రస్తుత ట్రెక్‌ను కొనసాగించాలనుకుంటున్నారా?</v>
      </c>
      <c r="V229" s="4" t="str">
        <f>IFERROR(__xludf.DUMMYFUNCTION("GOOGLETRANSLATE(B229,""en"",""kn"")"),"ನೀವು ಈಗಾಗಲೇ ಚಾರಣವನ್ನು ಹೊಂದಿದ್ದೀರಿ. ನಿಮ್ಮ ಪ್ರಸ್ತುತ ಚಾರಣವನ್ನು ಮುಂದುವರಿಸಲು ನೀವು ಬಯಸುವಿರಾ?")</f>
        <v>ನೀವು ಈಗಾಗಲೇ ಚಾರಣವನ್ನು ಹೊಂದಿದ್ದೀರಿ. ನಿಮ್ಮ ಪ್ರಸ್ತುತ ಚಾರಣವನ್ನು ಮುಂದುವರಿಸಲು ನೀವು ಬಯಸುವಿರಾ?</v>
      </c>
      <c r="W229" s="4" t="str">
        <f>IFERROR(__xludf.DUMMYFUNCTION("GOOGLETRANSLATE(B229,""en"",""ml"")"),"നിങ്ങൾക്ക് ഇതിനകം ഒരു ട്രെക്കിംഗ് ഉണ്ട്. നിങ്ങളുടെ നിലവിലെ ട്രെക്കിംഗ് തുടരാൻ താൽപ്പര്യമുണ്ടോ?")</f>
        <v>നിങ്ങൾക്ക് ഇതിനകം ഒരു ട്രെക്കിംഗ് ഉണ്ട്. നിങ്ങളുടെ നിലവിലെ ട്രെക്കിംഗ് തുടരാൻ താൽപ്പര്യമുണ്ടോ?</v>
      </c>
      <c r="X229" s="4" t="str">
        <f>IFERROR(__xludf.DUMMYFUNCTION("GOOGLETRANSLATE(B229,""en"",""th"")"),"คุณได้เดินป่าไปแล้ว คุณต้องการเดินป่าต่อหรือไม่?")</f>
        <v>คุณได้เดินป่าไปแล้ว คุณต้องการเดินป่าต่อหรือไม่?</v>
      </c>
      <c r="Y229" s="4" t="str">
        <f>IFERROR(__xludf.DUMMYFUNCTION("GOOGLETRANSLATE(B229,""en"",""ko"")"),"이미 진행 중인 트레킹이 있습니다. 현재 트레킹을 계속하시겠습니까?")</f>
        <v>이미 진행 중인 트레킹이 있습니다. 현재 트레킹을 계속하시겠습니까?</v>
      </c>
      <c r="Z229" s="4" t="str">
        <f>IFERROR(__xludf.DUMMYFUNCTION("GOOGLETRANSLATE(B229,""en"",""zh"")"),"您已开始进行徒步旅行。您想继续当前的徒步旅行吗？")</f>
        <v>您已开始进行徒步旅行。您想继续当前的徒步旅行吗？</v>
      </c>
      <c r="AA229" s="4" t="str">
        <f>IFERROR(__xludf.DUMMYFUNCTION("GOOGLETRANSLATE(B229,""en"",""zh-TW"")"),"您已開始進行徒步旅行。您想繼續目前的健行嗎？")</f>
        <v>您已開始進行徒步旅行。您想繼續目前的健行嗎？</v>
      </c>
      <c r="AB229" s="4" t="str">
        <f>IFERROR(__xludf.DUMMYFUNCTION("GOOGLETRANSLATE(B229,""en"",""ja"")"),"すでに進行中のトレッキングがあります。現在のトレッキングを継続しますか？")</f>
        <v>すでに進行中のトレッキングがあります。現在のトレッキングを継続しますか？</v>
      </c>
      <c r="AC229" s="4" t="str">
        <f>IFERROR(__xludf.DUMMYFUNCTION("GOOGLETRANSLATE(B229,""en"",""bg"")"),"Вече имате текущ поход. Искате ли да продължите с текущия си поход?")</f>
        <v>Вече имате текущ поход. Искате ли да продължите с текущия си поход?</v>
      </c>
      <c r="AD229" s="4" t="str">
        <f>IFERROR(__xludf.DUMMYFUNCTION("GOOGLETRANSLATE(B229,""en"",""cs"")"),"Už máte za sebou probíhající trek. Chtěli byste pokračovat ve svém současném treku?")</f>
        <v>Už máte za sebou probíhající trek. Chtěli byste pokračovat ve svém současném treku?</v>
      </c>
      <c r="AE229" s="4" t="str">
        <f>IFERROR(__xludf.DUMMYFUNCTION("GOOGLETRANSLATE(B229,""en"",""da"")"),"Du har allerede en igangværende vandring. Vil du fortsætte med din nuværende vandring?")</f>
        <v>Du har allerede en igangværende vandring. Vil du fortsætte med din nuværende vandring?</v>
      </c>
      <c r="AF229" s="4" t="str">
        <f>IFERROR(__xludf.DUMMYFUNCTION("GOOGLETRANSLATE(B229,""en"",""el"")"),"Έχετε ήδη ένα συνεχόμενο ταξίδι. Θα θέλατε να συνεχίσετε με το τρέχον ταξίδι σας;")</f>
        <v>Έχετε ήδη ένα συνεχόμενο ταξίδι. Θα θέλατε να συνεχίσετε με το τρέχον ταξίδι σας;</v>
      </c>
      <c r="AG229" s="4" t="str">
        <f>IFERROR(__xludf.DUMMYFUNCTION("GOOGLETRANSLATE(B229,""en"",""et"")"),"Teil on juba matk pooleli. Kas soovite jätkata oma praeguse matkaga?")</f>
        <v>Teil on juba matk pooleli. Kas soovite jätkata oma praeguse matkaga?</v>
      </c>
      <c r="AH229" s="4" t="str">
        <f>IFERROR(__xludf.DUMMYFUNCTION("GOOGLETRANSLATE(B229,""en"",""fi"")"),"Sinulla on jo käynnissä vaellus. Haluatko jatkaa nykyistä vaellustasi?")</f>
        <v>Sinulla on jo käynnissä vaellus. Haluatko jatkaa nykyistä vaellustasi?</v>
      </c>
      <c r="AI229" s="4" t="str">
        <f>IFERROR(__xludf.DUMMYFUNCTION("GOOGLETRANSLATE(B229,""en"",""hr"")"),"Već imate putovanje u tijeku. Želite li nastaviti s trenutnim putovanjem?")</f>
        <v>Već imate putovanje u tijeku. Želite li nastaviti s trenutnim putovanjem?</v>
      </c>
      <c r="AJ229" s="4" t="str">
        <f>IFERROR(__xludf.DUMMYFUNCTION("GOOGLETRANSLATE(B229,""en"",""hu"")"),"Már van egy utazásod. Szeretné folytatni jelenlegi túráját?")</f>
        <v>Már van egy utazásod. Szeretné folytatni jelenlegi túráját?</v>
      </c>
      <c r="AK229" s="4" t="str">
        <f>IFERROR(__xludf.DUMMYFUNCTION("GOOGLETRANSLATE(B229,""en"",""hy"")"),"Դուք արդեն ունեք շարունակական արշավ: Կցանկանա՞ք շարունակել ձեր ընթացիկ արշավը:")</f>
        <v>Դուք արդեն ունեք շարունակական արշավ: Կցանկանա՞ք շարունակել ձեր ընթացիկ արշավը:</v>
      </c>
      <c r="AL229" s="4" t="str">
        <f>IFERROR(__xludf.DUMMYFUNCTION("GOOGLETRANSLATE(B229,""en"",""ca"")"),"Ja teniu una caminada en curs. T'agradaria continuar amb la teva ruta actual?")</f>
        <v>Ja teniu una caminada en curs. T'agradaria continuar amb la teva ruta actual?</v>
      </c>
      <c r="AM229" s="4" t="str">
        <f>IFERROR(__xludf.DUMMYFUNCTION("GOOGLETRANSLATE(B229,""en"",""nl"")"),"Je hebt al een lopende trektocht. Wil je je huidige trektocht voortzetten?")</f>
        <v>Je hebt al een lopende trektocht. Wil je je huidige trektocht voortzetten?</v>
      </c>
      <c r="AN229" s="4" t="str">
        <f>IFERROR(__xludf.DUMMYFUNCTION("GOOGLETRANSLATE(B229,""en"",""he"")"),"כבר יש לך טרק מתמשך. האם תרצה להמשיך במסע הנוכחי שלך?")</f>
        <v>כבר יש לך טרק מתמשך. האם תרצה להמשיך במסע הנוכחי שלך?</v>
      </c>
      <c r="AO229" s="4" t="str">
        <f>IFERROR(__xludf.DUMMYFUNCTION("GOOGLETRANSLATE(B229,""en"",""is"")"),"Þú ert nú þegar með áframhaldandi ferð. Viltu halda áfram með núverandi ferð þína?")</f>
        <v>Þú ert nú þegar með áframhaldandi ferð. Viltu halda áfram með núverandi ferð þína?</v>
      </c>
      <c r="AP229" s="4" t="str">
        <f>IFERROR(__xludf.DUMMYFUNCTION("GOOGLETRANSLATE(B229,""en"",""no"")"),"Du har allerede en pågående vandring. Vil du fortsette med din nåværende vandring?")</f>
        <v>Du har allerede en pågående vandring. Vil du fortsette med din nåværende vandring?</v>
      </c>
      <c r="AQ229" s="4" t="str">
        <f>IFERROR(__xludf.DUMMYFUNCTION("GOOGLETRANSLATE(B229,""en"",""fa"")"),"شما در حال حاضر یک سفر در حال انجام دارید. آیا می خواهید به مسیر فعلی خود ادامه دهید؟")</f>
        <v>شما در حال حاضر یک سفر در حال انجام دارید. آیا می خواهید به مسیر فعلی خود ادامه دهید؟</v>
      </c>
      <c r="AR229" s="4" t="str">
        <f>IFERROR(__xludf.DUMMYFUNCTION("GOOGLETRANSLATE(B229,""en"",""pl"")"),"Masz już trwającą wędrówkę. Czy chcesz kontynuować swoją obecną wędrówkę?")</f>
        <v>Masz już trwającą wędrówkę. Czy chcesz kontynuować swoją obecną wędrówkę?</v>
      </c>
      <c r="AS229" s="4" t="str">
        <f>IFERROR(__xludf.DUMMYFUNCTION("GOOGLETRANSLATE(B229,""en"",""sv"")"),"Du har redan en pågående vandring. Vill du fortsätta med din nuvarande vandring?")</f>
        <v>Du har redan en pågående vandring. Vill du fortsätta med din nuvarande vandring?</v>
      </c>
      <c r="AT229" s="4" t="str">
        <f>IFERROR(__xludf.DUMMYFUNCTION("GOOGLETRANSLATE(B229,""en"",""uk"")"),"У вас уже є поточний похід. Чи бажаєте ви продовжити свій поточний шлях?")</f>
        <v>У вас уже є поточний похід. Чи бажаєте ви продовжити свій поточний шлях?</v>
      </c>
      <c r="AU229" s="4" t="str">
        <f>IFERROR(__xludf.DUMMYFUNCTION("GOOGLETRANSLATE(B229,""en"",""zu"")"),"Usuvele unohambo oluqhubekayo. Ungathanda ukuqhubeka nohambo lwakho lwamanje?")</f>
        <v>Usuvele unohambo oluqhubekayo. Ungathanda ukuqhubeka nohambo lwakho lwamanje?</v>
      </c>
      <c r="AV229" s="4" t="str">
        <f>IFERROR(__xludf.DUMMYFUNCTION("GOOGLETRANSLATE(B229,""en"",""sr"")"),"Већ имате пут у току. Да ли бисте желели да наставите са својим тренутним путовањем?")</f>
        <v>Већ имате пут у току. Да ли бисте желели да наставите са својим тренутним путовањем?</v>
      </c>
    </row>
    <row r="230">
      <c r="A230" s="3" t="s">
        <v>486</v>
      </c>
      <c r="B230" s="3" t="s">
        <v>487</v>
      </c>
      <c r="C230" s="4" t="str">
        <f>IFERROR(__xludf.DUMMYFUNCTION("GOOGLETRANSLATE(B230,""en"",""ta"")"),"தற்போதைய மலையேற்றத்தைத் தொடரவும்")</f>
        <v>தற்போதைய மலையேற்றத்தைத் தொடரவும்</v>
      </c>
      <c r="D230" s="4" t="str">
        <f>IFERROR(__xludf.DUMMYFUNCTION("GOOGLETRANSLATE(B230,""en"",""hi"")"),"वर्तमान ट्रेक जारी रखें")</f>
        <v>वर्तमान ट्रेक जारी रखें</v>
      </c>
      <c r="E230" s="4" t="str">
        <f>IFERROR(__xludf.DUMMYFUNCTION("GOOGLETRANSLATE(B230,""en"",""id"")"),"Lanjutkan Trek Saat Ini")</f>
        <v>Lanjutkan Trek Saat Ini</v>
      </c>
      <c r="F230" s="4" t="str">
        <f>IFERROR(__xludf.DUMMYFUNCTION("GOOGLETRANSLATE(B230,""en"",""ms"")"),"Teruskan Trek Semasa")</f>
        <v>Teruskan Trek Semasa</v>
      </c>
      <c r="G230" s="4" t="str">
        <f>IFERROR(__xludf.DUMMYFUNCTION("GOOGLETRANSLATE(B230,""en"",""de"")"),"Aktuelle Wanderung fortsetzen")</f>
        <v>Aktuelle Wanderung fortsetzen</v>
      </c>
      <c r="H230" s="4" t="str">
        <f>IFERROR(__xludf.DUMMYFUNCTION("GOOGLETRANSLATE(B230,""en"",""es"")"),"Continuar la caminata actual")</f>
        <v>Continuar la caminata actual</v>
      </c>
      <c r="I230" s="4" t="str">
        <f>IFERROR(__xludf.DUMMYFUNCTION("GOOGLETRANSLATE(B230,""en"",""fr"")"),"Continuer le trek actuel")</f>
        <v>Continuer le trek actuel</v>
      </c>
      <c r="J230" s="4" t="str">
        <f>IFERROR(__xludf.DUMMYFUNCTION("GOOGLETRANSLATE(B230,""en"",""it"")"),"Continua il percorso attuale")</f>
        <v>Continua il percorso attuale</v>
      </c>
      <c r="K230" s="4" t="str">
        <f>IFERROR(__xludf.DUMMYFUNCTION("GOOGLETRANSLATE(B230,""en"",""pt"")"),"Continuar a jornada atual")</f>
        <v>Continuar a jornada atual</v>
      </c>
      <c r="L230" s="4" t="str">
        <f>IFERROR(__xludf.DUMMYFUNCTION("GOOGLETRANSLATE(B230,""en"",""ro"")"),"Continuați drumul curent")</f>
        <v>Continuați drumul curent</v>
      </c>
      <c r="M230" s="4" t="str">
        <f>IFERROR(__xludf.DUMMYFUNCTION("GOOGLETRANSLATE(B230,""en"",""vi"")"),"Tiếp tục hành trình hiện tại")</f>
        <v>Tiếp tục hành trình hiện tại</v>
      </c>
      <c r="N230" s="4" t="str">
        <f>IFERROR(__xludf.DUMMYFUNCTION("GOOGLETRANSLATE(B230,""en"",""ru"")"),"Продолжить текущий трек")</f>
        <v>Продолжить текущий трек</v>
      </c>
      <c r="O230" s="4" t="str">
        <f>IFERROR(__xludf.DUMMYFUNCTION("GOOGLETRANSLATE(B230,""en"",""tr"")"),"Mevcut Trek'e Devam Et")</f>
        <v>Mevcut Trek'e Devam Et</v>
      </c>
      <c r="P230" s="4" t="str">
        <f>IFERROR(__xludf.DUMMYFUNCTION("GOOGLETRANSLATE(B230,""en"",""ar"")"),"متابعة الرحلة الحالية")</f>
        <v>متابعة الرحلة الحالية</v>
      </c>
      <c r="Q230" s="4" t="str">
        <f>IFERROR(__xludf.DUMMYFUNCTION("GOOGLETRANSLATE(B230,""en"",""mr"")"),"चालू ट्रेक सुरू ठेवा")</f>
        <v>चालू ट्रेक सुरू ठेवा</v>
      </c>
      <c r="R230" s="4" t="str">
        <f>IFERROR(__xludf.DUMMYFUNCTION("GOOGLETRANSLATE(B230,""en"",""gu"")"),"વર્તમાન ટ્રેક ચાલુ રાખો")</f>
        <v>વર્તમાન ટ્રેક ચાલુ રાખો</v>
      </c>
      <c r="S230" s="4" t="str">
        <f>IFERROR(__xludf.DUMMYFUNCTION("GOOGLETRANSLATE(B230,""en"",""bn"")"),"বর্তমান ট্রেক চালিয়ে যান")</f>
        <v>বর্তমান ট্রেক চালিয়ে যান</v>
      </c>
      <c r="T230" s="4" t="str">
        <f>IFERROR(__xludf.DUMMYFUNCTION("GOOGLETRANSLATE(B230,""en"",""pa"")"),"ਮੌਜੂਦਾ ਟ੍ਰੈਕ ਜਾਰੀ ਰੱਖੋ")</f>
        <v>ਮੌਜੂਦਾ ਟ੍ਰੈਕ ਜਾਰੀ ਰੱਖੋ</v>
      </c>
      <c r="U230" s="4" t="str">
        <f>IFERROR(__xludf.DUMMYFUNCTION("GOOGLETRANSLATE(B230,""en"",""te"")"),"ప్రస్తుత ట్రెక్‌ను కొనసాగించండి")</f>
        <v>ప్రస్తుత ట్రెక్‌ను కొనసాగించండి</v>
      </c>
      <c r="V230" s="4" t="str">
        <f>IFERROR(__xludf.DUMMYFUNCTION("GOOGLETRANSLATE(B230,""en"",""kn"")"),"ಪ್ರಸ್ತುತ ಚಾರಣವನ್ನು ಮುಂದುವರಿಸಿ")</f>
        <v>ಪ್ರಸ್ತುತ ಚಾರಣವನ್ನು ಮುಂದುವರಿಸಿ</v>
      </c>
      <c r="W230" s="4" t="str">
        <f>IFERROR(__xludf.DUMMYFUNCTION("GOOGLETRANSLATE(B230,""en"",""ml"")"),"നിലവിലെ ട്രെക്ക് തുടരുക")</f>
        <v>നിലവിലെ ട്രെക്ക് തുടരുക</v>
      </c>
      <c r="X230" s="4" t="str">
        <f>IFERROR(__xludf.DUMMYFUNCTION("GOOGLETRANSLATE(B230,""en"",""th"")"),"เดินทางต่อไปในปัจจุบัน")</f>
        <v>เดินทางต่อไปในปัจจุบัน</v>
      </c>
      <c r="Y230" s="4" t="str">
        <f>IFERROR(__xludf.DUMMYFUNCTION("GOOGLETRANSLATE(B230,""en"",""ko"")"),"현재 트레킹을 계속하세요")</f>
        <v>현재 트레킹을 계속하세요</v>
      </c>
      <c r="Z230" s="4" t="str">
        <f>IFERROR(__xludf.DUMMYFUNCTION("GOOGLETRANSLATE(B230,""en"",""zh"")"),"继续当前的跋涉")</f>
        <v>继续当前的跋涉</v>
      </c>
      <c r="AA230" s="4" t="str">
        <f>IFERROR(__xludf.DUMMYFUNCTION("GOOGLETRANSLATE(B230,""en"",""zh-TW"")"),"繼續當前的跋涉")</f>
        <v>繼續當前的跋涉</v>
      </c>
      <c r="AB230" s="4" t="str">
        <f>IFERROR(__xludf.DUMMYFUNCTION("GOOGLETRANSLATE(B230,""en"",""ja"")"),"現在のトレッキングを続ける")</f>
        <v>現在のトレッキングを続ける</v>
      </c>
      <c r="AC230" s="4" t="str">
        <f>IFERROR(__xludf.DUMMYFUNCTION("GOOGLETRANSLATE(B230,""en"",""bg"")"),"Продължете текущото пътуване")</f>
        <v>Продължете текущото пътуване</v>
      </c>
      <c r="AD230" s="4" t="str">
        <f>IFERROR(__xludf.DUMMYFUNCTION("GOOGLETRANSLATE(B230,""en"",""cs"")"),"Continue Current Trek")</f>
        <v>Continue Current Trek</v>
      </c>
      <c r="AE230" s="4" t="str">
        <f>IFERROR(__xludf.DUMMYFUNCTION("GOOGLETRANSLATE(B230,""en"",""da"")"),"Fortsæt nuværende vandring")</f>
        <v>Fortsæt nuværende vandring</v>
      </c>
      <c r="AF230" s="4" t="str">
        <f>IFERROR(__xludf.DUMMYFUNCTION("GOOGLETRANSLATE(B230,""en"",""el"")"),"Συνεχίστε την τρέχουσα διαδρομή")</f>
        <v>Συνεχίστε την τρέχουσα διαδρομή</v>
      </c>
      <c r="AG230" s="4" t="str">
        <f>IFERROR(__xludf.DUMMYFUNCTION("GOOGLETRANSLATE(B230,""en"",""et"")"),"Jätka praegust matka")</f>
        <v>Jätka praegust matka</v>
      </c>
      <c r="AH230" s="4" t="str">
        <f>IFERROR(__xludf.DUMMYFUNCTION("GOOGLETRANSLATE(B230,""en"",""fi"")"),"Jatka nykyistä vaellusta")</f>
        <v>Jatka nykyistä vaellusta</v>
      </c>
      <c r="AI230" s="4" t="str">
        <f>IFERROR(__xludf.DUMMYFUNCTION("GOOGLETRANSLATE(B230,""en"",""hr"")"),"Nastavite s trenutnim putovanjem")</f>
        <v>Nastavite s trenutnim putovanjem</v>
      </c>
      <c r="AJ230" s="4" t="str">
        <f>IFERROR(__xludf.DUMMYFUNCTION("GOOGLETRANSLATE(B230,""en"",""hu"")"),"Az aktuális Trek folytatása")</f>
        <v>Az aktuális Trek folytatása</v>
      </c>
      <c r="AK230" s="4" t="str">
        <f>IFERROR(__xludf.DUMMYFUNCTION("GOOGLETRANSLATE(B230,""en"",""hy"")"),"Շարունակեք ընթացիկ արշավը")</f>
        <v>Շարունակեք ընթացիկ արշավը</v>
      </c>
      <c r="AL230" s="4" t="str">
        <f>IFERROR(__xludf.DUMMYFUNCTION("GOOGLETRANSLATE(B230,""en"",""ca"")"),"Continuar la caminada actual")</f>
        <v>Continuar la caminada actual</v>
      </c>
      <c r="AM230" s="4" t="str">
        <f>IFERROR(__xludf.DUMMYFUNCTION("GOOGLETRANSLATE(B230,""en"",""nl"")"),"Ga door met de huidige tocht")</f>
        <v>Ga door met de huidige tocht</v>
      </c>
      <c r="AN230" s="4" t="str">
        <f>IFERROR(__xludf.DUMMYFUNCTION("GOOGLETRANSLATE(B230,""en"",""he"")"),"המשך טרק נוכחי")</f>
        <v>המשך טרק נוכחי</v>
      </c>
      <c r="AO230" s="4" t="str">
        <f>IFERROR(__xludf.DUMMYFUNCTION("GOOGLETRANSLATE(B230,""en"",""is"")"),"Halda áfram núverandi ferð")</f>
        <v>Halda áfram núverandi ferð</v>
      </c>
      <c r="AP230" s="4" t="str">
        <f>IFERROR(__xludf.DUMMYFUNCTION("GOOGLETRANSLATE(B230,""en"",""no"")"),"Fortsett gjeldende trek")</f>
        <v>Fortsett gjeldende trek</v>
      </c>
      <c r="AQ230" s="4" t="str">
        <f>IFERROR(__xludf.DUMMYFUNCTION("GOOGLETRANSLATE(B230,""en"",""fa"")"),"ادامه مسیر فعلی")</f>
        <v>ادامه مسیر فعلی</v>
      </c>
      <c r="AR230" s="4" t="str">
        <f>IFERROR(__xludf.DUMMYFUNCTION("GOOGLETRANSLATE(B230,""en"",""pl"")"),"Kontynuuj aktualną wędrówkę")</f>
        <v>Kontynuuj aktualną wędrówkę</v>
      </c>
      <c r="AS230" s="4" t="str">
        <f>IFERROR(__xludf.DUMMYFUNCTION("GOOGLETRANSLATE(B230,""en"",""sv"")"),"Fortsätt pågående vandring")</f>
        <v>Fortsätt pågående vandring</v>
      </c>
      <c r="AT230" s="4" t="str">
        <f>IFERROR(__xludf.DUMMYFUNCTION("GOOGLETRANSLATE(B230,""en"",""uk"")"),"Продовжити поточний шлях")</f>
        <v>Продовжити поточний шлях</v>
      </c>
      <c r="AU230" s="4" t="str">
        <f>IFERROR(__xludf.DUMMYFUNCTION("GOOGLETRANSLATE(B230,""en"",""zu"")"),"Qhubeka nohambo lwamanje")</f>
        <v>Qhubeka nohambo lwamanje</v>
      </c>
      <c r="AV230" s="4" t="str">
        <f>IFERROR(__xludf.DUMMYFUNCTION("GOOGLETRANSLATE(B230,""en"",""sr"")"),"Наставите Цуррент Трек")</f>
        <v>Наставите Цуррент Трек</v>
      </c>
    </row>
    <row r="231">
      <c r="A231" s="3" t="s">
        <v>488</v>
      </c>
      <c r="B231" s="3" t="s">
        <v>357</v>
      </c>
      <c r="C231" s="4" t="str">
        <f>IFERROR(__xludf.DUMMYFUNCTION("GOOGLETRANSLATE(B231,""en"",""ta"")"),"ரத்து செய்")</f>
        <v>ரத்து செய்</v>
      </c>
      <c r="D231" s="4" t="str">
        <f>IFERROR(__xludf.DUMMYFUNCTION("GOOGLETRANSLATE(B231,""en"",""hi"")"),"रद्द करना")</f>
        <v>रद्द करना</v>
      </c>
      <c r="E231" s="4" t="str">
        <f>IFERROR(__xludf.DUMMYFUNCTION("GOOGLETRANSLATE(B231,""en"",""id"")"),"Membatalkan")</f>
        <v>Membatalkan</v>
      </c>
      <c r="F231" s="4" t="str">
        <f>IFERROR(__xludf.DUMMYFUNCTION("GOOGLETRANSLATE(B231,""en"",""ms"")"),"Batal")</f>
        <v>Batal</v>
      </c>
      <c r="G231" s="4" t="str">
        <f>IFERROR(__xludf.DUMMYFUNCTION("GOOGLETRANSLATE(B231,""en"",""de"")"),"Stornieren")</f>
        <v>Stornieren</v>
      </c>
      <c r="H231" s="4" t="str">
        <f>IFERROR(__xludf.DUMMYFUNCTION("GOOGLETRANSLATE(B231,""en"",""es"")"),"Cancelar")</f>
        <v>Cancelar</v>
      </c>
      <c r="I231" s="4" t="str">
        <f>IFERROR(__xludf.DUMMYFUNCTION("GOOGLETRANSLATE(B231,""en"",""fr"")"),"Annuler")</f>
        <v>Annuler</v>
      </c>
      <c r="J231" s="4" t="str">
        <f>IFERROR(__xludf.DUMMYFUNCTION("GOOGLETRANSLATE(B231,""en"",""it"")"),"Cancellare")</f>
        <v>Cancellare</v>
      </c>
      <c r="K231" s="4" t="str">
        <f>IFERROR(__xludf.DUMMYFUNCTION("GOOGLETRANSLATE(B231,""en"",""pt"")"),"Cancelar")</f>
        <v>Cancelar</v>
      </c>
      <c r="L231" s="4" t="str">
        <f>IFERROR(__xludf.DUMMYFUNCTION("GOOGLETRANSLATE(B231,""en"",""ro"")"),"Anula")</f>
        <v>Anula</v>
      </c>
      <c r="M231" s="4" t="str">
        <f>IFERROR(__xludf.DUMMYFUNCTION("GOOGLETRANSLATE(B231,""en"",""vi"")"),"Hủy bỏ")</f>
        <v>Hủy bỏ</v>
      </c>
      <c r="N231" s="4" t="str">
        <f>IFERROR(__xludf.DUMMYFUNCTION("GOOGLETRANSLATE(B231,""en"",""ru"")"),"Отмена")</f>
        <v>Отмена</v>
      </c>
      <c r="O231" s="4" t="str">
        <f>IFERROR(__xludf.DUMMYFUNCTION("GOOGLETRANSLATE(B231,""en"",""tr"")"),"İptal etmek")</f>
        <v>İptal etmek</v>
      </c>
      <c r="P231" s="4" t="str">
        <f>IFERROR(__xludf.DUMMYFUNCTION("GOOGLETRANSLATE(B231,""en"",""ar"")"),"يلغي")</f>
        <v>يلغي</v>
      </c>
      <c r="Q231" s="4" t="str">
        <f>IFERROR(__xludf.DUMMYFUNCTION("GOOGLETRANSLATE(B231,""en"",""mr"")"),"रद्द करा")</f>
        <v>रद्द करा</v>
      </c>
      <c r="R231" s="4" t="str">
        <f>IFERROR(__xludf.DUMMYFUNCTION("GOOGLETRANSLATE(B231,""en"",""gu"")"),"રદ કરો")</f>
        <v>રદ કરો</v>
      </c>
      <c r="S231" s="4" t="str">
        <f>IFERROR(__xludf.DUMMYFUNCTION("GOOGLETRANSLATE(B231,""en"",""bn"")"),"বাতিল করুন")</f>
        <v>বাতিল করুন</v>
      </c>
      <c r="T231" s="4" t="str">
        <f>IFERROR(__xludf.DUMMYFUNCTION("GOOGLETRANSLATE(B231,""en"",""pa"")"),"ਰੱਦ ਕਰੋ")</f>
        <v>ਰੱਦ ਕਰੋ</v>
      </c>
      <c r="U231" s="4" t="str">
        <f>IFERROR(__xludf.DUMMYFUNCTION("GOOGLETRANSLATE(B231,""en"",""te"")"),"రద్దు చేయి")</f>
        <v>రద్దు చేయి</v>
      </c>
      <c r="V231" s="4" t="str">
        <f>IFERROR(__xludf.DUMMYFUNCTION("GOOGLETRANSLATE(B231,""en"",""kn"")"),"ರದ್ದುಮಾಡು")</f>
        <v>ರದ್ದುಮಾಡು</v>
      </c>
      <c r="W231" s="4" t="str">
        <f>IFERROR(__xludf.DUMMYFUNCTION("GOOGLETRANSLATE(B231,""en"",""ml"")"),"റദ്ദാക്കുക")</f>
        <v>റദ്ദാക്കുക</v>
      </c>
      <c r="X231" s="4" t="str">
        <f>IFERROR(__xludf.DUMMYFUNCTION("GOOGLETRANSLATE(B231,""en"",""th"")"),"ยกเลิก")</f>
        <v>ยกเลิก</v>
      </c>
      <c r="Y231" s="4" t="str">
        <f>IFERROR(__xludf.DUMMYFUNCTION("GOOGLETRANSLATE(B231,""en"",""ko"")"),"취소")</f>
        <v>취소</v>
      </c>
      <c r="Z231" s="4" t="str">
        <f>IFERROR(__xludf.DUMMYFUNCTION("GOOGLETRANSLATE(B231,""en"",""zh"")"),"取消")</f>
        <v>取消</v>
      </c>
      <c r="AA231" s="4" t="str">
        <f>IFERROR(__xludf.DUMMYFUNCTION("GOOGLETRANSLATE(B231,""en"",""zh-TW"")"),"取消")</f>
        <v>取消</v>
      </c>
      <c r="AB231" s="4" t="str">
        <f>IFERROR(__xludf.DUMMYFUNCTION("GOOGLETRANSLATE(B231,""en"",""ja"")"),"キャンセル")</f>
        <v>キャンセル</v>
      </c>
      <c r="AC231" s="4" t="str">
        <f>IFERROR(__xludf.DUMMYFUNCTION("GOOGLETRANSLATE(B231,""en"",""bg"")"),"Отказ")</f>
        <v>Отказ</v>
      </c>
      <c r="AD231" s="4" t="str">
        <f>IFERROR(__xludf.DUMMYFUNCTION("GOOGLETRANSLATE(B231,""en"",""cs"")"),"Zrušit")</f>
        <v>Zrušit</v>
      </c>
      <c r="AE231" s="4" t="str">
        <f>IFERROR(__xludf.DUMMYFUNCTION("GOOGLETRANSLATE(B231,""en"",""da"")"),"Ophæve")</f>
        <v>Ophæve</v>
      </c>
      <c r="AF231" s="4" t="str">
        <f>IFERROR(__xludf.DUMMYFUNCTION("GOOGLETRANSLATE(B231,""en"",""el"")"),"Ματαίωση")</f>
        <v>Ματαίωση</v>
      </c>
      <c r="AG231" s="4" t="str">
        <f>IFERROR(__xludf.DUMMYFUNCTION("GOOGLETRANSLATE(B231,""en"",""et"")"),"Tühista")</f>
        <v>Tühista</v>
      </c>
      <c r="AH231" s="4" t="str">
        <f>IFERROR(__xludf.DUMMYFUNCTION("GOOGLETRANSLATE(B231,""en"",""fi"")"),"Peruuttaa")</f>
        <v>Peruuttaa</v>
      </c>
      <c r="AI231" s="4" t="str">
        <f>IFERROR(__xludf.DUMMYFUNCTION("GOOGLETRANSLATE(B231,""en"",""hr"")"),"Otkazati")</f>
        <v>Otkazati</v>
      </c>
      <c r="AJ231" s="4" t="str">
        <f>IFERROR(__xludf.DUMMYFUNCTION("GOOGLETRANSLATE(B231,""en"",""hu"")"),"Mégsem")</f>
        <v>Mégsem</v>
      </c>
      <c r="AK231" s="4" t="str">
        <f>IFERROR(__xludf.DUMMYFUNCTION("GOOGLETRANSLATE(B231,""en"",""hy"")"),"Չեղարկել")</f>
        <v>Չեղարկել</v>
      </c>
      <c r="AL231" s="4" t="str">
        <f>IFERROR(__xludf.DUMMYFUNCTION("GOOGLETRANSLATE(B231,""en"",""ca"")"),"Cancel·la")</f>
        <v>Cancel·la</v>
      </c>
      <c r="AM231" s="4" t="str">
        <f>IFERROR(__xludf.DUMMYFUNCTION("GOOGLETRANSLATE(B231,""en"",""nl"")"),"Annuleren")</f>
        <v>Annuleren</v>
      </c>
      <c r="AN231" s="4" t="str">
        <f>IFERROR(__xludf.DUMMYFUNCTION("GOOGLETRANSLATE(B231,""en"",""he"")"),"לְבַטֵל")</f>
        <v>לְבַטֵל</v>
      </c>
      <c r="AO231" s="4" t="str">
        <f>IFERROR(__xludf.DUMMYFUNCTION("GOOGLETRANSLATE(B231,""en"",""is"")"),"Hætta við")</f>
        <v>Hætta við</v>
      </c>
      <c r="AP231" s="4" t="str">
        <f>IFERROR(__xludf.DUMMYFUNCTION("GOOGLETRANSLATE(B231,""en"",""no"")"),"Kansellere")</f>
        <v>Kansellere</v>
      </c>
      <c r="AQ231" s="4" t="str">
        <f>IFERROR(__xludf.DUMMYFUNCTION("GOOGLETRANSLATE(B231,""en"",""fa"")"),"لغو کنید")</f>
        <v>لغو کنید</v>
      </c>
      <c r="AR231" s="4" t="str">
        <f>IFERROR(__xludf.DUMMYFUNCTION("GOOGLETRANSLATE(B231,""en"",""pl"")"),"Anulować")</f>
        <v>Anulować</v>
      </c>
      <c r="AS231" s="4" t="str">
        <f>IFERROR(__xludf.DUMMYFUNCTION("GOOGLETRANSLATE(B231,""en"",""sv"")"),"Avboka")</f>
        <v>Avboka</v>
      </c>
      <c r="AT231" s="4" t="str">
        <f>IFERROR(__xludf.DUMMYFUNCTION("GOOGLETRANSLATE(B231,""en"",""uk"")"),"Скасувати")</f>
        <v>Скасувати</v>
      </c>
      <c r="AU231" s="4" t="str">
        <f>IFERROR(__xludf.DUMMYFUNCTION("GOOGLETRANSLATE(B231,""en"",""zu"")"),"Khansela")</f>
        <v>Khansela</v>
      </c>
      <c r="AV231" s="4" t="str">
        <f>IFERROR(__xludf.DUMMYFUNCTION("GOOGLETRANSLATE(B231,""en"",""sr"")"),"Откажи")</f>
        <v>Откажи</v>
      </c>
    </row>
    <row r="232">
      <c r="A232" s="3" t="s">
        <v>489</v>
      </c>
      <c r="B232" s="3" t="s">
        <v>490</v>
      </c>
      <c r="C232" s="4" t="str">
        <f>IFERROR(__xludf.DUMMYFUNCTION("GOOGLETRANSLATE(B232,""en"",""ta"")"),"எனது GPX கோப்புகள்")</f>
        <v>எனது GPX கோப்புகள்</v>
      </c>
      <c r="D232" s="4" t="str">
        <f>IFERROR(__xludf.DUMMYFUNCTION("GOOGLETRANSLATE(B232,""en"",""hi"")"),"मेरी GPX फ़ाइलें")</f>
        <v>मेरी GPX फ़ाइलें</v>
      </c>
      <c r="E232" s="4" t="str">
        <f>IFERROR(__xludf.DUMMYFUNCTION("GOOGLETRANSLATE(B232,""en"",""id"")"),"File GPX Saya")</f>
        <v>File GPX Saya</v>
      </c>
      <c r="F232" s="4" t="str">
        <f>IFERROR(__xludf.DUMMYFUNCTION("GOOGLETRANSLATE(B232,""en"",""ms"")"),"Fail GPX Saya")</f>
        <v>Fail GPX Saya</v>
      </c>
      <c r="G232" s="4" t="str">
        <f>IFERROR(__xludf.DUMMYFUNCTION("GOOGLETRANSLATE(B232,""en"",""de"")"),"Meine GPX-Dateien")</f>
        <v>Meine GPX-Dateien</v>
      </c>
      <c r="H232" s="4" t="str">
        <f>IFERROR(__xludf.DUMMYFUNCTION("GOOGLETRANSLATE(B232,""en"",""es"")"),"Mis archivos GPX")</f>
        <v>Mis archivos GPX</v>
      </c>
      <c r="I232" s="4" t="str">
        <f>IFERROR(__xludf.DUMMYFUNCTION("GOOGLETRANSLATE(B232,""en"",""fr"")"),"Mes fichiers GPX")</f>
        <v>Mes fichiers GPX</v>
      </c>
      <c r="J232" s="4" t="str">
        <f>IFERROR(__xludf.DUMMYFUNCTION("GOOGLETRANSLATE(B232,""en"",""it"")"),"I miei file GPX")</f>
        <v>I miei file GPX</v>
      </c>
      <c r="K232" s="4" t="str">
        <f>IFERROR(__xludf.DUMMYFUNCTION("GOOGLETRANSLATE(B232,""en"",""pt"")"),"Meus arquivos GPX")</f>
        <v>Meus arquivos GPX</v>
      </c>
      <c r="L232" s="4" t="str">
        <f>IFERROR(__xludf.DUMMYFUNCTION("GOOGLETRANSLATE(B232,""en"",""ro"")"),"Fișierele mele GPX")</f>
        <v>Fișierele mele GPX</v>
      </c>
      <c r="M232" s="4" t="str">
        <f>IFERROR(__xludf.DUMMYFUNCTION("GOOGLETRANSLATE(B232,""en"",""vi"")"),"Các tập tin GPX của tôi")</f>
        <v>Các tập tin GPX của tôi</v>
      </c>
      <c r="N232" s="4" t="str">
        <f>IFERROR(__xludf.DUMMYFUNCTION("GOOGLETRANSLATE(B232,""en"",""ru"")"),"Мои файлы GPX")</f>
        <v>Мои файлы GPX</v>
      </c>
      <c r="O232" s="4" t="str">
        <f>IFERROR(__xludf.DUMMYFUNCTION("GOOGLETRANSLATE(B232,""en"",""tr"")"),"GPX Dosyalarım")</f>
        <v>GPX Dosyalarım</v>
      </c>
      <c r="P232" s="4" t="str">
        <f>IFERROR(__xludf.DUMMYFUNCTION("GOOGLETRANSLATE(B232,""en"",""ar"")"),"ملفات GPX الخاصة بي")</f>
        <v>ملفات GPX الخاصة بي</v>
      </c>
      <c r="Q232" s="4" t="str">
        <f>IFERROR(__xludf.DUMMYFUNCTION("GOOGLETRANSLATE(B232,""en"",""mr"")"),"माझ्या GPX फाइल्स")</f>
        <v>माझ्या GPX फाइल्स</v>
      </c>
      <c r="R232" s="4" t="str">
        <f>IFERROR(__xludf.DUMMYFUNCTION("GOOGLETRANSLATE(B232,""en"",""gu"")"),"મારી GPX ફાઇલો")</f>
        <v>મારી GPX ફાઇલો</v>
      </c>
      <c r="S232" s="4" t="str">
        <f>IFERROR(__xludf.DUMMYFUNCTION("GOOGLETRANSLATE(B232,""en"",""bn"")"),"আমার GPX ফাইল")</f>
        <v>আমার GPX ফাইল</v>
      </c>
      <c r="T232" s="4" t="str">
        <f>IFERROR(__xludf.DUMMYFUNCTION("GOOGLETRANSLATE(B232,""en"",""pa"")"),"ਮੇਰੀਆਂ GPX ਫਾਈਲਾਂ")</f>
        <v>ਮੇਰੀਆਂ GPX ਫਾਈਲਾਂ</v>
      </c>
      <c r="U232" s="4" t="str">
        <f>IFERROR(__xludf.DUMMYFUNCTION("GOOGLETRANSLATE(B232,""en"",""te"")"),"నా GPX ఫైల్స్")</f>
        <v>నా GPX ఫైల్స్</v>
      </c>
      <c r="V232" s="4" t="str">
        <f>IFERROR(__xludf.DUMMYFUNCTION("GOOGLETRANSLATE(B232,""en"",""kn"")"),"ನನ್ನ GPX ಫೈಲ್‌ಗಳು")</f>
        <v>ನನ್ನ GPX ಫೈಲ್‌ಗಳು</v>
      </c>
      <c r="W232" s="4" t="str">
        <f>IFERROR(__xludf.DUMMYFUNCTION("GOOGLETRANSLATE(B232,""en"",""ml"")"),"എൻ്റെ GPX ഫയലുകൾ")</f>
        <v>എൻ്റെ GPX ഫയലുകൾ</v>
      </c>
      <c r="X232" s="4" t="str">
        <f>IFERROR(__xludf.DUMMYFUNCTION("GOOGLETRANSLATE(B232,""en"",""th"")"),"ไฟล์ GPX ของฉัน")</f>
        <v>ไฟล์ GPX ของฉัน</v>
      </c>
      <c r="Y232" s="4" t="str">
        <f>IFERROR(__xludf.DUMMYFUNCTION("GOOGLETRANSLATE(B232,""en"",""ko"")"),"내 GPX 파일")</f>
        <v>내 GPX 파일</v>
      </c>
      <c r="Z232" s="4" t="str">
        <f>IFERROR(__xludf.DUMMYFUNCTION("GOOGLETRANSLATE(B232,""en"",""zh"")"),"我的 GPX 文件")</f>
        <v>我的 GPX 文件</v>
      </c>
      <c r="AA232" s="4" t="str">
        <f>IFERROR(__xludf.DUMMYFUNCTION("GOOGLETRANSLATE(B232,""en"",""zh-TW"")"),"我的 GPX 文件")</f>
        <v>我的 GPX 文件</v>
      </c>
      <c r="AB232" s="4" t="str">
        <f>IFERROR(__xludf.DUMMYFUNCTION("GOOGLETRANSLATE(B232,""en"",""ja"")"),"私のGPXファイル")</f>
        <v>私のGPXファイル</v>
      </c>
      <c r="AC232" s="4" t="str">
        <f>IFERROR(__xludf.DUMMYFUNCTION("GOOGLETRANSLATE(B232,""en"",""bg"")"),"Моите GPX файлове")</f>
        <v>Моите GPX файлове</v>
      </c>
      <c r="AD232" s="4" t="str">
        <f>IFERROR(__xludf.DUMMYFUNCTION("GOOGLETRANSLATE(B232,""en"",""cs"")"),"Moje soubory GPX")</f>
        <v>Moje soubory GPX</v>
      </c>
      <c r="AE232" s="4" t="str">
        <f>IFERROR(__xludf.DUMMYFUNCTION("GOOGLETRANSLATE(B232,""en"",""da"")"),"Mine GPX-filer")</f>
        <v>Mine GPX-filer</v>
      </c>
      <c r="AF232" s="4" t="str">
        <f>IFERROR(__xludf.DUMMYFUNCTION("GOOGLETRANSLATE(B232,""en"",""el"")"),"Τα αρχεία μου GPX")</f>
        <v>Τα αρχεία μου GPX</v>
      </c>
      <c r="AG232" s="4" t="str">
        <f>IFERROR(__xludf.DUMMYFUNCTION("GOOGLETRANSLATE(B232,""en"",""et"")"),"Minu GPX-failid")</f>
        <v>Minu GPX-failid</v>
      </c>
      <c r="AH232" s="4" t="str">
        <f>IFERROR(__xludf.DUMMYFUNCTION("GOOGLETRANSLATE(B232,""en"",""fi"")"),"Omat GPX-tiedostot")</f>
        <v>Omat GPX-tiedostot</v>
      </c>
      <c r="AI232" s="4" t="str">
        <f>IFERROR(__xludf.DUMMYFUNCTION("GOOGLETRANSLATE(B232,""en"",""hr"")"),"Moje GPX datoteke")</f>
        <v>Moje GPX datoteke</v>
      </c>
      <c r="AJ232" s="4" t="str">
        <f>IFERROR(__xludf.DUMMYFUNCTION("GOOGLETRANSLATE(B232,""en"",""hu"")"),"Saját GPX fájlok")</f>
        <v>Saját GPX fájlok</v>
      </c>
      <c r="AK232" s="4" t="str">
        <f>IFERROR(__xludf.DUMMYFUNCTION("GOOGLETRANSLATE(B232,""en"",""hy"")"),"Իմ GPX ֆայլերը")</f>
        <v>Իմ GPX ֆայլերը</v>
      </c>
      <c r="AL232" s="4" t="str">
        <f>IFERROR(__xludf.DUMMYFUNCTION("GOOGLETRANSLATE(B232,""en"",""ca"")"),"Els meus fitxers GPX")</f>
        <v>Els meus fitxers GPX</v>
      </c>
      <c r="AM232" s="4" t="str">
        <f>IFERROR(__xludf.DUMMYFUNCTION("GOOGLETRANSLATE(B232,""en"",""nl"")"),"Mijn GPX-bestanden")</f>
        <v>Mijn GPX-bestanden</v>
      </c>
      <c r="AN232" s="4" t="str">
        <f>IFERROR(__xludf.DUMMYFUNCTION("GOOGLETRANSLATE(B232,""en"",""he"")"),"קבצי ה-GPX שלי")</f>
        <v>קבצי ה-GPX שלי</v>
      </c>
      <c r="AO232" s="4" t="str">
        <f>IFERROR(__xludf.DUMMYFUNCTION("GOOGLETRANSLATE(B232,""en"",""is"")"),"GPX skrárnar mínar")</f>
        <v>GPX skrárnar mínar</v>
      </c>
      <c r="AP232" s="4" t="str">
        <f>IFERROR(__xludf.DUMMYFUNCTION("GOOGLETRANSLATE(B232,""en"",""no"")"),"Mine GPX-filer")</f>
        <v>Mine GPX-filer</v>
      </c>
      <c r="AQ232" s="4" t="str">
        <f>IFERROR(__xludf.DUMMYFUNCTION("GOOGLETRANSLATE(B232,""en"",""fa"")"),"فایل های GPX من")</f>
        <v>فایل های GPX من</v>
      </c>
      <c r="AR232" s="4" t="str">
        <f>IFERROR(__xludf.DUMMYFUNCTION("GOOGLETRANSLATE(B232,""en"",""pl"")"),"Moje pliki GPX")</f>
        <v>Moje pliki GPX</v>
      </c>
      <c r="AS232" s="4" t="str">
        <f>IFERROR(__xludf.DUMMYFUNCTION("GOOGLETRANSLATE(B232,""en"",""sv"")"),"Mina GPX-filer")</f>
        <v>Mina GPX-filer</v>
      </c>
      <c r="AT232" s="4" t="str">
        <f>IFERROR(__xludf.DUMMYFUNCTION("GOOGLETRANSLATE(B232,""en"",""uk"")"),"Мої файли GPX")</f>
        <v>Мої файли GPX</v>
      </c>
      <c r="AU232" s="4" t="str">
        <f>IFERROR(__xludf.DUMMYFUNCTION("GOOGLETRANSLATE(B232,""en"",""zu"")"),"Amafayela Ami e-GPX")</f>
        <v>Amafayela Ami e-GPX</v>
      </c>
      <c r="AV232" s="4" t="str">
        <f>IFERROR(__xludf.DUMMYFUNCTION("GOOGLETRANSLATE(B232,""en"",""sr"")"),"Моје ГПКС датотеке")</f>
        <v>Моје ГПКС датотеке</v>
      </c>
    </row>
    <row r="233">
      <c r="A233" s="3" t="s">
        <v>491</v>
      </c>
      <c r="B233" s="3" t="s">
        <v>492</v>
      </c>
      <c r="C233" s="4" t="str">
        <f>IFERROR(__xludf.DUMMYFUNCTION("GOOGLETRANSLATE(B233,""en"",""ta"")"),"உயரம்")</f>
        <v>உயரம்</v>
      </c>
      <c r="D233" s="4" t="str">
        <f>IFERROR(__xludf.DUMMYFUNCTION("GOOGLETRANSLATE(B233,""en"",""hi"")"),"ऊंचाई")</f>
        <v>ऊंचाई</v>
      </c>
      <c r="E233" s="4" t="str">
        <f>IFERROR(__xludf.DUMMYFUNCTION("GOOGLETRANSLATE(B233,""en"",""id"")"),"Ketinggian")</f>
        <v>Ketinggian</v>
      </c>
      <c r="F233" s="4" t="str">
        <f>IFERROR(__xludf.DUMMYFUNCTION("GOOGLETRANSLATE(B233,""en"",""ms"")"),"Ketinggian")</f>
        <v>Ketinggian</v>
      </c>
      <c r="G233" s="4" t="str">
        <f>IFERROR(__xludf.DUMMYFUNCTION("GOOGLETRANSLATE(B233,""en"",""de"")"),"Höhe")</f>
        <v>Höhe</v>
      </c>
      <c r="H233" s="4" t="str">
        <f>IFERROR(__xludf.DUMMYFUNCTION("GOOGLETRANSLATE(B233,""en"",""es"")"),"Altitud")</f>
        <v>Altitud</v>
      </c>
      <c r="I233" s="4" t="str">
        <f>IFERROR(__xludf.DUMMYFUNCTION("GOOGLETRANSLATE(B233,""en"",""fr"")"),"Altitude")</f>
        <v>Altitude</v>
      </c>
      <c r="J233" s="4" t="str">
        <f>IFERROR(__xludf.DUMMYFUNCTION("GOOGLETRANSLATE(B233,""en"",""it"")"),"Altitudine")</f>
        <v>Altitudine</v>
      </c>
      <c r="K233" s="4" t="str">
        <f>IFERROR(__xludf.DUMMYFUNCTION("GOOGLETRANSLATE(B233,""en"",""pt"")"),"Altitude")</f>
        <v>Altitude</v>
      </c>
      <c r="L233" s="4" t="str">
        <f>IFERROR(__xludf.DUMMYFUNCTION("GOOGLETRANSLATE(B233,""en"",""ro"")"),"Altitudine")</f>
        <v>Altitudine</v>
      </c>
      <c r="M233" s="4" t="str">
        <f>IFERROR(__xludf.DUMMYFUNCTION("GOOGLETRANSLATE(B233,""en"",""vi"")"),"Độ cao")</f>
        <v>Độ cao</v>
      </c>
      <c r="N233" s="4" t="str">
        <f>IFERROR(__xludf.DUMMYFUNCTION("GOOGLETRANSLATE(B233,""en"",""ru"")"),"Высота")</f>
        <v>Высота</v>
      </c>
      <c r="O233" s="4" t="str">
        <f>IFERROR(__xludf.DUMMYFUNCTION("GOOGLETRANSLATE(B233,""en"",""tr"")"),"Yükseklik")</f>
        <v>Yükseklik</v>
      </c>
      <c r="P233" s="4" t="str">
        <f>IFERROR(__xludf.DUMMYFUNCTION("GOOGLETRANSLATE(B233,""en"",""ar"")"),"ارتفاع")</f>
        <v>ارتفاع</v>
      </c>
      <c r="Q233" s="4" t="str">
        <f>IFERROR(__xludf.DUMMYFUNCTION("GOOGLETRANSLATE(B233,""en"",""mr"")"),"उंची")</f>
        <v>उंची</v>
      </c>
      <c r="R233" s="4" t="str">
        <f>IFERROR(__xludf.DUMMYFUNCTION("GOOGLETRANSLATE(B233,""en"",""gu"")"),"ઊંચાઈ")</f>
        <v>ઊંચાઈ</v>
      </c>
      <c r="S233" s="4" t="str">
        <f>IFERROR(__xludf.DUMMYFUNCTION("GOOGLETRANSLATE(B233,""en"",""bn"")"),"উচ্চতা")</f>
        <v>উচ্চতা</v>
      </c>
      <c r="T233" s="4" t="str">
        <f>IFERROR(__xludf.DUMMYFUNCTION("GOOGLETRANSLATE(B233,""en"",""pa"")"),"ਉਚਾਈ")</f>
        <v>ਉਚਾਈ</v>
      </c>
      <c r="U233" s="4" t="str">
        <f>IFERROR(__xludf.DUMMYFUNCTION("GOOGLETRANSLATE(B233,""en"",""te"")"),"ఎత్తు")</f>
        <v>ఎత్తు</v>
      </c>
      <c r="V233" s="4" t="str">
        <f>IFERROR(__xludf.DUMMYFUNCTION("GOOGLETRANSLATE(B233,""en"",""kn"")"),"ಎತ್ತರ")</f>
        <v>ಎತ್ತರ</v>
      </c>
      <c r="W233" s="4" t="str">
        <f>IFERROR(__xludf.DUMMYFUNCTION("GOOGLETRANSLATE(B233,""en"",""ml"")"),"ഉയരം")</f>
        <v>ഉയരം</v>
      </c>
      <c r="X233" s="4" t="str">
        <f>IFERROR(__xludf.DUMMYFUNCTION("GOOGLETRANSLATE(B233,""en"",""th"")"),"ระดับความสูง")</f>
        <v>ระดับความสูง</v>
      </c>
      <c r="Y233" s="4" t="str">
        <f>IFERROR(__xludf.DUMMYFUNCTION("GOOGLETRANSLATE(B233,""en"",""ko"")"),"고도")</f>
        <v>고도</v>
      </c>
      <c r="Z233" s="4" t="str">
        <f>IFERROR(__xludf.DUMMYFUNCTION("GOOGLETRANSLATE(B233,""en"",""zh"")"),"高度")</f>
        <v>高度</v>
      </c>
      <c r="AA233" s="4" t="str">
        <f>IFERROR(__xludf.DUMMYFUNCTION("GOOGLETRANSLATE(B233,""en"",""zh-TW"")"),"高度")</f>
        <v>高度</v>
      </c>
      <c r="AB233" s="4" t="str">
        <f>IFERROR(__xludf.DUMMYFUNCTION("GOOGLETRANSLATE(B233,""en"",""ja"")"),"高度")</f>
        <v>高度</v>
      </c>
      <c r="AC233" s="4" t="str">
        <f>IFERROR(__xludf.DUMMYFUNCTION("GOOGLETRANSLATE(B233,""en"",""bg"")"),"Надморска височина")</f>
        <v>Надморска височина</v>
      </c>
      <c r="AD233" s="4" t="str">
        <f>IFERROR(__xludf.DUMMYFUNCTION("GOOGLETRANSLATE(B233,""en"",""cs"")"),"Nadmořská výška")</f>
        <v>Nadmořská výška</v>
      </c>
      <c r="AE233" s="4" t="str">
        <f>IFERROR(__xludf.DUMMYFUNCTION("GOOGLETRANSLATE(B233,""en"",""da"")"),"Højde")</f>
        <v>Højde</v>
      </c>
      <c r="AF233" s="4" t="str">
        <f>IFERROR(__xludf.DUMMYFUNCTION("GOOGLETRANSLATE(B233,""en"",""el"")"),"Υψόμετρο")</f>
        <v>Υψόμετρο</v>
      </c>
      <c r="AG233" s="4" t="str">
        <f>IFERROR(__xludf.DUMMYFUNCTION("GOOGLETRANSLATE(B233,""en"",""et"")"),"Kõrgus merepinnast")</f>
        <v>Kõrgus merepinnast</v>
      </c>
      <c r="AH233" s="4" t="str">
        <f>IFERROR(__xludf.DUMMYFUNCTION("GOOGLETRANSLATE(B233,""en"",""fi"")"),"Korkeus")</f>
        <v>Korkeus</v>
      </c>
      <c r="AI233" s="4" t="str">
        <f>IFERROR(__xludf.DUMMYFUNCTION("GOOGLETRANSLATE(B233,""en"",""hr"")"),"Nadmorska visina")</f>
        <v>Nadmorska visina</v>
      </c>
      <c r="AJ233" s="4" t="str">
        <f>IFERROR(__xludf.DUMMYFUNCTION("GOOGLETRANSLATE(B233,""en"",""hu"")"),"Magasság")</f>
        <v>Magasság</v>
      </c>
      <c r="AK233" s="4" t="str">
        <f>IFERROR(__xludf.DUMMYFUNCTION("GOOGLETRANSLATE(B233,""en"",""hy"")"),"Բարձրություն")</f>
        <v>Բարձրություն</v>
      </c>
      <c r="AL233" s="4" t="str">
        <f>IFERROR(__xludf.DUMMYFUNCTION("GOOGLETRANSLATE(B233,""en"",""ca"")"),"Altitud")</f>
        <v>Altitud</v>
      </c>
      <c r="AM233" s="4" t="str">
        <f>IFERROR(__xludf.DUMMYFUNCTION("GOOGLETRANSLATE(B233,""en"",""nl"")"),"Hoogte")</f>
        <v>Hoogte</v>
      </c>
      <c r="AN233" s="4" t="str">
        <f>IFERROR(__xludf.DUMMYFUNCTION("GOOGLETRANSLATE(B233,""en"",""he"")"),"גוֹבַה")</f>
        <v>גוֹבַה</v>
      </c>
      <c r="AO233" s="4" t="str">
        <f>IFERROR(__xludf.DUMMYFUNCTION("GOOGLETRANSLATE(B233,""en"",""is"")"),"Hæð")</f>
        <v>Hæð</v>
      </c>
      <c r="AP233" s="4" t="str">
        <f>IFERROR(__xludf.DUMMYFUNCTION("GOOGLETRANSLATE(B233,""en"",""no"")"),"Høyde")</f>
        <v>Høyde</v>
      </c>
      <c r="AQ233" s="4" t="str">
        <f>IFERROR(__xludf.DUMMYFUNCTION("GOOGLETRANSLATE(B233,""en"",""fa"")"),"ارتفاع")</f>
        <v>ارتفاع</v>
      </c>
      <c r="AR233" s="4" t="str">
        <f>IFERROR(__xludf.DUMMYFUNCTION("GOOGLETRANSLATE(B233,""en"",""pl"")"),"Wysokość")</f>
        <v>Wysokość</v>
      </c>
      <c r="AS233" s="4" t="str">
        <f>IFERROR(__xludf.DUMMYFUNCTION("GOOGLETRANSLATE(B233,""en"",""sv"")"),"Höjd över havet")</f>
        <v>Höjd över havet</v>
      </c>
      <c r="AT233" s="4" t="str">
        <f>IFERROR(__xludf.DUMMYFUNCTION("GOOGLETRANSLATE(B233,""en"",""uk"")"),"Висота")</f>
        <v>Висота</v>
      </c>
      <c r="AU233" s="4" t="str">
        <f>IFERROR(__xludf.DUMMYFUNCTION("GOOGLETRANSLATE(B233,""en"",""zu"")"),"Ukuphakama")</f>
        <v>Ukuphakama</v>
      </c>
      <c r="AV233" s="4" t="str">
        <f>IFERROR(__xludf.DUMMYFUNCTION("GOOGLETRANSLATE(B233,""en"",""sr"")"),"Висина")</f>
        <v>Висина</v>
      </c>
    </row>
    <row r="234">
      <c r="A234" s="3" t="s">
        <v>493</v>
      </c>
      <c r="B234" s="3" t="s">
        <v>111</v>
      </c>
      <c r="C234" s="4" t="str">
        <f>IFERROR(__xludf.DUMMYFUNCTION("GOOGLETRANSLATE(B234,""en"",""ta"")"),"திசைகாட்டி")</f>
        <v>திசைகாட்டி</v>
      </c>
      <c r="D234" s="4" t="str">
        <f>IFERROR(__xludf.DUMMYFUNCTION("GOOGLETRANSLATE(B234,""en"",""hi"")"),"कम्पास")</f>
        <v>कम्पास</v>
      </c>
      <c r="E234" s="4" t="str">
        <f>IFERROR(__xludf.DUMMYFUNCTION("GOOGLETRANSLATE(B234,""en"",""id"")"),"Kompas")</f>
        <v>Kompas</v>
      </c>
      <c r="F234" s="4" t="str">
        <f>IFERROR(__xludf.DUMMYFUNCTION("GOOGLETRANSLATE(B234,""en"",""ms"")"),"Kompas")</f>
        <v>Kompas</v>
      </c>
      <c r="G234" s="4" t="str">
        <f>IFERROR(__xludf.DUMMYFUNCTION("GOOGLETRANSLATE(B234,""en"",""de"")"),"Kompass")</f>
        <v>Kompass</v>
      </c>
      <c r="H234" s="4" t="str">
        <f>IFERROR(__xludf.DUMMYFUNCTION("GOOGLETRANSLATE(B234,""en"",""es"")"),"Brújula")</f>
        <v>Brújula</v>
      </c>
      <c r="I234" s="4" t="str">
        <f>IFERROR(__xludf.DUMMYFUNCTION("GOOGLETRANSLATE(B234,""en"",""fr"")"),"Boussole")</f>
        <v>Boussole</v>
      </c>
      <c r="J234" s="4" t="str">
        <f>IFERROR(__xludf.DUMMYFUNCTION("GOOGLETRANSLATE(B234,""en"",""it"")"),"Bussola")</f>
        <v>Bussola</v>
      </c>
      <c r="K234" s="4" t="str">
        <f>IFERROR(__xludf.DUMMYFUNCTION("GOOGLETRANSLATE(B234,""en"",""pt"")"),"Bússola")</f>
        <v>Bússola</v>
      </c>
      <c r="L234" s="4" t="str">
        <f>IFERROR(__xludf.DUMMYFUNCTION("GOOGLETRANSLATE(B234,""en"",""ro"")"),"Busolă")</f>
        <v>Busolă</v>
      </c>
      <c r="M234" s="4" t="str">
        <f>IFERROR(__xludf.DUMMYFUNCTION("GOOGLETRANSLATE(B234,""en"",""vi"")"),"La bàn")</f>
        <v>La bàn</v>
      </c>
      <c r="N234" s="4" t="str">
        <f>IFERROR(__xludf.DUMMYFUNCTION("GOOGLETRANSLATE(B234,""en"",""ru"")"),"Компас")</f>
        <v>Компас</v>
      </c>
      <c r="O234" s="4" t="str">
        <f>IFERROR(__xludf.DUMMYFUNCTION("GOOGLETRANSLATE(B234,""en"",""tr"")"),"Pusula")</f>
        <v>Pusula</v>
      </c>
      <c r="P234" s="4" t="str">
        <f>IFERROR(__xludf.DUMMYFUNCTION("GOOGLETRANSLATE(B234,""en"",""ar"")"),"بوصلة")</f>
        <v>بوصلة</v>
      </c>
      <c r="Q234" s="4" t="str">
        <f>IFERROR(__xludf.DUMMYFUNCTION("GOOGLETRANSLATE(B234,""en"",""mr"")"),"होकायंत्र")</f>
        <v>होकायंत्र</v>
      </c>
      <c r="R234" s="4" t="str">
        <f>IFERROR(__xludf.DUMMYFUNCTION("GOOGLETRANSLATE(B234,""en"",""gu"")"),"હોકાયંત્ર")</f>
        <v>હોકાયંત્ર</v>
      </c>
      <c r="S234" s="4" t="str">
        <f>IFERROR(__xludf.DUMMYFUNCTION("GOOGLETRANSLATE(B234,""en"",""bn"")"),"কম্পাস")</f>
        <v>কম্পাস</v>
      </c>
      <c r="T234" s="4" t="str">
        <f>IFERROR(__xludf.DUMMYFUNCTION("GOOGLETRANSLATE(B234,""en"",""pa"")"),"ਕੰਪਾਸ")</f>
        <v>ਕੰਪਾਸ</v>
      </c>
      <c r="U234" s="4" t="str">
        <f>IFERROR(__xludf.DUMMYFUNCTION("GOOGLETRANSLATE(B234,""en"",""te"")"),"దిక్సూచి")</f>
        <v>దిక్సూచి</v>
      </c>
      <c r="V234" s="4" t="str">
        <f>IFERROR(__xludf.DUMMYFUNCTION("GOOGLETRANSLATE(B234,""en"",""kn"")"),"ದಿಕ್ಸೂಚಿ")</f>
        <v>ದಿಕ್ಸೂಚಿ</v>
      </c>
      <c r="W234" s="4" t="str">
        <f>IFERROR(__xludf.DUMMYFUNCTION("GOOGLETRANSLATE(B234,""en"",""ml"")"),"കോമ്പസ്")</f>
        <v>കോമ്പസ്</v>
      </c>
      <c r="X234" s="4" t="str">
        <f>IFERROR(__xludf.DUMMYFUNCTION("GOOGLETRANSLATE(B234,""en"",""th"")"),"เข็มทิศ")</f>
        <v>เข็มทิศ</v>
      </c>
      <c r="Y234" s="4" t="str">
        <f>IFERROR(__xludf.DUMMYFUNCTION("GOOGLETRANSLATE(B234,""en"",""ko"")"),"나침반")</f>
        <v>나침반</v>
      </c>
      <c r="Z234" s="4" t="str">
        <f>IFERROR(__xludf.DUMMYFUNCTION("GOOGLETRANSLATE(B234,""en"",""zh"")"),"罗盘")</f>
        <v>罗盘</v>
      </c>
      <c r="AA234" s="4" t="str">
        <f>IFERROR(__xludf.DUMMYFUNCTION("GOOGLETRANSLATE(B234,""en"",""zh-TW"")"),"羅盤")</f>
        <v>羅盤</v>
      </c>
      <c r="AB234" s="4" t="str">
        <f>IFERROR(__xludf.DUMMYFUNCTION("GOOGLETRANSLATE(B234,""en"",""ja"")"),"コンパス")</f>
        <v>コンパス</v>
      </c>
      <c r="AC234" s="4" t="str">
        <f>IFERROR(__xludf.DUMMYFUNCTION("GOOGLETRANSLATE(B234,""en"",""bg"")"),"Компас")</f>
        <v>Компас</v>
      </c>
      <c r="AD234" s="4" t="str">
        <f>IFERROR(__xludf.DUMMYFUNCTION("GOOGLETRANSLATE(B234,""en"",""cs"")"),"Kompas")</f>
        <v>Kompas</v>
      </c>
      <c r="AE234" s="4" t="str">
        <f>IFERROR(__xludf.DUMMYFUNCTION("GOOGLETRANSLATE(B234,""en"",""da"")"),"Kompas")</f>
        <v>Kompas</v>
      </c>
      <c r="AF234" s="4" t="str">
        <f>IFERROR(__xludf.DUMMYFUNCTION("GOOGLETRANSLATE(B234,""en"",""el"")"),"Πυξίδα")</f>
        <v>Πυξίδα</v>
      </c>
      <c r="AG234" s="4" t="str">
        <f>IFERROR(__xludf.DUMMYFUNCTION("GOOGLETRANSLATE(B234,""en"",""et"")"),"Kompass")</f>
        <v>Kompass</v>
      </c>
      <c r="AH234" s="4" t="str">
        <f>IFERROR(__xludf.DUMMYFUNCTION("GOOGLETRANSLATE(B234,""en"",""fi"")"),"Kompassi")</f>
        <v>Kompassi</v>
      </c>
      <c r="AI234" s="4" t="str">
        <f>IFERROR(__xludf.DUMMYFUNCTION("GOOGLETRANSLATE(B234,""en"",""hr"")"),"Kompas")</f>
        <v>Kompas</v>
      </c>
      <c r="AJ234" s="4" t="str">
        <f>IFERROR(__xludf.DUMMYFUNCTION("GOOGLETRANSLATE(B234,""en"",""hu"")"),"Iránytű")</f>
        <v>Iránytű</v>
      </c>
      <c r="AK234" s="4" t="str">
        <f>IFERROR(__xludf.DUMMYFUNCTION("GOOGLETRANSLATE(B234,""en"",""hy"")"),"Կողմնացույց")</f>
        <v>Կողմնացույց</v>
      </c>
      <c r="AL234" s="4" t="str">
        <f>IFERROR(__xludf.DUMMYFUNCTION("GOOGLETRANSLATE(B234,""en"",""ca"")"),"Brúixola")</f>
        <v>Brúixola</v>
      </c>
      <c r="AM234" s="4" t="str">
        <f>IFERROR(__xludf.DUMMYFUNCTION("GOOGLETRANSLATE(B234,""en"",""nl"")"),"Kompas")</f>
        <v>Kompas</v>
      </c>
      <c r="AN234" s="4" t="str">
        <f>IFERROR(__xludf.DUMMYFUNCTION("GOOGLETRANSLATE(B234,""en"",""he"")"),"מַצְפֵּן")</f>
        <v>מַצְפֵּן</v>
      </c>
      <c r="AO234" s="4" t="str">
        <f>IFERROR(__xludf.DUMMYFUNCTION("GOOGLETRANSLATE(B234,""en"",""is"")"),"Áttaviti")</f>
        <v>Áttaviti</v>
      </c>
      <c r="AP234" s="4" t="str">
        <f>IFERROR(__xludf.DUMMYFUNCTION("GOOGLETRANSLATE(B234,""en"",""no"")"),"Kompass")</f>
        <v>Kompass</v>
      </c>
      <c r="AQ234" s="4" t="str">
        <f>IFERROR(__xludf.DUMMYFUNCTION("GOOGLETRANSLATE(B234,""en"",""fa"")"),"قطب نما")</f>
        <v>قطب نما</v>
      </c>
      <c r="AR234" s="4" t="str">
        <f>IFERROR(__xludf.DUMMYFUNCTION("GOOGLETRANSLATE(B234,""en"",""pl"")"),"Kompas")</f>
        <v>Kompas</v>
      </c>
      <c r="AS234" s="4" t="str">
        <f>IFERROR(__xludf.DUMMYFUNCTION("GOOGLETRANSLATE(B234,""en"",""sv"")"),"Kompass")</f>
        <v>Kompass</v>
      </c>
      <c r="AT234" s="4" t="str">
        <f>IFERROR(__xludf.DUMMYFUNCTION("GOOGLETRANSLATE(B234,""en"",""uk"")"),"компас")</f>
        <v>компас</v>
      </c>
      <c r="AU234" s="4" t="str">
        <f>IFERROR(__xludf.DUMMYFUNCTION("GOOGLETRANSLATE(B234,""en"",""zu"")"),"Ikhampasi")</f>
        <v>Ikhampasi</v>
      </c>
      <c r="AV234" s="4" t="str">
        <f>IFERROR(__xludf.DUMMYFUNCTION("GOOGLETRANSLATE(B234,""en"",""sr"")"),"Компас")</f>
        <v>Компас</v>
      </c>
    </row>
    <row r="235">
      <c r="A235" s="3" t="s">
        <v>494</v>
      </c>
      <c r="B235" s="3" t="s">
        <v>495</v>
      </c>
      <c r="C235" s="4" t="str">
        <f>IFERROR(__xludf.DUMMYFUNCTION("GOOGLETRANSLATE(B235,""en"",""ta"")"),"தூரம்")</f>
        <v>தூரம்</v>
      </c>
      <c r="D235" s="4" t="str">
        <f>IFERROR(__xludf.DUMMYFUNCTION("GOOGLETRANSLATE(B235,""en"",""hi"")"),"दूरी")</f>
        <v>दूरी</v>
      </c>
      <c r="E235" s="4" t="str">
        <f>IFERROR(__xludf.DUMMYFUNCTION("GOOGLETRANSLATE(B235,""en"",""id"")"),"Jarak")</f>
        <v>Jarak</v>
      </c>
      <c r="F235" s="4" t="str">
        <f>IFERROR(__xludf.DUMMYFUNCTION("GOOGLETRANSLATE(B235,""en"",""ms"")"),"Jarak")</f>
        <v>Jarak</v>
      </c>
      <c r="G235" s="4" t="str">
        <f>IFERROR(__xludf.DUMMYFUNCTION("GOOGLETRANSLATE(B235,""en"",""de"")"),"Distanz")</f>
        <v>Distanz</v>
      </c>
      <c r="H235" s="4" t="str">
        <f>IFERROR(__xludf.DUMMYFUNCTION("GOOGLETRANSLATE(B235,""en"",""es"")"),"Distancia")</f>
        <v>Distancia</v>
      </c>
      <c r="I235" s="4" t="str">
        <f>IFERROR(__xludf.DUMMYFUNCTION("GOOGLETRANSLATE(B235,""en"",""fr"")"),"Distance")</f>
        <v>Distance</v>
      </c>
      <c r="J235" s="4" t="str">
        <f>IFERROR(__xludf.DUMMYFUNCTION("GOOGLETRANSLATE(B235,""en"",""it"")"),"Distanza")</f>
        <v>Distanza</v>
      </c>
      <c r="K235" s="4" t="str">
        <f>IFERROR(__xludf.DUMMYFUNCTION("GOOGLETRANSLATE(B235,""en"",""pt"")"),"Distância")</f>
        <v>Distância</v>
      </c>
      <c r="L235" s="4" t="str">
        <f>IFERROR(__xludf.DUMMYFUNCTION("GOOGLETRANSLATE(B235,""en"",""ro"")"),"Distanţă")</f>
        <v>Distanţă</v>
      </c>
      <c r="M235" s="4" t="str">
        <f>IFERROR(__xludf.DUMMYFUNCTION("GOOGLETRANSLATE(B235,""en"",""vi"")"),"Khoảng cách")</f>
        <v>Khoảng cách</v>
      </c>
      <c r="N235" s="4" t="str">
        <f>IFERROR(__xludf.DUMMYFUNCTION("GOOGLETRANSLATE(B235,""en"",""ru"")"),"Расстояние")</f>
        <v>Расстояние</v>
      </c>
      <c r="O235" s="4" t="str">
        <f>IFERROR(__xludf.DUMMYFUNCTION("GOOGLETRANSLATE(B235,""en"",""tr"")"),"Mesafe")</f>
        <v>Mesafe</v>
      </c>
      <c r="P235" s="4" t="str">
        <f>IFERROR(__xludf.DUMMYFUNCTION("GOOGLETRANSLATE(B235,""en"",""ar"")"),"مسافة")</f>
        <v>مسافة</v>
      </c>
      <c r="Q235" s="4" t="str">
        <f>IFERROR(__xludf.DUMMYFUNCTION("GOOGLETRANSLATE(B235,""en"",""mr"")"),"अंतर")</f>
        <v>अंतर</v>
      </c>
      <c r="R235" s="4" t="str">
        <f>IFERROR(__xludf.DUMMYFUNCTION("GOOGLETRANSLATE(B235,""en"",""gu"")"),"અંતર")</f>
        <v>અંતર</v>
      </c>
      <c r="S235" s="4" t="str">
        <f>IFERROR(__xludf.DUMMYFUNCTION("GOOGLETRANSLATE(B235,""en"",""bn"")"),"দূরত্ব")</f>
        <v>দূরত্ব</v>
      </c>
      <c r="T235" s="4" t="str">
        <f>IFERROR(__xludf.DUMMYFUNCTION("GOOGLETRANSLATE(B235,""en"",""pa"")"),"ਦੂਰੀ")</f>
        <v>ਦੂਰੀ</v>
      </c>
      <c r="U235" s="4" t="str">
        <f>IFERROR(__xludf.DUMMYFUNCTION("GOOGLETRANSLATE(B235,""en"",""te"")"),"దూరం")</f>
        <v>దూరం</v>
      </c>
      <c r="V235" s="4" t="str">
        <f>IFERROR(__xludf.DUMMYFUNCTION("GOOGLETRANSLATE(B235,""en"",""kn"")"),"ದೂರ")</f>
        <v>ದೂರ</v>
      </c>
      <c r="W235" s="4" t="str">
        <f>IFERROR(__xludf.DUMMYFUNCTION("GOOGLETRANSLATE(B235,""en"",""ml"")"),"ദൂരം")</f>
        <v>ദൂരം</v>
      </c>
      <c r="X235" s="4" t="str">
        <f>IFERROR(__xludf.DUMMYFUNCTION("GOOGLETRANSLATE(B235,""en"",""th"")"),"ระยะทาง")</f>
        <v>ระยะทาง</v>
      </c>
      <c r="Y235" s="4" t="str">
        <f>IFERROR(__xludf.DUMMYFUNCTION("GOOGLETRANSLATE(B235,""en"",""ko"")"),"거리")</f>
        <v>거리</v>
      </c>
      <c r="Z235" s="4" t="str">
        <f>IFERROR(__xludf.DUMMYFUNCTION("GOOGLETRANSLATE(B235,""en"",""zh"")"),"距离")</f>
        <v>距离</v>
      </c>
      <c r="AA235" s="4" t="str">
        <f>IFERROR(__xludf.DUMMYFUNCTION("GOOGLETRANSLATE(B235,""en"",""zh-TW"")"),"距離")</f>
        <v>距離</v>
      </c>
      <c r="AB235" s="4" t="str">
        <f>IFERROR(__xludf.DUMMYFUNCTION("GOOGLETRANSLATE(B235,""en"",""ja"")"),"距離")</f>
        <v>距離</v>
      </c>
      <c r="AC235" s="4" t="str">
        <f>IFERROR(__xludf.DUMMYFUNCTION("GOOGLETRANSLATE(B235,""en"",""bg"")"),"Разстояние")</f>
        <v>Разстояние</v>
      </c>
      <c r="AD235" s="4" t="str">
        <f>IFERROR(__xludf.DUMMYFUNCTION("GOOGLETRANSLATE(B235,""en"",""cs"")"),"Vzdálenost")</f>
        <v>Vzdálenost</v>
      </c>
      <c r="AE235" s="4" t="str">
        <f>IFERROR(__xludf.DUMMYFUNCTION("GOOGLETRANSLATE(B235,""en"",""da"")"),"Afstand")</f>
        <v>Afstand</v>
      </c>
      <c r="AF235" s="4" t="str">
        <f>IFERROR(__xludf.DUMMYFUNCTION("GOOGLETRANSLATE(B235,""en"",""el"")"),"Απόσταση")</f>
        <v>Απόσταση</v>
      </c>
      <c r="AG235" s="4" t="str">
        <f>IFERROR(__xludf.DUMMYFUNCTION("GOOGLETRANSLATE(B235,""en"",""et"")"),"Kaugus")</f>
        <v>Kaugus</v>
      </c>
      <c r="AH235" s="4" t="str">
        <f>IFERROR(__xludf.DUMMYFUNCTION("GOOGLETRANSLATE(B235,""en"",""fi"")"),"Etäisyys")</f>
        <v>Etäisyys</v>
      </c>
      <c r="AI235" s="4" t="str">
        <f>IFERROR(__xludf.DUMMYFUNCTION("GOOGLETRANSLATE(B235,""en"",""hr"")"),"Udaljenost")</f>
        <v>Udaljenost</v>
      </c>
      <c r="AJ235" s="4" t="str">
        <f>IFERROR(__xludf.DUMMYFUNCTION("GOOGLETRANSLATE(B235,""en"",""hu"")"),"Távolság")</f>
        <v>Távolság</v>
      </c>
      <c r="AK235" s="4" t="str">
        <f>IFERROR(__xludf.DUMMYFUNCTION("GOOGLETRANSLATE(B235,""en"",""hy"")"),"Հեռավորությունը")</f>
        <v>Հեռավորությունը</v>
      </c>
      <c r="AL235" s="4" t="str">
        <f>IFERROR(__xludf.DUMMYFUNCTION("GOOGLETRANSLATE(B235,""en"",""ca"")"),"Distància")</f>
        <v>Distància</v>
      </c>
      <c r="AM235" s="4" t="str">
        <f>IFERROR(__xludf.DUMMYFUNCTION("GOOGLETRANSLATE(B235,""en"",""nl"")"),"Afstand")</f>
        <v>Afstand</v>
      </c>
      <c r="AN235" s="4" t="str">
        <f>IFERROR(__xludf.DUMMYFUNCTION("GOOGLETRANSLATE(B235,""en"",""he"")"),"מֶרְחָק")</f>
        <v>מֶרְחָק</v>
      </c>
      <c r="AO235" s="4" t="str">
        <f>IFERROR(__xludf.DUMMYFUNCTION("GOOGLETRANSLATE(B235,""en"",""is"")"),"Fjarlægð")</f>
        <v>Fjarlægð</v>
      </c>
      <c r="AP235" s="4" t="str">
        <f>IFERROR(__xludf.DUMMYFUNCTION("GOOGLETRANSLATE(B235,""en"",""no"")"),"Avstand")</f>
        <v>Avstand</v>
      </c>
      <c r="AQ235" s="4" t="str">
        <f>IFERROR(__xludf.DUMMYFUNCTION("GOOGLETRANSLATE(B235,""en"",""fa"")"),"فاصله")</f>
        <v>فاصله</v>
      </c>
      <c r="AR235" s="4" t="str">
        <f>IFERROR(__xludf.DUMMYFUNCTION("GOOGLETRANSLATE(B235,""en"",""pl"")"),"Dystans")</f>
        <v>Dystans</v>
      </c>
      <c r="AS235" s="4" t="str">
        <f>IFERROR(__xludf.DUMMYFUNCTION("GOOGLETRANSLATE(B235,""en"",""sv"")"),"Avstånd")</f>
        <v>Avstånd</v>
      </c>
      <c r="AT235" s="4" t="str">
        <f>IFERROR(__xludf.DUMMYFUNCTION("GOOGLETRANSLATE(B235,""en"",""uk"")"),"Відстань")</f>
        <v>Відстань</v>
      </c>
      <c r="AU235" s="4" t="str">
        <f>IFERROR(__xludf.DUMMYFUNCTION("GOOGLETRANSLATE(B235,""en"",""zu"")"),"Ibanga")</f>
        <v>Ibanga</v>
      </c>
      <c r="AV235" s="4" t="str">
        <f>IFERROR(__xludf.DUMMYFUNCTION("GOOGLETRANSLATE(B235,""en"",""sr"")"),"Удаљеност")</f>
        <v>Удаљеност</v>
      </c>
    </row>
    <row r="236">
      <c r="A236" s="3" t="s">
        <v>496</v>
      </c>
      <c r="B236" s="3" t="s">
        <v>497</v>
      </c>
      <c r="C236" s="4" t="str">
        <f>IFERROR(__xludf.DUMMYFUNCTION("GOOGLETRANSLATE(B236,""en"",""ta"")"),"படி கவுண்டர்")</f>
        <v>படி கவுண்டர்</v>
      </c>
      <c r="D236" s="4" t="str">
        <f>IFERROR(__xludf.DUMMYFUNCTION("GOOGLETRANSLATE(B236,""en"",""hi"")"),"स्टेप काउंटर")</f>
        <v>स्टेप काउंटर</v>
      </c>
      <c r="E236" s="4" t="str">
        <f>IFERROR(__xludf.DUMMYFUNCTION("GOOGLETRANSLATE(B236,""en"",""id"")"),"Penghitung Langkah")</f>
        <v>Penghitung Langkah</v>
      </c>
      <c r="F236" s="4" t="str">
        <f>IFERROR(__xludf.DUMMYFUNCTION("GOOGLETRANSLATE(B236,""en"",""ms"")"),"Kaunter Langkah")</f>
        <v>Kaunter Langkah</v>
      </c>
      <c r="G236" s="4" t="str">
        <f>IFERROR(__xludf.DUMMYFUNCTION("GOOGLETRANSLATE(B236,""en"",""de"")"),"Schrittzähler")</f>
        <v>Schrittzähler</v>
      </c>
      <c r="H236" s="4" t="str">
        <f>IFERROR(__xludf.DUMMYFUNCTION("GOOGLETRANSLATE(B236,""en"",""es"")"),"Contador de pasos")</f>
        <v>Contador de pasos</v>
      </c>
      <c r="I236" s="4" t="str">
        <f>IFERROR(__xludf.DUMMYFUNCTION("GOOGLETRANSLATE(B236,""en"",""fr"")"),"Compteur de pas")</f>
        <v>Compteur de pas</v>
      </c>
      <c r="J236" s="4" t="str">
        <f>IFERROR(__xludf.DUMMYFUNCTION("GOOGLETRANSLATE(B236,""en"",""it"")"),"Contapassi")</f>
        <v>Contapassi</v>
      </c>
      <c r="K236" s="4" t="str">
        <f>IFERROR(__xludf.DUMMYFUNCTION("GOOGLETRANSLATE(B236,""en"",""pt"")"),"Contador de Passos")</f>
        <v>Contador de Passos</v>
      </c>
      <c r="L236" s="4" t="str">
        <f>IFERROR(__xludf.DUMMYFUNCTION("GOOGLETRANSLATE(B236,""en"",""ro"")"),"Contor de pași")</f>
        <v>Contor de pași</v>
      </c>
      <c r="M236" s="4" t="str">
        <f>IFERROR(__xludf.DUMMYFUNCTION("GOOGLETRANSLATE(B236,""en"",""vi"")"),"Bộ đếm bước chân")</f>
        <v>Bộ đếm bước chân</v>
      </c>
      <c r="N236" s="4" t="str">
        <f>IFERROR(__xludf.DUMMYFUNCTION("GOOGLETRANSLATE(B236,""en"",""ru"")"),"Счетчик шагов")</f>
        <v>Счетчик шагов</v>
      </c>
      <c r="O236" s="4" t="str">
        <f>IFERROR(__xludf.DUMMYFUNCTION("GOOGLETRANSLATE(B236,""en"",""tr"")"),"Adım Sayacı")</f>
        <v>Adım Sayacı</v>
      </c>
      <c r="P236" s="4" t="str">
        <f>IFERROR(__xludf.DUMMYFUNCTION("GOOGLETRANSLATE(B236,""en"",""ar"")"),"عداد الخطوات")</f>
        <v>عداد الخطوات</v>
      </c>
      <c r="Q236" s="4" t="str">
        <f>IFERROR(__xludf.DUMMYFUNCTION("GOOGLETRANSLATE(B236,""en"",""mr"")"),"स्टेप काउंटर")</f>
        <v>स्टेप काउंटर</v>
      </c>
      <c r="R236" s="4" t="str">
        <f>IFERROR(__xludf.DUMMYFUNCTION("GOOGLETRANSLATE(B236,""en"",""gu"")"),"સ્ટેપ કાઉન્ટર")</f>
        <v>સ્ટેપ કાઉન્ટર</v>
      </c>
      <c r="S236" s="4" t="str">
        <f>IFERROR(__xludf.DUMMYFUNCTION("GOOGLETRANSLATE(B236,""en"",""bn"")"),"স্টেপ কাউন্টার")</f>
        <v>স্টেপ কাউন্টার</v>
      </c>
      <c r="T236" s="4" t="str">
        <f>IFERROR(__xludf.DUMMYFUNCTION("GOOGLETRANSLATE(B236,""en"",""pa"")"),"ਸਟੈਪ ਕਾਊਂਟਰ")</f>
        <v>ਸਟੈਪ ਕਾਊਂਟਰ</v>
      </c>
      <c r="U236" s="4" t="str">
        <f>IFERROR(__xludf.DUMMYFUNCTION("GOOGLETRANSLATE(B236,""en"",""te"")"),"దశ కౌంటర్")</f>
        <v>దశ కౌంటర్</v>
      </c>
      <c r="V236" s="4" t="str">
        <f>IFERROR(__xludf.DUMMYFUNCTION("GOOGLETRANSLATE(B236,""en"",""kn"")"),"ಹಂತ ಕೌಂಟರ್")</f>
        <v>ಹಂತ ಕೌಂಟರ್</v>
      </c>
      <c r="W236" s="4" t="str">
        <f>IFERROR(__xludf.DUMMYFUNCTION("GOOGLETRANSLATE(B236,""en"",""ml"")"),"സ്റ്റെപ്പ് കൗണ്ടർ")</f>
        <v>സ്റ്റെപ്പ് കൗണ്ടർ</v>
      </c>
      <c r="X236" s="4" t="str">
        <f>IFERROR(__xludf.DUMMYFUNCTION("GOOGLETRANSLATE(B236,""en"",""th"")"),"เครื่องนับก้าว")</f>
        <v>เครื่องนับก้าว</v>
      </c>
      <c r="Y236" s="4" t="str">
        <f>IFERROR(__xludf.DUMMYFUNCTION("GOOGLETRANSLATE(B236,""en"",""ko"")"),"걸음 수 카운터")</f>
        <v>걸음 수 카운터</v>
      </c>
      <c r="Z236" s="4" t="str">
        <f>IFERROR(__xludf.DUMMYFUNCTION("GOOGLETRANSLATE(B236,""en"",""zh"")"),"计步器")</f>
        <v>计步器</v>
      </c>
      <c r="AA236" s="4" t="str">
        <f>IFERROR(__xludf.DUMMYFUNCTION("GOOGLETRANSLATE(B236,""en"",""zh-TW"")"),"計步器")</f>
        <v>計步器</v>
      </c>
      <c r="AB236" s="4" t="str">
        <f>IFERROR(__xludf.DUMMYFUNCTION("GOOGLETRANSLATE(B236,""en"",""ja"")"),"歩数計")</f>
        <v>歩数計</v>
      </c>
      <c r="AC236" s="4" t="str">
        <f>IFERROR(__xludf.DUMMYFUNCTION("GOOGLETRANSLATE(B236,""en"",""bg"")"),"Брояч на стъпки")</f>
        <v>Брояч на стъпки</v>
      </c>
      <c r="AD236" s="4" t="str">
        <f>IFERROR(__xludf.DUMMYFUNCTION("GOOGLETRANSLATE(B236,""en"",""cs"")"),"Krokoměr")</f>
        <v>Krokoměr</v>
      </c>
      <c r="AE236" s="4" t="str">
        <f>IFERROR(__xludf.DUMMYFUNCTION("GOOGLETRANSLATE(B236,""en"",""da"")"),"Trintæller")</f>
        <v>Trintæller</v>
      </c>
      <c r="AF236" s="4" t="str">
        <f>IFERROR(__xludf.DUMMYFUNCTION("GOOGLETRANSLATE(B236,""en"",""el"")"),"Μετρητής βημάτων")</f>
        <v>Μετρητής βημάτων</v>
      </c>
      <c r="AG236" s="4" t="str">
        <f>IFERROR(__xludf.DUMMYFUNCTION("GOOGLETRANSLATE(B236,""en"",""et"")"),"Sammude loendur")</f>
        <v>Sammude loendur</v>
      </c>
      <c r="AH236" s="4" t="str">
        <f>IFERROR(__xludf.DUMMYFUNCTION("GOOGLETRANSLATE(B236,""en"",""fi"")"),"Askellaskuri")</f>
        <v>Askellaskuri</v>
      </c>
      <c r="AI236" s="4" t="str">
        <f>IFERROR(__xludf.DUMMYFUNCTION("GOOGLETRANSLATE(B236,""en"",""hr"")"),"Brojač koraka")</f>
        <v>Brojač koraka</v>
      </c>
      <c r="AJ236" s="4" t="str">
        <f>IFERROR(__xludf.DUMMYFUNCTION("GOOGLETRANSLATE(B236,""en"",""hu"")"),"Lépésszámláló")</f>
        <v>Lépésszámláló</v>
      </c>
      <c r="AK236" s="4" t="str">
        <f>IFERROR(__xludf.DUMMYFUNCTION("GOOGLETRANSLATE(B236,""en"",""hy"")"),"Քայլերի հաշվիչ")</f>
        <v>Քայլերի հաշվիչ</v>
      </c>
      <c r="AL236" s="4" t="str">
        <f>IFERROR(__xludf.DUMMYFUNCTION("GOOGLETRANSLATE(B236,""en"",""ca"")"),"Comptador de passos")</f>
        <v>Comptador de passos</v>
      </c>
      <c r="AM236" s="4" t="str">
        <f>IFERROR(__xludf.DUMMYFUNCTION("GOOGLETRANSLATE(B236,""en"",""nl"")"),"Stappenteller")</f>
        <v>Stappenteller</v>
      </c>
      <c r="AN236" s="4" t="str">
        <f>IFERROR(__xludf.DUMMYFUNCTION("GOOGLETRANSLATE(B236,""en"",""he"")"),"מונה צעדים")</f>
        <v>מונה צעדים</v>
      </c>
      <c r="AO236" s="4" t="str">
        <f>IFERROR(__xludf.DUMMYFUNCTION("GOOGLETRANSLATE(B236,""en"",""is"")"),"Skrefteljari")</f>
        <v>Skrefteljari</v>
      </c>
      <c r="AP236" s="4" t="str">
        <f>IFERROR(__xludf.DUMMYFUNCTION("GOOGLETRANSLATE(B236,""en"",""no"")"),"Trinnteller")</f>
        <v>Trinnteller</v>
      </c>
      <c r="AQ236" s="4" t="str">
        <f>IFERROR(__xludf.DUMMYFUNCTION("GOOGLETRANSLATE(B236,""en"",""fa"")"),"گام شمار")</f>
        <v>گام شمار</v>
      </c>
      <c r="AR236" s="4" t="str">
        <f>IFERROR(__xludf.DUMMYFUNCTION("GOOGLETRANSLATE(B236,""en"",""pl"")"),"Licznik kroków")</f>
        <v>Licznik kroków</v>
      </c>
      <c r="AS236" s="4" t="str">
        <f>IFERROR(__xludf.DUMMYFUNCTION("GOOGLETRANSLATE(B236,""en"",""sv"")"),"Stegräknare")</f>
        <v>Stegräknare</v>
      </c>
      <c r="AT236" s="4" t="str">
        <f>IFERROR(__xludf.DUMMYFUNCTION("GOOGLETRANSLATE(B236,""en"",""uk"")"),"Лічильник кроків")</f>
        <v>Лічильник кроків</v>
      </c>
      <c r="AU236" s="4" t="str">
        <f>IFERROR(__xludf.DUMMYFUNCTION("GOOGLETRANSLATE(B236,""en"",""zu"")"),"Ikhawunta Yesinyathelo")</f>
        <v>Ikhawunta Yesinyathelo</v>
      </c>
      <c r="AV236" s="4" t="str">
        <f>IFERROR(__xludf.DUMMYFUNCTION("GOOGLETRANSLATE(B236,""en"",""sr"")"),"Степ Цоунтер")</f>
        <v>Степ Цоунтер</v>
      </c>
    </row>
    <row r="237">
      <c r="A237" s="3" t="s">
        <v>498</v>
      </c>
      <c r="B237" s="3" t="s">
        <v>499</v>
      </c>
      <c r="C237" s="4" t="str">
        <f>IFERROR(__xludf.DUMMYFUNCTION("GOOGLETRANSLATE(B237,""en"",""ta"")"),"டைமர்")</f>
        <v>டைமர்</v>
      </c>
      <c r="D237" s="4" t="str">
        <f>IFERROR(__xludf.DUMMYFUNCTION("GOOGLETRANSLATE(B237,""en"",""hi"")"),"घड़ी")</f>
        <v>घड़ी</v>
      </c>
      <c r="E237" s="4" t="str">
        <f>IFERROR(__xludf.DUMMYFUNCTION("GOOGLETRANSLATE(B237,""en"",""id"")"),"Pengatur waktu")</f>
        <v>Pengatur waktu</v>
      </c>
      <c r="F237" s="4" t="str">
        <f>IFERROR(__xludf.DUMMYFUNCTION("GOOGLETRANSLATE(B237,""en"",""ms"")"),"Pemasa")</f>
        <v>Pemasa</v>
      </c>
      <c r="G237" s="4" t="str">
        <f>IFERROR(__xludf.DUMMYFUNCTION("GOOGLETRANSLATE(B237,""en"",""de"")"),"Timer")</f>
        <v>Timer</v>
      </c>
      <c r="H237" s="4" t="str">
        <f>IFERROR(__xludf.DUMMYFUNCTION("GOOGLETRANSLATE(B237,""en"",""es"")"),"Minutero")</f>
        <v>Minutero</v>
      </c>
      <c r="I237" s="4" t="str">
        <f>IFERROR(__xludf.DUMMYFUNCTION("GOOGLETRANSLATE(B237,""en"",""fr"")"),"Minuteur")</f>
        <v>Minuteur</v>
      </c>
      <c r="J237" s="4" t="str">
        <f>IFERROR(__xludf.DUMMYFUNCTION("GOOGLETRANSLATE(B237,""en"",""it"")"),"Timer")</f>
        <v>Timer</v>
      </c>
      <c r="K237" s="4" t="str">
        <f>IFERROR(__xludf.DUMMYFUNCTION("GOOGLETRANSLATE(B237,""en"",""pt"")"),"Temporizador")</f>
        <v>Temporizador</v>
      </c>
      <c r="L237" s="4" t="str">
        <f>IFERROR(__xludf.DUMMYFUNCTION("GOOGLETRANSLATE(B237,""en"",""ro"")"),"Cronometru")</f>
        <v>Cronometru</v>
      </c>
      <c r="M237" s="4" t="str">
        <f>IFERROR(__xludf.DUMMYFUNCTION("GOOGLETRANSLATE(B237,""en"",""vi"")"),"Bộ đếm thời gian")</f>
        <v>Bộ đếm thời gian</v>
      </c>
      <c r="N237" s="4" t="str">
        <f>IFERROR(__xludf.DUMMYFUNCTION("GOOGLETRANSLATE(B237,""en"",""ru"")"),"Таймер")</f>
        <v>Таймер</v>
      </c>
      <c r="O237" s="4" t="str">
        <f>IFERROR(__xludf.DUMMYFUNCTION("GOOGLETRANSLATE(B237,""en"",""tr"")"),"Zamanlayıcı")</f>
        <v>Zamanlayıcı</v>
      </c>
      <c r="P237" s="4" t="str">
        <f>IFERROR(__xludf.DUMMYFUNCTION("GOOGLETRANSLATE(B237,""en"",""ar"")"),"المؤقت")</f>
        <v>المؤقت</v>
      </c>
      <c r="Q237" s="4" t="str">
        <f>IFERROR(__xludf.DUMMYFUNCTION("GOOGLETRANSLATE(B237,""en"",""mr"")"),"टाइमर")</f>
        <v>टाइमर</v>
      </c>
      <c r="R237" s="4" t="str">
        <f>IFERROR(__xludf.DUMMYFUNCTION("GOOGLETRANSLATE(B237,""en"",""gu"")"),"ટાઈમર")</f>
        <v>ટાઈમર</v>
      </c>
      <c r="S237" s="4" t="str">
        <f>IFERROR(__xludf.DUMMYFUNCTION("GOOGLETRANSLATE(B237,""en"",""bn"")"),"টাইমার")</f>
        <v>টাইমার</v>
      </c>
      <c r="T237" s="4" t="str">
        <f>IFERROR(__xludf.DUMMYFUNCTION("GOOGLETRANSLATE(B237,""en"",""pa"")"),"ਟਾਈਮਰ")</f>
        <v>ਟਾਈਮਰ</v>
      </c>
      <c r="U237" s="4" t="str">
        <f>IFERROR(__xludf.DUMMYFUNCTION("GOOGLETRANSLATE(B237,""en"",""te"")"),"టైమర్")</f>
        <v>టైమర్</v>
      </c>
      <c r="V237" s="4" t="str">
        <f>IFERROR(__xludf.DUMMYFUNCTION("GOOGLETRANSLATE(B237,""en"",""kn"")"),"ಟೈಮರ್")</f>
        <v>ಟೈಮರ್</v>
      </c>
      <c r="W237" s="4" t="str">
        <f>IFERROR(__xludf.DUMMYFUNCTION("GOOGLETRANSLATE(B237,""en"",""ml"")"),"ടൈമർ")</f>
        <v>ടൈമർ</v>
      </c>
      <c r="X237" s="4" t="str">
        <f>IFERROR(__xludf.DUMMYFUNCTION("GOOGLETRANSLATE(B237,""en"",""th"")"),"ตัวจับเวลา")</f>
        <v>ตัวจับเวลา</v>
      </c>
      <c r="Y237" s="4" t="str">
        <f>IFERROR(__xludf.DUMMYFUNCTION("GOOGLETRANSLATE(B237,""en"",""ko"")"),"시간제 노동자")</f>
        <v>시간제 노동자</v>
      </c>
      <c r="Z237" s="4" t="str">
        <f>IFERROR(__xludf.DUMMYFUNCTION("GOOGLETRANSLATE(B237,""en"",""zh"")"),"计时器")</f>
        <v>计时器</v>
      </c>
      <c r="AA237" s="4" t="str">
        <f>IFERROR(__xludf.DUMMYFUNCTION("GOOGLETRANSLATE(B237,""en"",""zh-TW"")"),"計時器")</f>
        <v>計時器</v>
      </c>
      <c r="AB237" s="4" t="str">
        <f>IFERROR(__xludf.DUMMYFUNCTION("GOOGLETRANSLATE(B237,""en"",""ja"")"),"タイマー")</f>
        <v>タイマー</v>
      </c>
      <c r="AC237" s="4" t="str">
        <f>IFERROR(__xludf.DUMMYFUNCTION("GOOGLETRANSLATE(B237,""en"",""bg"")"),"Таймер")</f>
        <v>Таймер</v>
      </c>
      <c r="AD237" s="4" t="str">
        <f>IFERROR(__xludf.DUMMYFUNCTION("GOOGLETRANSLATE(B237,""en"",""cs"")"),"Časovač")</f>
        <v>Časovač</v>
      </c>
      <c r="AE237" s="4" t="str">
        <f>IFERROR(__xludf.DUMMYFUNCTION("GOOGLETRANSLATE(B237,""en"",""da"")"),"Timer")</f>
        <v>Timer</v>
      </c>
      <c r="AF237" s="4" t="str">
        <f>IFERROR(__xludf.DUMMYFUNCTION("GOOGLETRANSLATE(B237,""en"",""el"")"),"Μετρών την ώραν")</f>
        <v>Μετρών την ώραν</v>
      </c>
      <c r="AG237" s="4" t="str">
        <f>IFERROR(__xludf.DUMMYFUNCTION("GOOGLETRANSLATE(B237,""en"",""et"")"),"Taimer")</f>
        <v>Taimer</v>
      </c>
      <c r="AH237" s="4" t="str">
        <f>IFERROR(__xludf.DUMMYFUNCTION("GOOGLETRANSLATE(B237,""en"",""fi"")"),"Ajastin")</f>
        <v>Ajastin</v>
      </c>
      <c r="AI237" s="4" t="str">
        <f>IFERROR(__xludf.DUMMYFUNCTION("GOOGLETRANSLATE(B237,""en"",""hr"")"),"Odbrojavanje vremena")</f>
        <v>Odbrojavanje vremena</v>
      </c>
      <c r="AJ237" s="4" t="str">
        <f>IFERROR(__xludf.DUMMYFUNCTION("GOOGLETRANSLATE(B237,""en"",""hu"")"),"Időzítő")</f>
        <v>Időzítő</v>
      </c>
      <c r="AK237" s="4" t="str">
        <f>IFERROR(__xludf.DUMMYFUNCTION("GOOGLETRANSLATE(B237,""en"",""hy"")"),"Ժամաչափ")</f>
        <v>Ժամաչափ</v>
      </c>
      <c r="AL237" s="4" t="str">
        <f>IFERROR(__xludf.DUMMYFUNCTION("GOOGLETRANSLATE(B237,""en"",""ca"")"),"Temporitzador")</f>
        <v>Temporitzador</v>
      </c>
      <c r="AM237" s="4" t="str">
        <f>IFERROR(__xludf.DUMMYFUNCTION("GOOGLETRANSLATE(B237,""en"",""nl"")"),"Timer")</f>
        <v>Timer</v>
      </c>
      <c r="AN237" s="4" t="str">
        <f>IFERROR(__xludf.DUMMYFUNCTION("GOOGLETRANSLATE(B237,""en"",""he"")"),"שָׁעוֹן עֶצֶר")</f>
        <v>שָׁעוֹן עֶצֶר</v>
      </c>
      <c r="AO237" s="4" t="str">
        <f>IFERROR(__xludf.DUMMYFUNCTION("GOOGLETRANSLATE(B237,""en"",""is"")"),"Tímamælir")</f>
        <v>Tímamælir</v>
      </c>
      <c r="AP237" s="4" t="str">
        <f>IFERROR(__xludf.DUMMYFUNCTION("GOOGLETRANSLATE(B237,""en"",""no"")"),"Timer")</f>
        <v>Timer</v>
      </c>
      <c r="AQ237" s="4" t="str">
        <f>IFERROR(__xludf.DUMMYFUNCTION("GOOGLETRANSLATE(B237,""en"",""fa"")"),"تایمر")</f>
        <v>تایمر</v>
      </c>
      <c r="AR237" s="4" t="str">
        <f>IFERROR(__xludf.DUMMYFUNCTION("GOOGLETRANSLATE(B237,""en"",""pl"")"),"Regulator czasowy")</f>
        <v>Regulator czasowy</v>
      </c>
      <c r="AS237" s="4" t="str">
        <f>IFERROR(__xludf.DUMMYFUNCTION("GOOGLETRANSLATE(B237,""en"",""sv"")"),"Timer")</f>
        <v>Timer</v>
      </c>
      <c r="AT237" s="4" t="str">
        <f>IFERROR(__xludf.DUMMYFUNCTION("GOOGLETRANSLATE(B237,""en"",""uk"")"),"Таймер")</f>
        <v>Таймер</v>
      </c>
      <c r="AU237" s="4" t="str">
        <f>IFERROR(__xludf.DUMMYFUNCTION("GOOGLETRANSLATE(B237,""en"",""zu"")"),"Isikhathi")</f>
        <v>Isikhathi</v>
      </c>
      <c r="AV237" s="4" t="str">
        <f>IFERROR(__xludf.DUMMYFUNCTION("GOOGLETRANSLATE(B237,""en"",""sr"")"),"Тајмер")</f>
        <v>Тајмер</v>
      </c>
    </row>
    <row r="238">
      <c r="A238" s="3" t="s">
        <v>500</v>
      </c>
      <c r="B238" s="3" t="s">
        <v>191</v>
      </c>
      <c r="C238" s="4" t="str">
        <f>IFERROR(__xludf.DUMMYFUNCTION("GOOGLETRANSLATE(B238,""en"",""ta"")"),"வானிலை")</f>
        <v>வானிலை</v>
      </c>
      <c r="D238" s="4" t="str">
        <f>IFERROR(__xludf.DUMMYFUNCTION("GOOGLETRANSLATE(B238,""en"",""hi"")"),"मौसम")</f>
        <v>मौसम</v>
      </c>
      <c r="E238" s="4" t="str">
        <f>IFERROR(__xludf.DUMMYFUNCTION("GOOGLETRANSLATE(B238,""en"",""id"")"),"Cuaca")</f>
        <v>Cuaca</v>
      </c>
      <c r="F238" s="4" t="str">
        <f>IFERROR(__xludf.DUMMYFUNCTION("GOOGLETRANSLATE(B238,""en"",""ms"")"),"Cuaca")</f>
        <v>Cuaca</v>
      </c>
      <c r="G238" s="4" t="str">
        <f>IFERROR(__xludf.DUMMYFUNCTION("GOOGLETRANSLATE(B238,""en"",""de"")"),"Wetter")</f>
        <v>Wetter</v>
      </c>
      <c r="H238" s="4" t="str">
        <f>IFERROR(__xludf.DUMMYFUNCTION("GOOGLETRANSLATE(B238,""en"",""es"")"),"Clima")</f>
        <v>Clima</v>
      </c>
      <c r="I238" s="4" t="str">
        <f>IFERROR(__xludf.DUMMYFUNCTION("GOOGLETRANSLATE(B238,""en"",""fr"")"),"Météo")</f>
        <v>Météo</v>
      </c>
      <c r="J238" s="4" t="str">
        <f>IFERROR(__xludf.DUMMYFUNCTION("GOOGLETRANSLATE(B238,""en"",""it"")"),"Tempo atmosferico")</f>
        <v>Tempo atmosferico</v>
      </c>
      <c r="K238" s="4" t="str">
        <f>IFERROR(__xludf.DUMMYFUNCTION("GOOGLETRANSLATE(B238,""en"",""pt"")"),"Clima")</f>
        <v>Clima</v>
      </c>
      <c r="L238" s="4" t="str">
        <f>IFERROR(__xludf.DUMMYFUNCTION("GOOGLETRANSLATE(B238,""en"",""ro"")"),"Vreme")</f>
        <v>Vreme</v>
      </c>
      <c r="M238" s="4" t="str">
        <f>IFERROR(__xludf.DUMMYFUNCTION("GOOGLETRANSLATE(B238,""en"",""vi"")"),"Thời tiết")</f>
        <v>Thời tiết</v>
      </c>
      <c r="N238" s="4" t="str">
        <f>IFERROR(__xludf.DUMMYFUNCTION("GOOGLETRANSLATE(B238,""en"",""ru"")"),"Погода")</f>
        <v>Погода</v>
      </c>
      <c r="O238" s="4" t="str">
        <f>IFERROR(__xludf.DUMMYFUNCTION("GOOGLETRANSLATE(B238,""en"",""tr"")"),"Hava durumu")</f>
        <v>Hava durumu</v>
      </c>
      <c r="P238" s="4" t="str">
        <f>IFERROR(__xludf.DUMMYFUNCTION("GOOGLETRANSLATE(B238,""en"",""ar"")"),"طقس")</f>
        <v>طقس</v>
      </c>
      <c r="Q238" s="4" t="str">
        <f>IFERROR(__xludf.DUMMYFUNCTION("GOOGLETRANSLATE(B238,""en"",""mr"")"),"हवामान")</f>
        <v>हवामान</v>
      </c>
      <c r="R238" s="4" t="str">
        <f>IFERROR(__xludf.DUMMYFUNCTION("GOOGLETRANSLATE(B238,""en"",""gu"")"),"હવામાન")</f>
        <v>હવામાન</v>
      </c>
      <c r="S238" s="4" t="str">
        <f>IFERROR(__xludf.DUMMYFUNCTION("GOOGLETRANSLATE(B238,""en"",""bn"")"),"আবহাওয়া")</f>
        <v>আবহাওয়া</v>
      </c>
      <c r="T238" s="4" t="str">
        <f>IFERROR(__xludf.DUMMYFUNCTION("GOOGLETRANSLATE(B238,""en"",""pa"")"),"ਮੌਸਮ")</f>
        <v>ਮੌਸਮ</v>
      </c>
      <c r="U238" s="4" t="str">
        <f>IFERROR(__xludf.DUMMYFUNCTION("GOOGLETRANSLATE(B238,""en"",""te"")"),"వాతావరణం")</f>
        <v>వాతావరణం</v>
      </c>
      <c r="V238" s="4" t="str">
        <f>IFERROR(__xludf.DUMMYFUNCTION("GOOGLETRANSLATE(B238,""en"",""kn"")"),"ಹವಾಮಾನ")</f>
        <v>ಹವಾಮಾನ</v>
      </c>
      <c r="W238" s="4" t="str">
        <f>IFERROR(__xludf.DUMMYFUNCTION("GOOGLETRANSLATE(B238,""en"",""ml"")"),"കാലാവസ്ഥ")</f>
        <v>കാലാവസ്ഥ</v>
      </c>
      <c r="X238" s="4" t="str">
        <f>IFERROR(__xludf.DUMMYFUNCTION("GOOGLETRANSLATE(B238,""en"",""th"")"),"สภาพอากาศ")</f>
        <v>สภาพอากาศ</v>
      </c>
      <c r="Y238" s="4" t="str">
        <f>IFERROR(__xludf.DUMMYFUNCTION("GOOGLETRANSLATE(B238,""en"",""ko"")"),"날씨")</f>
        <v>날씨</v>
      </c>
      <c r="Z238" s="4" t="str">
        <f>IFERROR(__xludf.DUMMYFUNCTION("GOOGLETRANSLATE(B238,""en"",""zh"")"),"天气")</f>
        <v>天气</v>
      </c>
      <c r="AA238" s="4" t="str">
        <f>IFERROR(__xludf.DUMMYFUNCTION("GOOGLETRANSLATE(B238,""en"",""zh-TW"")"),"天氣")</f>
        <v>天氣</v>
      </c>
      <c r="AB238" s="4" t="str">
        <f>IFERROR(__xludf.DUMMYFUNCTION("GOOGLETRANSLATE(B238,""en"",""ja"")"),"天気")</f>
        <v>天気</v>
      </c>
      <c r="AC238" s="4" t="str">
        <f>IFERROR(__xludf.DUMMYFUNCTION("GOOGLETRANSLATE(B238,""en"",""bg"")"),"Времето")</f>
        <v>Времето</v>
      </c>
      <c r="AD238" s="4" t="str">
        <f>IFERROR(__xludf.DUMMYFUNCTION("GOOGLETRANSLATE(B238,""en"",""cs"")"),"Počasí")</f>
        <v>Počasí</v>
      </c>
      <c r="AE238" s="4" t="str">
        <f>IFERROR(__xludf.DUMMYFUNCTION("GOOGLETRANSLATE(B238,""en"",""da"")"),"Vejr")</f>
        <v>Vejr</v>
      </c>
      <c r="AF238" s="4" t="str">
        <f>IFERROR(__xludf.DUMMYFUNCTION("GOOGLETRANSLATE(B238,""en"",""el"")"),"Καιρός")</f>
        <v>Καιρός</v>
      </c>
      <c r="AG238" s="4" t="str">
        <f>IFERROR(__xludf.DUMMYFUNCTION("GOOGLETRANSLATE(B238,""en"",""et"")"),"Ilm")</f>
        <v>Ilm</v>
      </c>
      <c r="AH238" s="4" t="str">
        <f>IFERROR(__xludf.DUMMYFUNCTION("GOOGLETRANSLATE(B238,""en"",""fi"")"),"Sää")</f>
        <v>Sää</v>
      </c>
      <c r="AI238" s="4" t="str">
        <f>IFERROR(__xludf.DUMMYFUNCTION("GOOGLETRANSLATE(B238,""en"",""hr"")"),"Vrijeme")</f>
        <v>Vrijeme</v>
      </c>
      <c r="AJ238" s="4" t="str">
        <f>IFERROR(__xludf.DUMMYFUNCTION("GOOGLETRANSLATE(B238,""en"",""hu"")"),"Időjárás")</f>
        <v>Időjárás</v>
      </c>
      <c r="AK238" s="4" t="str">
        <f>IFERROR(__xludf.DUMMYFUNCTION("GOOGLETRANSLATE(B238,""en"",""hy"")"),"Եղանակ")</f>
        <v>Եղանակ</v>
      </c>
      <c r="AL238" s="4" t="str">
        <f>IFERROR(__xludf.DUMMYFUNCTION("GOOGLETRANSLATE(B238,""en"",""ca"")"),"El temps")</f>
        <v>El temps</v>
      </c>
      <c r="AM238" s="4" t="str">
        <f>IFERROR(__xludf.DUMMYFUNCTION("GOOGLETRANSLATE(B238,""en"",""nl"")"),"Weer")</f>
        <v>Weer</v>
      </c>
      <c r="AN238" s="4" t="str">
        <f>IFERROR(__xludf.DUMMYFUNCTION("GOOGLETRANSLATE(B238,""en"",""he"")"),"מֶזֶג אֲוִיר")</f>
        <v>מֶזֶג אֲוִיר</v>
      </c>
      <c r="AO238" s="4" t="str">
        <f>IFERROR(__xludf.DUMMYFUNCTION("GOOGLETRANSLATE(B238,""en"",""is"")"),"Veður")</f>
        <v>Veður</v>
      </c>
      <c r="AP238" s="4" t="str">
        <f>IFERROR(__xludf.DUMMYFUNCTION("GOOGLETRANSLATE(B238,""en"",""no"")"),"Vær")</f>
        <v>Vær</v>
      </c>
      <c r="AQ238" s="4" t="str">
        <f>IFERROR(__xludf.DUMMYFUNCTION("GOOGLETRANSLATE(B238,""en"",""fa"")"),"آب و هوا")</f>
        <v>آب و هوا</v>
      </c>
      <c r="AR238" s="4" t="str">
        <f>IFERROR(__xludf.DUMMYFUNCTION("GOOGLETRANSLATE(B238,""en"",""pl"")"),"Pogoda")</f>
        <v>Pogoda</v>
      </c>
      <c r="AS238" s="4" t="str">
        <f>IFERROR(__xludf.DUMMYFUNCTION("GOOGLETRANSLATE(B238,""en"",""sv"")"),"Väder")</f>
        <v>Väder</v>
      </c>
      <c r="AT238" s="4" t="str">
        <f>IFERROR(__xludf.DUMMYFUNCTION("GOOGLETRANSLATE(B238,""en"",""uk"")"),"Погода")</f>
        <v>Погода</v>
      </c>
      <c r="AU238" s="4" t="str">
        <f>IFERROR(__xludf.DUMMYFUNCTION("GOOGLETRANSLATE(B238,""en"",""zu"")"),"Isimo sezulu")</f>
        <v>Isimo sezulu</v>
      </c>
      <c r="AV238" s="4" t="str">
        <f>IFERROR(__xludf.DUMMYFUNCTION("GOOGLETRANSLATE(B238,""en"",""sr"")"),"Време")</f>
        <v>Време</v>
      </c>
    </row>
    <row r="239">
      <c r="A239" s="3" t="s">
        <v>501</v>
      </c>
      <c r="B239" s="3" t="s">
        <v>502</v>
      </c>
      <c r="C239" s="4" t="str">
        <f>IFERROR(__xludf.DUMMYFUNCTION("GOOGLETRANSLATE(B239,""en"",""ta"")"),"உயர வரைபடம்")</f>
        <v>உயர வரைபடம்</v>
      </c>
      <c r="D239" s="4" t="str">
        <f>IFERROR(__xludf.DUMMYFUNCTION("GOOGLETRANSLATE(B239,""en"",""hi"")"),"ऊंचाई ग्राफ")</f>
        <v>ऊंचाई ग्राफ</v>
      </c>
      <c r="E239" s="4" t="str">
        <f>IFERROR(__xludf.DUMMYFUNCTION("GOOGLETRANSLATE(B239,""en"",""id"")"),"Grafik Ketinggian")</f>
        <v>Grafik Ketinggian</v>
      </c>
      <c r="F239" s="4" t="str">
        <f>IFERROR(__xludf.DUMMYFUNCTION("GOOGLETRANSLATE(B239,""en"",""ms"")"),"Graf Ketinggian")</f>
        <v>Graf Ketinggian</v>
      </c>
      <c r="G239" s="4" t="str">
        <f>IFERROR(__xludf.DUMMYFUNCTION("GOOGLETRANSLATE(B239,""en"",""de"")"),"Höhendiagramm")</f>
        <v>Höhendiagramm</v>
      </c>
      <c r="H239" s="4" t="str">
        <f>IFERROR(__xludf.DUMMYFUNCTION("GOOGLETRANSLATE(B239,""en"",""es"")"),"Gráfico de elevación")</f>
        <v>Gráfico de elevación</v>
      </c>
      <c r="I239" s="4" t="str">
        <f>IFERROR(__xludf.DUMMYFUNCTION("GOOGLETRANSLATE(B239,""en"",""fr"")"),"Graphique d'élévation")</f>
        <v>Graphique d'élévation</v>
      </c>
      <c r="J239" s="4" t="str">
        <f>IFERROR(__xludf.DUMMYFUNCTION("GOOGLETRANSLATE(B239,""en"",""it"")"),"Grafico di elevazione")</f>
        <v>Grafico di elevazione</v>
      </c>
      <c r="K239" s="4" t="str">
        <f>IFERROR(__xludf.DUMMYFUNCTION("GOOGLETRANSLATE(B239,""en"",""pt"")"),"Gráfico de elevação")</f>
        <v>Gráfico de elevação</v>
      </c>
      <c r="L239" s="4" t="str">
        <f>IFERROR(__xludf.DUMMYFUNCTION("GOOGLETRANSLATE(B239,""en"",""ro"")"),"Graficul cotei")</f>
        <v>Graficul cotei</v>
      </c>
      <c r="M239" s="4" t="str">
        <f>IFERROR(__xludf.DUMMYFUNCTION("GOOGLETRANSLATE(B239,""en"",""vi"")"),"Biểu đồ độ cao")</f>
        <v>Biểu đồ độ cao</v>
      </c>
      <c r="N239" s="4" t="str">
        <f>IFERROR(__xludf.DUMMYFUNCTION("GOOGLETRANSLATE(B239,""en"",""ru"")"),"График высот")</f>
        <v>График высот</v>
      </c>
      <c r="O239" s="4" t="str">
        <f>IFERROR(__xludf.DUMMYFUNCTION("GOOGLETRANSLATE(B239,""en"",""tr"")"),"Yükselti Grafiği")</f>
        <v>Yükselti Grafiği</v>
      </c>
      <c r="P239" s="4" t="str">
        <f>IFERROR(__xludf.DUMMYFUNCTION("GOOGLETRANSLATE(B239,""en"",""ar"")"),"الرسم البياني للارتفاع")</f>
        <v>الرسم البياني للارتفاع</v>
      </c>
      <c r="Q239" s="4" t="str">
        <f>IFERROR(__xludf.DUMMYFUNCTION("GOOGLETRANSLATE(B239,""en"",""mr"")"),"उंची आलेख")</f>
        <v>उंची आलेख</v>
      </c>
      <c r="R239" s="4" t="str">
        <f>IFERROR(__xludf.DUMMYFUNCTION("GOOGLETRANSLATE(B239,""en"",""gu"")"),"એલિવેશન ગ્રાફ")</f>
        <v>એલિવેશન ગ્રાફ</v>
      </c>
      <c r="S239" s="4" t="str">
        <f>IFERROR(__xludf.DUMMYFUNCTION("GOOGLETRANSLATE(B239,""en"",""bn"")"),"উচ্চতা গ্রাফ")</f>
        <v>উচ্চতা গ্রাফ</v>
      </c>
      <c r="T239" s="4" t="str">
        <f>IFERROR(__xludf.DUMMYFUNCTION("GOOGLETRANSLATE(B239,""en"",""pa"")"),"ਉਚਾਈ ਗ੍ਰਾਫ਼")</f>
        <v>ਉਚਾਈ ਗ੍ਰਾਫ਼</v>
      </c>
      <c r="U239" s="4" t="str">
        <f>IFERROR(__xludf.DUMMYFUNCTION("GOOGLETRANSLATE(B239,""en"",""te"")"),"ఎలివేషన్ గ్రాఫ్")</f>
        <v>ఎలివేషన్ గ్రాఫ్</v>
      </c>
      <c r="V239" s="4" t="str">
        <f>IFERROR(__xludf.DUMMYFUNCTION("GOOGLETRANSLATE(B239,""en"",""kn"")"),"ಎತ್ತರದ ಗ್ರಾಫ್")</f>
        <v>ಎತ್ತರದ ಗ್ರಾಫ್</v>
      </c>
      <c r="W239" s="4" t="str">
        <f>IFERROR(__xludf.DUMMYFUNCTION("GOOGLETRANSLATE(B239,""en"",""ml"")"),"എലവേഷൻ ഗ്രാഫ്")</f>
        <v>എലവേഷൻ ഗ്രാഫ്</v>
      </c>
      <c r="X239" s="4" t="str">
        <f>IFERROR(__xludf.DUMMYFUNCTION("GOOGLETRANSLATE(B239,""en"",""th"")"),"กราฟระดับความสูง")</f>
        <v>กราฟระดับความสูง</v>
      </c>
      <c r="Y239" s="4" t="str">
        <f>IFERROR(__xludf.DUMMYFUNCTION("GOOGLETRANSLATE(B239,""en"",""ko"")"),"고도 그래프")</f>
        <v>고도 그래프</v>
      </c>
      <c r="Z239" s="4" t="str">
        <f>IFERROR(__xludf.DUMMYFUNCTION("GOOGLETRANSLATE(B239,""en"",""zh"")"),"海拔图")</f>
        <v>海拔图</v>
      </c>
      <c r="AA239" s="4" t="str">
        <f>IFERROR(__xludf.DUMMYFUNCTION("GOOGLETRANSLATE(B239,""en"",""zh-TW"")"),"海拔圖")</f>
        <v>海拔圖</v>
      </c>
      <c r="AB239" s="4" t="str">
        <f>IFERROR(__xludf.DUMMYFUNCTION("GOOGLETRANSLATE(B239,""en"",""ja"")"),"標高グラフ")</f>
        <v>標高グラフ</v>
      </c>
      <c r="AC239" s="4" t="str">
        <f>IFERROR(__xludf.DUMMYFUNCTION("GOOGLETRANSLATE(B239,""en"",""bg"")"),"Графика на височината")</f>
        <v>Графика на височината</v>
      </c>
      <c r="AD239" s="4" t="str">
        <f>IFERROR(__xludf.DUMMYFUNCTION("GOOGLETRANSLATE(B239,""en"",""cs"")"),"Graf nadmořské výšky")</f>
        <v>Graf nadmořské výšky</v>
      </c>
      <c r="AE239" s="4" t="str">
        <f>IFERROR(__xludf.DUMMYFUNCTION("GOOGLETRANSLATE(B239,""en"",""da"")"),"Højde graf")</f>
        <v>Højde graf</v>
      </c>
      <c r="AF239" s="4" t="str">
        <f>IFERROR(__xludf.DUMMYFUNCTION("GOOGLETRANSLATE(B239,""en"",""el"")"),"Υψομετρικό γράφημα")</f>
        <v>Υψομετρικό γράφημα</v>
      </c>
      <c r="AG239" s="4" t="str">
        <f>IFERROR(__xludf.DUMMYFUNCTION("GOOGLETRANSLATE(B239,""en"",""et"")"),"Kõrguse graafik")</f>
        <v>Kõrguse graafik</v>
      </c>
      <c r="AH239" s="4" t="str">
        <f>IFERROR(__xludf.DUMMYFUNCTION("GOOGLETRANSLATE(B239,""en"",""fi"")"),"Korkeuskaavio")</f>
        <v>Korkeuskaavio</v>
      </c>
      <c r="AI239" s="4" t="str">
        <f>IFERROR(__xludf.DUMMYFUNCTION("GOOGLETRANSLATE(B239,""en"",""hr"")"),"Grafikon nadmorske visine")</f>
        <v>Grafikon nadmorske visine</v>
      </c>
      <c r="AJ239" s="4" t="str">
        <f>IFERROR(__xludf.DUMMYFUNCTION("GOOGLETRANSLATE(B239,""en"",""hu"")"),"Magassági grafikon")</f>
        <v>Magassági grafikon</v>
      </c>
      <c r="AK239" s="4" t="str">
        <f>IFERROR(__xludf.DUMMYFUNCTION("GOOGLETRANSLATE(B239,""en"",""hy"")"),"Բարձրության գրաֆիկ")</f>
        <v>Բարձրության գրաֆիկ</v>
      </c>
      <c r="AL239" s="4" t="str">
        <f>IFERROR(__xludf.DUMMYFUNCTION("GOOGLETRANSLATE(B239,""en"",""ca"")"),"Gràfic d'elevació")</f>
        <v>Gràfic d'elevació</v>
      </c>
      <c r="AM239" s="4" t="str">
        <f>IFERROR(__xludf.DUMMYFUNCTION("GOOGLETRANSLATE(B239,""en"",""nl"")"),"Hoogtegrafiek")</f>
        <v>Hoogtegrafiek</v>
      </c>
      <c r="AN239" s="4" t="str">
        <f>IFERROR(__xludf.DUMMYFUNCTION("GOOGLETRANSLATE(B239,""en"",""he"")"),"גרף גובה")</f>
        <v>גרף גובה</v>
      </c>
      <c r="AO239" s="4" t="str">
        <f>IFERROR(__xludf.DUMMYFUNCTION("GOOGLETRANSLATE(B239,""en"",""is"")"),"Hæð línurit")</f>
        <v>Hæð línurit</v>
      </c>
      <c r="AP239" s="4" t="str">
        <f>IFERROR(__xludf.DUMMYFUNCTION("GOOGLETRANSLATE(B239,""en"",""no"")"),"Høydegraf")</f>
        <v>Høydegraf</v>
      </c>
      <c r="AQ239" s="4" t="str">
        <f>IFERROR(__xludf.DUMMYFUNCTION("GOOGLETRANSLATE(B239,""en"",""fa"")"),"نمودار ارتفاع")</f>
        <v>نمودار ارتفاع</v>
      </c>
      <c r="AR239" s="4" t="str">
        <f>IFERROR(__xludf.DUMMYFUNCTION("GOOGLETRANSLATE(B239,""en"",""pl"")"),"Wykres wysokości")</f>
        <v>Wykres wysokości</v>
      </c>
      <c r="AS239" s="4" t="str">
        <f>IFERROR(__xludf.DUMMYFUNCTION("GOOGLETRANSLATE(B239,""en"",""sv"")"),"Höjddiagram")</f>
        <v>Höjddiagram</v>
      </c>
      <c r="AT239" s="4" t="str">
        <f>IFERROR(__xludf.DUMMYFUNCTION("GOOGLETRANSLATE(B239,""en"",""uk"")"),"Графік висоти")</f>
        <v>Графік висоти</v>
      </c>
      <c r="AU239" s="4" t="str">
        <f>IFERROR(__xludf.DUMMYFUNCTION("GOOGLETRANSLATE(B239,""en"",""zu"")"),"Igrafu yokuphakama")</f>
        <v>Igrafu yokuphakama</v>
      </c>
      <c r="AV239" s="4" t="str">
        <f>IFERROR(__xludf.DUMMYFUNCTION("GOOGLETRANSLATE(B239,""en"",""sr"")"),"Елеватион Грапх")</f>
        <v>Елеватион Грапх</v>
      </c>
    </row>
    <row r="240">
      <c r="A240" s="3" t="s">
        <v>503</v>
      </c>
      <c r="B240" s="3" t="s">
        <v>504</v>
      </c>
      <c r="C240" s="4" t="str">
        <f>IFERROR(__xludf.DUMMYFUNCTION("GOOGLETRANSLATE(B240,""en"",""ta"")"),"சும்மா")</f>
        <v>சும்மா</v>
      </c>
      <c r="D240" s="4" t="str">
        <f>IFERROR(__xludf.DUMMYFUNCTION("GOOGLETRANSLATE(B240,""en"",""hi"")"),"निठल्ला")</f>
        <v>निठल्ला</v>
      </c>
      <c r="E240" s="4" t="str">
        <f>IFERROR(__xludf.DUMMYFUNCTION("GOOGLETRANSLATE(B240,""en"",""id"")"),"Menganggur")</f>
        <v>Menganggur</v>
      </c>
      <c r="F240" s="4" t="str">
        <f>IFERROR(__xludf.DUMMYFUNCTION("GOOGLETRANSLATE(B240,""en"",""ms"")"),"terbiar")</f>
        <v>terbiar</v>
      </c>
      <c r="G240" s="4" t="str">
        <f>IFERROR(__xludf.DUMMYFUNCTION("GOOGLETRANSLATE(B240,""en"",""de"")"),"Leerlauf")</f>
        <v>Leerlauf</v>
      </c>
      <c r="H240" s="4" t="str">
        <f>IFERROR(__xludf.DUMMYFUNCTION("GOOGLETRANSLATE(B240,""en"",""es"")"),"Inactivo")</f>
        <v>Inactivo</v>
      </c>
      <c r="I240" s="4" t="str">
        <f>IFERROR(__xludf.DUMMYFUNCTION("GOOGLETRANSLATE(B240,""en"",""fr"")"),"Inactif")</f>
        <v>Inactif</v>
      </c>
      <c r="J240" s="4" t="str">
        <f>IFERROR(__xludf.DUMMYFUNCTION("GOOGLETRANSLATE(B240,""en"",""it"")"),"Oziare")</f>
        <v>Oziare</v>
      </c>
      <c r="K240" s="4" t="str">
        <f>IFERROR(__xludf.DUMMYFUNCTION("GOOGLETRANSLATE(B240,""en"",""pt"")"),"Parado")</f>
        <v>Parado</v>
      </c>
      <c r="L240" s="4" t="str">
        <f>IFERROR(__xludf.DUMMYFUNCTION("GOOGLETRANSLATE(B240,""en"",""ro"")"),"Inactiv")</f>
        <v>Inactiv</v>
      </c>
      <c r="M240" s="4" t="str">
        <f>IFERROR(__xludf.DUMMYFUNCTION("GOOGLETRANSLATE(B240,""en"",""vi"")"),"Nhàn rỗi")</f>
        <v>Nhàn rỗi</v>
      </c>
      <c r="N240" s="4" t="str">
        <f>IFERROR(__xludf.DUMMYFUNCTION("GOOGLETRANSLATE(B240,""en"",""ru"")"),"Праздный")</f>
        <v>Праздный</v>
      </c>
      <c r="O240" s="4" t="str">
        <f>IFERROR(__xludf.DUMMYFUNCTION("GOOGLETRANSLATE(B240,""en"",""tr"")"),"Boşta")</f>
        <v>Boşta</v>
      </c>
      <c r="P240" s="4" t="str">
        <f>IFERROR(__xludf.DUMMYFUNCTION("GOOGLETRANSLATE(B240,""en"",""ar"")"),"عاطل")</f>
        <v>عاطل</v>
      </c>
      <c r="Q240" s="4" t="str">
        <f>IFERROR(__xludf.DUMMYFUNCTION("GOOGLETRANSLATE(B240,""en"",""mr"")"),"निष्क्रिय")</f>
        <v>निष्क्रिय</v>
      </c>
      <c r="R240" s="4" t="str">
        <f>IFERROR(__xludf.DUMMYFUNCTION("GOOGLETRANSLATE(B240,""en"",""gu"")"),"નિષ્ક્રિય")</f>
        <v>નિષ્ક્રિય</v>
      </c>
      <c r="S240" s="4" t="str">
        <f>IFERROR(__xludf.DUMMYFUNCTION("GOOGLETRANSLATE(B240,""en"",""bn"")"),"নিষ্ক্রিয়")</f>
        <v>নিষ্ক্রিয়</v>
      </c>
      <c r="T240" s="4" t="str">
        <f>IFERROR(__xludf.DUMMYFUNCTION("GOOGLETRANSLATE(B240,""en"",""pa"")"),"ਵਿਹਲਾ")</f>
        <v>ਵਿਹਲਾ</v>
      </c>
      <c r="U240" s="4" t="str">
        <f>IFERROR(__xludf.DUMMYFUNCTION("GOOGLETRANSLATE(B240,""en"",""te"")"),"పనిలేకుండా")</f>
        <v>పనిలేకుండా</v>
      </c>
      <c r="V240" s="4" t="str">
        <f>IFERROR(__xludf.DUMMYFUNCTION("GOOGLETRANSLATE(B240,""en"",""kn"")"),"ಐಡಲ್")</f>
        <v>ಐಡಲ್</v>
      </c>
      <c r="W240" s="4" t="str">
        <f>IFERROR(__xludf.DUMMYFUNCTION("GOOGLETRANSLATE(B240,""en"",""ml"")"),"നിഷ്ക്രിയ")</f>
        <v>നിഷ്ക്രിയ</v>
      </c>
      <c r="X240" s="4" t="str">
        <f>IFERROR(__xludf.DUMMYFUNCTION("GOOGLETRANSLATE(B240,""en"",""th"")"),"ว่างงาน")</f>
        <v>ว่างงาน</v>
      </c>
      <c r="Y240" s="4" t="str">
        <f>IFERROR(__xludf.DUMMYFUNCTION("GOOGLETRANSLATE(B240,""en"",""ko"")"),"게으른")</f>
        <v>게으른</v>
      </c>
      <c r="Z240" s="4" t="str">
        <f>IFERROR(__xludf.DUMMYFUNCTION("GOOGLETRANSLATE(B240,""en"",""zh"")"),"闲置的")</f>
        <v>闲置的</v>
      </c>
      <c r="AA240" s="4" t="str">
        <f>IFERROR(__xludf.DUMMYFUNCTION("GOOGLETRANSLATE(B240,""en"",""zh-TW"")"),"閒置的")</f>
        <v>閒置的</v>
      </c>
      <c r="AB240" s="4" t="str">
        <f>IFERROR(__xludf.DUMMYFUNCTION("GOOGLETRANSLATE(B240,""en"",""ja"")"),"アイドル")</f>
        <v>アイドル</v>
      </c>
      <c r="AC240" s="4" t="str">
        <f>IFERROR(__xludf.DUMMYFUNCTION("GOOGLETRANSLATE(B240,""en"",""bg"")"),"празен ход")</f>
        <v>празен ход</v>
      </c>
      <c r="AD240" s="4" t="str">
        <f>IFERROR(__xludf.DUMMYFUNCTION("GOOGLETRANSLATE(B240,""en"",""cs"")"),"Líný")</f>
        <v>Líný</v>
      </c>
      <c r="AE240" s="4" t="str">
        <f>IFERROR(__xludf.DUMMYFUNCTION("GOOGLETRANSLATE(B240,""en"",""da"")"),"Ledig")</f>
        <v>Ledig</v>
      </c>
      <c r="AF240" s="4" t="str">
        <f>IFERROR(__xludf.DUMMYFUNCTION("GOOGLETRANSLATE(B240,""en"",""el"")"),"Αεργος")</f>
        <v>Αεργος</v>
      </c>
      <c r="AG240" s="4" t="str">
        <f>IFERROR(__xludf.DUMMYFUNCTION("GOOGLETRANSLATE(B240,""en"",""et"")"),"Tühikäik")</f>
        <v>Tühikäik</v>
      </c>
      <c r="AH240" s="4" t="str">
        <f>IFERROR(__xludf.DUMMYFUNCTION("GOOGLETRANSLATE(B240,""en"",""fi"")"),"Tyhjäkäynti")</f>
        <v>Tyhjäkäynti</v>
      </c>
      <c r="AI240" s="4" t="str">
        <f>IFERROR(__xludf.DUMMYFUNCTION("GOOGLETRANSLATE(B240,""en"",""hr"")"),"besposlen")</f>
        <v>besposlen</v>
      </c>
      <c r="AJ240" s="4" t="str">
        <f>IFERROR(__xludf.DUMMYFUNCTION("GOOGLETRANSLATE(B240,""en"",""hu"")"),"Tétlen")</f>
        <v>Tétlen</v>
      </c>
      <c r="AK240" s="4" t="str">
        <f>IFERROR(__xludf.DUMMYFUNCTION("GOOGLETRANSLATE(B240,""en"",""hy"")"),"Պարապ")</f>
        <v>Պարապ</v>
      </c>
      <c r="AL240" s="4" t="str">
        <f>IFERROR(__xludf.DUMMYFUNCTION("GOOGLETRANSLATE(B240,""en"",""ca"")"),"Inactiu")</f>
        <v>Inactiu</v>
      </c>
      <c r="AM240" s="4" t="str">
        <f>IFERROR(__xludf.DUMMYFUNCTION("GOOGLETRANSLATE(B240,""en"",""nl"")"),"Inactief")</f>
        <v>Inactief</v>
      </c>
      <c r="AN240" s="4" t="str">
        <f>IFERROR(__xludf.DUMMYFUNCTION("GOOGLETRANSLATE(B240,""en"",""he"")"),"לְהִתְבַּטֵל")</f>
        <v>לְהִתְבַּטֵל</v>
      </c>
      <c r="AO240" s="4" t="str">
        <f>IFERROR(__xludf.DUMMYFUNCTION("GOOGLETRANSLATE(B240,""en"",""is"")"),"Aðgerðarlaus")</f>
        <v>Aðgerðarlaus</v>
      </c>
      <c r="AP240" s="4" t="str">
        <f>IFERROR(__xludf.DUMMYFUNCTION("GOOGLETRANSLATE(B240,""en"",""no"")"),"Uvirksom")</f>
        <v>Uvirksom</v>
      </c>
      <c r="AQ240" s="4" t="str">
        <f>IFERROR(__xludf.DUMMYFUNCTION("GOOGLETRANSLATE(B240,""en"",""fa"")"),"بیکار")</f>
        <v>بیکار</v>
      </c>
      <c r="AR240" s="4" t="str">
        <f>IFERROR(__xludf.DUMMYFUNCTION("GOOGLETRANSLATE(B240,""en"",""pl"")"),"Bezczynny")</f>
        <v>Bezczynny</v>
      </c>
      <c r="AS240" s="4" t="str">
        <f>IFERROR(__xludf.DUMMYFUNCTION("GOOGLETRANSLATE(B240,""en"",""sv"")"),"På tomgång")</f>
        <v>På tomgång</v>
      </c>
      <c r="AT240" s="4" t="str">
        <f>IFERROR(__xludf.DUMMYFUNCTION("GOOGLETRANSLATE(B240,""en"",""uk"")"),"Бездіяльність")</f>
        <v>Бездіяльність</v>
      </c>
      <c r="AU240" s="4" t="str">
        <f>IFERROR(__xludf.DUMMYFUNCTION("GOOGLETRANSLATE(B240,""en"",""zu"")"),"Ayisebenzi")</f>
        <v>Ayisebenzi</v>
      </c>
      <c r="AV240" s="4" t="str">
        <f>IFERROR(__xludf.DUMMYFUNCTION("GOOGLETRANSLATE(B240,""en"",""sr"")"),"Идле")</f>
        <v>Идле</v>
      </c>
    </row>
    <row r="241">
      <c r="A241" s="3" t="s">
        <v>505</v>
      </c>
      <c r="B241" s="3" t="s">
        <v>506</v>
      </c>
      <c r="C241" s="4" t="str">
        <f>IFERROR(__xludf.DUMMYFUNCTION("GOOGLETRANSLATE(B241,""en"",""ta"")"),"தொடங்கப்பட்டது")</f>
        <v>தொடங்கப்பட்டது</v>
      </c>
      <c r="D241" s="4" t="str">
        <f>IFERROR(__xludf.DUMMYFUNCTION("GOOGLETRANSLATE(B241,""en"",""hi"")"),"शुरू कर दिया")</f>
        <v>शुरू कर दिया</v>
      </c>
      <c r="E241" s="4" t="str">
        <f>IFERROR(__xludf.DUMMYFUNCTION("GOOGLETRANSLATE(B241,""en"",""id"")"),"Dimulai")</f>
        <v>Dimulai</v>
      </c>
      <c r="F241" s="4" t="str">
        <f>IFERROR(__xludf.DUMMYFUNCTION("GOOGLETRANSLATE(B241,""en"",""ms"")"),"Bermula")</f>
        <v>Bermula</v>
      </c>
      <c r="G241" s="4" t="str">
        <f>IFERROR(__xludf.DUMMYFUNCTION("GOOGLETRANSLATE(B241,""en"",""de"")"),"Gestartet")</f>
        <v>Gestartet</v>
      </c>
      <c r="H241" s="4" t="str">
        <f>IFERROR(__xludf.DUMMYFUNCTION("GOOGLETRANSLATE(B241,""en"",""es"")"),"Comenzó")</f>
        <v>Comenzó</v>
      </c>
      <c r="I241" s="4" t="str">
        <f>IFERROR(__xludf.DUMMYFUNCTION("GOOGLETRANSLATE(B241,""en"",""fr"")"),"Commencé")</f>
        <v>Commencé</v>
      </c>
      <c r="J241" s="4" t="str">
        <f>IFERROR(__xludf.DUMMYFUNCTION("GOOGLETRANSLATE(B241,""en"",""it"")"),"Iniziato")</f>
        <v>Iniziato</v>
      </c>
      <c r="K241" s="4" t="str">
        <f>IFERROR(__xludf.DUMMYFUNCTION("GOOGLETRANSLATE(B241,""en"",""pt"")"),"Iniciado")</f>
        <v>Iniciado</v>
      </c>
      <c r="L241" s="4" t="str">
        <f>IFERROR(__xludf.DUMMYFUNCTION("GOOGLETRANSLATE(B241,""en"",""ro"")"),"A început")</f>
        <v>A început</v>
      </c>
      <c r="M241" s="4" t="str">
        <f>IFERROR(__xludf.DUMMYFUNCTION("GOOGLETRANSLATE(B241,""en"",""vi"")"),"Bắt đầu")</f>
        <v>Bắt đầu</v>
      </c>
      <c r="N241" s="4" t="str">
        <f>IFERROR(__xludf.DUMMYFUNCTION("GOOGLETRANSLATE(B241,""en"",""ru"")"),"Начато")</f>
        <v>Начато</v>
      </c>
      <c r="O241" s="4" t="str">
        <f>IFERROR(__xludf.DUMMYFUNCTION("GOOGLETRANSLATE(B241,""en"",""tr"")"),"Başladı")</f>
        <v>Başladı</v>
      </c>
      <c r="P241" s="4" t="str">
        <f>IFERROR(__xludf.DUMMYFUNCTION("GOOGLETRANSLATE(B241,""en"",""ar"")"),"بدأت")</f>
        <v>بدأت</v>
      </c>
      <c r="Q241" s="4" t="str">
        <f>IFERROR(__xludf.DUMMYFUNCTION("GOOGLETRANSLATE(B241,""en"",""mr"")"),"सुरुवात केली")</f>
        <v>सुरुवात केली</v>
      </c>
      <c r="R241" s="4" t="str">
        <f>IFERROR(__xludf.DUMMYFUNCTION("GOOGLETRANSLATE(B241,""en"",""gu"")"),"શરૂ કર્યું")</f>
        <v>શરૂ કર્યું</v>
      </c>
      <c r="S241" s="4" t="str">
        <f>IFERROR(__xludf.DUMMYFUNCTION("GOOGLETRANSLATE(B241,""en"",""bn"")"),"শুরু হয়েছে")</f>
        <v>শুরু হয়েছে</v>
      </c>
      <c r="T241" s="4" t="str">
        <f>IFERROR(__xludf.DUMMYFUNCTION("GOOGLETRANSLATE(B241,""en"",""pa"")"),"ਸ਼ੁਰੂ ਕੀਤਾ")</f>
        <v>ਸ਼ੁਰੂ ਕੀਤਾ</v>
      </c>
      <c r="U241" s="4" t="str">
        <f>IFERROR(__xludf.DUMMYFUNCTION("GOOGLETRANSLATE(B241,""en"",""te"")"),"ప్రారంభించారు")</f>
        <v>ప్రారంభించారు</v>
      </c>
      <c r="V241" s="4" t="str">
        <f>IFERROR(__xludf.DUMMYFUNCTION("GOOGLETRANSLATE(B241,""en"",""kn"")"),"ಪ್ರಾರಂಭಿಸಲಾಗಿದೆ")</f>
        <v>ಪ್ರಾರಂಭಿಸಲಾಗಿದೆ</v>
      </c>
      <c r="W241" s="4" t="str">
        <f>IFERROR(__xludf.DUMMYFUNCTION("GOOGLETRANSLATE(B241,""en"",""ml"")"),"ആരംഭിച്ചു")</f>
        <v>ആരംഭിച്ചു</v>
      </c>
      <c r="X241" s="4" t="str">
        <f>IFERROR(__xludf.DUMMYFUNCTION("GOOGLETRANSLATE(B241,""en"",""th"")"),"เริ่ม")</f>
        <v>เริ่ม</v>
      </c>
      <c r="Y241" s="4" t="str">
        <f>IFERROR(__xludf.DUMMYFUNCTION("GOOGLETRANSLATE(B241,""en"",""ko"")"),"시작함")</f>
        <v>시작함</v>
      </c>
      <c r="Z241" s="4" t="str">
        <f>IFERROR(__xludf.DUMMYFUNCTION("GOOGLETRANSLATE(B241,""en"",""zh"")"),"已开始")</f>
        <v>已开始</v>
      </c>
      <c r="AA241" s="4" t="str">
        <f>IFERROR(__xludf.DUMMYFUNCTION("GOOGLETRANSLATE(B241,""en"",""zh-TW"")"),"已開始")</f>
        <v>已開始</v>
      </c>
      <c r="AB241" s="4" t="str">
        <f>IFERROR(__xludf.DUMMYFUNCTION("GOOGLETRANSLATE(B241,""en"",""ja"")"),"開始")</f>
        <v>開始</v>
      </c>
      <c r="AC241" s="4" t="str">
        <f>IFERROR(__xludf.DUMMYFUNCTION("GOOGLETRANSLATE(B241,""en"",""bg"")"),"започна")</f>
        <v>започна</v>
      </c>
      <c r="AD241" s="4" t="str">
        <f>IFERROR(__xludf.DUMMYFUNCTION("GOOGLETRANSLATE(B241,""en"",""cs"")"),"Zahájeno")</f>
        <v>Zahájeno</v>
      </c>
      <c r="AE241" s="4" t="str">
        <f>IFERROR(__xludf.DUMMYFUNCTION("GOOGLETRANSLATE(B241,""en"",""da"")"),"Startede")</f>
        <v>Startede</v>
      </c>
      <c r="AF241" s="4" t="str">
        <f>IFERROR(__xludf.DUMMYFUNCTION("GOOGLETRANSLATE(B241,""en"",""el"")"),"Ξεκίνησε")</f>
        <v>Ξεκίνησε</v>
      </c>
      <c r="AG241" s="4" t="str">
        <f>IFERROR(__xludf.DUMMYFUNCTION("GOOGLETRANSLATE(B241,""en"",""et"")"),"Alustatud")</f>
        <v>Alustatud</v>
      </c>
      <c r="AH241" s="4" t="str">
        <f>IFERROR(__xludf.DUMMYFUNCTION("GOOGLETRANSLATE(B241,""en"",""fi"")"),"Aloitettu")</f>
        <v>Aloitettu</v>
      </c>
      <c r="AI241" s="4" t="str">
        <f>IFERROR(__xludf.DUMMYFUNCTION("GOOGLETRANSLATE(B241,""en"",""hr"")"),"Započelo")</f>
        <v>Započelo</v>
      </c>
      <c r="AJ241" s="4" t="str">
        <f>IFERROR(__xludf.DUMMYFUNCTION("GOOGLETRANSLATE(B241,""en"",""hu"")"),"Elindult")</f>
        <v>Elindult</v>
      </c>
      <c r="AK241" s="4" t="str">
        <f>IFERROR(__xludf.DUMMYFUNCTION("GOOGLETRANSLATE(B241,""en"",""hy"")"),"Սկսվել է")</f>
        <v>Սկսվել է</v>
      </c>
      <c r="AL241" s="4" t="str">
        <f>IFERROR(__xludf.DUMMYFUNCTION("GOOGLETRANSLATE(B241,""en"",""ca"")"),"Començat")</f>
        <v>Començat</v>
      </c>
      <c r="AM241" s="4" t="str">
        <f>IFERROR(__xludf.DUMMYFUNCTION("GOOGLETRANSLATE(B241,""en"",""nl"")"),"Begonnen")</f>
        <v>Begonnen</v>
      </c>
      <c r="AN241" s="4" t="str">
        <f>IFERROR(__xludf.DUMMYFUNCTION("GOOGLETRANSLATE(B241,""en"",""he"")"),"התחיל")</f>
        <v>התחיל</v>
      </c>
      <c r="AO241" s="4" t="str">
        <f>IFERROR(__xludf.DUMMYFUNCTION("GOOGLETRANSLATE(B241,""en"",""is"")"),"Byrjað")</f>
        <v>Byrjað</v>
      </c>
      <c r="AP241" s="4" t="str">
        <f>IFERROR(__xludf.DUMMYFUNCTION("GOOGLETRANSLATE(B241,""en"",""no"")"),"Startet")</f>
        <v>Startet</v>
      </c>
      <c r="AQ241" s="4" t="str">
        <f>IFERROR(__xludf.DUMMYFUNCTION("GOOGLETRANSLATE(B241,""en"",""fa"")"),"شروع شد")</f>
        <v>شروع شد</v>
      </c>
      <c r="AR241" s="4" t="str">
        <f>IFERROR(__xludf.DUMMYFUNCTION("GOOGLETRANSLATE(B241,""en"",""pl"")"),"Rozpoczęto")</f>
        <v>Rozpoczęto</v>
      </c>
      <c r="AS241" s="4" t="str">
        <f>IFERROR(__xludf.DUMMYFUNCTION("GOOGLETRANSLATE(B241,""en"",""sv"")"),"Startade")</f>
        <v>Startade</v>
      </c>
      <c r="AT241" s="4" t="str">
        <f>IFERROR(__xludf.DUMMYFUNCTION("GOOGLETRANSLATE(B241,""en"",""uk"")"),"розпочато")</f>
        <v>розпочато</v>
      </c>
      <c r="AU241" s="4" t="str">
        <f>IFERROR(__xludf.DUMMYFUNCTION("GOOGLETRANSLATE(B241,""en"",""zu"")"),"Iqalile")</f>
        <v>Iqalile</v>
      </c>
      <c r="AV241" s="4" t="str">
        <f>IFERROR(__xludf.DUMMYFUNCTION("GOOGLETRANSLATE(B241,""en"",""sr"")"),"Почело")</f>
        <v>Почело</v>
      </c>
    </row>
    <row r="242">
      <c r="A242" s="3" t="s">
        <v>507</v>
      </c>
      <c r="B242" s="3" t="s">
        <v>508</v>
      </c>
      <c r="C242" s="4" t="str">
        <f>IFERROR(__xludf.DUMMYFUNCTION("GOOGLETRANSLATE(B242,""en"",""ta"")"),"இடைநிறுத்தப்பட்டது")</f>
        <v>இடைநிறுத்தப்பட்டது</v>
      </c>
      <c r="D242" s="4" t="str">
        <f>IFERROR(__xludf.DUMMYFUNCTION("GOOGLETRANSLATE(B242,""en"",""hi"")"),"रोका गया")</f>
        <v>रोका गया</v>
      </c>
      <c r="E242" s="4" t="str">
        <f>IFERROR(__xludf.DUMMYFUNCTION("GOOGLETRANSLATE(B242,""en"",""id"")"),"Dijeda")</f>
        <v>Dijeda</v>
      </c>
      <c r="F242" s="4" t="str">
        <f>IFERROR(__xludf.DUMMYFUNCTION("GOOGLETRANSLATE(B242,""en"",""ms"")"),"Dijeda")</f>
        <v>Dijeda</v>
      </c>
      <c r="G242" s="4" t="str">
        <f>IFERROR(__xludf.DUMMYFUNCTION("GOOGLETRANSLATE(B242,""en"",""de"")"),"Angehalten")</f>
        <v>Angehalten</v>
      </c>
      <c r="H242" s="4" t="str">
        <f>IFERROR(__xludf.DUMMYFUNCTION("GOOGLETRANSLATE(B242,""en"",""es"")"),"En pausa")</f>
        <v>En pausa</v>
      </c>
      <c r="I242" s="4" t="str">
        <f>IFERROR(__xludf.DUMMYFUNCTION("GOOGLETRANSLATE(B242,""en"",""fr"")"),"En pause")</f>
        <v>En pause</v>
      </c>
      <c r="J242" s="4" t="str">
        <f>IFERROR(__xludf.DUMMYFUNCTION("GOOGLETRANSLATE(B242,""en"",""it"")"),"In pausa")</f>
        <v>In pausa</v>
      </c>
      <c r="K242" s="4" t="str">
        <f>IFERROR(__xludf.DUMMYFUNCTION("GOOGLETRANSLATE(B242,""en"",""pt"")"),"Pausado")</f>
        <v>Pausado</v>
      </c>
      <c r="L242" s="4" t="str">
        <f>IFERROR(__xludf.DUMMYFUNCTION("GOOGLETRANSLATE(B242,""en"",""ro"")"),"Întrerupt")</f>
        <v>Întrerupt</v>
      </c>
      <c r="M242" s="4" t="str">
        <f>IFERROR(__xludf.DUMMYFUNCTION("GOOGLETRANSLATE(B242,""en"",""vi"")"),"Tạm dừng")</f>
        <v>Tạm dừng</v>
      </c>
      <c r="N242" s="4" t="str">
        <f>IFERROR(__xludf.DUMMYFUNCTION("GOOGLETRANSLATE(B242,""en"",""ru"")"),"Приостановлено")</f>
        <v>Приостановлено</v>
      </c>
      <c r="O242" s="4" t="str">
        <f>IFERROR(__xludf.DUMMYFUNCTION("GOOGLETRANSLATE(B242,""en"",""tr"")"),"Duraklatıldı")</f>
        <v>Duraklatıldı</v>
      </c>
      <c r="P242" s="4" t="str">
        <f>IFERROR(__xludf.DUMMYFUNCTION("GOOGLETRANSLATE(B242,""en"",""ar"")"),"متوقف مؤقتًا")</f>
        <v>متوقف مؤقتًا</v>
      </c>
      <c r="Q242" s="4" t="str">
        <f>IFERROR(__xludf.DUMMYFUNCTION("GOOGLETRANSLATE(B242,""en"",""mr"")"),"विराम दिला")</f>
        <v>विराम दिला</v>
      </c>
      <c r="R242" s="4" t="str">
        <f>IFERROR(__xludf.DUMMYFUNCTION("GOOGLETRANSLATE(B242,""en"",""gu"")"),"થોભાવ્યું")</f>
        <v>થોભાવ્યું</v>
      </c>
      <c r="S242" s="4" t="str">
        <f>IFERROR(__xludf.DUMMYFUNCTION("GOOGLETRANSLATE(B242,""en"",""bn"")"),"বিরতি দেওয়া হয়েছে")</f>
        <v>বিরতি দেওয়া হয়েছে</v>
      </c>
      <c r="T242" s="4" t="str">
        <f>IFERROR(__xludf.DUMMYFUNCTION("GOOGLETRANSLATE(B242,""en"",""pa"")"),"ਰੋਕਿਆ ਗਿਆ")</f>
        <v>ਰੋਕਿਆ ਗਿਆ</v>
      </c>
      <c r="U242" s="4" t="str">
        <f>IFERROR(__xludf.DUMMYFUNCTION("GOOGLETRANSLATE(B242,""en"",""te"")"),"పాజ్ చేయబడింది")</f>
        <v>పాజ్ చేయబడింది</v>
      </c>
      <c r="V242" s="4" t="str">
        <f>IFERROR(__xludf.DUMMYFUNCTION("GOOGLETRANSLATE(B242,""en"",""kn"")"),"ವಿರಾಮಗೊಳಿಸಲಾಗಿದೆ")</f>
        <v>ವಿರಾಮಗೊಳಿಸಲಾಗಿದೆ</v>
      </c>
      <c r="W242" s="4" t="str">
        <f>IFERROR(__xludf.DUMMYFUNCTION("GOOGLETRANSLATE(B242,""en"",""ml"")"),"താൽക്കാലികമായി നിർത്തി")</f>
        <v>താൽക്കാലികമായി നിർത്തി</v>
      </c>
      <c r="X242" s="4" t="str">
        <f>IFERROR(__xludf.DUMMYFUNCTION("GOOGLETRANSLATE(B242,""en"",""th"")"),"หยุดชั่วคราว")</f>
        <v>หยุดชั่วคราว</v>
      </c>
      <c r="Y242" s="4" t="str">
        <f>IFERROR(__xludf.DUMMYFUNCTION("GOOGLETRANSLATE(B242,""en"",""ko"")"),"일시 중지됨")</f>
        <v>일시 중지됨</v>
      </c>
      <c r="Z242" s="4" t="str">
        <f>IFERROR(__xludf.DUMMYFUNCTION("GOOGLETRANSLATE(B242,""en"",""zh"")"),"已暂停")</f>
        <v>已暂停</v>
      </c>
      <c r="AA242" s="4" t="str">
        <f>IFERROR(__xludf.DUMMYFUNCTION("GOOGLETRANSLATE(B242,""en"",""zh-TW"")"),"已暫停")</f>
        <v>已暫停</v>
      </c>
      <c r="AB242" s="4" t="str">
        <f>IFERROR(__xludf.DUMMYFUNCTION("GOOGLETRANSLATE(B242,""en"",""ja"")"),"一時停止")</f>
        <v>一時停止</v>
      </c>
      <c r="AC242" s="4" t="str">
        <f>IFERROR(__xludf.DUMMYFUNCTION("GOOGLETRANSLATE(B242,""en"",""bg"")"),"На пауза")</f>
        <v>На пауза</v>
      </c>
      <c r="AD242" s="4" t="str">
        <f>IFERROR(__xludf.DUMMYFUNCTION("GOOGLETRANSLATE(B242,""en"",""cs"")"),"Pozastaveno")</f>
        <v>Pozastaveno</v>
      </c>
      <c r="AE242" s="4" t="str">
        <f>IFERROR(__xludf.DUMMYFUNCTION("GOOGLETRANSLATE(B242,""en"",""da"")"),"Pause")</f>
        <v>Pause</v>
      </c>
      <c r="AF242" s="4" t="str">
        <f>IFERROR(__xludf.DUMMYFUNCTION("GOOGLETRANSLATE(B242,""en"",""el"")"),"Σε παύση")</f>
        <v>Σε παύση</v>
      </c>
      <c r="AG242" s="4" t="str">
        <f>IFERROR(__xludf.DUMMYFUNCTION("GOOGLETRANSLATE(B242,""en"",""et"")"),"Peatatud")</f>
        <v>Peatatud</v>
      </c>
      <c r="AH242" s="4" t="str">
        <f>IFERROR(__xludf.DUMMYFUNCTION("GOOGLETRANSLATE(B242,""en"",""fi"")"),"Keskeytetty")</f>
        <v>Keskeytetty</v>
      </c>
      <c r="AI242" s="4" t="str">
        <f>IFERROR(__xludf.DUMMYFUNCTION("GOOGLETRANSLATE(B242,""en"",""hr"")"),"Pauzirano")</f>
        <v>Pauzirano</v>
      </c>
      <c r="AJ242" s="4" t="str">
        <f>IFERROR(__xludf.DUMMYFUNCTION("GOOGLETRANSLATE(B242,""en"",""hu"")"),"Szüneteltetve")</f>
        <v>Szüneteltetve</v>
      </c>
      <c r="AK242" s="4" t="str">
        <f>IFERROR(__xludf.DUMMYFUNCTION("GOOGLETRANSLATE(B242,""en"",""hy"")"),"Դադարեցված է")</f>
        <v>Դադարեցված է</v>
      </c>
      <c r="AL242" s="4" t="str">
        <f>IFERROR(__xludf.DUMMYFUNCTION("GOOGLETRANSLATE(B242,""en"",""ca"")"),"En pausa")</f>
        <v>En pausa</v>
      </c>
      <c r="AM242" s="4" t="str">
        <f>IFERROR(__xludf.DUMMYFUNCTION("GOOGLETRANSLATE(B242,""en"",""nl"")"),"Gepauzeerd")</f>
        <v>Gepauzeerd</v>
      </c>
      <c r="AN242" s="4" t="str">
        <f>IFERROR(__xludf.DUMMYFUNCTION("GOOGLETRANSLATE(B242,""en"",""he"")"),"מושהה")</f>
        <v>מושהה</v>
      </c>
      <c r="AO242" s="4" t="str">
        <f>IFERROR(__xludf.DUMMYFUNCTION("GOOGLETRANSLATE(B242,""en"",""is"")"),"Gert hlé")</f>
        <v>Gert hlé</v>
      </c>
      <c r="AP242" s="4" t="str">
        <f>IFERROR(__xludf.DUMMYFUNCTION("GOOGLETRANSLATE(B242,""en"",""no"")"),"Pause")</f>
        <v>Pause</v>
      </c>
      <c r="AQ242" s="4" t="str">
        <f>IFERROR(__xludf.DUMMYFUNCTION("GOOGLETRANSLATE(B242,""en"",""fa"")"),"مکث کرد")</f>
        <v>مکث کرد</v>
      </c>
      <c r="AR242" s="4" t="str">
        <f>IFERROR(__xludf.DUMMYFUNCTION("GOOGLETRANSLATE(B242,""en"",""pl"")"),"Wstrzymano")</f>
        <v>Wstrzymano</v>
      </c>
      <c r="AS242" s="4" t="str">
        <f>IFERROR(__xludf.DUMMYFUNCTION("GOOGLETRANSLATE(B242,""en"",""sv"")"),"Pausad")</f>
        <v>Pausad</v>
      </c>
      <c r="AT242" s="4" t="str">
        <f>IFERROR(__xludf.DUMMYFUNCTION("GOOGLETRANSLATE(B242,""en"",""uk"")"),"Призупинено")</f>
        <v>Призупинено</v>
      </c>
      <c r="AU242" s="4" t="str">
        <f>IFERROR(__xludf.DUMMYFUNCTION("GOOGLETRANSLATE(B242,""en"",""zu"")"),"Kumisiwe okwesikhashana")</f>
        <v>Kumisiwe okwesikhashana</v>
      </c>
      <c r="AV242" s="4" t="str">
        <f>IFERROR(__xludf.DUMMYFUNCTION("GOOGLETRANSLATE(B242,""en"",""sr"")"),"Паузирано")</f>
        <v>Паузирано</v>
      </c>
    </row>
    <row r="243">
      <c r="A243" s="3" t="s">
        <v>509</v>
      </c>
      <c r="B243" s="3" t="s">
        <v>510</v>
      </c>
      <c r="C243" s="4" t="str">
        <f>IFERROR(__xludf.DUMMYFUNCTION("GOOGLETRANSLATE(B243,""en"",""ta"")"),"மீண்டும் தொடங்கியது")</f>
        <v>மீண்டும் தொடங்கியது</v>
      </c>
      <c r="D243" s="4" t="str">
        <f>IFERROR(__xludf.DUMMYFUNCTION("GOOGLETRANSLATE(B243,""en"",""hi"")"),"फिर से शुरू")</f>
        <v>फिर से शुरू</v>
      </c>
      <c r="E243" s="4" t="str">
        <f>IFERROR(__xludf.DUMMYFUNCTION("GOOGLETRANSLATE(B243,""en"",""id"")"),"Dilanjutkan")</f>
        <v>Dilanjutkan</v>
      </c>
      <c r="F243" s="4" t="str">
        <f>IFERROR(__xludf.DUMMYFUNCTION("GOOGLETRANSLATE(B243,""en"",""ms"")"),"Disambung semula")</f>
        <v>Disambung semula</v>
      </c>
      <c r="G243" s="4" t="str">
        <f>IFERROR(__xludf.DUMMYFUNCTION("GOOGLETRANSLATE(B243,""en"",""de"")"),"Wiederaufgenommen")</f>
        <v>Wiederaufgenommen</v>
      </c>
      <c r="H243" s="4" t="str">
        <f>IFERROR(__xludf.DUMMYFUNCTION("GOOGLETRANSLATE(B243,""en"",""es"")"),"Reanudado")</f>
        <v>Reanudado</v>
      </c>
      <c r="I243" s="4" t="str">
        <f>IFERROR(__xludf.DUMMYFUNCTION("GOOGLETRANSLATE(B243,""en"",""fr"")"),"Reprise")</f>
        <v>Reprise</v>
      </c>
      <c r="J243" s="4" t="str">
        <f>IFERROR(__xludf.DUMMYFUNCTION("GOOGLETRANSLATE(B243,""en"",""it"")"),"Ripreso")</f>
        <v>Ripreso</v>
      </c>
      <c r="K243" s="4" t="str">
        <f>IFERROR(__xludf.DUMMYFUNCTION("GOOGLETRANSLATE(B243,""en"",""pt"")"),"Retomado")</f>
        <v>Retomado</v>
      </c>
      <c r="L243" s="4" t="str">
        <f>IFERROR(__xludf.DUMMYFUNCTION("GOOGLETRANSLATE(B243,""en"",""ro"")"),"Reluat")</f>
        <v>Reluat</v>
      </c>
      <c r="M243" s="4" t="str">
        <f>IFERROR(__xludf.DUMMYFUNCTION("GOOGLETRANSLATE(B243,""en"",""vi"")"),"Đã tiếp tục")</f>
        <v>Đã tiếp tục</v>
      </c>
      <c r="N243" s="4" t="str">
        <f>IFERROR(__xludf.DUMMYFUNCTION("GOOGLETRANSLATE(B243,""en"",""ru"")"),"Возобновлено")</f>
        <v>Возобновлено</v>
      </c>
      <c r="O243" s="4" t="str">
        <f>IFERROR(__xludf.DUMMYFUNCTION("GOOGLETRANSLATE(B243,""en"",""tr"")"),"Devam etti")</f>
        <v>Devam etti</v>
      </c>
      <c r="P243" s="4" t="str">
        <f>IFERROR(__xludf.DUMMYFUNCTION("GOOGLETRANSLATE(B243,""en"",""ar"")"),"تم استئنافه")</f>
        <v>تم استئنافه</v>
      </c>
      <c r="Q243" s="4" t="str">
        <f>IFERROR(__xludf.DUMMYFUNCTION("GOOGLETRANSLATE(B243,""en"",""mr"")"),"पुन्हा सुरू केले")</f>
        <v>पुन्हा सुरू केले</v>
      </c>
      <c r="R243" s="4" t="str">
        <f>IFERROR(__xludf.DUMMYFUNCTION("GOOGLETRANSLATE(B243,""en"",""gu"")"),"ફરી શરૂ")</f>
        <v>ફરી શરૂ</v>
      </c>
      <c r="S243" s="4" t="str">
        <f>IFERROR(__xludf.DUMMYFUNCTION("GOOGLETRANSLATE(B243,""en"",""bn"")"),"আবার শুরু হয়েছে")</f>
        <v>আবার শুরু হয়েছে</v>
      </c>
      <c r="T243" s="4" t="str">
        <f>IFERROR(__xludf.DUMMYFUNCTION("GOOGLETRANSLATE(B243,""en"",""pa"")"),"ਮੁੜ ਸ਼ੁਰੂ ਕੀਤਾ")</f>
        <v>ਮੁੜ ਸ਼ੁਰੂ ਕੀਤਾ</v>
      </c>
      <c r="U243" s="4" t="str">
        <f>IFERROR(__xludf.DUMMYFUNCTION("GOOGLETRANSLATE(B243,""en"",""te"")"),"పునఃప్రారంభించబడింది")</f>
        <v>పునఃప్రారంభించబడింది</v>
      </c>
      <c r="V243" s="4" t="str">
        <f>IFERROR(__xludf.DUMMYFUNCTION("GOOGLETRANSLATE(B243,""en"",""kn"")"),"ಪುನರಾರಂಭಿಸಲಾಗಿದೆ")</f>
        <v>ಪುನರಾರಂಭಿಸಲಾಗಿದೆ</v>
      </c>
      <c r="W243" s="4" t="str">
        <f>IFERROR(__xludf.DUMMYFUNCTION("GOOGLETRANSLATE(B243,""en"",""ml"")"),"പുനരാരംഭിച്ചു")</f>
        <v>പുനരാരംഭിച്ചു</v>
      </c>
      <c r="X243" s="4" t="str">
        <f>IFERROR(__xludf.DUMMYFUNCTION("GOOGLETRANSLATE(B243,""en"",""th"")"),"กลับมาดำเนินการต่อ")</f>
        <v>กลับมาดำเนินการต่อ</v>
      </c>
      <c r="Y243" s="4" t="str">
        <f>IFERROR(__xludf.DUMMYFUNCTION("GOOGLETRANSLATE(B243,""en"",""ko"")"),"재개됨")</f>
        <v>재개됨</v>
      </c>
      <c r="Z243" s="4" t="str">
        <f>IFERROR(__xludf.DUMMYFUNCTION("GOOGLETRANSLATE(B243,""en"",""zh"")"),"已恢复")</f>
        <v>已恢复</v>
      </c>
      <c r="AA243" s="4" t="str">
        <f>IFERROR(__xludf.DUMMYFUNCTION("GOOGLETRANSLATE(B243,""en"",""zh-TW"")"),"已恢復")</f>
        <v>已恢復</v>
      </c>
      <c r="AB243" s="4" t="str">
        <f>IFERROR(__xludf.DUMMYFUNCTION("GOOGLETRANSLATE(B243,""en"",""ja"")"),"再開")</f>
        <v>再開</v>
      </c>
      <c r="AC243" s="4" t="str">
        <f>IFERROR(__xludf.DUMMYFUNCTION("GOOGLETRANSLATE(B243,""en"",""bg"")"),"Възобновено")</f>
        <v>Възобновено</v>
      </c>
      <c r="AD243" s="4" t="str">
        <f>IFERROR(__xludf.DUMMYFUNCTION("GOOGLETRANSLATE(B243,""en"",""cs"")"),"Obnoveno")</f>
        <v>Obnoveno</v>
      </c>
      <c r="AE243" s="4" t="str">
        <f>IFERROR(__xludf.DUMMYFUNCTION("GOOGLETRANSLATE(B243,""en"",""da"")"),"Genoptaget")</f>
        <v>Genoptaget</v>
      </c>
      <c r="AF243" s="4" t="str">
        <f>IFERROR(__xludf.DUMMYFUNCTION("GOOGLETRANSLATE(B243,""en"",""el"")"),"Συνέχισε")</f>
        <v>Συνέχισε</v>
      </c>
      <c r="AG243" s="4" t="str">
        <f>IFERROR(__xludf.DUMMYFUNCTION("GOOGLETRANSLATE(B243,""en"",""et"")"),"Jätkati")</f>
        <v>Jätkati</v>
      </c>
      <c r="AH243" s="4" t="str">
        <f>IFERROR(__xludf.DUMMYFUNCTION("GOOGLETRANSLATE(B243,""en"",""fi"")"),"Jatkettiin")</f>
        <v>Jatkettiin</v>
      </c>
      <c r="AI243" s="4" t="str">
        <f>IFERROR(__xludf.DUMMYFUNCTION("GOOGLETRANSLATE(B243,""en"",""hr"")"),"Nastavljeno")</f>
        <v>Nastavljeno</v>
      </c>
      <c r="AJ243" s="4" t="str">
        <f>IFERROR(__xludf.DUMMYFUNCTION("GOOGLETRANSLATE(B243,""en"",""hu"")"),"Folytatva")</f>
        <v>Folytatva</v>
      </c>
      <c r="AK243" s="4" t="str">
        <f>IFERROR(__xludf.DUMMYFUNCTION("GOOGLETRANSLATE(B243,""en"",""hy"")"),"Վերսկսվել է")</f>
        <v>Վերսկսվել է</v>
      </c>
      <c r="AL243" s="4" t="str">
        <f>IFERROR(__xludf.DUMMYFUNCTION("GOOGLETRANSLATE(B243,""en"",""ca"")"),"Es va reprendre")</f>
        <v>Es va reprendre</v>
      </c>
      <c r="AM243" s="4" t="str">
        <f>IFERROR(__xludf.DUMMYFUNCTION("GOOGLETRANSLATE(B243,""en"",""nl"")"),"Hervat")</f>
        <v>Hervat</v>
      </c>
      <c r="AN243" s="4" t="str">
        <f>IFERROR(__xludf.DUMMYFUNCTION("GOOGLETRANSLATE(B243,""en"",""he"")"),"התחדש")</f>
        <v>התחדש</v>
      </c>
      <c r="AO243" s="4" t="str">
        <f>IFERROR(__xludf.DUMMYFUNCTION("GOOGLETRANSLATE(B243,""en"",""is"")"),"Haldið áfram")</f>
        <v>Haldið áfram</v>
      </c>
      <c r="AP243" s="4" t="str">
        <f>IFERROR(__xludf.DUMMYFUNCTION("GOOGLETRANSLATE(B243,""en"",""no"")"),"Gjenopptatt")</f>
        <v>Gjenopptatt</v>
      </c>
      <c r="AQ243" s="4" t="str">
        <f>IFERROR(__xludf.DUMMYFUNCTION("GOOGLETRANSLATE(B243,""en"",""fa"")"),"از سر گرفته شد")</f>
        <v>از سر گرفته شد</v>
      </c>
      <c r="AR243" s="4" t="str">
        <f>IFERROR(__xludf.DUMMYFUNCTION("GOOGLETRANSLATE(B243,""en"",""pl"")"),"Wznowione")</f>
        <v>Wznowione</v>
      </c>
      <c r="AS243" s="4" t="str">
        <f>IFERROR(__xludf.DUMMYFUNCTION("GOOGLETRANSLATE(B243,""en"",""sv"")"),"Återupptagen")</f>
        <v>Återupptagen</v>
      </c>
      <c r="AT243" s="4" t="str">
        <f>IFERROR(__xludf.DUMMYFUNCTION("GOOGLETRANSLATE(B243,""en"",""uk"")"),"Відновлено")</f>
        <v>Відновлено</v>
      </c>
      <c r="AU243" s="4" t="str">
        <f>IFERROR(__xludf.DUMMYFUNCTION("GOOGLETRANSLATE(B243,""en"",""zu"")"),"Kuqaliswe kabusha")</f>
        <v>Kuqaliswe kabusha</v>
      </c>
      <c r="AV243" s="4" t="str">
        <f>IFERROR(__xludf.DUMMYFUNCTION("GOOGLETRANSLATE(B243,""en"",""sr"")"),"Настављено")</f>
        <v>Настављено</v>
      </c>
    </row>
    <row r="244">
      <c r="A244" s="3" t="s">
        <v>511</v>
      </c>
      <c r="B244" s="3" t="s">
        <v>512</v>
      </c>
      <c r="C244" s="4" t="str">
        <f>IFERROR(__xludf.DUMMYFUNCTION("GOOGLETRANSLATE(B244,""en"",""ta"")"),"நிறுத்தப்பட்டது")</f>
        <v>நிறுத்தப்பட்டது</v>
      </c>
      <c r="D244" s="4" t="str">
        <f>IFERROR(__xludf.DUMMYFUNCTION("GOOGLETRANSLATE(B244,""en"",""hi"")"),"रोका गया")</f>
        <v>रोका गया</v>
      </c>
      <c r="E244" s="4" t="str">
        <f>IFERROR(__xludf.DUMMYFUNCTION("GOOGLETRANSLATE(B244,""en"",""id"")"),"Berhenti")</f>
        <v>Berhenti</v>
      </c>
      <c r="F244" s="4" t="str">
        <f>IFERROR(__xludf.DUMMYFUNCTION("GOOGLETRANSLATE(B244,""en"",""ms"")"),"Berhenti")</f>
        <v>Berhenti</v>
      </c>
      <c r="G244" s="4" t="str">
        <f>IFERROR(__xludf.DUMMYFUNCTION("GOOGLETRANSLATE(B244,""en"",""de"")"),"Gestoppt")</f>
        <v>Gestoppt</v>
      </c>
      <c r="H244" s="4" t="str">
        <f>IFERROR(__xludf.DUMMYFUNCTION("GOOGLETRANSLATE(B244,""en"",""es"")"),"Interrumpido")</f>
        <v>Interrumpido</v>
      </c>
      <c r="I244" s="4" t="str">
        <f>IFERROR(__xludf.DUMMYFUNCTION("GOOGLETRANSLATE(B244,""en"",""fr"")"),"Arrêté")</f>
        <v>Arrêté</v>
      </c>
      <c r="J244" s="4" t="str">
        <f>IFERROR(__xludf.DUMMYFUNCTION("GOOGLETRANSLATE(B244,""en"",""it"")"),"Fermato")</f>
        <v>Fermato</v>
      </c>
      <c r="K244" s="4" t="str">
        <f>IFERROR(__xludf.DUMMYFUNCTION("GOOGLETRANSLATE(B244,""en"",""pt"")"),"Parou")</f>
        <v>Parou</v>
      </c>
      <c r="L244" s="4" t="str">
        <f>IFERROR(__xludf.DUMMYFUNCTION("GOOGLETRANSLATE(B244,""en"",""ro"")"),"Oprit")</f>
        <v>Oprit</v>
      </c>
      <c r="M244" s="4" t="str">
        <f>IFERROR(__xludf.DUMMYFUNCTION("GOOGLETRANSLATE(B244,""en"",""vi"")"),"Đã dừng lại")</f>
        <v>Đã dừng lại</v>
      </c>
      <c r="N244" s="4" t="str">
        <f>IFERROR(__xludf.DUMMYFUNCTION("GOOGLETRANSLATE(B244,""en"",""ru"")"),"Остановлено")</f>
        <v>Остановлено</v>
      </c>
      <c r="O244" s="4" t="str">
        <f>IFERROR(__xludf.DUMMYFUNCTION("GOOGLETRANSLATE(B244,""en"",""tr"")"),"Durduruldu")</f>
        <v>Durduruldu</v>
      </c>
      <c r="P244" s="4" t="str">
        <f>IFERROR(__xludf.DUMMYFUNCTION("GOOGLETRANSLATE(B244,""en"",""ar"")"),"متوقف")</f>
        <v>متوقف</v>
      </c>
      <c r="Q244" s="4" t="str">
        <f>IFERROR(__xludf.DUMMYFUNCTION("GOOGLETRANSLATE(B244,""en"",""mr"")"),"थांबला")</f>
        <v>थांबला</v>
      </c>
      <c r="R244" s="4" t="str">
        <f>IFERROR(__xludf.DUMMYFUNCTION("GOOGLETRANSLATE(B244,""en"",""gu"")"),"અટકી ગયો")</f>
        <v>અટકી ગયો</v>
      </c>
      <c r="S244" s="4" t="str">
        <f>IFERROR(__xludf.DUMMYFUNCTION("GOOGLETRANSLATE(B244,""en"",""bn"")"),"থেমে গেল")</f>
        <v>থেমে গেল</v>
      </c>
      <c r="T244" s="4" t="str">
        <f>IFERROR(__xludf.DUMMYFUNCTION("GOOGLETRANSLATE(B244,""en"",""pa"")"),"ਰੁਕ ਗਿਆ")</f>
        <v>ਰੁਕ ਗਿਆ</v>
      </c>
      <c r="U244" s="4" t="str">
        <f>IFERROR(__xludf.DUMMYFUNCTION("GOOGLETRANSLATE(B244,""en"",""te"")"),"ఆగిపోయింది")</f>
        <v>ఆగిపోయింది</v>
      </c>
      <c r="V244" s="4" t="str">
        <f>IFERROR(__xludf.DUMMYFUNCTION("GOOGLETRANSLATE(B244,""en"",""kn"")"),"ನಿಲ್ಲಿಸಿದೆ")</f>
        <v>ನಿಲ್ಲಿಸಿದೆ</v>
      </c>
      <c r="W244" s="4" t="str">
        <f>IFERROR(__xludf.DUMMYFUNCTION("GOOGLETRANSLATE(B244,""en"",""ml"")"),"നിർത്തി")</f>
        <v>നിർത്തി</v>
      </c>
      <c r="X244" s="4" t="str">
        <f>IFERROR(__xludf.DUMMYFUNCTION("GOOGLETRANSLATE(B244,""en"",""th"")"),"หยุดแล้ว")</f>
        <v>หยุดแล้ว</v>
      </c>
      <c r="Y244" s="4" t="str">
        <f>IFERROR(__xludf.DUMMYFUNCTION("GOOGLETRANSLATE(B244,""en"",""ko"")"),"멈췄다")</f>
        <v>멈췄다</v>
      </c>
      <c r="Z244" s="4" t="str">
        <f>IFERROR(__xludf.DUMMYFUNCTION("GOOGLETRANSLATE(B244,""en"",""zh"")"),"已停止")</f>
        <v>已停止</v>
      </c>
      <c r="AA244" s="4" t="str">
        <f>IFERROR(__xludf.DUMMYFUNCTION("GOOGLETRANSLATE(B244,""en"",""zh-TW"")"),"已停止")</f>
        <v>已停止</v>
      </c>
      <c r="AB244" s="4" t="str">
        <f>IFERROR(__xludf.DUMMYFUNCTION("GOOGLETRANSLATE(B244,""en"",""ja"")"),"停止")</f>
        <v>停止</v>
      </c>
      <c r="AC244" s="4" t="str">
        <f>IFERROR(__xludf.DUMMYFUNCTION("GOOGLETRANSLATE(B244,""en"",""bg"")"),"Спряно")</f>
        <v>Спряно</v>
      </c>
      <c r="AD244" s="4" t="str">
        <f>IFERROR(__xludf.DUMMYFUNCTION("GOOGLETRANSLATE(B244,""en"",""cs"")"),"Zastaveno")</f>
        <v>Zastaveno</v>
      </c>
      <c r="AE244" s="4" t="str">
        <f>IFERROR(__xludf.DUMMYFUNCTION("GOOGLETRANSLATE(B244,""en"",""da"")"),"Stoppet")</f>
        <v>Stoppet</v>
      </c>
      <c r="AF244" s="4" t="str">
        <f>IFERROR(__xludf.DUMMYFUNCTION("GOOGLETRANSLATE(B244,""en"",""el"")"),"Σταμάτησε")</f>
        <v>Σταμάτησε</v>
      </c>
      <c r="AG244" s="4" t="str">
        <f>IFERROR(__xludf.DUMMYFUNCTION("GOOGLETRANSLATE(B244,""en"",""et"")"),"Peatatud")</f>
        <v>Peatatud</v>
      </c>
      <c r="AH244" s="4" t="str">
        <f>IFERROR(__xludf.DUMMYFUNCTION("GOOGLETRANSLATE(B244,""en"",""fi"")"),"Pysähtynyt")</f>
        <v>Pysähtynyt</v>
      </c>
      <c r="AI244" s="4" t="str">
        <f>IFERROR(__xludf.DUMMYFUNCTION("GOOGLETRANSLATE(B244,""en"",""hr"")"),"Zaustavljeno")</f>
        <v>Zaustavljeno</v>
      </c>
      <c r="AJ244" s="4" t="str">
        <f>IFERROR(__xludf.DUMMYFUNCTION("GOOGLETRANSLATE(B244,""en"",""hu"")"),"Megállt")</f>
        <v>Megállt</v>
      </c>
      <c r="AK244" s="4" t="str">
        <f>IFERROR(__xludf.DUMMYFUNCTION("GOOGLETRANSLATE(B244,""en"",""hy"")"),"Դադարեցվեց")</f>
        <v>Դադարեցվեց</v>
      </c>
      <c r="AL244" s="4" t="str">
        <f>IFERROR(__xludf.DUMMYFUNCTION("GOOGLETRANSLATE(B244,""en"",""ca"")"),"Parat")</f>
        <v>Parat</v>
      </c>
      <c r="AM244" s="4" t="str">
        <f>IFERROR(__xludf.DUMMYFUNCTION("GOOGLETRANSLATE(B244,""en"",""nl"")"),"Gestopt")</f>
        <v>Gestopt</v>
      </c>
      <c r="AN244" s="4" t="str">
        <f>IFERROR(__xludf.DUMMYFUNCTION("GOOGLETRANSLATE(B244,""en"",""he"")"),"נֶעצָר")</f>
        <v>נֶעצָר</v>
      </c>
      <c r="AO244" s="4" t="str">
        <f>IFERROR(__xludf.DUMMYFUNCTION("GOOGLETRANSLATE(B244,""en"",""is"")"),"Hætt")</f>
        <v>Hætt</v>
      </c>
      <c r="AP244" s="4" t="str">
        <f>IFERROR(__xludf.DUMMYFUNCTION("GOOGLETRANSLATE(B244,""en"",""no"")"),"Stoppet")</f>
        <v>Stoppet</v>
      </c>
      <c r="AQ244" s="4" t="str">
        <f>IFERROR(__xludf.DUMMYFUNCTION("GOOGLETRANSLATE(B244,""en"",""fa"")"),"متوقف شد")</f>
        <v>متوقف شد</v>
      </c>
      <c r="AR244" s="4" t="str">
        <f>IFERROR(__xludf.DUMMYFUNCTION("GOOGLETRANSLATE(B244,""en"",""pl"")"),"Zatrzymany")</f>
        <v>Zatrzymany</v>
      </c>
      <c r="AS244" s="4" t="str">
        <f>IFERROR(__xludf.DUMMYFUNCTION("GOOGLETRANSLATE(B244,""en"",""sv"")"),"Slutade")</f>
        <v>Slutade</v>
      </c>
      <c r="AT244" s="4" t="str">
        <f>IFERROR(__xludf.DUMMYFUNCTION("GOOGLETRANSLATE(B244,""en"",""uk"")"),"Зупинився")</f>
        <v>Зупинився</v>
      </c>
      <c r="AU244" s="4" t="str">
        <f>IFERROR(__xludf.DUMMYFUNCTION("GOOGLETRANSLATE(B244,""en"",""zu"")"),"Imile")</f>
        <v>Imile</v>
      </c>
      <c r="AV244" s="4" t="str">
        <f>IFERROR(__xludf.DUMMYFUNCTION("GOOGLETRANSLATE(B244,""en"",""sr"")"),"Заустављено")</f>
        <v>Заустављено</v>
      </c>
    </row>
    <row r="245">
      <c r="A245" s="3" t="s">
        <v>513</v>
      </c>
      <c r="B245" s="3" t="s">
        <v>514</v>
      </c>
      <c r="C245" s="4" t="str">
        <f>IFERROR(__xludf.DUMMYFUNCTION("GOOGLETRANSLATE(B245,""en"",""ta"")"),"மலையேற்றம் நடந்து கொண்டிருக்கிறது")</f>
        <v>மலையேற்றம் நடந்து கொண்டிருக்கிறது</v>
      </c>
      <c r="D245" s="4" t="str">
        <f>IFERROR(__xludf.DUMMYFUNCTION("GOOGLETRANSLATE(B245,""en"",""hi"")"),"ट्रेक प्रगति पर है")</f>
        <v>ट्रेक प्रगति पर है</v>
      </c>
      <c r="E245" s="4" t="str">
        <f>IFERROR(__xludf.DUMMYFUNCTION("GOOGLETRANSLATE(B245,""en"",""id"")"),"Trek Sedang Berlangsung")</f>
        <v>Trek Sedang Berlangsung</v>
      </c>
      <c r="F245" s="4" t="str">
        <f>IFERROR(__xludf.DUMMYFUNCTION("GOOGLETRANSLATE(B245,""en"",""ms"")"),"Trek dalam Proses")</f>
        <v>Trek dalam Proses</v>
      </c>
      <c r="G245" s="4" t="str">
        <f>IFERROR(__xludf.DUMMYFUNCTION("GOOGLETRANSLATE(B245,""en"",""de"")"),"Wanderung im Gange")</f>
        <v>Wanderung im Gange</v>
      </c>
      <c r="H245" s="4" t="str">
        <f>IFERROR(__xludf.DUMMYFUNCTION("GOOGLETRANSLATE(B245,""en"",""es"")"),"Caminata en progreso")</f>
        <v>Caminata en progreso</v>
      </c>
      <c r="I245" s="4" t="str">
        <f>IFERROR(__xludf.DUMMYFUNCTION("GOOGLETRANSLATE(B245,""en"",""fr"")"),"Trek en cours")</f>
        <v>Trek en cours</v>
      </c>
      <c r="J245" s="4" t="str">
        <f>IFERROR(__xludf.DUMMYFUNCTION("GOOGLETRANSLATE(B245,""en"",""it"")"),"Trekking in corso")</f>
        <v>Trekking in corso</v>
      </c>
      <c r="K245" s="4" t="str">
        <f>IFERROR(__xludf.DUMMYFUNCTION("GOOGLETRANSLATE(B245,""en"",""pt"")"),"Caminhada em andamento")</f>
        <v>Caminhada em andamento</v>
      </c>
      <c r="L245" s="4" t="str">
        <f>IFERROR(__xludf.DUMMYFUNCTION("GOOGLETRANSLATE(B245,""en"",""ro"")"),"Călătorie în curs")</f>
        <v>Călătorie în curs</v>
      </c>
      <c r="M245" s="4" t="str">
        <f>IFERROR(__xludf.DUMMYFUNCTION("GOOGLETRANSLATE(B245,""en"",""vi"")"),"Chuyến đi đang tiến hành")</f>
        <v>Chuyến đi đang tiến hành</v>
      </c>
      <c r="N245" s="4" t="str">
        <f>IFERROR(__xludf.DUMMYFUNCTION("GOOGLETRANSLATE(B245,""en"",""ru"")"),"Поход в процессе")</f>
        <v>Поход в процессе</v>
      </c>
      <c r="O245" s="4" t="str">
        <f>IFERROR(__xludf.DUMMYFUNCTION("GOOGLETRANSLATE(B245,""en"",""tr"")"),"Trek Devam Ediyor")</f>
        <v>Trek Devam Ediyor</v>
      </c>
      <c r="P245" s="4" t="str">
        <f>IFERROR(__xludf.DUMMYFUNCTION("GOOGLETRANSLATE(B245,""en"",""ar"")"),"رحلة في التقدم")</f>
        <v>رحلة في التقدم</v>
      </c>
      <c r="Q245" s="4" t="str">
        <f>IFERROR(__xludf.DUMMYFUNCTION("GOOGLETRANSLATE(B245,""en"",""mr"")"),"ट्रेक चालू आहे")</f>
        <v>ट्रेक चालू आहे</v>
      </c>
      <c r="R245" s="4" t="str">
        <f>IFERROR(__xludf.DUMMYFUNCTION("GOOGLETRANSLATE(B245,""en"",""gu"")"),"ટ્રેક ચાલુ છે")</f>
        <v>ટ્રેક ચાલુ છે</v>
      </c>
      <c r="S245" s="4" t="str">
        <f>IFERROR(__xludf.DUMMYFUNCTION("GOOGLETRANSLATE(B245,""en"",""bn"")"),"অগ্রগতিতে ট্রেক")</f>
        <v>অগ্রগতিতে ট্রেক</v>
      </c>
      <c r="T245" s="4" t="str">
        <f>IFERROR(__xludf.DUMMYFUNCTION("GOOGLETRANSLATE(B245,""en"",""pa"")"),"ਟ੍ਰੈਕ ਜਾਰੀ ਹੈ")</f>
        <v>ਟ੍ਰੈਕ ਜਾਰੀ ਹੈ</v>
      </c>
      <c r="U245" s="4" t="str">
        <f>IFERROR(__xludf.DUMMYFUNCTION("GOOGLETRANSLATE(B245,""en"",""te"")"),"ట్రెక్ ప్రోగ్రెస్‌లో ఉంది")</f>
        <v>ట్రెక్ ప్రోగ్రెస్‌లో ఉంది</v>
      </c>
      <c r="V245" s="4" t="str">
        <f>IFERROR(__xludf.DUMMYFUNCTION("GOOGLETRANSLATE(B245,""en"",""kn"")"),"ಚಾರಣ ಪ್ರಗತಿಯಲ್ಲಿದೆ")</f>
        <v>ಚಾರಣ ಪ್ರಗತಿಯಲ್ಲಿದೆ</v>
      </c>
      <c r="W245" s="4" t="str">
        <f>IFERROR(__xludf.DUMMYFUNCTION("GOOGLETRANSLATE(B245,""en"",""ml"")"),"ട്രെക്ക് പുരോഗമിക്കുന്നു")</f>
        <v>ട്രെക്ക് പുരോഗമിക്കുന്നു</v>
      </c>
      <c r="X245" s="4" t="str">
        <f>IFERROR(__xludf.DUMMYFUNCTION("GOOGLETRANSLATE(B245,""en"",""th"")"),"การเดินทางกำลังดำเนินไป")</f>
        <v>การเดินทางกำลังดำเนินไป</v>
      </c>
      <c r="Y245" s="4" t="str">
        <f>IFERROR(__xludf.DUMMYFUNCTION("GOOGLETRANSLATE(B245,""en"",""ko"")"),"진행 중인 트레킹")</f>
        <v>진행 중인 트레킹</v>
      </c>
      <c r="Z245" s="4" t="str">
        <f>IFERROR(__xludf.DUMMYFUNCTION("GOOGLETRANSLATE(B245,""en"",""zh"")"),"跋涉进行中")</f>
        <v>跋涉进行中</v>
      </c>
      <c r="AA245" s="4" t="str">
        <f>IFERROR(__xludf.DUMMYFUNCTION("GOOGLETRANSLATE(B245,""en"",""zh-TW"")"),"跋涉進行中")</f>
        <v>跋涉進行中</v>
      </c>
      <c r="AB245" s="4" t="str">
        <f>IFERROR(__xludf.DUMMYFUNCTION("GOOGLETRANSLATE(B245,""en"",""ja"")"),"トレッキング中")</f>
        <v>トレッキング中</v>
      </c>
      <c r="AC245" s="4" t="str">
        <f>IFERROR(__xludf.DUMMYFUNCTION("GOOGLETRANSLATE(B245,""en"",""bg"")"),"Трек в ход")</f>
        <v>Трек в ход</v>
      </c>
      <c r="AD245" s="4" t="str">
        <f>IFERROR(__xludf.DUMMYFUNCTION("GOOGLETRANSLATE(B245,""en"",""cs"")"),"Trek in Progress")</f>
        <v>Trek in Progress</v>
      </c>
      <c r="AE245" s="4" t="str">
        <f>IFERROR(__xludf.DUMMYFUNCTION("GOOGLETRANSLATE(B245,""en"",""da"")"),"Trek i gang")</f>
        <v>Trek i gang</v>
      </c>
      <c r="AF245" s="4" t="str">
        <f>IFERROR(__xludf.DUMMYFUNCTION("GOOGLETRANSLATE(B245,""en"",""el"")"),"Οδοιπορικό σε εξέλιξη")</f>
        <v>Οδοιπορικό σε εξέλιξη</v>
      </c>
      <c r="AG245" s="4" t="str">
        <f>IFERROR(__xludf.DUMMYFUNCTION("GOOGLETRANSLATE(B245,""en"",""et"")"),"Trek pooleli")</f>
        <v>Trek pooleli</v>
      </c>
      <c r="AH245" s="4" t="str">
        <f>IFERROR(__xludf.DUMMYFUNCTION("GOOGLETRANSLATE(B245,""en"",""fi"")"),"Vaellus käynnissä")</f>
        <v>Vaellus käynnissä</v>
      </c>
      <c r="AI245" s="4" t="str">
        <f>IFERROR(__xludf.DUMMYFUNCTION("GOOGLETRANSLATE(B245,""en"",""hr"")"),"Putovanje u tijeku")</f>
        <v>Putovanje u tijeku</v>
      </c>
      <c r="AJ245" s="4" t="str">
        <f>IFERROR(__xludf.DUMMYFUNCTION("GOOGLETRANSLATE(B245,""en"",""hu"")"),"Trek folyamatban")</f>
        <v>Trek folyamatban</v>
      </c>
      <c r="AK245" s="4" t="str">
        <f>IFERROR(__xludf.DUMMYFUNCTION("GOOGLETRANSLATE(B245,""en"",""hy"")"),"Trek in Progress")</f>
        <v>Trek in Progress</v>
      </c>
      <c r="AL245" s="4" t="str">
        <f>IFERROR(__xludf.DUMMYFUNCTION("GOOGLETRANSLATE(B245,""en"",""ca"")"),"Caminada en curs")</f>
        <v>Caminada en curs</v>
      </c>
      <c r="AM245" s="4" t="str">
        <f>IFERROR(__xludf.DUMMYFUNCTION("GOOGLETRANSLATE(B245,""en"",""nl"")"),"Trektocht in uitvoering")</f>
        <v>Trektocht in uitvoering</v>
      </c>
      <c r="AN245" s="4" t="str">
        <f>IFERROR(__xludf.DUMMYFUNCTION("GOOGLETRANSLATE(B245,""en"",""he"")"),"טרק בתהליך")</f>
        <v>טרק בתהליך</v>
      </c>
      <c r="AO245" s="4" t="str">
        <f>IFERROR(__xludf.DUMMYFUNCTION("GOOGLETRANSLATE(B245,""en"",""is"")"),"Trek í vinnslu")</f>
        <v>Trek í vinnslu</v>
      </c>
      <c r="AP245" s="4" t="str">
        <f>IFERROR(__xludf.DUMMYFUNCTION("GOOGLETRANSLATE(B245,""en"",""no"")"),"Trekk pågår")</f>
        <v>Trekk pågår</v>
      </c>
      <c r="AQ245" s="4" t="str">
        <f>IFERROR(__xludf.DUMMYFUNCTION("GOOGLETRANSLATE(B245,""en"",""fa"")"),"سفر در حال پیشرفت")</f>
        <v>سفر در حال پیشرفت</v>
      </c>
      <c r="AR245" s="4" t="str">
        <f>IFERROR(__xludf.DUMMYFUNCTION("GOOGLETRANSLATE(B245,""en"",""pl"")"),"Wędrówka w toku")</f>
        <v>Wędrówka w toku</v>
      </c>
      <c r="AS245" s="4" t="str">
        <f>IFERROR(__xludf.DUMMYFUNCTION("GOOGLETRANSLATE(B245,""en"",""sv"")"),"Trek pågår")</f>
        <v>Trek pågår</v>
      </c>
      <c r="AT245" s="4" t="str">
        <f>IFERROR(__xludf.DUMMYFUNCTION("GOOGLETRANSLATE(B245,""en"",""uk"")"),"Похід триває")</f>
        <v>Похід триває</v>
      </c>
      <c r="AU245" s="4" t="str">
        <f>IFERROR(__xludf.DUMMYFUNCTION("GOOGLETRANSLATE(B245,""en"",""zu"")"),"Uhambo luyaqhubeka")</f>
        <v>Uhambo luyaqhubeka</v>
      </c>
      <c r="AV245" s="4" t="str">
        <f>IFERROR(__xludf.DUMMYFUNCTION("GOOGLETRANSLATE(B245,""en"",""sr"")"),"Трек у току")</f>
        <v>Трек у току</v>
      </c>
    </row>
    <row r="246">
      <c r="A246" s="3" t="s">
        <v>515</v>
      </c>
      <c r="B246" s="3" t="s">
        <v>516</v>
      </c>
      <c r="C246" s="4" t="str">
        <f>IFERROR(__xludf.DUMMYFUNCTION("GOOGLETRANSLATE(B246,""en"",""ta"")"),"பின்னணியில் தொடரவும்")</f>
        <v>பின்னணியில் தொடரவும்</v>
      </c>
      <c r="D246" s="4" t="str">
        <f>IFERROR(__xludf.DUMMYFUNCTION("GOOGLETRANSLATE(B246,""en"",""hi"")"),"पृष्ठभूमि में जारी रखें")</f>
        <v>पृष्ठभूमि में जारी रखें</v>
      </c>
      <c r="E246" s="4" t="str">
        <f>IFERROR(__xludf.DUMMYFUNCTION("GOOGLETRANSLATE(B246,""en"",""id"")"),"Lanjutkan di Latar Belakang")</f>
        <v>Lanjutkan di Latar Belakang</v>
      </c>
      <c r="F246" s="4" t="str">
        <f>IFERROR(__xludf.DUMMYFUNCTION("GOOGLETRANSLATE(B246,""en"",""ms"")"),"Teruskan dalam Latar Belakang")</f>
        <v>Teruskan dalam Latar Belakang</v>
      </c>
      <c r="G246" s="4" t="str">
        <f>IFERROR(__xludf.DUMMYFUNCTION("GOOGLETRANSLATE(B246,""en"",""de"")"),"Im Hintergrund fortfahren")</f>
        <v>Im Hintergrund fortfahren</v>
      </c>
      <c r="H246" s="4" t="str">
        <f>IFERROR(__xludf.DUMMYFUNCTION("GOOGLETRANSLATE(B246,""en"",""es"")"),"Continuar en segundo plano")</f>
        <v>Continuar en segundo plano</v>
      </c>
      <c r="I246" s="4" t="str">
        <f>IFERROR(__xludf.DUMMYFUNCTION("GOOGLETRANSLATE(B246,""en"",""fr"")"),"Continuer en arrière-plan")</f>
        <v>Continuer en arrière-plan</v>
      </c>
      <c r="J246" s="4" t="str">
        <f>IFERROR(__xludf.DUMMYFUNCTION("GOOGLETRANSLATE(B246,""en"",""it"")"),"Continua in background")</f>
        <v>Continua in background</v>
      </c>
      <c r="K246" s="4" t="str">
        <f>IFERROR(__xludf.DUMMYFUNCTION("GOOGLETRANSLATE(B246,""en"",""pt"")"),"Continuar em segundo plano")</f>
        <v>Continuar em segundo plano</v>
      </c>
      <c r="L246" s="4" t="str">
        <f>IFERROR(__xludf.DUMMYFUNCTION("GOOGLETRANSLATE(B246,""en"",""ro"")"),"Continuați în fundal")</f>
        <v>Continuați în fundal</v>
      </c>
      <c r="M246" s="4" t="str">
        <f>IFERROR(__xludf.DUMMYFUNCTION("GOOGLETRANSLATE(B246,""en"",""vi"")"),"Tiếp tục trong Bối cảnh")</f>
        <v>Tiếp tục trong Bối cảnh</v>
      </c>
      <c r="N246" s="4" t="str">
        <f>IFERROR(__xludf.DUMMYFUNCTION("GOOGLETRANSLATE(B246,""en"",""ru"")"),"Продолжить в фоновом режиме")</f>
        <v>Продолжить в фоновом режиме</v>
      </c>
      <c r="O246" s="4" t="str">
        <f>IFERROR(__xludf.DUMMYFUNCTION("GOOGLETRANSLATE(B246,""en"",""tr"")"),"Arkaplanda Devam Et")</f>
        <v>Arkaplanda Devam Et</v>
      </c>
      <c r="P246" s="4" t="str">
        <f>IFERROR(__xludf.DUMMYFUNCTION("GOOGLETRANSLATE(B246,""en"",""ar"")"),"متابعة في الخلفية")</f>
        <v>متابعة في الخلفية</v>
      </c>
      <c r="Q246" s="4" t="str">
        <f>IFERROR(__xludf.DUMMYFUNCTION("GOOGLETRANSLATE(B246,""en"",""mr"")"),"पार्श्वभूमीत सुरू ठेवा")</f>
        <v>पार्श्वभूमीत सुरू ठेवा</v>
      </c>
      <c r="R246" s="4" t="str">
        <f>IFERROR(__xludf.DUMMYFUNCTION("GOOGLETRANSLATE(B246,""en"",""gu"")"),"પૃષ્ઠભૂમિમાં ચાલુ રાખો")</f>
        <v>પૃષ્ઠભૂમિમાં ચાલુ રાખો</v>
      </c>
      <c r="S246" s="4" t="str">
        <f>IFERROR(__xludf.DUMMYFUNCTION("GOOGLETRANSLATE(B246,""en"",""bn"")"),"পটভূমিতে চালিয়ে যান")</f>
        <v>পটভূমিতে চালিয়ে যান</v>
      </c>
      <c r="T246" s="4" t="str">
        <f>IFERROR(__xludf.DUMMYFUNCTION("GOOGLETRANSLATE(B246,""en"",""pa"")"),"ਬੈਕਗ੍ਰਾਊਂਡ ਵਿੱਚ ਜਾਰੀ ਰੱਖੋ")</f>
        <v>ਬੈਕਗ੍ਰਾਊਂਡ ਵਿੱਚ ਜਾਰੀ ਰੱਖੋ</v>
      </c>
      <c r="U246" s="4" t="str">
        <f>IFERROR(__xludf.DUMMYFUNCTION("GOOGLETRANSLATE(B246,""en"",""te"")"),"నేపథ్యంలో కొనసాగించండి")</f>
        <v>నేపథ్యంలో కొనసాగించండి</v>
      </c>
      <c r="V246" s="4" t="str">
        <f>IFERROR(__xludf.DUMMYFUNCTION("GOOGLETRANSLATE(B246,""en"",""kn"")"),"ಹಿನ್ನೆಲೆಯಲ್ಲಿ ಮುಂದುವರಿಸಿ")</f>
        <v>ಹಿನ್ನೆಲೆಯಲ್ಲಿ ಮುಂದುವರಿಸಿ</v>
      </c>
      <c r="W246" s="4" t="str">
        <f>IFERROR(__xludf.DUMMYFUNCTION("GOOGLETRANSLATE(B246,""en"",""ml"")"),"പശ്ചാത്തലത്തിൽ തുടരുക")</f>
        <v>പശ്ചാത്തലത്തിൽ തുടരുക</v>
      </c>
      <c r="X246" s="4" t="str">
        <f>IFERROR(__xludf.DUMMYFUNCTION("GOOGLETRANSLATE(B246,""en"",""th"")"),"ดำเนินการต่อในพื้นหลัง")</f>
        <v>ดำเนินการต่อในพื้นหลัง</v>
      </c>
      <c r="Y246" s="4" t="str">
        <f>IFERROR(__xludf.DUMMYFUNCTION("GOOGLETRANSLATE(B246,""en"",""ko"")"),"백그라운드에서 계속")</f>
        <v>백그라운드에서 계속</v>
      </c>
      <c r="Z246" s="4" t="str">
        <f>IFERROR(__xludf.DUMMYFUNCTION("GOOGLETRANSLATE(B246,""en"",""zh"")"),"在后台继续")</f>
        <v>在后台继续</v>
      </c>
      <c r="AA246" s="4" t="str">
        <f>IFERROR(__xludf.DUMMYFUNCTION("GOOGLETRANSLATE(B246,""en"",""zh-TW"")"),"在後台繼續")</f>
        <v>在後台繼續</v>
      </c>
      <c r="AB246" s="4" t="str">
        <f>IFERROR(__xludf.DUMMYFUNCTION("GOOGLETRANSLATE(B246,""en"",""ja"")"),"バックグラウンドで続行")</f>
        <v>バックグラウンドで続行</v>
      </c>
      <c r="AC246" s="4" t="str">
        <f>IFERROR(__xludf.DUMMYFUNCTION("GOOGLETRANSLATE(B246,""en"",""bg"")"),"Продължете във фонов режим")</f>
        <v>Продължете във фонов режим</v>
      </c>
      <c r="AD246" s="4" t="str">
        <f>IFERROR(__xludf.DUMMYFUNCTION("GOOGLETRANSLATE(B246,""en"",""cs"")"),"Pokračujte v pozadí")</f>
        <v>Pokračujte v pozadí</v>
      </c>
      <c r="AE246" s="4" t="str">
        <f>IFERROR(__xludf.DUMMYFUNCTION("GOOGLETRANSLATE(B246,""en"",""da"")"),"Fortsæt i baggrunden")</f>
        <v>Fortsæt i baggrunden</v>
      </c>
      <c r="AF246" s="4" t="str">
        <f>IFERROR(__xludf.DUMMYFUNCTION("GOOGLETRANSLATE(B246,""en"",""el"")"),"Συνέχεια στο παρασκήνιο")</f>
        <v>Συνέχεια στο παρασκήνιο</v>
      </c>
      <c r="AG246" s="4" t="str">
        <f>IFERROR(__xludf.DUMMYFUNCTION("GOOGLETRANSLATE(B246,""en"",""et"")"),"Jätkake taustal")</f>
        <v>Jätkake taustal</v>
      </c>
      <c r="AH246" s="4" t="str">
        <f>IFERROR(__xludf.DUMMYFUNCTION("GOOGLETRANSLATE(B246,""en"",""fi"")"),"Jatka taustalla")</f>
        <v>Jatka taustalla</v>
      </c>
      <c r="AI246" s="4" t="str">
        <f>IFERROR(__xludf.DUMMYFUNCTION("GOOGLETRANSLATE(B246,""en"",""hr"")"),"Nastavi u pozadini")</f>
        <v>Nastavi u pozadini</v>
      </c>
      <c r="AJ246" s="4" t="str">
        <f>IFERROR(__xludf.DUMMYFUNCTION("GOOGLETRANSLATE(B246,""en"",""hu"")"),"Folytatás a háttérben")</f>
        <v>Folytatás a háttérben</v>
      </c>
      <c r="AK246" s="4" t="str">
        <f>IFERROR(__xludf.DUMMYFUNCTION("GOOGLETRANSLATE(B246,""en"",""hy"")"),"Շարունակեք հետին պլանում")</f>
        <v>Շարունակեք հետին պլանում</v>
      </c>
      <c r="AL246" s="4" t="str">
        <f>IFERROR(__xludf.DUMMYFUNCTION("GOOGLETRANSLATE(B246,""en"",""ca"")"),"Continuar en segon pla")</f>
        <v>Continuar en segon pla</v>
      </c>
      <c r="AM246" s="4" t="str">
        <f>IFERROR(__xludf.DUMMYFUNCTION("GOOGLETRANSLATE(B246,""en"",""nl"")"),"Doorgaan op de achtergrond")</f>
        <v>Doorgaan op de achtergrond</v>
      </c>
      <c r="AN246" s="4" t="str">
        <f>IFERROR(__xludf.DUMMYFUNCTION("GOOGLETRANSLATE(B246,""en"",""he"")"),"המשך ברקע")</f>
        <v>המשך ברקע</v>
      </c>
      <c r="AO246" s="4" t="str">
        <f>IFERROR(__xludf.DUMMYFUNCTION("GOOGLETRANSLATE(B246,""en"",""is"")"),"Halda áfram í bakgrunni")</f>
        <v>Halda áfram í bakgrunni</v>
      </c>
      <c r="AP246" s="4" t="str">
        <f>IFERROR(__xludf.DUMMYFUNCTION("GOOGLETRANSLATE(B246,""en"",""no"")"),"Fortsett i bakgrunnen")</f>
        <v>Fortsett i bakgrunnen</v>
      </c>
      <c r="AQ246" s="4" t="str">
        <f>IFERROR(__xludf.DUMMYFUNCTION("GOOGLETRANSLATE(B246,""en"",""fa"")"),"در پس زمینه ادامه دهید")</f>
        <v>در پس زمینه ادامه دهید</v>
      </c>
      <c r="AR246" s="4" t="str">
        <f>IFERROR(__xludf.DUMMYFUNCTION("GOOGLETRANSLATE(B246,""en"",""pl"")"),"Kontynuuj w tle")</f>
        <v>Kontynuuj w tle</v>
      </c>
      <c r="AS246" s="4" t="str">
        <f>IFERROR(__xludf.DUMMYFUNCTION("GOOGLETRANSLATE(B246,""en"",""sv"")"),"Fortsätt i bakgrunden")</f>
        <v>Fortsätt i bakgrunden</v>
      </c>
      <c r="AT246" s="4" t="str">
        <f>IFERROR(__xludf.DUMMYFUNCTION("GOOGLETRANSLATE(B246,""en"",""uk"")"),"Продовжити у фоновому режимі")</f>
        <v>Продовжити у фоновому режимі</v>
      </c>
      <c r="AU246" s="4" t="str">
        <f>IFERROR(__xludf.DUMMYFUNCTION("GOOGLETRANSLATE(B246,""en"",""zu"")"),"Qhubeka kokuthi Ingemuva")</f>
        <v>Qhubeka kokuthi Ingemuva</v>
      </c>
      <c r="AV246" s="4" t="str">
        <f>IFERROR(__xludf.DUMMYFUNCTION("GOOGLETRANSLATE(B246,""en"",""sr"")"),"Наставите у позадини")</f>
        <v>Наставите у позадини</v>
      </c>
    </row>
    <row r="247">
      <c r="A247" s="3" t="s">
        <v>517</v>
      </c>
      <c r="B247" s="3" t="s">
        <v>518</v>
      </c>
      <c r="C247" s="4" t="str">
        <f>IFERROR(__xludf.DUMMYFUNCTION("GOOGLETRANSLATE(B247,""en"",""ta"")"),"மலையேற்றத்தை நிறுத்து")</f>
        <v>மலையேற்றத்தை நிறுத்து</v>
      </c>
      <c r="D247" s="4" t="str">
        <f>IFERROR(__xludf.DUMMYFUNCTION("GOOGLETRANSLATE(B247,""en"",""hi"")"),"ट्रेक रोकें")</f>
        <v>ट्रेक रोकें</v>
      </c>
      <c r="E247" s="4" t="str">
        <f>IFERROR(__xludf.DUMMYFUNCTION("GOOGLETRANSLATE(B247,""en"",""id"")"),"Hentikan Trek")</f>
        <v>Hentikan Trek</v>
      </c>
      <c r="F247" s="4" t="str">
        <f>IFERROR(__xludf.DUMMYFUNCTION("GOOGLETRANSLATE(B247,""en"",""ms"")"),"Hentikan Trek")</f>
        <v>Hentikan Trek</v>
      </c>
      <c r="G247" s="4" t="str">
        <f>IFERROR(__xludf.DUMMYFUNCTION("GOOGLETRANSLATE(B247,""en"",""de"")"),"Stopp Trek")</f>
        <v>Stopp Trek</v>
      </c>
      <c r="H247" s="4" t="str">
        <f>IFERROR(__xludf.DUMMYFUNCTION("GOOGLETRANSLATE(B247,""en"",""es"")"),"Detener Trek")</f>
        <v>Detener Trek</v>
      </c>
      <c r="I247" s="4" t="str">
        <f>IFERROR(__xludf.DUMMYFUNCTION("GOOGLETRANSLATE(B247,""en"",""fr"")"),"Arrêtez Trek")</f>
        <v>Arrêtez Trek</v>
      </c>
      <c r="J247" s="4" t="str">
        <f>IFERROR(__xludf.DUMMYFUNCTION("GOOGLETRANSLATE(B247,""en"",""it"")"),"Stop Trek")</f>
        <v>Stop Trek</v>
      </c>
      <c r="K247" s="4" t="str">
        <f>IFERROR(__xludf.DUMMYFUNCTION("GOOGLETRANSLATE(B247,""en"",""pt"")"),"Pare a caminhada")</f>
        <v>Pare a caminhada</v>
      </c>
      <c r="L247" s="4" t="str">
        <f>IFERROR(__xludf.DUMMYFUNCTION("GOOGLETRANSLATE(B247,""en"",""ro"")"),"Opriți Trek")</f>
        <v>Opriți Trek</v>
      </c>
      <c r="M247" s="4" t="str">
        <f>IFERROR(__xludf.DUMMYFUNCTION("GOOGLETRANSLATE(B247,""en"",""vi"")"),"Dừng lại Trek")</f>
        <v>Dừng lại Trek</v>
      </c>
      <c r="N247" s="4" t="str">
        <f>IFERROR(__xludf.DUMMYFUNCTION("GOOGLETRANSLATE(B247,""en"",""ru"")"),"Остановить Трек")</f>
        <v>Остановить Трек</v>
      </c>
      <c r="O247" s="4" t="str">
        <f>IFERROR(__xludf.DUMMYFUNCTION("GOOGLETRANSLATE(B247,""en"",""tr"")"),"Trek'i Durdur")</f>
        <v>Trek'i Durdur</v>
      </c>
      <c r="P247" s="4" t="str">
        <f>IFERROR(__xludf.DUMMYFUNCTION("GOOGLETRANSLATE(B247,""en"",""ar"")"),"ستوب تريك")</f>
        <v>ستوب تريك</v>
      </c>
      <c r="Q247" s="4" t="str">
        <f>IFERROR(__xludf.DUMMYFUNCTION("GOOGLETRANSLATE(B247,""en"",""mr"")"),"ट्रेक थांबवा")</f>
        <v>ट्रेक थांबवा</v>
      </c>
      <c r="R247" s="4" t="str">
        <f>IFERROR(__xludf.DUMMYFUNCTION("GOOGLETRANSLATE(B247,""en"",""gu"")"),"ટ્રેક રોકો")</f>
        <v>ટ્રેક રોકો</v>
      </c>
      <c r="S247" s="4" t="str">
        <f>IFERROR(__xludf.DUMMYFUNCTION("GOOGLETRANSLATE(B247,""en"",""bn"")"),"ট্রেক বন্ধ করুন")</f>
        <v>ট্রেক বন্ধ করুন</v>
      </c>
      <c r="T247" s="4" t="str">
        <f>IFERROR(__xludf.DUMMYFUNCTION("GOOGLETRANSLATE(B247,""en"",""pa"")"),"ਟ੍ਰੈਕ ਰੋਕੋ")</f>
        <v>ਟ੍ਰੈਕ ਰੋਕੋ</v>
      </c>
      <c r="U247" s="4" t="str">
        <f>IFERROR(__xludf.DUMMYFUNCTION("GOOGLETRANSLATE(B247,""en"",""te"")"),"ట్రెక్ ఆపు")</f>
        <v>ట్రెక్ ఆపు</v>
      </c>
      <c r="V247" s="4" t="str">
        <f>IFERROR(__xludf.DUMMYFUNCTION("GOOGLETRANSLATE(B247,""en"",""kn"")"),"ಟ್ರೆಕ್ ನಿಲ್ಲಿಸಿ")</f>
        <v>ಟ್ರೆಕ್ ನಿಲ್ಲಿಸಿ</v>
      </c>
      <c r="W247" s="4" t="str">
        <f>IFERROR(__xludf.DUMMYFUNCTION("GOOGLETRANSLATE(B247,""en"",""ml"")"),"ട്രെക്ക് നിർത്തുക")</f>
        <v>ട്രെക്ക് നിർത്തുക</v>
      </c>
      <c r="X247" s="4" t="str">
        <f>IFERROR(__xludf.DUMMYFUNCTION("GOOGLETRANSLATE(B247,""en"",""th"")"),"หยุดการเดินทาง")</f>
        <v>หยุดการเดินทาง</v>
      </c>
      <c r="Y247" s="4" t="str">
        <f>IFERROR(__xludf.DUMMYFUNCTION("GOOGLETRANSLATE(B247,""en"",""ko"")"),"스톱 트렉")</f>
        <v>스톱 트렉</v>
      </c>
      <c r="Z247" s="4" t="str">
        <f>IFERROR(__xludf.DUMMYFUNCTION("GOOGLETRANSLATE(B247,""en"",""zh"")"),"停止跋涉")</f>
        <v>停止跋涉</v>
      </c>
      <c r="AA247" s="4" t="str">
        <f>IFERROR(__xludf.DUMMYFUNCTION("GOOGLETRANSLATE(B247,""en"",""zh-TW"")"),"停止跋涉")</f>
        <v>停止跋涉</v>
      </c>
      <c r="AB247" s="4" t="str">
        <f>IFERROR(__xludf.DUMMYFUNCTION("GOOGLETRANSLATE(B247,""en"",""ja"")"),"ストップトレック")</f>
        <v>ストップトレック</v>
      </c>
      <c r="AC247" s="4" t="str">
        <f>IFERROR(__xludf.DUMMYFUNCTION("GOOGLETRANSLATE(B247,""en"",""bg"")"),"Спри Трек")</f>
        <v>Спри Трек</v>
      </c>
      <c r="AD247" s="4" t="str">
        <f>IFERROR(__xludf.DUMMYFUNCTION("GOOGLETRANSLATE(B247,""en"",""cs"")"),"Zastavte Trek")</f>
        <v>Zastavte Trek</v>
      </c>
      <c r="AE247" s="4" t="str">
        <f>IFERROR(__xludf.DUMMYFUNCTION("GOOGLETRANSLATE(B247,""en"",""da"")"),"Stop Trek")</f>
        <v>Stop Trek</v>
      </c>
      <c r="AF247" s="4" t="str">
        <f>IFERROR(__xludf.DUMMYFUNCTION("GOOGLETRANSLATE(B247,""en"",""el"")"),"Stop Trek")</f>
        <v>Stop Trek</v>
      </c>
      <c r="AG247" s="4" t="str">
        <f>IFERROR(__xludf.DUMMYFUNCTION("GOOGLETRANSLATE(B247,""en"",""et"")"),"Peatage Trek")</f>
        <v>Peatage Trek</v>
      </c>
      <c r="AH247" s="4" t="str">
        <f>IFERROR(__xludf.DUMMYFUNCTION("GOOGLETRANSLATE(B247,""en"",""fi"")"),"Lopeta Trek")</f>
        <v>Lopeta Trek</v>
      </c>
      <c r="AI247" s="4" t="str">
        <f>IFERROR(__xludf.DUMMYFUNCTION("GOOGLETRANSLATE(B247,""en"",""hr"")"),"Zaustavi Trek")</f>
        <v>Zaustavi Trek</v>
      </c>
      <c r="AJ247" s="4" t="str">
        <f>IFERROR(__xludf.DUMMYFUNCTION("GOOGLETRANSLATE(B247,""en"",""hu"")"),"Állítsa le a Treket")</f>
        <v>Állítsa le a Treket</v>
      </c>
      <c r="AK247" s="4" t="str">
        <f>IFERROR(__xludf.DUMMYFUNCTION("GOOGLETRANSLATE(B247,""en"",""hy"")"),"Stop Trek")</f>
        <v>Stop Trek</v>
      </c>
      <c r="AL247" s="4" t="str">
        <f>IFERROR(__xludf.DUMMYFUNCTION("GOOGLETRANSLATE(B247,""en"",""ca"")"),"Stop Trek")</f>
        <v>Stop Trek</v>
      </c>
      <c r="AM247" s="4" t="str">
        <f>IFERROR(__xludf.DUMMYFUNCTION("GOOGLETRANSLATE(B247,""en"",""nl"")"),"Stop Trek")</f>
        <v>Stop Trek</v>
      </c>
      <c r="AN247" s="4" t="str">
        <f>IFERROR(__xludf.DUMMYFUNCTION("GOOGLETRANSLATE(B247,""en"",""he"")"),"עצור טרק")</f>
        <v>עצור טרק</v>
      </c>
      <c r="AO247" s="4" t="str">
        <f>IFERROR(__xludf.DUMMYFUNCTION("GOOGLETRANSLATE(B247,""en"",""is"")"),"Stop Trek")</f>
        <v>Stop Trek</v>
      </c>
      <c r="AP247" s="4" t="str">
        <f>IFERROR(__xludf.DUMMYFUNCTION("GOOGLETRANSLATE(B247,""en"",""no"")"),"Stopp Trek")</f>
        <v>Stopp Trek</v>
      </c>
      <c r="AQ247" s="4" t="str">
        <f>IFERROR(__xludf.DUMMYFUNCTION("GOOGLETRANSLATE(B247,""en"",""fa"")"),"توقف سفر")</f>
        <v>توقف سفر</v>
      </c>
      <c r="AR247" s="4" t="str">
        <f>IFERROR(__xludf.DUMMYFUNCTION("GOOGLETRANSLATE(B247,""en"",""pl"")"),"Zatrzymaj Trek")</f>
        <v>Zatrzymaj Trek</v>
      </c>
      <c r="AS247" s="4" t="str">
        <f>IFERROR(__xludf.DUMMYFUNCTION("GOOGLETRANSLATE(B247,""en"",""sv"")"),"Stoppa Trek")</f>
        <v>Stoppa Trek</v>
      </c>
      <c r="AT247" s="4" t="str">
        <f>IFERROR(__xludf.DUMMYFUNCTION("GOOGLETRANSLATE(B247,""en"",""uk"")"),"Зупинити Трек")</f>
        <v>Зупинити Трек</v>
      </c>
      <c r="AU247" s="4" t="str">
        <f>IFERROR(__xludf.DUMMYFUNCTION("GOOGLETRANSLATE(B247,""en"",""zu"")"),"Misa Uhambo")</f>
        <v>Misa Uhambo</v>
      </c>
      <c r="AV247" s="4" t="str">
        <f>IFERROR(__xludf.DUMMYFUNCTION("GOOGLETRANSLATE(B247,""en"",""sr"")"),"Стоп Трек")</f>
        <v>Стоп Трек</v>
      </c>
    </row>
    <row r="248">
      <c r="A248" s="3" t="s">
        <v>519</v>
      </c>
      <c r="B248" s="3" t="s">
        <v>520</v>
      </c>
      <c r="C248" s="4" t="str">
        <f>IFERROR(__xludf.DUMMYFUNCTION("GOOGLETRANSLATE(B248,""en"",""ta"")"),"முகப்புக்குத் திரும்பு")</f>
        <v>முகப்புக்குத் திரும்பு</v>
      </c>
      <c r="D248" s="4" t="str">
        <f>IFERROR(__xludf.DUMMYFUNCTION("GOOGLETRANSLATE(B248,""en"",""hi"")"),"घर वापिस जा रहा हूँ")</f>
        <v>घर वापिस जा रहा हूँ</v>
      </c>
      <c r="E248" s="4" t="str">
        <f>IFERROR(__xludf.DUMMYFUNCTION("GOOGLETRANSLATE(B248,""en"",""id"")"),"Kembali ke Beranda")</f>
        <v>Kembali ke Beranda</v>
      </c>
      <c r="F248" s="4" t="str">
        <f>IFERROR(__xludf.DUMMYFUNCTION("GOOGLETRANSLATE(B248,""en"",""ms"")"),"Kembali ke Rumah")</f>
        <v>Kembali ke Rumah</v>
      </c>
      <c r="G248" s="4" t="str">
        <f>IFERROR(__xludf.DUMMYFUNCTION("GOOGLETRANSLATE(B248,""en"",""de"")"),"Zurück zur Startseite")</f>
        <v>Zurück zur Startseite</v>
      </c>
      <c r="H248" s="4" t="str">
        <f>IFERROR(__xludf.DUMMYFUNCTION("GOOGLETRANSLATE(B248,""en"",""es"")"),"Volver a la página de inicio")</f>
        <v>Volver a la página de inicio</v>
      </c>
      <c r="I248" s="4" t="str">
        <f>IFERROR(__xludf.DUMMYFUNCTION("GOOGLETRANSLATE(B248,""en"",""fr"")"),"Retour à l'accueil")</f>
        <v>Retour à l'accueil</v>
      </c>
      <c r="J248" s="4" t="str">
        <f>IFERROR(__xludf.DUMMYFUNCTION("GOOGLETRANSLATE(B248,""en"",""it"")"),"Torna alla Home")</f>
        <v>Torna alla Home</v>
      </c>
      <c r="K248" s="4" t="str">
        <f>IFERROR(__xludf.DUMMYFUNCTION("GOOGLETRANSLATE(B248,""en"",""pt"")"),"Voltar para casa")</f>
        <v>Voltar para casa</v>
      </c>
      <c r="L248" s="4" t="str">
        <f>IFERROR(__xludf.DUMMYFUNCTION("GOOGLETRANSLATE(B248,""en"",""ro"")"),"Înapoi la Acasă")</f>
        <v>Înapoi la Acasă</v>
      </c>
      <c r="M248" s="4" t="str">
        <f>IFERROR(__xludf.DUMMYFUNCTION("GOOGLETRANSLATE(B248,""en"",""vi"")"),"Quay lại trang chủ")</f>
        <v>Quay lại trang chủ</v>
      </c>
      <c r="N248" s="4" t="str">
        <f>IFERROR(__xludf.DUMMYFUNCTION("GOOGLETRANSLATE(B248,""en"",""ru"")"),"Вернуться на главную")</f>
        <v>Вернуться на главную</v>
      </c>
      <c r="O248" s="4" t="str">
        <f>IFERROR(__xludf.DUMMYFUNCTION("GOOGLETRANSLATE(B248,""en"",""tr"")"),"Ana Sayfaya Dön")</f>
        <v>Ana Sayfaya Dön</v>
      </c>
      <c r="P248" s="4" t="str">
        <f>IFERROR(__xludf.DUMMYFUNCTION("GOOGLETRANSLATE(B248,""en"",""ar"")"),"العودة إلى الصفحة الرئيسية")</f>
        <v>العودة إلى الصفحة الرئيسية</v>
      </c>
      <c r="Q248" s="4" t="str">
        <f>IFERROR(__xludf.DUMMYFUNCTION("GOOGLETRANSLATE(B248,""en"",""mr"")"),"घरी परत")</f>
        <v>घरी परत</v>
      </c>
      <c r="R248" s="4" t="str">
        <f>IFERROR(__xludf.DUMMYFUNCTION("GOOGLETRANSLATE(B248,""en"",""gu"")"),"ઘરે પાછા")</f>
        <v>ઘરે પાછા</v>
      </c>
      <c r="S248" s="4" t="str">
        <f>IFERROR(__xludf.DUMMYFUNCTION("GOOGLETRANSLATE(B248,""en"",""bn"")"),"হোমে ফিরে যান")</f>
        <v>হোমে ফিরে যান</v>
      </c>
      <c r="T248" s="4" t="str">
        <f>IFERROR(__xludf.DUMMYFUNCTION("GOOGLETRANSLATE(B248,""en"",""pa"")"),"ਘਰ 'ਤੇ ਵਾਪਸ ਜਾਓ")</f>
        <v>ਘਰ 'ਤੇ ਵਾਪਸ ਜਾਓ</v>
      </c>
      <c r="U248" s="4" t="str">
        <f>IFERROR(__xludf.DUMMYFUNCTION("GOOGLETRANSLATE(B248,""en"",""te"")"),"ఇంటికి తిరిగి వెళ్ళు")</f>
        <v>ఇంటికి తిరిగి వెళ్ళు</v>
      </c>
      <c r="V248" s="4" t="str">
        <f>IFERROR(__xludf.DUMMYFUNCTION("GOOGLETRANSLATE(B248,""en"",""kn"")"),"ಮನೆಗೆ ಹಿಂತಿರುಗಿ")</f>
        <v>ಮನೆಗೆ ಹಿಂತಿರುಗಿ</v>
      </c>
      <c r="W248" s="4" t="str">
        <f>IFERROR(__xludf.DUMMYFUNCTION("GOOGLETRANSLATE(B248,""en"",""ml"")"),"വീട്ടിലേക്ക് മടങ്ങുക")</f>
        <v>വീട്ടിലേക്ക് മടങ്ങുക</v>
      </c>
      <c r="X248" s="4" t="str">
        <f>IFERROR(__xludf.DUMMYFUNCTION("GOOGLETRANSLATE(B248,""en"",""th"")"),"กลับสู่หน้าแรก")</f>
        <v>กลับสู่หน้าแรก</v>
      </c>
      <c r="Y248" s="4" t="str">
        <f>IFERROR(__xludf.DUMMYFUNCTION("GOOGLETRANSLATE(B248,""en"",""ko"")"),"홈으로 돌아가기")</f>
        <v>홈으로 돌아가기</v>
      </c>
      <c r="Z248" s="4" t="str">
        <f>IFERROR(__xludf.DUMMYFUNCTION("GOOGLETRANSLATE(B248,""en"",""zh"")"),"返回首页")</f>
        <v>返回首页</v>
      </c>
      <c r="AA248" s="4" t="str">
        <f>IFERROR(__xludf.DUMMYFUNCTION("GOOGLETRANSLATE(B248,""en"",""zh-TW"")"),"回首頁")</f>
        <v>回首頁</v>
      </c>
      <c r="AB248" s="4" t="str">
        <f>IFERROR(__xludf.DUMMYFUNCTION("GOOGLETRANSLATE(B248,""en"",""ja"")"),"ホームに戻る")</f>
        <v>ホームに戻る</v>
      </c>
      <c r="AC248" s="4" t="str">
        <f>IFERROR(__xludf.DUMMYFUNCTION("GOOGLETRANSLATE(B248,""en"",""bg"")"),"Обратно към дома")</f>
        <v>Обратно към дома</v>
      </c>
      <c r="AD248" s="4" t="str">
        <f>IFERROR(__xludf.DUMMYFUNCTION("GOOGLETRANSLATE(B248,""en"",""cs"")"),"Zpět na domovskou stránku")</f>
        <v>Zpět na domovskou stránku</v>
      </c>
      <c r="AE248" s="4" t="str">
        <f>IFERROR(__xludf.DUMMYFUNCTION("GOOGLETRANSLATE(B248,""en"",""da"")"),"Tilbage til Hjemmet")</f>
        <v>Tilbage til Hjemmet</v>
      </c>
      <c r="AF248" s="4" t="str">
        <f>IFERROR(__xludf.DUMMYFUNCTION("GOOGLETRANSLATE(B248,""en"",""el"")"),"Επιστροφή στο σπίτι")</f>
        <v>Επιστροφή στο σπίτι</v>
      </c>
      <c r="AG248" s="4" t="str">
        <f>IFERROR(__xludf.DUMMYFUNCTION("GOOGLETRANSLATE(B248,""en"",""et"")"),"Tagasi avalehele")</f>
        <v>Tagasi avalehele</v>
      </c>
      <c r="AH248" s="4" t="str">
        <f>IFERROR(__xludf.DUMMYFUNCTION("GOOGLETRANSLATE(B248,""en"",""fi"")"),"Takaisin etusivulle")</f>
        <v>Takaisin etusivulle</v>
      </c>
      <c r="AI248" s="4" t="str">
        <f>IFERROR(__xludf.DUMMYFUNCTION("GOOGLETRANSLATE(B248,""en"",""hr"")"),"Povratak kući")</f>
        <v>Povratak kući</v>
      </c>
      <c r="AJ248" s="4" t="str">
        <f>IFERROR(__xludf.DUMMYFUNCTION("GOOGLETRANSLATE(B248,""en"",""hu"")"),"Vissza a Kezdőlapra")</f>
        <v>Vissza a Kezdőlapra</v>
      </c>
      <c r="AK248" s="4" t="str">
        <f>IFERROR(__xludf.DUMMYFUNCTION("GOOGLETRANSLATE(B248,""en"",""hy"")"),"Վերադարձ դեպի տուն")</f>
        <v>Վերադարձ դեպի տուն</v>
      </c>
      <c r="AL248" s="4" t="str">
        <f>IFERROR(__xludf.DUMMYFUNCTION("GOOGLETRANSLATE(B248,""en"",""ca"")"),"Torna a casa")</f>
        <v>Torna a casa</v>
      </c>
      <c r="AM248" s="4" t="str">
        <f>IFERROR(__xludf.DUMMYFUNCTION("GOOGLETRANSLATE(B248,""en"",""nl"")"),"Terug naar Home")</f>
        <v>Terug naar Home</v>
      </c>
      <c r="AN248" s="4" t="str">
        <f>IFERROR(__xludf.DUMMYFUNCTION("GOOGLETRANSLATE(B248,""en"",""he"")"),"חזרה לבית")</f>
        <v>חזרה לבית</v>
      </c>
      <c r="AO248" s="4" t="str">
        <f>IFERROR(__xludf.DUMMYFUNCTION("GOOGLETRANSLATE(B248,""en"",""is"")"),"Aftur heim")</f>
        <v>Aftur heim</v>
      </c>
      <c r="AP248" s="4" t="str">
        <f>IFERROR(__xludf.DUMMYFUNCTION("GOOGLETRANSLATE(B248,""en"",""no"")"),"Tilbake til Hjemmet")</f>
        <v>Tilbake til Hjemmet</v>
      </c>
      <c r="AQ248" s="4" t="str">
        <f>IFERROR(__xludf.DUMMYFUNCTION("GOOGLETRANSLATE(B248,""en"",""fa"")"),"بازگشت به خانه")</f>
        <v>بازگشت به خانه</v>
      </c>
      <c r="AR248" s="4" t="str">
        <f>IFERROR(__xludf.DUMMYFUNCTION("GOOGLETRANSLATE(B248,""en"",""pl"")"),"Powrót do strony głównej")</f>
        <v>Powrót do strony głównej</v>
      </c>
      <c r="AS248" s="4" t="str">
        <f>IFERROR(__xludf.DUMMYFUNCTION("GOOGLETRANSLATE(B248,""en"",""sv"")"),"Tillbaka till hemmet")</f>
        <v>Tillbaka till hemmet</v>
      </c>
      <c r="AT248" s="4" t="str">
        <f>IFERROR(__xludf.DUMMYFUNCTION("GOOGLETRANSLATE(B248,""en"",""uk"")"),"Назад додому")</f>
        <v>Назад додому</v>
      </c>
      <c r="AU248" s="4" t="str">
        <f>IFERROR(__xludf.DUMMYFUNCTION("GOOGLETRANSLATE(B248,""en"",""zu"")"),"Buyela Ekhaya")</f>
        <v>Buyela Ekhaya</v>
      </c>
      <c r="AV248" s="4" t="str">
        <f>IFERROR(__xludf.DUMMYFUNCTION("GOOGLETRANSLATE(B248,""en"",""sr"")"),"Повратак кући")</f>
        <v>Повратак кући</v>
      </c>
    </row>
    <row r="249">
      <c r="A249" s="3" t="s">
        <v>521</v>
      </c>
      <c r="B249" s="3" t="s">
        <v>522</v>
      </c>
      <c r="C249" s="4" t="str">
        <f>IFERROR(__xludf.DUMMYFUNCTION("GOOGLETRANSLATE(B249,""en"",""ta"")"),"ஷேர் ட்ரெக்")</f>
        <v>ஷேர் ட்ரெக்</v>
      </c>
      <c r="D249" s="4" t="str">
        <f>IFERROR(__xludf.DUMMYFUNCTION("GOOGLETRANSLATE(B249,""en"",""hi"")"),"ट्रेक साझा करें")</f>
        <v>ट्रेक साझा करें</v>
      </c>
      <c r="E249" s="4" t="str">
        <f>IFERROR(__xludf.DUMMYFUNCTION("GOOGLETRANSLATE(B249,""en"",""id"")"),"Bagikan Trek")</f>
        <v>Bagikan Trek</v>
      </c>
      <c r="F249" s="4" t="str">
        <f>IFERROR(__xludf.DUMMYFUNCTION("GOOGLETRANSLATE(B249,""en"",""ms"")"),"Kongsi Trek")</f>
        <v>Kongsi Trek</v>
      </c>
      <c r="G249" s="4" t="str">
        <f>IFERROR(__xludf.DUMMYFUNCTION("GOOGLETRANSLATE(B249,""en"",""de"")"),"Trek teilen")</f>
        <v>Trek teilen</v>
      </c>
      <c r="H249" s="4" t="str">
        <f>IFERROR(__xludf.DUMMYFUNCTION("GOOGLETRANSLATE(B249,""en"",""es"")"),"Compartir Trek")</f>
        <v>Compartir Trek</v>
      </c>
      <c r="I249" s="4" t="str">
        <f>IFERROR(__xludf.DUMMYFUNCTION("GOOGLETRANSLATE(B249,""en"",""fr"")"),"Partager Trek")</f>
        <v>Partager Trek</v>
      </c>
      <c r="J249" s="4" t="str">
        <f>IFERROR(__xludf.DUMMYFUNCTION("GOOGLETRANSLATE(B249,""en"",""it"")"),"Condividi Trek")</f>
        <v>Condividi Trek</v>
      </c>
      <c r="K249" s="4" t="str">
        <f>IFERROR(__xludf.DUMMYFUNCTION("GOOGLETRANSLATE(B249,""en"",""pt"")"),"Compartilhe Trek")</f>
        <v>Compartilhe Trek</v>
      </c>
      <c r="L249" s="4" t="str">
        <f>IFERROR(__xludf.DUMMYFUNCTION("GOOGLETRANSLATE(B249,""en"",""ro"")"),"Distribuie Trek")</f>
        <v>Distribuie Trek</v>
      </c>
      <c r="M249" s="4" t="str">
        <f>IFERROR(__xludf.DUMMYFUNCTION("GOOGLETRANSLATE(B249,""en"",""vi"")"),"Chia sẻ Trek")</f>
        <v>Chia sẻ Trek</v>
      </c>
      <c r="N249" s="4" t="str">
        <f>IFERROR(__xludf.DUMMYFUNCTION("GOOGLETRANSLATE(B249,""en"",""ru"")"),"Поделиться Треком")</f>
        <v>Поделиться Треком</v>
      </c>
      <c r="O249" s="4" t="str">
        <f>IFERROR(__xludf.DUMMYFUNCTION("GOOGLETRANSLATE(B249,""en"",""tr"")"),"Trek'i Paylaş")</f>
        <v>Trek'i Paylaş</v>
      </c>
      <c r="P249" s="4" t="str">
        <f>IFERROR(__xludf.DUMMYFUNCTION("GOOGLETRANSLATE(B249,""en"",""ar"")"),"شارك تريك")</f>
        <v>شارك تريك</v>
      </c>
      <c r="Q249" s="4" t="str">
        <f>IFERROR(__xludf.DUMMYFUNCTION("GOOGLETRANSLATE(B249,""en"",""mr"")"),"शेअर ट्रेक")</f>
        <v>शेअर ट्रेक</v>
      </c>
      <c r="R249" s="4" t="str">
        <f>IFERROR(__xludf.DUMMYFUNCTION("GOOGLETRANSLATE(B249,""en"",""gu"")"),"શેર ટ્રેક")</f>
        <v>શેર ટ્રેક</v>
      </c>
      <c r="S249" s="4" t="str">
        <f>IFERROR(__xludf.DUMMYFUNCTION("GOOGLETRANSLATE(B249,""en"",""bn"")"),"শেয়ার ট্রেক")</f>
        <v>শেয়ার ট্রেক</v>
      </c>
      <c r="T249" s="4" t="str">
        <f>IFERROR(__xludf.DUMMYFUNCTION("GOOGLETRANSLATE(B249,""en"",""pa"")"),"ਸ਼ੇਅਰ ਟ੍ਰੈਕ")</f>
        <v>ਸ਼ੇਅਰ ਟ੍ਰੈਕ</v>
      </c>
      <c r="U249" s="4" t="str">
        <f>IFERROR(__xludf.DUMMYFUNCTION("GOOGLETRANSLATE(B249,""en"",""te"")"),"ట్రెక్‌ను భాగస్వామ్యం చేయండి")</f>
        <v>ట్రెక్‌ను భాగస్వామ్యం చేయండి</v>
      </c>
      <c r="V249" s="4" t="str">
        <f>IFERROR(__xludf.DUMMYFUNCTION("GOOGLETRANSLATE(B249,""en"",""kn"")"),"ಟ್ರೆಕ್ ಹಂಚಿಕೊಳ್ಳಿ")</f>
        <v>ಟ್ರೆಕ್ ಹಂಚಿಕೊಳ್ಳಿ</v>
      </c>
      <c r="W249" s="4" t="str">
        <f>IFERROR(__xludf.DUMMYFUNCTION("GOOGLETRANSLATE(B249,""en"",""ml"")"),"ട്രെക്ക് പങ്കിടുക")</f>
        <v>ട്രെക്ക് പങ്കിടുക</v>
      </c>
      <c r="X249" s="4" t="str">
        <f>IFERROR(__xludf.DUMMYFUNCTION("GOOGLETRANSLATE(B249,""en"",""th"")"),"แชร์การเดินทาง")</f>
        <v>แชร์การเดินทาง</v>
      </c>
      <c r="Y249" s="4" t="str">
        <f>IFERROR(__xludf.DUMMYFUNCTION("GOOGLETRANSLATE(B249,""en"",""ko"")"),"트렉 공유하기")</f>
        <v>트렉 공유하기</v>
      </c>
      <c r="Z249" s="4" t="str">
        <f>IFERROR(__xludf.DUMMYFUNCTION("GOOGLETRANSLATE(B249,""en"",""zh"")"),"分享 Trek")</f>
        <v>分享 Trek</v>
      </c>
      <c r="AA249" s="4" t="str">
        <f>IFERROR(__xludf.DUMMYFUNCTION("GOOGLETRANSLATE(B249,""en"",""zh-TW"")"),"分享 Trek")</f>
        <v>分享 Trek</v>
      </c>
      <c r="AB249" s="4" t="str">
        <f>IFERROR(__xludf.DUMMYFUNCTION("GOOGLETRANSLATE(B249,""en"",""ja"")"),"シェアトレック")</f>
        <v>シェアトレック</v>
      </c>
      <c r="AC249" s="4" t="str">
        <f>IFERROR(__xludf.DUMMYFUNCTION("GOOGLETRANSLATE(B249,""en"",""bg"")"),"Споделете Trek")</f>
        <v>Споделете Trek</v>
      </c>
      <c r="AD249" s="4" t="str">
        <f>IFERROR(__xludf.DUMMYFUNCTION("GOOGLETRANSLATE(B249,""en"",""cs"")"),"Sdílejte Trek")</f>
        <v>Sdílejte Trek</v>
      </c>
      <c r="AE249" s="4" t="str">
        <f>IFERROR(__xludf.DUMMYFUNCTION("GOOGLETRANSLATE(B249,""en"",""da"")"),"Del Trek")</f>
        <v>Del Trek</v>
      </c>
      <c r="AF249" s="4" t="str">
        <f>IFERROR(__xludf.DUMMYFUNCTION("GOOGLETRANSLATE(B249,""en"",""el"")"),"Μοιραστείτε το Trek")</f>
        <v>Μοιραστείτε το Trek</v>
      </c>
      <c r="AG249" s="4" t="str">
        <f>IFERROR(__xludf.DUMMYFUNCTION("GOOGLETRANSLATE(B249,""en"",""et"")"),"Jagage Treki")</f>
        <v>Jagage Treki</v>
      </c>
      <c r="AH249" s="4" t="str">
        <f>IFERROR(__xludf.DUMMYFUNCTION("GOOGLETRANSLATE(B249,""en"",""fi"")"),"Jaa Trek")</f>
        <v>Jaa Trek</v>
      </c>
      <c r="AI249" s="4" t="str">
        <f>IFERROR(__xludf.DUMMYFUNCTION("GOOGLETRANSLATE(B249,""en"",""hr"")"),"Podijelite Trek")</f>
        <v>Podijelite Trek</v>
      </c>
      <c r="AJ249" s="4" t="str">
        <f>IFERROR(__xludf.DUMMYFUNCTION("GOOGLETRANSLATE(B249,""en"",""hu"")"),"Ossza meg a Treket")</f>
        <v>Ossza meg a Treket</v>
      </c>
      <c r="AK249" s="4" t="str">
        <f>IFERROR(__xludf.DUMMYFUNCTION("GOOGLETRANSLATE(B249,""en"",""hy"")"),"Share Trek")</f>
        <v>Share Trek</v>
      </c>
      <c r="AL249" s="4" t="str">
        <f>IFERROR(__xludf.DUMMYFUNCTION("GOOGLETRANSLATE(B249,""en"",""ca"")"),"Comparteix Trek")</f>
        <v>Comparteix Trek</v>
      </c>
      <c r="AM249" s="4" t="str">
        <f>IFERROR(__xludf.DUMMYFUNCTION("GOOGLETRANSLATE(B249,""en"",""nl"")"),"Deel Trek")</f>
        <v>Deel Trek</v>
      </c>
      <c r="AN249" s="4" t="str">
        <f>IFERROR(__xludf.DUMMYFUNCTION("GOOGLETRANSLATE(B249,""en"",""he"")"),"שתף טרק")</f>
        <v>שתף טרק</v>
      </c>
      <c r="AO249" s="4" t="str">
        <f>IFERROR(__xludf.DUMMYFUNCTION("GOOGLETRANSLATE(B249,""en"",""is"")"),"Deildu Trek")</f>
        <v>Deildu Trek</v>
      </c>
      <c r="AP249" s="4" t="str">
        <f>IFERROR(__xludf.DUMMYFUNCTION("GOOGLETRANSLATE(B249,""en"",""no"")"),"Del Trek")</f>
        <v>Del Trek</v>
      </c>
      <c r="AQ249" s="4" t="str">
        <f>IFERROR(__xludf.DUMMYFUNCTION("GOOGLETRANSLATE(B249,""en"",""fa"")"),"Trek را به اشتراک بگذارید")</f>
        <v>Trek را به اشتراک بگذارید</v>
      </c>
      <c r="AR249" s="4" t="str">
        <f>IFERROR(__xludf.DUMMYFUNCTION("GOOGLETRANSLATE(B249,""en"",""pl"")"),"Udostępnij Trek")</f>
        <v>Udostępnij Trek</v>
      </c>
      <c r="AS249" s="4" t="str">
        <f>IFERROR(__xludf.DUMMYFUNCTION("GOOGLETRANSLATE(B249,""en"",""sv"")"),"Dela Trek")</f>
        <v>Dela Trek</v>
      </c>
      <c r="AT249" s="4" t="str">
        <f>IFERROR(__xludf.DUMMYFUNCTION("GOOGLETRANSLATE(B249,""en"",""uk"")"),"Поділіться Треком")</f>
        <v>Поділіться Треком</v>
      </c>
      <c r="AU249" s="4" t="str">
        <f>IFERROR(__xludf.DUMMYFUNCTION("GOOGLETRANSLATE(B249,""en"",""zu"")"),"Yabelana ngohambo")</f>
        <v>Yabelana ngohambo</v>
      </c>
      <c r="AV249" s="4" t="str">
        <f>IFERROR(__xludf.DUMMYFUNCTION("GOOGLETRANSLATE(B249,""en"",""sr"")"),"Схаре Трек")</f>
        <v>Схаре Трек</v>
      </c>
    </row>
    <row r="250">
      <c r="A250" s="3" t="s">
        <v>523</v>
      </c>
      <c r="B250" s="3" t="s">
        <v>524</v>
      </c>
      <c r="C250" s="4" t="str">
        <f>IFERROR(__xludf.DUMMYFUNCTION("GOOGLETRANSLATE(B250,""en"",""ta"")"),"ட்ரெக்கை சேமிக்கவும்")</f>
        <v>ட்ரெக்கை சேமிக்கவும்</v>
      </c>
      <c r="D250" s="4" t="str">
        <f>IFERROR(__xludf.DUMMYFUNCTION("GOOGLETRANSLATE(B250,""en"",""hi"")"),"ट्रेक बचाओ")</f>
        <v>ट्रेक बचाओ</v>
      </c>
      <c r="E250" s="4" t="str">
        <f>IFERROR(__xludf.DUMMYFUNCTION("GOOGLETRANSLATE(B250,""en"",""id"")"),"Simpan Trek")</f>
        <v>Simpan Trek</v>
      </c>
      <c r="F250" s="4" t="str">
        <f>IFERROR(__xludf.DUMMYFUNCTION("GOOGLETRANSLATE(B250,""en"",""ms"")"),"Simpan Trek")</f>
        <v>Simpan Trek</v>
      </c>
      <c r="G250" s="4" t="str">
        <f>IFERROR(__xludf.DUMMYFUNCTION("GOOGLETRANSLATE(B250,""en"",""de"")"),"Save Trek")</f>
        <v>Save Trek</v>
      </c>
      <c r="H250" s="4" t="str">
        <f>IFERROR(__xludf.DUMMYFUNCTION("GOOGLETRANSLATE(B250,""en"",""es"")"),"Salvar a Trek")</f>
        <v>Salvar a Trek</v>
      </c>
      <c r="I250" s="4" t="str">
        <f>IFERROR(__xludf.DUMMYFUNCTION("GOOGLETRANSLATE(B250,""en"",""fr"")"),"Sauver Trek")</f>
        <v>Sauver Trek</v>
      </c>
      <c r="J250" s="4" t="str">
        <f>IFERROR(__xludf.DUMMYFUNCTION("GOOGLETRANSLATE(B250,""en"",""it"")"),"Salva Trek")</f>
        <v>Salva Trek</v>
      </c>
      <c r="K250" s="4" t="str">
        <f>IFERROR(__xludf.DUMMYFUNCTION("GOOGLETRANSLATE(B250,""en"",""pt"")"),"Salvar Trek")</f>
        <v>Salvar Trek</v>
      </c>
      <c r="L250" s="4" t="str">
        <f>IFERROR(__xludf.DUMMYFUNCTION("GOOGLETRANSLATE(B250,""en"",""ro"")"),"Salvați Trek")</f>
        <v>Salvați Trek</v>
      </c>
      <c r="M250" s="4" t="str">
        <f>IFERROR(__xludf.DUMMYFUNCTION("GOOGLETRANSLATE(B250,""en"",""vi"")"),"Lưu Trek")</f>
        <v>Lưu Trek</v>
      </c>
      <c r="N250" s="4" t="str">
        <f>IFERROR(__xludf.DUMMYFUNCTION("GOOGLETRANSLATE(B250,""en"",""ru"")"),"Сохранить Трек")</f>
        <v>Сохранить Трек</v>
      </c>
      <c r="O250" s="4" t="str">
        <f>IFERROR(__xludf.DUMMYFUNCTION("GOOGLETRANSLATE(B250,""en"",""tr"")"),"Trek'i Kurtar")</f>
        <v>Trek'i Kurtar</v>
      </c>
      <c r="P250" s="4" t="str">
        <f>IFERROR(__xludf.DUMMYFUNCTION("GOOGLETRANSLATE(B250,""en"",""ar"")"),"احفظ الرحلة")</f>
        <v>احفظ الرحلة</v>
      </c>
      <c r="Q250" s="4" t="str">
        <f>IFERROR(__xludf.DUMMYFUNCTION("GOOGLETRANSLATE(B250,""en"",""mr"")"),"ट्रेक वाचवा")</f>
        <v>ट्रेक वाचवा</v>
      </c>
      <c r="R250" s="4" t="str">
        <f>IFERROR(__xludf.DUMMYFUNCTION("GOOGLETRANSLATE(B250,""en"",""gu"")"),"ટ્રેક સાચવો")</f>
        <v>ટ્રેક સાચવો</v>
      </c>
      <c r="S250" s="4" t="str">
        <f>IFERROR(__xludf.DUMMYFUNCTION("GOOGLETRANSLATE(B250,""en"",""bn"")"),"ট্রেক সংরক্ষণ করুন")</f>
        <v>ট্রেক সংরক্ষণ করুন</v>
      </c>
      <c r="T250" s="4" t="str">
        <f>IFERROR(__xludf.DUMMYFUNCTION("GOOGLETRANSLATE(B250,""en"",""pa"")"),"ਟ੍ਰੈਕ ਬਚਾਓ")</f>
        <v>ਟ੍ਰੈਕ ਬਚਾਓ</v>
      </c>
      <c r="U250" s="4" t="str">
        <f>IFERROR(__xludf.DUMMYFUNCTION("GOOGLETRANSLATE(B250,""en"",""te"")"),"ట్రెక్‌ను సేవ్ చేయండి")</f>
        <v>ట్రెక్‌ను సేవ్ చేయండి</v>
      </c>
      <c r="V250" s="4" t="str">
        <f>IFERROR(__xludf.DUMMYFUNCTION("GOOGLETRANSLATE(B250,""en"",""kn"")"),"ಟ್ರೆಕ್ ಉಳಿಸಿ")</f>
        <v>ಟ್ರೆಕ್ ಉಳಿಸಿ</v>
      </c>
      <c r="W250" s="4" t="str">
        <f>IFERROR(__xludf.DUMMYFUNCTION("GOOGLETRANSLATE(B250,""en"",""ml"")"),"ട്രെക്ക് സംരക്ഷിക്കുക")</f>
        <v>ട്രെക്ക് സംരക്ഷിക്കുക</v>
      </c>
      <c r="X250" s="4" t="str">
        <f>IFERROR(__xludf.DUMMYFUNCTION("GOOGLETRANSLATE(B250,""en"",""th"")"),"บันทึกการเดินทาง")</f>
        <v>บันทึกการเดินทาง</v>
      </c>
      <c r="Y250" s="4" t="str">
        <f>IFERROR(__xludf.DUMMYFUNCTION("GOOGLETRANSLATE(B250,""en"",""ko"")"),"트렉을 저장하세요")</f>
        <v>트렉을 저장하세요</v>
      </c>
      <c r="Z250" s="4" t="str">
        <f>IFERROR(__xludf.DUMMYFUNCTION("GOOGLETRANSLATE(B250,""en"",""zh"")"),"保存跋涉")</f>
        <v>保存跋涉</v>
      </c>
      <c r="AA250" s="4" t="str">
        <f>IFERROR(__xludf.DUMMYFUNCTION("GOOGLETRANSLATE(B250,""en"",""zh-TW"")"),"保存跋涉")</f>
        <v>保存跋涉</v>
      </c>
      <c r="AB250" s="4" t="str">
        <f>IFERROR(__xludf.DUMMYFUNCTION("GOOGLETRANSLATE(B250,""en"",""ja"")"),"トレックを保存")</f>
        <v>トレックを保存</v>
      </c>
      <c r="AC250" s="4" t="str">
        <f>IFERROR(__xludf.DUMMYFUNCTION("GOOGLETRANSLATE(B250,""en"",""bg"")"),"Запазете Трек")</f>
        <v>Запазете Трек</v>
      </c>
      <c r="AD250" s="4" t="str">
        <f>IFERROR(__xludf.DUMMYFUNCTION("GOOGLETRANSLATE(B250,""en"",""cs"")"),"Zachraňte Trek")</f>
        <v>Zachraňte Trek</v>
      </c>
      <c r="AE250" s="4" t="str">
        <f>IFERROR(__xludf.DUMMYFUNCTION("GOOGLETRANSLATE(B250,""en"",""da"")"),"Gem Trek")</f>
        <v>Gem Trek</v>
      </c>
      <c r="AF250" s="4" t="str">
        <f>IFERROR(__xludf.DUMMYFUNCTION("GOOGLETRANSLATE(B250,""en"",""el"")"),"Save Trek")</f>
        <v>Save Trek</v>
      </c>
      <c r="AG250" s="4" t="str">
        <f>IFERROR(__xludf.DUMMYFUNCTION("GOOGLETRANSLATE(B250,""en"",""et"")"),"Salvesta Trek")</f>
        <v>Salvesta Trek</v>
      </c>
      <c r="AH250" s="4" t="str">
        <f>IFERROR(__xludf.DUMMYFUNCTION("GOOGLETRANSLATE(B250,""en"",""fi"")"),"Tallenna Trek")</f>
        <v>Tallenna Trek</v>
      </c>
      <c r="AI250" s="4" t="str">
        <f>IFERROR(__xludf.DUMMYFUNCTION("GOOGLETRANSLATE(B250,""en"",""hr"")"),"Sačuvaj Trek")</f>
        <v>Sačuvaj Trek</v>
      </c>
      <c r="AJ250" s="4" t="str">
        <f>IFERROR(__xludf.DUMMYFUNCTION("GOOGLETRANSLATE(B250,""en"",""hu"")"),"Mentse a Treket")</f>
        <v>Mentse a Treket</v>
      </c>
      <c r="AK250" s="4" t="str">
        <f>IFERROR(__xludf.DUMMYFUNCTION("GOOGLETRANSLATE(B250,""en"",""hy"")"),"Save Trek-ը")</f>
        <v>Save Trek-ը</v>
      </c>
      <c r="AL250" s="4" t="str">
        <f>IFERROR(__xludf.DUMMYFUNCTION("GOOGLETRANSLATE(B250,""en"",""ca"")"),"Salva Trek")</f>
        <v>Salva Trek</v>
      </c>
      <c r="AM250" s="4" t="str">
        <f>IFERROR(__xludf.DUMMYFUNCTION("GOOGLETRANSLATE(B250,""en"",""nl"")"),"Trek opslaan")</f>
        <v>Trek opslaan</v>
      </c>
      <c r="AN250" s="4" t="str">
        <f>IFERROR(__xludf.DUMMYFUNCTION("GOOGLETRANSLATE(B250,""en"",""he"")"),"שמור טרק")</f>
        <v>שמור טרק</v>
      </c>
      <c r="AO250" s="4" t="str">
        <f>IFERROR(__xludf.DUMMYFUNCTION("GOOGLETRANSLATE(B250,""en"",""is"")"),"Vista Trek")</f>
        <v>Vista Trek</v>
      </c>
      <c r="AP250" s="4" t="str">
        <f>IFERROR(__xludf.DUMMYFUNCTION("GOOGLETRANSLATE(B250,""en"",""no"")"),"Lagre Trek")</f>
        <v>Lagre Trek</v>
      </c>
      <c r="AQ250" s="4" t="str">
        <f>IFERROR(__xludf.DUMMYFUNCTION("GOOGLETRANSLATE(B250,""en"",""fa"")"),"Save Trek")</f>
        <v>Save Trek</v>
      </c>
      <c r="AR250" s="4" t="str">
        <f>IFERROR(__xludf.DUMMYFUNCTION("GOOGLETRANSLATE(B250,""en"",""pl"")"),"Zapisz Trek")</f>
        <v>Zapisz Trek</v>
      </c>
      <c r="AS250" s="4" t="str">
        <f>IFERROR(__xludf.DUMMYFUNCTION("GOOGLETRANSLATE(B250,""en"",""sv"")"),"Rädda Trek")</f>
        <v>Rädda Trek</v>
      </c>
      <c r="AT250" s="4" t="str">
        <f>IFERROR(__xludf.DUMMYFUNCTION("GOOGLETRANSLATE(B250,""en"",""uk"")"),"Зберегти Трек")</f>
        <v>Зберегти Трек</v>
      </c>
      <c r="AU250" s="4" t="str">
        <f>IFERROR(__xludf.DUMMYFUNCTION("GOOGLETRANSLATE(B250,""en"",""zu"")"),"Londoloza i-Trek")</f>
        <v>Londoloza i-Trek</v>
      </c>
      <c r="AV250" s="4" t="str">
        <f>IFERROR(__xludf.DUMMYFUNCTION("GOOGLETRANSLATE(B250,""en"",""sr"")"),"Саве Трек")</f>
        <v>Саве Трек</v>
      </c>
    </row>
    <row r="251">
      <c r="A251" s="3" t="s">
        <v>525</v>
      </c>
      <c r="B251" s="3" t="s">
        <v>526</v>
      </c>
      <c r="C251" s="4" t="str">
        <f>IFERROR(__xludf.DUMMYFUNCTION("GOOGLETRANSLATE(B251,""en"",""ta"")"),"குறிப்புகள்")</f>
        <v>குறிப்புகள்</v>
      </c>
      <c r="D251" s="4" t="str">
        <f>IFERROR(__xludf.DUMMYFUNCTION("GOOGLETRANSLATE(B251,""en"",""hi"")"),"नोट्स")</f>
        <v>नोट्स</v>
      </c>
      <c r="E251" s="4" t="str">
        <f>IFERROR(__xludf.DUMMYFUNCTION("GOOGLETRANSLATE(B251,""en"",""id"")"),"Catatan")</f>
        <v>Catatan</v>
      </c>
      <c r="F251" s="4" t="str">
        <f>IFERROR(__xludf.DUMMYFUNCTION("GOOGLETRANSLATE(B251,""en"",""ms"")"),"Nota")</f>
        <v>Nota</v>
      </c>
      <c r="G251" s="4" t="str">
        <f>IFERROR(__xludf.DUMMYFUNCTION("GOOGLETRANSLATE(B251,""en"",""de"")"),"Hinweise")</f>
        <v>Hinweise</v>
      </c>
      <c r="H251" s="4" t="str">
        <f>IFERROR(__xludf.DUMMYFUNCTION("GOOGLETRANSLATE(B251,""en"",""es"")"),"Notas")</f>
        <v>Notas</v>
      </c>
      <c r="I251" s="4" t="str">
        <f>IFERROR(__xludf.DUMMYFUNCTION("GOOGLETRANSLATE(B251,""en"",""fr"")"),"Remarques")</f>
        <v>Remarques</v>
      </c>
      <c r="J251" s="4" t="str">
        <f>IFERROR(__xludf.DUMMYFUNCTION("GOOGLETRANSLATE(B251,""en"",""it"")"),"Note")</f>
        <v>Note</v>
      </c>
      <c r="K251" s="4" t="str">
        <f>IFERROR(__xludf.DUMMYFUNCTION("GOOGLETRANSLATE(B251,""en"",""pt"")"),"Notas")</f>
        <v>Notas</v>
      </c>
      <c r="L251" s="4" t="str">
        <f>IFERROR(__xludf.DUMMYFUNCTION("GOOGLETRANSLATE(B251,""en"",""ro"")"),"Note")</f>
        <v>Note</v>
      </c>
      <c r="M251" s="4" t="str">
        <f>IFERROR(__xludf.DUMMYFUNCTION("GOOGLETRANSLATE(B251,""en"",""vi"")"),"Ghi chú")</f>
        <v>Ghi chú</v>
      </c>
      <c r="N251" s="4" t="str">
        <f>IFERROR(__xludf.DUMMYFUNCTION("GOOGLETRANSLATE(B251,""en"",""ru"")"),"Примечания")</f>
        <v>Примечания</v>
      </c>
      <c r="O251" s="4" t="str">
        <f>IFERROR(__xludf.DUMMYFUNCTION("GOOGLETRANSLATE(B251,""en"",""tr"")"),"Notlar")</f>
        <v>Notlar</v>
      </c>
      <c r="P251" s="4" t="str">
        <f>IFERROR(__xludf.DUMMYFUNCTION("GOOGLETRANSLATE(B251,""en"",""ar"")"),"ملحوظات")</f>
        <v>ملحوظات</v>
      </c>
      <c r="Q251" s="4" t="str">
        <f>IFERROR(__xludf.DUMMYFUNCTION("GOOGLETRANSLATE(B251,""en"",""mr"")"),"नोट्स")</f>
        <v>नोट्स</v>
      </c>
      <c r="R251" s="4" t="str">
        <f>IFERROR(__xludf.DUMMYFUNCTION("GOOGLETRANSLATE(B251,""en"",""gu"")"),"નોંધો")</f>
        <v>નોંધો</v>
      </c>
      <c r="S251" s="4" t="str">
        <f>IFERROR(__xludf.DUMMYFUNCTION("GOOGLETRANSLATE(B251,""en"",""bn"")"),"নোট")</f>
        <v>নোট</v>
      </c>
      <c r="T251" s="4" t="str">
        <f>IFERROR(__xludf.DUMMYFUNCTION("GOOGLETRANSLATE(B251,""en"",""pa"")"),"ਨੋਟਸ")</f>
        <v>ਨੋਟਸ</v>
      </c>
      <c r="U251" s="4" t="str">
        <f>IFERROR(__xludf.DUMMYFUNCTION("GOOGLETRANSLATE(B251,""en"",""te"")"),"గమనికలు")</f>
        <v>గమనికలు</v>
      </c>
      <c r="V251" s="4" t="str">
        <f>IFERROR(__xludf.DUMMYFUNCTION("GOOGLETRANSLATE(B251,""en"",""kn"")"),"ಟಿಪ್ಪಣಿಗಳು")</f>
        <v>ಟಿಪ್ಪಣಿಗಳು</v>
      </c>
      <c r="W251" s="4" t="str">
        <f>IFERROR(__xludf.DUMMYFUNCTION("GOOGLETRANSLATE(B251,""en"",""ml"")"),"കുറിപ്പുകൾ")</f>
        <v>കുറിപ്പുകൾ</v>
      </c>
      <c r="X251" s="4" t="str">
        <f>IFERROR(__xludf.DUMMYFUNCTION("GOOGLETRANSLATE(B251,""en"",""th"")"),"หมายเหตุ")</f>
        <v>หมายเหตุ</v>
      </c>
      <c r="Y251" s="4" t="str">
        <f>IFERROR(__xludf.DUMMYFUNCTION("GOOGLETRANSLATE(B251,""en"",""ko"")"),"노트")</f>
        <v>노트</v>
      </c>
      <c r="Z251" s="4" t="str">
        <f>IFERROR(__xludf.DUMMYFUNCTION("GOOGLETRANSLATE(B251,""en"",""zh"")"),"笔记")</f>
        <v>笔记</v>
      </c>
      <c r="AA251" s="4" t="str">
        <f>IFERROR(__xludf.DUMMYFUNCTION("GOOGLETRANSLATE(B251,""en"",""zh-TW"")"),"筆記")</f>
        <v>筆記</v>
      </c>
      <c r="AB251" s="4" t="str">
        <f>IFERROR(__xludf.DUMMYFUNCTION("GOOGLETRANSLATE(B251,""en"",""ja"")"),"注記")</f>
        <v>注記</v>
      </c>
      <c r="AC251" s="4" t="str">
        <f>IFERROR(__xludf.DUMMYFUNCTION("GOOGLETRANSLATE(B251,""en"",""bg"")"),"Бележки")</f>
        <v>Бележки</v>
      </c>
      <c r="AD251" s="4" t="str">
        <f>IFERROR(__xludf.DUMMYFUNCTION("GOOGLETRANSLATE(B251,""en"",""cs"")"),"Poznámky")</f>
        <v>Poznámky</v>
      </c>
      <c r="AE251" s="4" t="str">
        <f>IFERROR(__xludf.DUMMYFUNCTION("GOOGLETRANSLATE(B251,""en"",""da"")"),"Noter")</f>
        <v>Noter</v>
      </c>
      <c r="AF251" s="4" t="str">
        <f>IFERROR(__xludf.DUMMYFUNCTION("GOOGLETRANSLATE(B251,""en"",""el"")"),"Σημειώσεις")</f>
        <v>Σημειώσεις</v>
      </c>
      <c r="AG251" s="4" t="str">
        <f>IFERROR(__xludf.DUMMYFUNCTION("GOOGLETRANSLATE(B251,""en"",""et"")"),"Märkmed")</f>
        <v>Märkmed</v>
      </c>
      <c r="AH251" s="4" t="str">
        <f>IFERROR(__xludf.DUMMYFUNCTION("GOOGLETRANSLATE(B251,""en"",""fi"")"),"Huomautuksia")</f>
        <v>Huomautuksia</v>
      </c>
      <c r="AI251" s="4" t="str">
        <f>IFERROR(__xludf.DUMMYFUNCTION("GOOGLETRANSLATE(B251,""en"",""hr"")"),"Bilješke")</f>
        <v>Bilješke</v>
      </c>
      <c r="AJ251" s="4" t="str">
        <f>IFERROR(__xludf.DUMMYFUNCTION("GOOGLETRANSLATE(B251,""en"",""hu"")"),"Megjegyzések")</f>
        <v>Megjegyzések</v>
      </c>
      <c r="AK251" s="4" t="str">
        <f>IFERROR(__xludf.DUMMYFUNCTION("GOOGLETRANSLATE(B251,""en"",""hy"")"),"Նշումներ")</f>
        <v>Նշումներ</v>
      </c>
      <c r="AL251" s="4" t="str">
        <f>IFERROR(__xludf.DUMMYFUNCTION("GOOGLETRANSLATE(B251,""en"",""ca"")"),"Notes")</f>
        <v>Notes</v>
      </c>
      <c r="AM251" s="4" t="str">
        <f>IFERROR(__xludf.DUMMYFUNCTION("GOOGLETRANSLATE(B251,""en"",""nl"")"),"Notities")</f>
        <v>Notities</v>
      </c>
      <c r="AN251" s="4" t="str">
        <f>IFERROR(__xludf.DUMMYFUNCTION("GOOGLETRANSLATE(B251,""en"",""he"")"),"הערות")</f>
        <v>הערות</v>
      </c>
      <c r="AO251" s="4" t="str">
        <f>IFERROR(__xludf.DUMMYFUNCTION("GOOGLETRANSLATE(B251,""en"",""is"")"),"Skýringar")</f>
        <v>Skýringar</v>
      </c>
      <c r="AP251" s="4" t="str">
        <f>IFERROR(__xludf.DUMMYFUNCTION("GOOGLETRANSLATE(B251,""en"",""no"")"),"Notater")</f>
        <v>Notater</v>
      </c>
      <c r="AQ251" s="4" t="str">
        <f>IFERROR(__xludf.DUMMYFUNCTION("GOOGLETRANSLATE(B251,""en"",""fa"")"),"یادداشت ها")</f>
        <v>یادداشت ها</v>
      </c>
      <c r="AR251" s="4" t="str">
        <f>IFERROR(__xludf.DUMMYFUNCTION("GOOGLETRANSLATE(B251,""en"",""pl"")"),"Notatki")</f>
        <v>Notatki</v>
      </c>
      <c r="AS251" s="4" t="str">
        <f>IFERROR(__xludf.DUMMYFUNCTION("GOOGLETRANSLATE(B251,""en"",""sv"")"),"Anteckningar")</f>
        <v>Anteckningar</v>
      </c>
      <c r="AT251" s="4" t="str">
        <f>IFERROR(__xludf.DUMMYFUNCTION("GOOGLETRANSLATE(B251,""en"",""uk"")"),"Примітки")</f>
        <v>Примітки</v>
      </c>
      <c r="AU251" s="4" t="str">
        <f>IFERROR(__xludf.DUMMYFUNCTION("GOOGLETRANSLATE(B251,""en"",""zu"")"),"Amanothi")</f>
        <v>Amanothi</v>
      </c>
      <c r="AV251" s="4" t="str">
        <f>IFERROR(__xludf.DUMMYFUNCTION("GOOGLETRANSLATE(B251,""en"",""sr"")"),"Напомене")</f>
        <v>Напомене</v>
      </c>
    </row>
    <row r="252">
      <c r="A252" s="3" t="s">
        <v>527</v>
      </c>
      <c r="B252" s="3" t="s">
        <v>312</v>
      </c>
      <c r="C252" s="4" t="str">
        <f>IFERROR(__xludf.DUMMYFUNCTION("GOOGLETRANSLATE(B252,""en"",""ta"")"),"கேமரா")</f>
        <v>கேமரா</v>
      </c>
      <c r="D252" s="4" t="str">
        <f>IFERROR(__xludf.DUMMYFUNCTION("GOOGLETRANSLATE(B252,""en"",""hi"")"),"कैमरा")</f>
        <v>कैमरा</v>
      </c>
      <c r="E252" s="4" t="str">
        <f>IFERROR(__xludf.DUMMYFUNCTION("GOOGLETRANSLATE(B252,""en"",""id"")"),"Kamera")</f>
        <v>Kamera</v>
      </c>
      <c r="F252" s="4" t="str">
        <f>IFERROR(__xludf.DUMMYFUNCTION("GOOGLETRANSLATE(B252,""en"",""ms"")"),"Kamera")</f>
        <v>Kamera</v>
      </c>
      <c r="G252" s="4" t="str">
        <f>IFERROR(__xludf.DUMMYFUNCTION("GOOGLETRANSLATE(B252,""en"",""de"")"),"Kamera")</f>
        <v>Kamera</v>
      </c>
      <c r="H252" s="4" t="str">
        <f>IFERROR(__xludf.DUMMYFUNCTION("GOOGLETRANSLATE(B252,""en"",""es"")"),"Cámara")</f>
        <v>Cámara</v>
      </c>
      <c r="I252" s="4" t="str">
        <f>IFERROR(__xludf.DUMMYFUNCTION("GOOGLETRANSLATE(B252,""en"",""fr"")"),"Caméra")</f>
        <v>Caméra</v>
      </c>
      <c r="J252" s="4" t="str">
        <f>IFERROR(__xludf.DUMMYFUNCTION("GOOGLETRANSLATE(B252,""en"",""it"")"),"Telecamera")</f>
        <v>Telecamera</v>
      </c>
      <c r="K252" s="4" t="str">
        <f>IFERROR(__xludf.DUMMYFUNCTION("GOOGLETRANSLATE(B252,""en"",""pt"")"),"Câmera")</f>
        <v>Câmera</v>
      </c>
      <c r="L252" s="4" t="str">
        <f>IFERROR(__xludf.DUMMYFUNCTION("GOOGLETRANSLATE(B252,""en"",""ro"")"),"Camera foto")</f>
        <v>Camera foto</v>
      </c>
      <c r="M252" s="4" t="str">
        <f>IFERROR(__xludf.DUMMYFUNCTION("GOOGLETRANSLATE(B252,""en"",""vi"")"),"Máy ảnh")</f>
        <v>Máy ảnh</v>
      </c>
      <c r="N252" s="4" t="str">
        <f>IFERROR(__xludf.DUMMYFUNCTION("GOOGLETRANSLATE(B252,""en"",""ru"")"),"Камера")</f>
        <v>Камера</v>
      </c>
      <c r="O252" s="4" t="str">
        <f>IFERROR(__xludf.DUMMYFUNCTION("GOOGLETRANSLATE(B252,""en"",""tr"")"),"Kamera")</f>
        <v>Kamera</v>
      </c>
      <c r="P252" s="4" t="str">
        <f>IFERROR(__xludf.DUMMYFUNCTION("GOOGLETRANSLATE(B252,""en"",""ar"")"),"آلة تصوير")</f>
        <v>آلة تصوير</v>
      </c>
      <c r="Q252" s="4" t="str">
        <f>IFERROR(__xludf.DUMMYFUNCTION("GOOGLETRANSLATE(B252,""en"",""mr"")"),"कॅमेरा")</f>
        <v>कॅमेरा</v>
      </c>
      <c r="R252" s="4" t="str">
        <f>IFERROR(__xludf.DUMMYFUNCTION("GOOGLETRANSLATE(B252,""en"",""gu"")"),"કેમેરા")</f>
        <v>કેમેરા</v>
      </c>
      <c r="S252" s="4" t="str">
        <f>IFERROR(__xludf.DUMMYFUNCTION("GOOGLETRANSLATE(B252,""en"",""bn"")"),"ক্যামেরা")</f>
        <v>ক্যামেরা</v>
      </c>
      <c r="T252" s="4" t="str">
        <f>IFERROR(__xludf.DUMMYFUNCTION("GOOGLETRANSLATE(B252,""en"",""pa"")"),"ਕੈਮਰਾ")</f>
        <v>ਕੈਮਰਾ</v>
      </c>
      <c r="U252" s="4" t="str">
        <f>IFERROR(__xludf.DUMMYFUNCTION("GOOGLETRANSLATE(B252,""en"",""te"")"),"కెమెరా")</f>
        <v>కెమెరా</v>
      </c>
      <c r="V252" s="4" t="str">
        <f>IFERROR(__xludf.DUMMYFUNCTION("GOOGLETRANSLATE(B252,""en"",""kn"")"),"ಕ್ಯಾಮೆರಾ")</f>
        <v>ಕ್ಯಾಮೆರಾ</v>
      </c>
      <c r="W252" s="4" t="str">
        <f>IFERROR(__xludf.DUMMYFUNCTION("GOOGLETRANSLATE(B252,""en"",""ml"")"),"ക്യാമറ")</f>
        <v>ക്യാമറ</v>
      </c>
      <c r="X252" s="4" t="str">
        <f>IFERROR(__xludf.DUMMYFUNCTION("GOOGLETRANSLATE(B252,""en"",""th"")"),"กล้อง")</f>
        <v>กล้อง</v>
      </c>
      <c r="Y252" s="4" t="str">
        <f>IFERROR(__xludf.DUMMYFUNCTION("GOOGLETRANSLATE(B252,""en"",""ko"")"),"카메라")</f>
        <v>카메라</v>
      </c>
      <c r="Z252" s="4" t="str">
        <f>IFERROR(__xludf.DUMMYFUNCTION("GOOGLETRANSLATE(B252,""en"",""zh"")"),"相机")</f>
        <v>相机</v>
      </c>
      <c r="AA252" s="4" t="str">
        <f>IFERROR(__xludf.DUMMYFUNCTION("GOOGLETRANSLATE(B252,""en"",""zh-TW"")"),"相機")</f>
        <v>相機</v>
      </c>
      <c r="AB252" s="4" t="str">
        <f>IFERROR(__xludf.DUMMYFUNCTION("GOOGLETRANSLATE(B252,""en"",""ja"")"),"カメラ")</f>
        <v>カメラ</v>
      </c>
      <c r="AC252" s="4" t="str">
        <f>IFERROR(__xludf.DUMMYFUNCTION("GOOGLETRANSLATE(B252,""en"",""bg"")"),"Камера")</f>
        <v>Камера</v>
      </c>
      <c r="AD252" s="4" t="str">
        <f>IFERROR(__xludf.DUMMYFUNCTION("GOOGLETRANSLATE(B252,""en"",""cs"")"),"Fotoaparát")</f>
        <v>Fotoaparát</v>
      </c>
      <c r="AE252" s="4" t="str">
        <f>IFERROR(__xludf.DUMMYFUNCTION("GOOGLETRANSLATE(B252,""en"",""da"")"),"Kamera")</f>
        <v>Kamera</v>
      </c>
      <c r="AF252" s="4" t="str">
        <f>IFERROR(__xludf.DUMMYFUNCTION("GOOGLETRANSLATE(B252,""en"",""el"")"),"Κάμερα")</f>
        <v>Κάμερα</v>
      </c>
      <c r="AG252" s="4" t="str">
        <f>IFERROR(__xludf.DUMMYFUNCTION("GOOGLETRANSLATE(B252,""en"",""et"")"),"Kaamera")</f>
        <v>Kaamera</v>
      </c>
      <c r="AH252" s="4" t="str">
        <f>IFERROR(__xludf.DUMMYFUNCTION("GOOGLETRANSLATE(B252,""en"",""fi"")"),"Kamera")</f>
        <v>Kamera</v>
      </c>
      <c r="AI252" s="4" t="str">
        <f>IFERROR(__xludf.DUMMYFUNCTION("GOOGLETRANSLATE(B252,""en"",""hr"")"),"Fotoaparat")</f>
        <v>Fotoaparat</v>
      </c>
      <c r="AJ252" s="4" t="str">
        <f>IFERROR(__xludf.DUMMYFUNCTION("GOOGLETRANSLATE(B252,""en"",""hu"")"),"Kamera")</f>
        <v>Kamera</v>
      </c>
      <c r="AK252" s="4" t="str">
        <f>IFERROR(__xludf.DUMMYFUNCTION("GOOGLETRANSLATE(B252,""en"",""hy"")"),"Տեսախցիկ")</f>
        <v>Տեսախցիկ</v>
      </c>
      <c r="AL252" s="4" t="str">
        <f>IFERROR(__xludf.DUMMYFUNCTION("GOOGLETRANSLATE(B252,""en"",""ca"")"),"Càmera")</f>
        <v>Càmera</v>
      </c>
      <c r="AM252" s="4" t="str">
        <f>IFERROR(__xludf.DUMMYFUNCTION("GOOGLETRANSLATE(B252,""en"",""nl"")"),"Camera")</f>
        <v>Camera</v>
      </c>
      <c r="AN252" s="4" t="str">
        <f>IFERROR(__xludf.DUMMYFUNCTION("GOOGLETRANSLATE(B252,""en"",""he"")"),"מַצלֵמָה")</f>
        <v>מַצלֵמָה</v>
      </c>
      <c r="AO252" s="4" t="str">
        <f>IFERROR(__xludf.DUMMYFUNCTION("GOOGLETRANSLATE(B252,""en"",""is"")"),"Myndavél")</f>
        <v>Myndavél</v>
      </c>
      <c r="AP252" s="4" t="str">
        <f>IFERROR(__xludf.DUMMYFUNCTION("GOOGLETRANSLATE(B252,""en"",""no"")"),"Kamera")</f>
        <v>Kamera</v>
      </c>
      <c r="AQ252" s="4" t="str">
        <f>IFERROR(__xludf.DUMMYFUNCTION("GOOGLETRANSLATE(B252,""en"",""fa"")"),"دوربین")</f>
        <v>دوربین</v>
      </c>
      <c r="AR252" s="4" t="str">
        <f>IFERROR(__xludf.DUMMYFUNCTION("GOOGLETRANSLATE(B252,""en"",""pl"")"),"Kamera")</f>
        <v>Kamera</v>
      </c>
      <c r="AS252" s="4" t="str">
        <f>IFERROR(__xludf.DUMMYFUNCTION("GOOGLETRANSLATE(B252,""en"",""sv"")"),"Kamera")</f>
        <v>Kamera</v>
      </c>
      <c r="AT252" s="4" t="str">
        <f>IFERROR(__xludf.DUMMYFUNCTION("GOOGLETRANSLATE(B252,""en"",""uk"")"),"Камера")</f>
        <v>Камера</v>
      </c>
      <c r="AU252" s="4" t="str">
        <f>IFERROR(__xludf.DUMMYFUNCTION("GOOGLETRANSLATE(B252,""en"",""zu"")"),"Ikhamera")</f>
        <v>Ikhamera</v>
      </c>
      <c r="AV252" s="4" t="str">
        <f>IFERROR(__xludf.DUMMYFUNCTION("GOOGLETRANSLATE(B252,""en"",""sr"")"),"Камера")</f>
        <v>Камера</v>
      </c>
    </row>
    <row r="253">
      <c r="A253" s="3" t="s">
        <v>528</v>
      </c>
      <c r="B253" s="3" t="s">
        <v>529</v>
      </c>
      <c r="C253" s="4" t="str">
        <f>IFERROR(__xludf.DUMMYFUNCTION("GOOGLETRANSLATE(B253,""en"",""ta"")"),"ஒளிரும் விளக்கு")</f>
        <v>ஒளிரும் விளக்கு</v>
      </c>
      <c r="D253" s="4" t="str">
        <f>IFERROR(__xludf.DUMMYFUNCTION("GOOGLETRANSLATE(B253,""en"",""hi"")"),"टॉर्च")</f>
        <v>टॉर्च</v>
      </c>
      <c r="E253" s="4" t="str">
        <f>IFERROR(__xludf.DUMMYFUNCTION("GOOGLETRANSLATE(B253,""en"",""id"")"),"Senter")</f>
        <v>Senter</v>
      </c>
      <c r="F253" s="4" t="str">
        <f>IFERROR(__xludf.DUMMYFUNCTION("GOOGLETRANSLATE(B253,""en"",""ms"")"),"Lampu suluh")</f>
        <v>Lampu suluh</v>
      </c>
      <c r="G253" s="4" t="str">
        <f>IFERROR(__xludf.DUMMYFUNCTION("GOOGLETRANSLATE(B253,""en"",""de"")"),"Taschenlampe")</f>
        <v>Taschenlampe</v>
      </c>
      <c r="H253" s="4" t="str">
        <f>IFERROR(__xludf.DUMMYFUNCTION("GOOGLETRANSLATE(B253,""en"",""es"")"),"Flash")</f>
        <v>Flash</v>
      </c>
      <c r="I253" s="4" t="str">
        <f>IFERROR(__xludf.DUMMYFUNCTION("GOOGLETRANSLATE(B253,""en"",""fr"")"),"Lampe de poche")</f>
        <v>Lampe de poche</v>
      </c>
      <c r="J253" s="4" t="str">
        <f>IFERROR(__xludf.DUMMYFUNCTION("GOOGLETRANSLATE(B253,""en"",""it"")"),"Torcia elettrica")</f>
        <v>Torcia elettrica</v>
      </c>
      <c r="K253" s="4" t="str">
        <f>IFERROR(__xludf.DUMMYFUNCTION("GOOGLETRANSLATE(B253,""en"",""pt"")"),"Lanterna")</f>
        <v>Lanterna</v>
      </c>
      <c r="L253" s="4" t="str">
        <f>IFERROR(__xludf.DUMMYFUNCTION("GOOGLETRANSLATE(B253,""en"",""ro"")"),"Lanternă")</f>
        <v>Lanternă</v>
      </c>
      <c r="M253" s="4" t="str">
        <f>IFERROR(__xludf.DUMMYFUNCTION("GOOGLETRANSLATE(B253,""en"",""vi"")"),"Đèn pin")</f>
        <v>Đèn pin</v>
      </c>
      <c r="N253" s="4" t="str">
        <f>IFERROR(__xludf.DUMMYFUNCTION("GOOGLETRANSLATE(B253,""en"",""ru"")"),"Фонарик")</f>
        <v>Фонарик</v>
      </c>
      <c r="O253" s="4" t="str">
        <f>IFERROR(__xludf.DUMMYFUNCTION("GOOGLETRANSLATE(B253,""en"",""tr"")"),"El feneri")</f>
        <v>El feneri</v>
      </c>
      <c r="P253" s="4" t="str">
        <f>IFERROR(__xludf.DUMMYFUNCTION("GOOGLETRANSLATE(B253,""en"",""ar"")"),"مصباح يدوي")</f>
        <v>مصباح يدوي</v>
      </c>
      <c r="Q253" s="4" t="str">
        <f>IFERROR(__xludf.DUMMYFUNCTION("GOOGLETRANSLATE(B253,""en"",""mr"")"),"फ्लॅशलाइट")</f>
        <v>फ्लॅशलाइट</v>
      </c>
      <c r="R253" s="4" t="str">
        <f>IFERROR(__xludf.DUMMYFUNCTION("GOOGLETRANSLATE(B253,""en"",""gu"")"),"ફ્લેશલાઇટ")</f>
        <v>ફ્લેશલાઇટ</v>
      </c>
      <c r="S253" s="4" t="str">
        <f>IFERROR(__xludf.DUMMYFUNCTION("GOOGLETRANSLATE(B253,""en"",""bn"")"),"টর্চলাইট")</f>
        <v>টর্চলাইট</v>
      </c>
      <c r="T253" s="4" t="str">
        <f>IFERROR(__xludf.DUMMYFUNCTION("GOOGLETRANSLATE(B253,""en"",""pa"")"),"ਫਲੈਸ਼ਲਾਈਟ")</f>
        <v>ਫਲੈਸ਼ਲਾਈਟ</v>
      </c>
      <c r="U253" s="4" t="str">
        <f>IFERROR(__xludf.DUMMYFUNCTION("GOOGLETRANSLATE(B253,""en"",""te"")"),"ఫ్లాష్లైట్")</f>
        <v>ఫ్లాష్లైట్</v>
      </c>
      <c r="V253" s="4" t="str">
        <f>IFERROR(__xludf.DUMMYFUNCTION("GOOGLETRANSLATE(B253,""en"",""kn"")"),"ಫ್ಲ್ಯಾಶ್ಲೈಟ್")</f>
        <v>ಫ್ಲ್ಯಾಶ್ಲೈಟ್</v>
      </c>
      <c r="W253" s="4" t="str">
        <f>IFERROR(__xludf.DUMMYFUNCTION("GOOGLETRANSLATE(B253,""en"",""ml"")"),"ഫ്ലാഷ്ലൈറ്റ്")</f>
        <v>ഫ്ലാഷ്ലൈറ്റ്</v>
      </c>
      <c r="X253" s="4" t="str">
        <f>IFERROR(__xludf.DUMMYFUNCTION("GOOGLETRANSLATE(B253,""en"",""th"")"),"ไฟฉาย")</f>
        <v>ไฟฉาย</v>
      </c>
      <c r="Y253" s="4" t="str">
        <f>IFERROR(__xludf.DUMMYFUNCTION("GOOGLETRANSLATE(B253,""en"",""ko"")"),"플래시")</f>
        <v>플래시</v>
      </c>
      <c r="Z253" s="4" t="str">
        <f>IFERROR(__xludf.DUMMYFUNCTION("GOOGLETRANSLATE(B253,""en"",""zh"")"),"手电筒")</f>
        <v>手电筒</v>
      </c>
      <c r="AA253" s="4" t="str">
        <f>IFERROR(__xludf.DUMMYFUNCTION("GOOGLETRANSLATE(B253,""en"",""zh-TW"")"),"手電筒")</f>
        <v>手電筒</v>
      </c>
      <c r="AB253" s="4" t="str">
        <f>IFERROR(__xludf.DUMMYFUNCTION("GOOGLETRANSLATE(B253,""en"",""ja"")"),"懐中電灯")</f>
        <v>懐中電灯</v>
      </c>
      <c r="AC253" s="4" t="str">
        <f>IFERROR(__xludf.DUMMYFUNCTION("GOOGLETRANSLATE(B253,""en"",""bg"")"),"Фенерче")</f>
        <v>Фенерче</v>
      </c>
      <c r="AD253" s="4" t="str">
        <f>IFERROR(__xludf.DUMMYFUNCTION("GOOGLETRANSLATE(B253,""en"",""cs"")"),"Svítilna")</f>
        <v>Svítilna</v>
      </c>
      <c r="AE253" s="4" t="str">
        <f>IFERROR(__xludf.DUMMYFUNCTION("GOOGLETRANSLATE(B253,""en"",""da"")"),"Lommelygte")</f>
        <v>Lommelygte</v>
      </c>
      <c r="AF253" s="4" t="str">
        <f>IFERROR(__xludf.DUMMYFUNCTION("GOOGLETRANSLATE(B253,""en"",""el"")"),"Φακός")</f>
        <v>Φακός</v>
      </c>
      <c r="AG253" s="4" t="str">
        <f>IFERROR(__xludf.DUMMYFUNCTION("GOOGLETRANSLATE(B253,""en"",""et"")"),"Taskulamp")</f>
        <v>Taskulamp</v>
      </c>
      <c r="AH253" s="4" t="str">
        <f>IFERROR(__xludf.DUMMYFUNCTION("GOOGLETRANSLATE(B253,""en"",""fi"")"),"Taskulamppu")</f>
        <v>Taskulamppu</v>
      </c>
      <c r="AI253" s="4" t="str">
        <f>IFERROR(__xludf.DUMMYFUNCTION("GOOGLETRANSLATE(B253,""en"",""hr"")"),"Svjetiljka")</f>
        <v>Svjetiljka</v>
      </c>
      <c r="AJ253" s="4" t="str">
        <f>IFERROR(__xludf.DUMMYFUNCTION("GOOGLETRANSLATE(B253,""en"",""hu"")"),"Zseblámpa")</f>
        <v>Zseblámpa</v>
      </c>
      <c r="AK253" s="4" t="str">
        <f>IFERROR(__xludf.DUMMYFUNCTION("GOOGLETRANSLATE(B253,""en"",""hy"")"),"Լապտեր")</f>
        <v>Լապտեր</v>
      </c>
      <c r="AL253" s="4" t="str">
        <f>IFERROR(__xludf.DUMMYFUNCTION("GOOGLETRANSLATE(B253,""en"",""ca"")"),"Llanterna")</f>
        <v>Llanterna</v>
      </c>
      <c r="AM253" s="4" t="str">
        <f>IFERROR(__xludf.DUMMYFUNCTION("GOOGLETRANSLATE(B253,""en"",""nl"")"),"Zaklamp")</f>
        <v>Zaklamp</v>
      </c>
      <c r="AN253" s="4" t="str">
        <f>IFERROR(__xludf.DUMMYFUNCTION("GOOGLETRANSLATE(B253,""en"",""he"")"),"פָּנַס כִּיס")</f>
        <v>פָּנַס כִּיס</v>
      </c>
      <c r="AO253" s="4" t="str">
        <f>IFERROR(__xludf.DUMMYFUNCTION("GOOGLETRANSLATE(B253,""en"",""is"")"),"Vasaljós")</f>
        <v>Vasaljós</v>
      </c>
      <c r="AP253" s="4" t="str">
        <f>IFERROR(__xludf.DUMMYFUNCTION("GOOGLETRANSLATE(B253,""en"",""no"")"),"Lommelykt")</f>
        <v>Lommelykt</v>
      </c>
      <c r="AQ253" s="4" t="str">
        <f>IFERROR(__xludf.DUMMYFUNCTION("GOOGLETRANSLATE(B253,""en"",""fa"")"),"چراغ قوه")</f>
        <v>چراغ قوه</v>
      </c>
      <c r="AR253" s="4" t="str">
        <f>IFERROR(__xludf.DUMMYFUNCTION("GOOGLETRANSLATE(B253,""en"",""pl"")"),"Flesz")</f>
        <v>Flesz</v>
      </c>
      <c r="AS253" s="4" t="str">
        <f>IFERROR(__xludf.DUMMYFUNCTION("GOOGLETRANSLATE(B253,""en"",""sv"")"),"Ficklampa")</f>
        <v>Ficklampa</v>
      </c>
      <c r="AT253" s="4" t="str">
        <f>IFERROR(__xludf.DUMMYFUNCTION("GOOGLETRANSLATE(B253,""en"",""uk"")"),"Ліхтарик")</f>
        <v>Ліхтарик</v>
      </c>
      <c r="AU253" s="4" t="str">
        <f>IFERROR(__xludf.DUMMYFUNCTION("GOOGLETRANSLATE(B253,""en"",""zu"")"),"Ithoshi")</f>
        <v>Ithoshi</v>
      </c>
      <c r="AV253" s="4" t="str">
        <f>IFERROR(__xludf.DUMMYFUNCTION("GOOGLETRANSLATE(B253,""en"",""sr"")"),"Лампица")</f>
        <v>Лампица</v>
      </c>
    </row>
    <row r="254">
      <c r="A254" s="3" t="s">
        <v>530</v>
      </c>
      <c r="B254" s="3" t="s">
        <v>531</v>
      </c>
      <c r="C254" s="4" t="str">
        <f>IFERROR(__xludf.DUMMYFUNCTION("GOOGLETRANSLATE(B254,""en"",""ta"")"),"உயரம்")</f>
        <v>உயரம்</v>
      </c>
      <c r="D254" s="4" t="str">
        <f>IFERROR(__xludf.DUMMYFUNCTION("GOOGLETRANSLATE(B254,""en"",""hi"")"),"ऊंचाई")</f>
        <v>ऊंचाई</v>
      </c>
      <c r="E254" s="4" t="str">
        <f>IFERROR(__xludf.DUMMYFUNCTION("GOOGLETRANSLATE(B254,""en"",""id"")"),"Ketinggian")</f>
        <v>Ketinggian</v>
      </c>
      <c r="F254" s="4" t="str">
        <f>IFERROR(__xludf.DUMMYFUNCTION("GOOGLETRANSLATE(B254,""en"",""ms"")"),"Ketinggian")</f>
        <v>Ketinggian</v>
      </c>
      <c r="G254" s="4" t="str">
        <f>IFERROR(__xludf.DUMMYFUNCTION("GOOGLETRANSLATE(B254,""en"",""de"")"),"Elevation")</f>
        <v>Elevation</v>
      </c>
      <c r="H254" s="4" t="str">
        <f>IFERROR(__xludf.DUMMYFUNCTION("GOOGLETRANSLATE(B254,""en"",""es"")"),"Elevación")</f>
        <v>Elevación</v>
      </c>
      <c r="I254" s="4" t="str">
        <f>IFERROR(__xludf.DUMMYFUNCTION("GOOGLETRANSLATE(B254,""en"",""fr"")"),"Élévation")</f>
        <v>Élévation</v>
      </c>
      <c r="J254" s="4" t="str">
        <f>IFERROR(__xludf.DUMMYFUNCTION("GOOGLETRANSLATE(B254,""en"",""it"")"),"Elevazione")</f>
        <v>Elevazione</v>
      </c>
      <c r="K254" s="4" t="str">
        <f>IFERROR(__xludf.DUMMYFUNCTION("GOOGLETRANSLATE(B254,""en"",""pt"")"),"Elevação")</f>
        <v>Elevação</v>
      </c>
      <c r="L254" s="4" t="str">
        <f>IFERROR(__xludf.DUMMYFUNCTION("GOOGLETRANSLATE(B254,""en"",""ro"")"),"Altitudinea")</f>
        <v>Altitudinea</v>
      </c>
      <c r="M254" s="4" t="str">
        <f>IFERROR(__xludf.DUMMYFUNCTION("GOOGLETRANSLATE(B254,""en"",""vi"")"),"Độ cao")</f>
        <v>Độ cao</v>
      </c>
      <c r="N254" s="4" t="str">
        <f>IFERROR(__xludf.DUMMYFUNCTION("GOOGLETRANSLATE(B254,""en"",""ru"")"),"Высота")</f>
        <v>Высота</v>
      </c>
      <c r="O254" s="4" t="str">
        <f>IFERROR(__xludf.DUMMYFUNCTION("GOOGLETRANSLATE(B254,""en"",""tr"")"),"Yükseklik")</f>
        <v>Yükseklik</v>
      </c>
      <c r="P254" s="4" t="str">
        <f>IFERROR(__xludf.DUMMYFUNCTION("GOOGLETRANSLATE(B254,""en"",""ar"")"),"ارتفاع")</f>
        <v>ارتفاع</v>
      </c>
      <c r="Q254" s="4" t="str">
        <f>IFERROR(__xludf.DUMMYFUNCTION("GOOGLETRANSLATE(B254,""en"",""mr"")"),"उंची")</f>
        <v>उंची</v>
      </c>
      <c r="R254" s="4" t="str">
        <f>IFERROR(__xludf.DUMMYFUNCTION("GOOGLETRANSLATE(B254,""en"",""gu"")"),"એલિવેશન")</f>
        <v>એલિવેશન</v>
      </c>
      <c r="S254" s="4" t="str">
        <f>IFERROR(__xludf.DUMMYFUNCTION("GOOGLETRANSLATE(B254,""en"",""bn"")"),"উচ্চতা")</f>
        <v>উচ্চতা</v>
      </c>
      <c r="T254" s="4" t="str">
        <f>IFERROR(__xludf.DUMMYFUNCTION("GOOGLETRANSLATE(B254,""en"",""pa"")"),"ਉਚਾਈ")</f>
        <v>ਉਚਾਈ</v>
      </c>
      <c r="U254" s="4" t="str">
        <f>IFERROR(__xludf.DUMMYFUNCTION("GOOGLETRANSLATE(B254,""en"",""te"")"),"ఎలివేషన్")</f>
        <v>ఎలివేషన్</v>
      </c>
      <c r="V254" s="4" t="str">
        <f>IFERROR(__xludf.DUMMYFUNCTION("GOOGLETRANSLATE(B254,""en"",""kn"")"),"ಎತ್ತರ")</f>
        <v>ಎತ್ತರ</v>
      </c>
      <c r="W254" s="4" t="str">
        <f>IFERROR(__xludf.DUMMYFUNCTION("GOOGLETRANSLATE(B254,""en"",""ml"")"),"എലവേഷൻ")</f>
        <v>എലവേഷൻ</v>
      </c>
      <c r="X254" s="4" t="str">
        <f>IFERROR(__xludf.DUMMYFUNCTION("GOOGLETRANSLATE(B254,""en"",""th"")"),"ระดับความสูง")</f>
        <v>ระดับความสูง</v>
      </c>
      <c r="Y254" s="4" t="str">
        <f>IFERROR(__xludf.DUMMYFUNCTION("GOOGLETRANSLATE(B254,""en"",""ko"")"),"높이")</f>
        <v>높이</v>
      </c>
      <c r="Z254" s="4" t="str">
        <f>IFERROR(__xludf.DUMMYFUNCTION("GOOGLETRANSLATE(B254,""en"",""zh"")"),"海拔")</f>
        <v>海拔</v>
      </c>
      <c r="AA254" s="4" t="str">
        <f>IFERROR(__xludf.DUMMYFUNCTION("GOOGLETRANSLATE(B254,""en"",""zh-TW"")"),"海拔")</f>
        <v>海拔</v>
      </c>
      <c r="AB254" s="4" t="str">
        <f>IFERROR(__xludf.DUMMYFUNCTION("GOOGLETRANSLATE(B254,""en"",""ja"")"),"標高")</f>
        <v>標高</v>
      </c>
      <c r="AC254" s="4" t="str">
        <f>IFERROR(__xludf.DUMMYFUNCTION("GOOGLETRANSLATE(B254,""en"",""bg"")"),"надморска височина")</f>
        <v>надморска височина</v>
      </c>
      <c r="AD254" s="4" t="str">
        <f>IFERROR(__xludf.DUMMYFUNCTION("GOOGLETRANSLATE(B254,""en"",""cs"")"),"Nadmořská výška")</f>
        <v>Nadmořská výška</v>
      </c>
      <c r="AE254" s="4" t="str">
        <f>IFERROR(__xludf.DUMMYFUNCTION("GOOGLETRANSLATE(B254,""en"",""da"")"),"Højde")</f>
        <v>Højde</v>
      </c>
      <c r="AF254" s="4" t="str">
        <f>IFERROR(__xludf.DUMMYFUNCTION("GOOGLETRANSLATE(B254,""en"",""el"")"),"Ανύψωση")</f>
        <v>Ανύψωση</v>
      </c>
      <c r="AG254" s="4" t="str">
        <f>IFERROR(__xludf.DUMMYFUNCTION("GOOGLETRANSLATE(B254,""en"",""et"")"),"Kõrgus")</f>
        <v>Kõrgus</v>
      </c>
      <c r="AH254" s="4" t="str">
        <f>IFERROR(__xludf.DUMMYFUNCTION("GOOGLETRANSLATE(B254,""en"",""fi"")"),"Korkeus")</f>
        <v>Korkeus</v>
      </c>
      <c r="AI254" s="4" t="str">
        <f>IFERROR(__xludf.DUMMYFUNCTION("GOOGLETRANSLATE(B254,""en"",""hr"")"),"Nadmorska visina")</f>
        <v>Nadmorska visina</v>
      </c>
      <c r="AJ254" s="4" t="str">
        <f>IFERROR(__xludf.DUMMYFUNCTION("GOOGLETRANSLATE(B254,""en"",""hu"")"),"Magasság")</f>
        <v>Magasság</v>
      </c>
      <c r="AK254" s="4" t="str">
        <f>IFERROR(__xludf.DUMMYFUNCTION("GOOGLETRANSLATE(B254,""en"",""hy"")"),"Բարձրություն")</f>
        <v>Բարձրություն</v>
      </c>
      <c r="AL254" s="4" t="str">
        <f>IFERROR(__xludf.DUMMYFUNCTION("GOOGLETRANSLATE(B254,""en"",""ca"")"),"Elevació")</f>
        <v>Elevació</v>
      </c>
      <c r="AM254" s="4" t="str">
        <f>IFERROR(__xludf.DUMMYFUNCTION("GOOGLETRANSLATE(B254,""en"",""nl"")"),"Hoogte")</f>
        <v>Hoogte</v>
      </c>
      <c r="AN254" s="4" t="str">
        <f>IFERROR(__xludf.DUMMYFUNCTION("GOOGLETRANSLATE(B254,""en"",""he"")"),"גוֹבַה")</f>
        <v>גוֹבַה</v>
      </c>
      <c r="AO254" s="4" t="str">
        <f>IFERROR(__xludf.DUMMYFUNCTION("GOOGLETRANSLATE(B254,""en"",""is"")"),"Hækkun")</f>
        <v>Hækkun</v>
      </c>
      <c r="AP254" s="4" t="str">
        <f>IFERROR(__xludf.DUMMYFUNCTION("GOOGLETRANSLATE(B254,""en"",""no"")"),"Høyde")</f>
        <v>Høyde</v>
      </c>
      <c r="AQ254" s="4" t="str">
        <f>IFERROR(__xludf.DUMMYFUNCTION("GOOGLETRANSLATE(B254,""en"",""fa"")"),"ارتفاع")</f>
        <v>ارتفاع</v>
      </c>
      <c r="AR254" s="4" t="str">
        <f>IFERROR(__xludf.DUMMYFUNCTION("GOOGLETRANSLATE(B254,""en"",""pl"")"),"Podniesienie")</f>
        <v>Podniesienie</v>
      </c>
      <c r="AS254" s="4" t="str">
        <f>IFERROR(__xludf.DUMMYFUNCTION("GOOGLETRANSLATE(B254,""en"",""sv"")"),"Elevation")</f>
        <v>Elevation</v>
      </c>
      <c r="AT254" s="4" t="str">
        <f>IFERROR(__xludf.DUMMYFUNCTION("GOOGLETRANSLATE(B254,""en"",""uk"")"),"Висота")</f>
        <v>Висота</v>
      </c>
      <c r="AU254" s="4" t="str">
        <f>IFERROR(__xludf.DUMMYFUNCTION("GOOGLETRANSLATE(B254,""en"",""zu"")"),"Ukuphakama")</f>
        <v>Ukuphakama</v>
      </c>
      <c r="AV254" s="4" t="str">
        <f>IFERROR(__xludf.DUMMYFUNCTION("GOOGLETRANSLATE(B254,""en"",""sr"")"),"Елеватион")</f>
        <v>Елеватион</v>
      </c>
    </row>
    <row r="255">
      <c r="A255" s="3" t="s">
        <v>532</v>
      </c>
      <c r="B255" s="3" t="s">
        <v>495</v>
      </c>
      <c r="C255" s="4" t="str">
        <f>IFERROR(__xludf.DUMMYFUNCTION("GOOGLETRANSLATE(B255,""en"",""ta"")"),"தூரம்")</f>
        <v>தூரம்</v>
      </c>
      <c r="D255" s="4" t="str">
        <f>IFERROR(__xludf.DUMMYFUNCTION("GOOGLETRANSLATE(B255,""en"",""hi"")"),"दूरी")</f>
        <v>दूरी</v>
      </c>
      <c r="E255" s="4" t="str">
        <f>IFERROR(__xludf.DUMMYFUNCTION("GOOGLETRANSLATE(B255,""en"",""id"")"),"Jarak")</f>
        <v>Jarak</v>
      </c>
      <c r="F255" s="4" t="str">
        <f>IFERROR(__xludf.DUMMYFUNCTION("GOOGLETRANSLATE(B255,""en"",""ms"")"),"Jarak")</f>
        <v>Jarak</v>
      </c>
      <c r="G255" s="4" t="str">
        <f>IFERROR(__xludf.DUMMYFUNCTION("GOOGLETRANSLATE(B255,""en"",""de"")"),"Distanz")</f>
        <v>Distanz</v>
      </c>
      <c r="H255" s="4" t="str">
        <f>IFERROR(__xludf.DUMMYFUNCTION("GOOGLETRANSLATE(B255,""en"",""es"")"),"Distancia")</f>
        <v>Distancia</v>
      </c>
      <c r="I255" s="4" t="str">
        <f>IFERROR(__xludf.DUMMYFUNCTION("GOOGLETRANSLATE(B255,""en"",""fr"")"),"Distance")</f>
        <v>Distance</v>
      </c>
      <c r="J255" s="4" t="str">
        <f>IFERROR(__xludf.DUMMYFUNCTION("GOOGLETRANSLATE(B255,""en"",""it"")"),"Distanza")</f>
        <v>Distanza</v>
      </c>
      <c r="K255" s="4" t="str">
        <f>IFERROR(__xludf.DUMMYFUNCTION("GOOGLETRANSLATE(B255,""en"",""pt"")"),"Distância")</f>
        <v>Distância</v>
      </c>
      <c r="L255" s="4" t="str">
        <f>IFERROR(__xludf.DUMMYFUNCTION("GOOGLETRANSLATE(B255,""en"",""ro"")"),"Distanţă")</f>
        <v>Distanţă</v>
      </c>
      <c r="M255" s="4" t="str">
        <f>IFERROR(__xludf.DUMMYFUNCTION("GOOGLETRANSLATE(B255,""en"",""vi"")"),"Khoảng cách")</f>
        <v>Khoảng cách</v>
      </c>
      <c r="N255" s="4" t="str">
        <f>IFERROR(__xludf.DUMMYFUNCTION("GOOGLETRANSLATE(B255,""en"",""ru"")"),"Расстояние")</f>
        <v>Расстояние</v>
      </c>
      <c r="O255" s="4" t="str">
        <f>IFERROR(__xludf.DUMMYFUNCTION("GOOGLETRANSLATE(B255,""en"",""tr"")"),"Mesafe")</f>
        <v>Mesafe</v>
      </c>
      <c r="P255" s="4" t="str">
        <f>IFERROR(__xludf.DUMMYFUNCTION("GOOGLETRANSLATE(B255,""en"",""ar"")"),"مسافة")</f>
        <v>مسافة</v>
      </c>
      <c r="Q255" s="4" t="str">
        <f>IFERROR(__xludf.DUMMYFUNCTION("GOOGLETRANSLATE(B255,""en"",""mr"")"),"अंतर")</f>
        <v>अंतर</v>
      </c>
      <c r="R255" s="4" t="str">
        <f>IFERROR(__xludf.DUMMYFUNCTION("GOOGLETRANSLATE(B255,""en"",""gu"")"),"અંતર")</f>
        <v>અંતર</v>
      </c>
      <c r="S255" s="4" t="str">
        <f>IFERROR(__xludf.DUMMYFUNCTION("GOOGLETRANSLATE(B255,""en"",""bn"")"),"দূরত্ব")</f>
        <v>দূরত্ব</v>
      </c>
      <c r="T255" s="4" t="str">
        <f>IFERROR(__xludf.DUMMYFUNCTION("GOOGLETRANSLATE(B255,""en"",""pa"")"),"ਦੂਰੀ")</f>
        <v>ਦੂਰੀ</v>
      </c>
      <c r="U255" s="4" t="str">
        <f>IFERROR(__xludf.DUMMYFUNCTION("GOOGLETRANSLATE(B255,""en"",""te"")"),"దూరం")</f>
        <v>దూరం</v>
      </c>
      <c r="V255" s="4" t="str">
        <f>IFERROR(__xludf.DUMMYFUNCTION("GOOGLETRANSLATE(B255,""en"",""kn"")"),"ದೂರ")</f>
        <v>ದೂರ</v>
      </c>
      <c r="W255" s="4" t="str">
        <f>IFERROR(__xludf.DUMMYFUNCTION("GOOGLETRANSLATE(B255,""en"",""ml"")"),"ദൂരം")</f>
        <v>ദൂരം</v>
      </c>
      <c r="X255" s="4" t="str">
        <f>IFERROR(__xludf.DUMMYFUNCTION("GOOGLETRANSLATE(B255,""en"",""th"")"),"ระยะทาง")</f>
        <v>ระยะทาง</v>
      </c>
      <c r="Y255" s="4" t="str">
        <f>IFERROR(__xludf.DUMMYFUNCTION("GOOGLETRANSLATE(B255,""en"",""ko"")"),"거리")</f>
        <v>거리</v>
      </c>
      <c r="Z255" s="4" t="str">
        <f>IFERROR(__xludf.DUMMYFUNCTION("GOOGLETRANSLATE(B255,""en"",""zh"")"),"距离")</f>
        <v>距离</v>
      </c>
      <c r="AA255" s="4" t="str">
        <f>IFERROR(__xludf.DUMMYFUNCTION("GOOGLETRANSLATE(B255,""en"",""zh-TW"")"),"距離")</f>
        <v>距離</v>
      </c>
      <c r="AB255" s="4" t="str">
        <f>IFERROR(__xludf.DUMMYFUNCTION("GOOGLETRANSLATE(B255,""en"",""ja"")"),"距離")</f>
        <v>距離</v>
      </c>
      <c r="AC255" s="4" t="str">
        <f>IFERROR(__xludf.DUMMYFUNCTION("GOOGLETRANSLATE(B255,""en"",""bg"")"),"Разстояние")</f>
        <v>Разстояние</v>
      </c>
      <c r="AD255" s="4" t="str">
        <f>IFERROR(__xludf.DUMMYFUNCTION("GOOGLETRANSLATE(B255,""en"",""cs"")"),"Vzdálenost")</f>
        <v>Vzdálenost</v>
      </c>
      <c r="AE255" s="4" t="str">
        <f>IFERROR(__xludf.DUMMYFUNCTION("GOOGLETRANSLATE(B255,""en"",""da"")"),"Afstand")</f>
        <v>Afstand</v>
      </c>
      <c r="AF255" s="4" t="str">
        <f>IFERROR(__xludf.DUMMYFUNCTION("GOOGLETRANSLATE(B255,""en"",""el"")"),"Απόσταση")</f>
        <v>Απόσταση</v>
      </c>
      <c r="AG255" s="4" t="str">
        <f>IFERROR(__xludf.DUMMYFUNCTION("GOOGLETRANSLATE(B255,""en"",""et"")"),"Kaugus")</f>
        <v>Kaugus</v>
      </c>
      <c r="AH255" s="4" t="str">
        <f>IFERROR(__xludf.DUMMYFUNCTION("GOOGLETRANSLATE(B255,""en"",""fi"")"),"Etäisyys")</f>
        <v>Etäisyys</v>
      </c>
      <c r="AI255" s="4" t="str">
        <f>IFERROR(__xludf.DUMMYFUNCTION("GOOGLETRANSLATE(B255,""en"",""hr"")"),"Udaljenost")</f>
        <v>Udaljenost</v>
      </c>
      <c r="AJ255" s="4" t="str">
        <f>IFERROR(__xludf.DUMMYFUNCTION("GOOGLETRANSLATE(B255,""en"",""hu"")"),"Távolság")</f>
        <v>Távolság</v>
      </c>
      <c r="AK255" s="4" t="str">
        <f>IFERROR(__xludf.DUMMYFUNCTION("GOOGLETRANSLATE(B255,""en"",""hy"")"),"Հեռավորությունը")</f>
        <v>Հեռավորությունը</v>
      </c>
      <c r="AL255" s="4" t="str">
        <f>IFERROR(__xludf.DUMMYFUNCTION("GOOGLETRANSLATE(B255,""en"",""ca"")"),"Distància")</f>
        <v>Distància</v>
      </c>
      <c r="AM255" s="4" t="str">
        <f>IFERROR(__xludf.DUMMYFUNCTION("GOOGLETRANSLATE(B255,""en"",""nl"")"),"Afstand")</f>
        <v>Afstand</v>
      </c>
      <c r="AN255" s="4" t="str">
        <f>IFERROR(__xludf.DUMMYFUNCTION("GOOGLETRANSLATE(B255,""en"",""he"")"),"מֶרְחָק")</f>
        <v>מֶרְחָק</v>
      </c>
      <c r="AO255" s="4" t="str">
        <f>IFERROR(__xludf.DUMMYFUNCTION("GOOGLETRANSLATE(B255,""en"",""is"")"),"Fjarlægð")</f>
        <v>Fjarlægð</v>
      </c>
      <c r="AP255" s="4" t="str">
        <f>IFERROR(__xludf.DUMMYFUNCTION("GOOGLETRANSLATE(B255,""en"",""no"")"),"Avstand")</f>
        <v>Avstand</v>
      </c>
      <c r="AQ255" s="4" t="str">
        <f>IFERROR(__xludf.DUMMYFUNCTION("GOOGLETRANSLATE(B255,""en"",""fa"")"),"فاصله")</f>
        <v>فاصله</v>
      </c>
      <c r="AR255" s="4" t="str">
        <f>IFERROR(__xludf.DUMMYFUNCTION("GOOGLETRANSLATE(B255,""en"",""pl"")"),"Dystans")</f>
        <v>Dystans</v>
      </c>
      <c r="AS255" s="4" t="str">
        <f>IFERROR(__xludf.DUMMYFUNCTION("GOOGLETRANSLATE(B255,""en"",""sv"")"),"Avstånd")</f>
        <v>Avstånd</v>
      </c>
      <c r="AT255" s="4" t="str">
        <f>IFERROR(__xludf.DUMMYFUNCTION("GOOGLETRANSLATE(B255,""en"",""uk"")"),"Відстань")</f>
        <v>Відстань</v>
      </c>
      <c r="AU255" s="4" t="str">
        <f>IFERROR(__xludf.DUMMYFUNCTION("GOOGLETRANSLATE(B255,""en"",""zu"")"),"Ibanga")</f>
        <v>Ibanga</v>
      </c>
      <c r="AV255" s="4" t="str">
        <f>IFERROR(__xludf.DUMMYFUNCTION("GOOGLETRANSLATE(B255,""en"",""sr"")"),"Удаљеност")</f>
        <v>Удаљеност</v>
      </c>
    </row>
    <row r="256">
      <c r="A256" s="3" t="s">
        <v>533</v>
      </c>
      <c r="B256" s="3" t="s">
        <v>534</v>
      </c>
      <c r="C256" s="4" t="str">
        <f>IFERROR(__xludf.DUMMYFUNCTION("GOOGLETRANSLATE(B256,""en"",""ta"")"),"படிகள்")</f>
        <v>படிகள்</v>
      </c>
      <c r="D256" s="4" t="str">
        <f>IFERROR(__xludf.DUMMYFUNCTION("GOOGLETRANSLATE(B256,""en"",""hi"")"),"कदम")</f>
        <v>कदम</v>
      </c>
      <c r="E256" s="4" t="str">
        <f>IFERROR(__xludf.DUMMYFUNCTION("GOOGLETRANSLATE(B256,""en"",""id"")"),"Tangga")</f>
        <v>Tangga</v>
      </c>
      <c r="F256" s="4" t="str">
        <f>IFERROR(__xludf.DUMMYFUNCTION("GOOGLETRANSLATE(B256,""en"",""ms"")"),"Langkah")</f>
        <v>Langkah</v>
      </c>
      <c r="G256" s="4" t="str">
        <f>IFERROR(__xludf.DUMMYFUNCTION("GOOGLETRANSLATE(B256,""en"",""de"")"),"Schritte")</f>
        <v>Schritte</v>
      </c>
      <c r="H256" s="4" t="str">
        <f>IFERROR(__xludf.DUMMYFUNCTION("GOOGLETRANSLATE(B256,""en"",""es"")"),"Pasos")</f>
        <v>Pasos</v>
      </c>
      <c r="I256" s="4" t="str">
        <f>IFERROR(__xludf.DUMMYFUNCTION("GOOGLETRANSLATE(B256,""en"",""fr"")"),"Mesures")</f>
        <v>Mesures</v>
      </c>
      <c r="J256" s="4" t="str">
        <f>IFERROR(__xludf.DUMMYFUNCTION("GOOGLETRANSLATE(B256,""en"",""it"")"),"Passi")</f>
        <v>Passi</v>
      </c>
      <c r="K256" s="4" t="str">
        <f>IFERROR(__xludf.DUMMYFUNCTION("GOOGLETRANSLATE(B256,""en"",""pt"")"),"Passos")</f>
        <v>Passos</v>
      </c>
      <c r="L256" s="4" t="str">
        <f>IFERROR(__xludf.DUMMYFUNCTION("GOOGLETRANSLATE(B256,""en"",""ro"")"),"Pași")</f>
        <v>Pași</v>
      </c>
      <c r="M256" s="4" t="str">
        <f>IFERROR(__xludf.DUMMYFUNCTION("GOOGLETRANSLATE(B256,""en"",""vi"")"),"Các bước")</f>
        <v>Các bước</v>
      </c>
      <c r="N256" s="4" t="str">
        <f>IFERROR(__xludf.DUMMYFUNCTION("GOOGLETRANSLATE(B256,""en"",""ru"")"),"Шаги")</f>
        <v>Шаги</v>
      </c>
      <c r="O256" s="4" t="str">
        <f>IFERROR(__xludf.DUMMYFUNCTION("GOOGLETRANSLATE(B256,""en"",""tr"")"),"Adımlar")</f>
        <v>Adımlar</v>
      </c>
      <c r="P256" s="4" t="str">
        <f>IFERROR(__xludf.DUMMYFUNCTION("GOOGLETRANSLATE(B256,""en"",""ar"")"),"خطوات")</f>
        <v>خطوات</v>
      </c>
      <c r="Q256" s="4" t="str">
        <f>IFERROR(__xludf.DUMMYFUNCTION("GOOGLETRANSLATE(B256,""en"",""mr"")"),"पायऱ्या")</f>
        <v>पायऱ्या</v>
      </c>
      <c r="R256" s="4" t="str">
        <f>IFERROR(__xludf.DUMMYFUNCTION("GOOGLETRANSLATE(B256,""en"",""gu"")"),"પગલાં")</f>
        <v>પગલાં</v>
      </c>
      <c r="S256" s="4" t="str">
        <f>IFERROR(__xludf.DUMMYFUNCTION("GOOGLETRANSLATE(B256,""en"",""bn"")"),"ধাপ")</f>
        <v>ধাপ</v>
      </c>
      <c r="T256" s="4" t="str">
        <f>IFERROR(__xludf.DUMMYFUNCTION("GOOGLETRANSLATE(B256,""en"",""pa"")"),"ਕਦਮ")</f>
        <v>ਕਦਮ</v>
      </c>
      <c r="U256" s="4" t="str">
        <f>IFERROR(__xludf.DUMMYFUNCTION("GOOGLETRANSLATE(B256,""en"",""te"")"),"దశలు")</f>
        <v>దశలు</v>
      </c>
      <c r="V256" s="4" t="str">
        <f>IFERROR(__xludf.DUMMYFUNCTION("GOOGLETRANSLATE(B256,""en"",""kn"")"),"ಹಂತಗಳು")</f>
        <v>ಹಂತಗಳು</v>
      </c>
      <c r="W256" s="4" t="str">
        <f>IFERROR(__xludf.DUMMYFUNCTION("GOOGLETRANSLATE(B256,""en"",""ml"")"),"പടികൾ")</f>
        <v>പടികൾ</v>
      </c>
      <c r="X256" s="4" t="str">
        <f>IFERROR(__xludf.DUMMYFUNCTION("GOOGLETRANSLATE(B256,""en"",""th"")"),"ขั้นตอน")</f>
        <v>ขั้นตอน</v>
      </c>
      <c r="Y256" s="4" t="str">
        <f>IFERROR(__xludf.DUMMYFUNCTION("GOOGLETRANSLATE(B256,""en"",""ko"")"),"단계")</f>
        <v>단계</v>
      </c>
      <c r="Z256" s="4" t="str">
        <f>IFERROR(__xludf.DUMMYFUNCTION("GOOGLETRANSLATE(B256,""en"",""zh"")"),"步骤")</f>
        <v>步骤</v>
      </c>
      <c r="AA256" s="4" t="str">
        <f>IFERROR(__xludf.DUMMYFUNCTION("GOOGLETRANSLATE(B256,""en"",""zh-TW"")"),"步驟")</f>
        <v>步驟</v>
      </c>
      <c r="AB256" s="4" t="str">
        <f>IFERROR(__xludf.DUMMYFUNCTION("GOOGLETRANSLATE(B256,""en"",""ja"")"),"手順")</f>
        <v>手順</v>
      </c>
      <c r="AC256" s="4" t="str">
        <f>IFERROR(__xludf.DUMMYFUNCTION("GOOGLETRANSLATE(B256,""en"",""bg"")"),"стъпки")</f>
        <v>стъпки</v>
      </c>
      <c r="AD256" s="4" t="str">
        <f>IFERROR(__xludf.DUMMYFUNCTION("GOOGLETRANSLATE(B256,""en"",""cs"")"),"Kroky")</f>
        <v>Kroky</v>
      </c>
      <c r="AE256" s="4" t="str">
        <f>IFERROR(__xludf.DUMMYFUNCTION("GOOGLETRANSLATE(B256,""en"",""da"")"),"Trin")</f>
        <v>Trin</v>
      </c>
      <c r="AF256" s="4" t="str">
        <f>IFERROR(__xludf.DUMMYFUNCTION("GOOGLETRANSLATE(B256,""en"",""el"")"),"Βήματα")</f>
        <v>Βήματα</v>
      </c>
      <c r="AG256" s="4" t="str">
        <f>IFERROR(__xludf.DUMMYFUNCTION("GOOGLETRANSLATE(B256,""en"",""et"")"),"Sammud")</f>
        <v>Sammud</v>
      </c>
      <c r="AH256" s="4" t="str">
        <f>IFERROR(__xludf.DUMMYFUNCTION("GOOGLETRANSLATE(B256,""en"",""fi"")"),"Vaiheet")</f>
        <v>Vaiheet</v>
      </c>
      <c r="AI256" s="4" t="str">
        <f>IFERROR(__xludf.DUMMYFUNCTION("GOOGLETRANSLATE(B256,""en"",""hr"")"),"Koraci")</f>
        <v>Koraci</v>
      </c>
      <c r="AJ256" s="4" t="str">
        <f>IFERROR(__xludf.DUMMYFUNCTION("GOOGLETRANSLATE(B256,""en"",""hu"")"),"Lépések")</f>
        <v>Lépések</v>
      </c>
      <c r="AK256" s="4" t="str">
        <f>IFERROR(__xludf.DUMMYFUNCTION("GOOGLETRANSLATE(B256,""en"",""hy"")"),"Քայլեր")</f>
        <v>Քայլեր</v>
      </c>
      <c r="AL256" s="4" t="str">
        <f>IFERROR(__xludf.DUMMYFUNCTION("GOOGLETRANSLATE(B256,""en"",""ca"")"),"Passos")</f>
        <v>Passos</v>
      </c>
      <c r="AM256" s="4" t="str">
        <f>IFERROR(__xludf.DUMMYFUNCTION("GOOGLETRANSLATE(B256,""en"",""nl"")"),"Stappen")</f>
        <v>Stappen</v>
      </c>
      <c r="AN256" s="4" t="str">
        <f>IFERROR(__xludf.DUMMYFUNCTION("GOOGLETRANSLATE(B256,""en"",""he"")"),"שלבים")</f>
        <v>שלבים</v>
      </c>
      <c r="AO256" s="4" t="str">
        <f>IFERROR(__xludf.DUMMYFUNCTION("GOOGLETRANSLATE(B256,""en"",""is"")"),"Skref")</f>
        <v>Skref</v>
      </c>
      <c r="AP256" s="4" t="str">
        <f>IFERROR(__xludf.DUMMYFUNCTION("GOOGLETRANSLATE(B256,""en"",""no"")"),"Trinn")</f>
        <v>Trinn</v>
      </c>
      <c r="AQ256" s="4" t="str">
        <f>IFERROR(__xludf.DUMMYFUNCTION("GOOGLETRANSLATE(B256,""en"",""fa"")"),"مراحل")</f>
        <v>مراحل</v>
      </c>
      <c r="AR256" s="4" t="str">
        <f>IFERROR(__xludf.DUMMYFUNCTION("GOOGLETRANSLATE(B256,""en"",""pl"")"),"Kroki")</f>
        <v>Kroki</v>
      </c>
      <c r="AS256" s="4" t="str">
        <f>IFERROR(__xludf.DUMMYFUNCTION("GOOGLETRANSLATE(B256,""en"",""sv"")"),"Steg")</f>
        <v>Steg</v>
      </c>
      <c r="AT256" s="4" t="str">
        <f>IFERROR(__xludf.DUMMYFUNCTION("GOOGLETRANSLATE(B256,""en"",""uk"")"),"кроки")</f>
        <v>кроки</v>
      </c>
      <c r="AU256" s="4" t="str">
        <f>IFERROR(__xludf.DUMMYFUNCTION("GOOGLETRANSLATE(B256,""en"",""zu"")"),"Izinyathelo")</f>
        <v>Izinyathelo</v>
      </c>
      <c r="AV256" s="4" t="str">
        <f>IFERROR(__xludf.DUMMYFUNCTION("GOOGLETRANSLATE(B256,""en"",""sr"")"),"Степс")</f>
        <v>Степс</v>
      </c>
    </row>
    <row r="257">
      <c r="A257" s="3" t="s">
        <v>535</v>
      </c>
      <c r="B257" s="3" t="s">
        <v>499</v>
      </c>
      <c r="C257" s="4" t="str">
        <f>IFERROR(__xludf.DUMMYFUNCTION("GOOGLETRANSLATE(B257,""en"",""ta"")"),"டைமர்")</f>
        <v>டைமர்</v>
      </c>
      <c r="D257" s="4" t="str">
        <f>IFERROR(__xludf.DUMMYFUNCTION("GOOGLETRANSLATE(B257,""en"",""hi"")"),"घड़ी")</f>
        <v>घड़ी</v>
      </c>
      <c r="E257" s="4" t="str">
        <f>IFERROR(__xludf.DUMMYFUNCTION("GOOGLETRANSLATE(B257,""en"",""id"")"),"Pengatur waktu")</f>
        <v>Pengatur waktu</v>
      </c>
      <c r="F257" s="4" t="str">
        <f>IFERROR(__xludf.DUMMYFUNCTION("GOOGLETRANSLATE(B257,""en"",""ms"")"),"Pemasa")</f>
        <v>Pemasa</v>
      </c>
      <c r="G257" s="4" t="str">
        <f>IFERROR(__xludf.DUMMYFUNCTION("GOOGLETRANSLATE(B257,""en"",""de"")"),"Timer")</f>
        <v>Timer</v>
      </c>
      <c r="H257" s="4" t="str">
        <f>IFERROR(__xludf.DUMMYFUNCTION("GOOGLETRANSLATE(B257,""en"",""es"")"),"Minutero")</f>
        <v>Minutero</v>
      </c>
      <c r="I257" s="4" t="str">
        <f>IFERROR(__xludf.DUMMYFUNCTION("GOOGLETRANSLATE(B257,""en"",""fr"")"),"Minuteur")</f>
        <v>Minuteur</v>
      </c>
      <c r="J257" s="4" t="str">
        <f>IFERROR(__xludf.DUMMYFUNCTION("GOOGLETRANSLATE(B257,""en"",""it"")"),"Timer")</f>
        <v>Timer</v>
      </c>
      <c r="K257" s="4" t="str">
        <f>IFERROR(__xludf.DUMMYFUNCTION("GOOGLETRANSLATE(B257,""en"",""pt"")"),"Temporizador")</f>
        <v>Temporizador</v>
      </c>
      <c r="L257" s="4" t="str">
        <f>IFERROR(__xludf.DUMMYFUNCTION("GOOGLETRANSLATE(B257,""en"",""ro"")"),"Cronometru")</f>
        <v>Cronometru</v>
      </c>
      <c r="M257" s="4" t="str">
        <f>IFERROR(__xludf.DUMMYFUNCTION("GOOGLETRANSLATE(B257,""en"",""vi"")"),"Bộ đếm thời gian")</f>
        <v>Bộ đếm thời gian</v>
      </c>
      <c r="N257" s="4" t="str">
        <f>IFERROR(__xludf.DUMMYFUNCTION("GOOGLETRANSLATE(B257,""en"",""ru"")"),"Таймер")</f>
        <v>Таймер</v>
      </c>
      <c r="O257" s="4" t="str">
        <f>IFERROR(__xludf.DUMMYFUNCTION("GOOGLETRANSLATE(B257,""en"",""tr"")"),"Zamanlayıcı")</f>
        <v>Zamanlayıcı</v>
      </c>
      <c r="P257" s="4" t="str">
        <f>IFERROR(__xludf.DUMMYFUNCTION("GOOGLETRANSLATE(B257,""en"",""ar"")"),"المؤقت")</f>
        <v>المؤقت</v>
      </c>
      <c r="Q257" s="4" t="str">
        <f>IFERROR(__xludf.DUMMYFUNCTION("GOOGLETRANSLATE(B257,""en"",""mr"")"),"टाइमर")</f>
        <v>टाइमर</v>
      </c>
      <c r="R257" s="4" t="str">
        <f>IFERROR(__xludf.DUMMYFUNCTION("GOOGLETRANSLATE(B257,""en"",""gu"")"),"ટાઈમર")</f>
        <v>ટાઈમર</v>
      </c>
      <c r="S257" s="4" t="str">
        <f>IFERROR(__xludf.DUMMYFUNCTION("GOOGLETRANSLATE(B257,""en"",""bn"")"),"টাইমার")</f>
        <v>টাইমার</v>
      </c>
      <c r="T257" s="4" t="str">
        <f>IFERROR(__xludf.DUMMYFUNCTION("GOOGLETRANSLATE(B257,""en"",""pa"")"),"ਟਾਈਮਰ")</f>
        <v>ਟਾਈਮਰ</v>
      </c>
      <c r="U257" s="4" t="str">
        <f>IFERROR(__xludf.DUMMYFUNCTION("GOOGLETRANSLATE(B257,""en"",""te"")"),"టైమర్")</f>
        <v>టైమర్</v>
      </c>
      <c r="V257" s="4" t="str">
        <f>IFERROR(__xludf.DUMMYFUNCTION("GOOGLETRANSLATE(B257,""en"",""kn"")"),"ಟೈಮರ್")</f>
        <v>ಟೈಮರ್</v>
      </c>
      <c r="W257" s="4" t="str">
        <f>IFERROR(__xludf.DUMMYFUNCTION("GOOGLETRANSLATE(B257,""en"",""ml"")"),"ടൈമർ")</f>
        <v>ടൈമർ</v>
      </c>
      <c r="X257" s="4" t="str">
        <f>IFERROR(__xludf.DUMMYFUNCTION("GOOGLETRANSLATE(B257,""en"",""th"")"),"ตัวจับเวลา")</f>
        <v>ตัวจับเวลา</v>
      </c>
      <c r="Y257" s="4" t="str">
        <f>IFERROR(__xludf.DUMMYFUNCTION("GOOGLETRANSLATE(B257,""en"",""ko"")"),"시간제 노동자")</f>
        <v>시간제 노동자</v>
      </c>
      <c r="Z257" s="4" t="str">
        <f>IFERROR(__xludf.DUMMYFUNCTION("GOOGLETRANSLATE(B257,""en"",""zh"")"),"计时器")</f>
        <v>计时器</v>
      </c>
      <c r="AA257" s="4" t="str">
        <f>IFERROR(__xludf.DUMMYFUNCTION("GOOGLETRANSLATE(B257,""en"",""zh-TW"")"),"計時器")</f>
        <v>計時器</v>
      </c>
      <c r="AB257" s="4" t="str">
        <f>IFERROR(__xludf.DUMMYFUNCTION("GOOGLETRANSLATE(B257,""en"",""ja"")"),"タイマー")</f>
        <v>タイマー</v>
      </c>
      <c r="AC257" s="4" t="str">
        <f>IFERROR(__xludf.DUMMYFUNCTION("GOOGLETRANSLATE(B257,""en"",""bg"")"),"Таймер")</f>
        <v>Таймер</v>
      </c>
      <c r="AD257" s="4" t="str">
        <f>IFERROR(__xludf.DUMMYFUNCTION("GOOGLETRANSLATE(B257,""en"",""cs"")"),"Časovač")</f>
        <v>Časovač</v>
      </c>
      <c r="AE257" s="4" t="str">
        <f>IFERROR(__xludf.DUMMYFUNCTION("GOOGLETRANSLATE(B257,""en"",""da"")"),"Timer")</f>
        <v>Timer</v>
      </c>
      <c r="AF257" s="4" t="str">
        <f>IFERROR(__xludf.DUMMYFUNCTION("GOOGLETRANSLATE(B257,""en"",""el"")"),"Μετρών την ώραν")</f>
        <v>Μετρών την ώραν</v>
      </c>
      <c r="AG257" s="4" t="str">
        <f>IFERROR(__xludf.DUMMYFUNCTION("GOOGLETRANSLATE(B257,""en"",""et"")"),"Taimer")</f>
        <v>Taimer</v>
      </c>
      <c r="AH257" s="4" t="str">
        <f>IFERROR(__xludf.DUMMYFUNCTION("GOOGLETRANSLATE(B257,""en"",""fi"")"),"Ajastin")</f>
        <v>Ajastin</v>
      </c>
      <c r="AI257" s="4" t="str">
        <f>IFERROR(__xludf.DUMMYFUNCTION("GOOGLETRANSLATE(B257,""en"",""hr"")"),"Odbrojavanje vremena")</f>
        <v>Odbrojavanje vremena</v>
      </c>
      <c r="AJ257" s="4" t="str">
        <f>IFERROR(__xludf.DUMMYFUNCTION("GOOGLETRANSLATE(B257,""en"",""hu"")"),"Időzítő")</f>
        <v>Időzítő</v>
      </c>
      <c r="AK257" s="4" t="str">
        <f>IFERROR(__xludf.DUMMYFUNCTION("GOOGLETRANSLATE(B257,""en"",""hy"")"),"Ժամաչափ")</f>
        <v>Ժամաչափ</v>
      </c>
      <c r="AL257" s="4" t="str">
        <f>IFERROR(__xludf.DUMMYFUNCTION("GOOGLETRANSLATE(B257,""en"",""ca"")"),"Temporitzador")</f>
        <v>Temporitzador</v>
      </c>
      <c r="AM257" s="4" t="str">
        <f>IFERROR(__xludf.DUMMYFUNCTION("GOOGLETRANSLATE(B257,""en"",""nl"")"),"Timer")</f>
        <v>Timer</v>
      </c>
      <c r="AN257" s="4" t="str">
        <f>IFERROR(__xludf.DUMMYFUNCTION("GOOGLETRANSLATE(B257,""en"",""he"")"),"שָׁעוֹן עֶצֶר")</f>
        <v>שָׁעוֹן עֶצֶר</v>
      </c>
      <c r="AO257" s="4" t="str">
        <f>IFERROR(__xludf.DUMMYFUNCTION("GOOGLETRANSLATE(B257,""en"",""is"")"),"Tímamælir")</f>
        <v>Tímamælir</v>
      </c>
      <c r="AP257" s="4" t="str">
        <f>IFERROR(__xludf.DUMMYFUNCTION("GOOGLETRANSLATE(B257,""en"",""no"")"),"Timer")</f>
        <v>Timer</v>
      </c>
      <c r="AQ257" s="4" t="str">
        <f>IFERROR(__xludf.DUMMYFUNCTION("GOOGLETRANSLATE(B257,""en"",""fa"")"),"تایمر")</f>
        <v>تایمر</v>
      </c>
      <c r="AR257" s="4" t="str">
        <f>IFERROR(__xludf.DUMMYFUNCTION("GOOGLETRANSLATE(B257,""en"",""pl"")"),"Regulator czasowy")</f>
        <v>Regulator czasowy</v>
      </c>
      <c r="AS257" s="4" t="str">
        <f>IFERROR(__xludf.DUMMYFUNCTION("GOOGLETRANSLATE(B257,""en"",""sv"")"),"Timer")</f>
        <v>Timer</v>
      </c>
      <c r="AT257" s="4" t="str">
        <f>IFERROR(__xludf.DUMMYFUNCTION("GOOGLETRANSLATE(B257,""en"",""uk"")"),"Таймер")</f>
        <v>Таймер</v>
      </c>
      <c r="AU257" s="4" t="str">
        <f>IFERROR(__xludf.DUMMYFUNCTION("GOOGLETRANSLATE(B257,""en"",""zu"")"),"Isikhathi")</f>
        <v>Isikhathi</v>
      </c>
      <c r="AV257" s="4" t="str">
        <f>IFERROR(__xludf.DUMMYFUNCTION("GOOGLETRANSLATE(B257,""en"",""sr"")"),"Тајмер")</f>
        <v>Тајмер</v>
      </c>
    </row>
    <row r="258">
      <c r="A258" s="3" t="s">
        <v>536</v>
      </c>
      <c r="B258" s="3" t="s">
        <v>191</v>
      </c>
      <c r="C258" s="4" t="str">
        <f>IFERROR(__xludf.DUMMYFUNCTION("GOOGLETRANSLATE(B258,""en"",""ta"")"),"வானிலை")</f>
        <v>வானிலை</v>
      </c>
      <c r="D258" s="4" t="str">
        <f>IFERROR(__xludf.DUMMYFUNCTION("GOOGLETRANSLATE(B258,""en"",""hi"")"),"मौसम")</f>
        <v>मौसम</v>
      </c>
      <c r="E258" s="4" t="str">
        <f>IFERROR(__xludf.DUMMYFUNCTION("GOOGLETRANSLATE(B258,""en"",""id"")"),"Cuaca")</f>
        <v>Cuaca</v>
      </c>
      <c r="F258" s="4" t="str">
        <f>IFERROR(__xludf.DUMMYFUNCTION("GOOGLETRANSLATE(B258,""en"",""ms"")"),"Cuaca")</f>
        <v>Cuaca</v>
      </c>
      <c r="G258" s="4" t="str">
        <f>IFERROR(__xludf.DUMMYFUNCTION("GOOGLETRANSLATE(B258,""en"",""de"")"),"Wetter")</f>
        <v>Wetter</v>
      </c>
      <c r="H258" s="4" t="str">
        <f>IFERROR(__xludf.DUMMYFUNCTION("GOOGLETRANSLATE(B258,""en"",""es"")"),"Clima")</f>
        <v>Clima</v>
      </c>
      <c r="I258" s="4" t="str">
        <f>IFERROR(__xludf.DUMMYFUNCTION("GOOGLETRANSLATE(B258,""en"",""fr"")"),"Météo")</f>
        <v>Météo</v>
      </c>
      <c r="J258" s="4" t="str">
        <f>IFERROR(__xludf.DUMMYFUNCTION("GOOGLETRANSLATE(B258,""en"",""it"")"),"Tempo atmosferico")</f>
        <v>Tempo atmosferico</v>
      </c>
      <c r="K258" s="4" t="str">
        <f>IFERROR(__xludf.DUMMYFUNCTION("GOOGLETRANSLATE(B258,""en"",""pt"")"),"Clima")</f>
        <v>Clima</v>
      </c>
      <c r="L258" s="4" t="str">
        <f>IFERROR(__xludf.DUMMYFUNCTION("GOOGLETRANSLATE(B258,""en"",""ro"")"),"Vreme")</f>
        <v>Vreme</v>
      </c>
      <c r="M258" s="4" t="str">
        <f>IFERROR(__xludf.DUMMYFUNCTION("GOOGLETRANSLATE(B258,""en"",""vi"")"),"Thời tiết")</f>
        <v>Thời tiết</v>
      </c>
      <c r="N258" s="4" t="str">
        <f>IFERROR(__xludf.DUMMYFUNCTION("GOOGLETRANSLATE(B258,""en"",""ru"")"),"Погода")</f>
        <v>Погода</v>
      </c>
      <c r="O258" s="4" t="str">
        <f>IFERROR(__xludf.DUMMYFUNCTION("GOOGLETRANSLATE(B258,""en"",""tr"")"),"Hava durumu")</f>
        <v>Hava durumu</v>
      </c>
      <c r="P258" s="4" t="str">
        <f>IFERROR(__xludf.DUMMYFUNCTION("GOOGLETRANSLATE(B258,""en"",""ar"")"),"طقس")</f>
        <v>طقس</v>
      </c>
      <c r="Q258" s="4" t="str">
        <f>IFERROR(__xludf.DUMMYFUNCTION("GOOGLETRANSLATE(B258,""en"",""mr"")"),"हवामान")</f>
        <v>हवामान</v>
      </c>
      <c r="R258" s="4" t="str">
        <f>IFERROR(__xludf.DUMMYFUNCTION("GOOGLETRANSLATE(B258,""en"",""gu"")"),"હવામાન")</f>
        <v>હવામાન</v>
      </c>
      <c r="S258" s="4" t="str">
        <f>IFERROR(__xludf.DUMMYFUNCTION("GOOGLETRANSLATE(B258,""en"",""bn"")"),"আবহাওয়া")</f>
        <v>আবহাওয়া</v>
      </c>
      <c r="T258" s="4" t="str">
        <f>IFERROR(__xludf.DUMMYFUNCTION("GOOGLETRANSLATE(B258,""en"",""pa"")"),"ਮੌਸਮ")</f>
        <v>ਮੌਸਮ</v>
      </c>
      <c r="U258" s="4" t="str">
        <f>IFERROR(__xludf.DUMMYFUNCTION("GOOGLETRANSLATE(B258,""en"",""te"")"),"వాతావరణం")</f>
        <v>వాతావరణం</v>
      </c>
      <c r="V258" s="4" t="str">
        <f>IFERROR(__xludf.DUMMYFUNCTION("GOOGLETRANSLATE(B258,""en"",""kn"")"),"ಹವಾಮಾನ")</f>
        <v>ಹವಾಮಾನ</v>
      </c>
      <c r="W258" s="4" t="str">
        <f>IFERROR(__xludf.DUMMYFUNCTION("GOOGLETRANSLATE(B258,""en"",""ml"")"),"കാലാവസ്ഥ")</f>
        <v>കാലാവസ്ഥ</v>
      </c>
      <c r="X258" s="4" t="str">
        <f>IFERROR(__xludf.DUMMYFUNCTION("GOOGLETRANSLATE(B258,""en"",""th"")"),"สภาพอากาศ")</f>
        <v>สภาพอากาศ</v>
      </c>
      <c r="Y258" s="4" t="str">
        <f>IFERROR(__xludf.DUMMYFUNCTION("GOOGLETRANSLATE(B258,""en"",""ko"")"),"날씨")</f>
        <v>날씨</v>
      </c>
      <c r="Z258" s="4" t="str">
        <f>IFERROR(__xludf.DUMMYFUNCTION("GOOGLETRANSLATE(B258,""en"",""zh"")"),"天气")</f>
        <v>天气</v>
      </c>
      <c r="AA258" s="4" t="str">
        <f>IFERROR(__xludf.DUMMYFUNCTION("GOOGLETRANSLATE(B258,""en"",""zh-TW"")"),"天氣")</f>
        <v>天氣</v>
      </c>
      <c r="AB258" s="4" t="str">
        <f>IFERROR(__xludf.DUMMYFUNCTION("GOOGLETRANSLATE(B258,""en"",""ja"")"),"天気")</f>
        <v>天気</v>
      </c>
      <c r="AC258" s="4" t="str">
        <f>IFERROR(__xludf.DUMMYFUNCTION("GOOGLETRANSLATE(B258,""en"",""bg"")"),"Времето")</f>
        <v>Времето</v>
      </c>
      <c r="AD258" s="4" t="str">
        <f>IFERROR(__xludf.DUMMYFUNCTION("GOOGLETRANSLATE(B258,""en"",""cs"")"),"Počasí")</f>
        <v>Počasí</v>
      </c>
      <c r="AE258" s="4" t="str">
        <f>IFERROR(__xludf.DUMMYFUNCTION("GOOGLETRANSLATE(B258,""en"",""da"")"),"Vejr")</f>
        <v>Vejr</v>
      </c>
      <c r="AF258" s="4" t="str">
        <f>IFERROR(__xludf.DUMMYFUNCTION("GOOGLETRANSLATE(B258,""en"",""el"")"),"Καιρός")</f>
        <v>Καιρός</v>
      </c>
      <c r="AG258" s="4" t="str">
        <f>IFERROR(__xludf.DUMMYFUNCTION("GOOGLETRANSLATE(B258,""en"",""et"")"),"Ilm")</f>
        <v>Ilm</v>
      </c>
      <c r="AH258" s="4" t="str">
        <f>IFERROR(__xludf.DUMMYFUNCTION("GOOGLETRANSLATE(B258,""en"",""fi"")"),"Sää")</f>
        <v>Sää</v>
      </c>
      <c r="AI258" s="4" t="str">
        <f>IFERROR(__xludf.DUMMYFUNCTION("GOOGLETRANSLATE(B258,""en"",""hr"")"),"Vrijeme")</f>
        <v>Vrijeme</v>
      </c>
      <c r="AJ258" s="4" t="str">
        <f>IFERROR(__xludf.DUMMYFUNCTION("GOOGLETRANSLATE(B258,""en"",""hu"")"),"Időjárás")</f>
        <v>Időjárás</v>
      </c>
      <c r="AK258" s="4" t="str">
        <f>IFERROR(__xludf.DUMMYFUNCTION("GOOGLETRANSLATE(B258,""en"",""hy"")"),"Եղանակ")</f>
        <v>Եղանակ</v>
      </c>
      <c r="AL258" s="4" t="str">
        <f>IFERROR(__xludf.DUMMYFUNCTION("GOOGLETRANSLATE(B258,""en"",""ca"")"),"El temps")</f>
        <v>El temps</v>
      </c>
      <c r="AM258" s="4" t="str">
        <f>IFERROR(__xludf.DUMMYFUNCTION("GOOGLETRANSLATE(B258,""en"",""nl"")"),"Weer")</f>
        <v>Weer</v>
      </c>
      <c r="AN258" s="4" t="str">
        <f>IFERROR(__xludf.DUMMYFUNCTION("GOOGLETRANSLATE(B258,""en"",""he"")"),"מֶזֶג אֲוִיר")</f>
        <v>מֶזֶג אֲוִיר</v>
      </c>
      <c r="AO258" s="4" t="str">
        <f>IFERROR(__xludf.DUMMYFUNCTION("GOOGLETRANSLATE(B258,""en"",""is"")"),"Veður")</f>
        <v>Veður</v>
      </c>
      <c r="AP258" s="4" t="str">
        <f>IFERROR(__xludf.DUMMYFUNCTION("GOOGLETRANSLATE(B258,""en"",""no"")"),"Vær")</f>
        <v>Vær</v>
      </c>
      <c r="AQ258" s="4" t="str">
        <f>IFERROR(__xludf.DUMMYFUNCTION("GOOGLETRANSLATE(B258,""en"",""fa"")"),"آب و هوا")</f>
        <v>آب و هوا</v>
      </c>
      <c r="AR258" s="4" t="str">
        <f>IFERROR(__xludf.DUMMYFUNCTION("GOOGLETRANSLATE(B258,""en"",""pl"")"),"Pogoda")</f>
        <v>Pogoda</v>
      </c>
      <c r="AS258" s="4" t="str">
        <f>IFERROR(__xludf.DUMMYFUNCTION("GOOGLETRANSLATE(B258,""en"",""sv"")"),"Väder")</f>
        <v>Väder</v>
      </c>
      <c r="AT258" s="4" t="str">
        <f>IFERROR(__xludf.DUMMYFUNCTION("GOOGLETRANSLATE(B258,""en"",""uk"")"),"Погода")</f>
        <v>Погода</v>
      </c>
      <c r="AU258" s="4" t="str">
        <f>IFERROR(__xludf.DUMMYFUNCTION("GOOGLETRANSLATE(B258,""en"",""zu"")"),"Isimo sezulu")</f>
        <v>Isimo sezulu</v>
      </c>
      <c r="AV258" s="4" t="str">
        <f>IFERROR(__xludf.DUMMYFUNCTION("GOOGLETRANSLATE(B258,""en"",""sr"")"),"Време")</f>
        <v>Време</v>
      </c>
    </row>
    <row r="259">
      <c r="A259" s="3" t="s">
        <v>537</v>
      </c>
      <c r="B259" s="3" t="s">
        <v>111</v>
      </c>
      <c r="C259" s="4" t="str">
        <f>IFERROR(__xludf.DUMMYFUNCTION("GOOGLETRANSLATE(B259,""en"",""ta"")"),"திசைகாட்டி")</f>
        <v>திசைகாட்டி</v>
      </c>
      <c r="D259" s="4" t="str">
        <f>IFERROR(__xludf.DUMMYFUNCTION("GOOGLETRANSLATE(B259,""en"",""hi"")"),"कम्पास")</f>
        <v>कम्पास</v>
      </c>
      <c r="E259" s="4" t="str">
        <f>IFERROR(__xludf.DUMMYFUNCTION("GOOGLETRANSLATE(B259,""en"",""id"")"),"Kompas")</f>
        <v>Kompas</v>
      </c>
      <c r="F259" s="4" t="str">
        <f>IFERROR(__xludf.DUMMYFUNCTION("GOOGLETRANSLATE(B259,""en"",""ms"")"),"Kompas")</f>
        <v>Kompas</v>
      </c>
      <c r="G259" s="4" t="str">
        <f>IFERROR(__xludf.DUMMYFUNCTION("GOOGLETRANSLATE(B259,""en"",""de"")"),"Kompass")</f>
        <v>Kompass</v>
      </c>
      <c r="H259" s="4" t="str">
        <f>IFERROR(__xludf.DUMMYFUNCTION("GOOGLETRANSLATE(B259,""en"",""es"")"),"Brújula")</f>
        <v>Brújula</v>
      </c>
      <c r="I259" s="4" t="str">
        <f>IFERROR(__xludf.DUMMYFUNCTION("GOOGLETRANSLATE(B259,""en"",""fr"")"),"Boussole")</f>
        <v>Boussole</v>
      </c>
      <c r="J259" s="4" t="str">
        <f>IFERROR(__xludf.DUMMYFUNCTION("GOOGLETRANSLATE(B259,""en"",""it"")"),"Bussola")</f>
        <v>Bussola</v>
      </c>
      <c r="K259" s="4" t="str">
        <f>IFERROR(__xludf.DUMMYFUNCTION("GOOGLETRANSLATE(B259,""en"",""pt"")"),"Bússola")</f>
        <v>Bússola</v>
      </c>
      <c r="L259" s="4" t="str">
        <f>IFERROR(__xludf.DUMMYFUNCTION("GOOGLETRANSLATE(B259,""en"",""ro"")"),"Busolă")</f>
        <v>Busolă</v>
      </c>
      <c r="M259" s="4" t="str">
        <f>IFERROR(__xludf.DUMMYFUNCTION("GOOGLETRANSLATE(B259,""en"",""vi"")"),"La bàn")</f>
        <v>La bàn</v>
      </c>
      <c r="N259" s="4" t="str">
        <f>IFERROR(__xludf.DUMMYFUNCTION("GOOGLETRANSLATE(B259,""en"",""ru"")"),"Компас")</f>
        <v>Компас</v>
      </c>
      <c r="O259" s="4" t="str">
        <f>IFERROR(__xludf.DUMMYFUNCTION("GOOGLETRANSLATE(B259,""en"",""tr"")"),"Pusula")</f>
        <v>Pusula</v>
      </c>
      <c r="P259" s="4" t="str">
        <f>IFERROR(__xludf.DUMMYFUNCTION("GOOGLETRANSLATE(B259,""en"",""ar"")"),"بوصلة")</f>
        <v>بوصلة</v>
      </c>
      <c r="Q259" s="4" t="str">
        <f>IFERROR(__xludf.DUMMYFUNCTION("GOOGLETRANSLATE(B259,""en"",""mr"")"),"होकायंत्र")</f>
        <v>होकायंत्र</v>
      </c>
      <c r="R259" s="4" t="str">
        <f>IFERROR(__xludf.DUMMYFUNCTION("GOOGLETRANSLATE(B259,""en"",""gu"")"),"હોકાયંત્ર")</f>
        <v>હોકાયંત્ર</v>
      </c>
      <c r="S259" s="4" t="str">
        <f>IFERROR(__xludf.DUMMYFUNCTION("GOOGLETRANSLATE(B259,""en"",""bn"")"),"কম্পাস")</f>
        <v>কম্পাস</v>
      </c>
      <c r="T259" s="4" t="str">
        <f>IFERROR(__xludf.DUMMYFUNCTION("GOOGLETRANSLATE(B259,""en"",""pa"")"),"ਕੰਪਾਸ")</f>
        <v>ਕੰਪਾਸ</v>
      </c>
      <c r="U259" s="4" t="str">
        <f>IFERROR(__xludf.DUMMYFUNCTION("GOOGLETRANSLATE(B259,""en"",""te"")"),"దిక్సూచి")</f>
        <v>దిక్సూచి</v>
      </c>
      <c r="V259" s="4" t="str">
        <f>IFERROR(__xludf.DUMMYFUNCTION("GOOGLETRANSLATE(B259,""en"",""kn"")"),"ದಿಕ್ಸೂಚಿ")</f>
        <v>ದಿಕ್ಸೂಚಿ</v>
      </c>
      <c r="W259" s="4" t="str">
        <f>IFERROR(__xludf.DUMMYFUNCTION("GOOGLETRANSLATE(B259,""en"",""ml"")"),"കോമ്പസ്")</f>
        <v>കോമ്പസ്</v>
      </c>
      <c r="X259" s="4" t="str">
        <f>IFERROR(__xludf.DUMMYFUNCTION("GOOGLETRANSLATE(B259,""en"",""th"")"),"เข็มทิศ")</f>
        <v>เข็มทิศ</v>
      </c>
      <c r="Y259" s="4" t="str">
        <f>IFERROR(__xludf.DUMMYFUNCTION("GOOGLETRANSLATE(B259,""en"",""ko"")"),"나침반")</f>
        <v>나침반</v>
      </c>
      <c r="Z259" s="4" t="str">
        <f>IFERROR(__xludf.DUMMYFUNCTION("GOOGLETRANSLATE(B259,""en"",""zh"")"),"罗盘")</f>
        <v>罗盘</v>
      </c>
      <c r="AA259" s="4" t="str">
        <f>IFERROR(__xludf.DUMMYFUNCTION("GOOGLETRANSLATE(B259,""en"",""zh-TW"")"),"羅盤")</f>
        <v>羅盤</v>
      </c>
      <c r="AB259" s="4" t="str">
        <f>IFERROR(__xludf.DUMMYFUNCTION("GOOGLETRANSLATE(B259,""en"",""ja"")"),"コンパス")</f>
        <v>コンパス</v>
      </c>
      <c r="AC259" s="4" t="str">
        <f>IFERROR(__xludf.DUMMYFUNCTION("GOOGLETRANSLATE(B259,""en"",""bg"")"),"Компас")</f>
        <v>Компас</v>
      </c>
      <c r="AD259" s="4" t="str">
        <f>IFERROR(__xludf.DUMMYFUNCTION("GOOGLETRANSLATE(B259,""en"",""cs"")"),"Kompas")</f>
        <v>Kompas</v>
      </c>
      <c r="AE259" s="4" t="str">
        <f>IFERROR(__xludf.DUMMYFUNCTION("GOOGLETRANSLATE(B259,""en"",""da"")"),"Kompas")</f>
        <v>Kompas</v>
      </c>
      <c r="AF259" s="4" t="str">
        <f>IFERROR(__xludf.DUMMYFUNCTION("GOOGLETRANSLATE(B259,""en"",""el"")"),"Πυξίδα")</f>
        <v>Πυξίδα</v>
      </c>
      <c r="AG259" s="4" t="str">
        <f>IFERROR(__xludf.DUMMYFUNCTION("GOOGLETRANSLATE(B259,""en"",""et"")"),"Kompass")</f>
        <v>Kompass</v>
      </c>
      <c r="AH259" s="4" t="str">
        <f>IFERROR(__xludf.DUMMYFUNCTION("GOOGLETRANSLATE(B259,""en"",""fi"")"),"Kompassi")</f>
        <v>Kompassi</v>
      </c>
      <c r="AI259" s="4" t="str">
        <f>IFERROR(__xludf.DUMMYFUNCTION("GOOGLETRANSLATE(B259,""en"",""hr"")"),"Kompas")</f>
        <v>Kompas</v>
      </c>
      <c r="AJ259" s="4" t="str">
        <f>IFERROR(__xludf.DUMMYFUNCTION("GOOGLETRANSLATE(B259,""en"",""hu"")"),"Iránytű")</f>
        <v>Iránytű</v>
      </c>
      <c r="AK259" s="4" t="str">
        <f>IFERROR(__xludf.DUMMYFUNCTION("GOOGLETRANSLATE(B259,""en"",""hy"")"),"Կողմնացույց")</f>
        <v>Կողմնացույց</v>
      </c>
      <c r="AL259" s="4" t="str">
        <f>IFERROR(__xludf.DUMMYFUNCTION("GOOGLETRANSLATE(B259,""en"",""ca"")"),"Brúixola")</f>
        <v>Brúixola</v>
      </c>
      <c r="AM259" s="4" t="str">
        <f>IFERROR(__xludf.DUMMYFUNCTION("GOOGLETRANSLATE(B259,""en"",""nl"")"),"Kompas")</f>
        <v>Kompas</v>
      </c>
      <c r="AN259" s="4" t="str">
        <f>IFERROR(__xludf.DUMMYFUNCTION("GOOGLETRANSLATE(B259,""en"",""he"")"),"מַצְפֵּן")</f>
        <v>מַצְפֵּן</v>
      </c>
      <c r="AO259" s="4" t="str">
        <f>IFERROR(__xludf.DUMMYFUNCTION("GOOGLETRANSLATE(B259,""en"",""is"")"),"Áttaviti")</f>
        <v>Áttaviti</v>
      </c>
      <c r="AP259" s="4" t="str">
        <f>IFERROR(__xludf.DUMMYFUNCTION("GOOGLETRANSLATE(B259,""en"",""no"")"),"Kompass")</f>
        <v>Kompass</v>
      </c>
      <c r="AQ259" s="4" t="str">
        <f>IFERROR(__xludf.DUMMYFUNCTION("GOOGLETRANSLATE(B259,""en"",""fa"")"),"قطب نما")</f>
        <v>قطب نما</v>
      </c>
      <c r="AR259" s="4" t="str">
        <f>IFERROR(__xludf.DUMMYFUNCTION("GOOGLETRANSLATE(B259,""en"",""pl"")"),"Kompas")</f>
        <v>Kompas</v>
      </c>
      <c r="AS259" s="4" t="str">
        <f>IFERROR(__xludf.DUMMYFUNCTION("GOOGLETRANSLATE(B259,""en"",""sv"")"),"Kompass")</f>
        <v>Kompass</v>
      </c>
      <c r="AT259" s="4" t="str">
        <f>IFERROR(__xludf.DUMMYFUNCTION("GOOGLETRANSLATE(B259,""en"",""uk"")"),"компас")</f>
        <v>компас</v>
      </c>
      <c r="AU259" s="4" t="str">
        <f>IFERROR(__xludf.DUMMYFUNCTION("GOOGLETRANSLATE(B259,""en"",""zu"")"),"Ikhampasi")</f>
        <v>Ikhampasi</v>
      </c>
      <c r="AV259" s="4" t="str">
        <f>IFERROR(__xludf.DUMMYFUNCTION("GOOGLETRANSLATE(B259,""en"",""sr"")"),"Компас")</f>
        <v>Компас</v>
      </c>
    </row>
    <row r="260">
      <c r="A260" s="3" t="s">
        <v>538</v>
      </c>
      <c r="B260" s="3" t="s">
        <v>539</v>
      </c>
      <c r="C260" s="4" t="str">
        <f>IFERROR(__xludf.DUMMYFUNCTION("GOOGLETRANSLATE(B260,""en"",""ta"")"),"தூரம் மற்றும் உயர கண்காணிப்பு")</f>
        <v>தூரம் மற்றும் உயர கண்காணிப்பு</v>
      </c>
      <c r="D260" s="4" t="str">
        <f>IFERROR(__xludf.DUMMYFUNCTION("GOOGLETRANSLATE(B260,""en"",""hi"")"),"दूरी और ऊंचाई ट्रैकिंग")</f>
        <v>दूरी और ऊंचाई ट्रैकिंग</v>
      </c>
      <c r="E260" s="4" t="str">
        <f>IFERROR(__xludf.DUMMYFUNCTION("GOOGLETRANSLATE(B260,""en"",""id"")"),"Pelacakan jarak dan ketinggian")</f>
        <v>Pelacakan jarak dan ketinggian</v>
      </c>
      <c r="F260" s="4" t="str">
        <f>IFERROR(__xludf.DUMMYFUNCTION("GOOGLETRANSLATE(B260,""en"",""ms"")"),"Penjejakan jarak dan ketinggian")</f>
        <v>Penjejakan jarak dan ketinggian</v>
      </c>
      <c r="G260" s="4" t="str">
        <f>IFERROR(__xludf.DUMMYFUNCTION("GOOGLETRANSLATE(B260,""en"",""de"")"),"Distanz- und Höhenmessung")</f>
        <v>Distanz- und Höhenmessung</v>
      </c>
      <c r="H260" s="4" t="str">
        <f>IFERROR(__xludf.DUMMYFUNCTION("GOOGLETRANSLATE(B260,""en"",""es"")"),"Seguimiento de distancia y elevación")</f>
        <v>Seguimiento de distancia y elevación</v>
      </c>
      <c r="I260" s="4" t="str">
        <f>IFERROR(__xludf.DUMMYFUNCTION("GOOGLETRANSLATE(B260,""en"",""fr"")"),"Suivi de la distance et de l'altitude")</f>
        <v>Suivi de la distance et de l'altitude</v>
      </c>
      <c r="J260" s="4" t="str">
        <f>IFERROR(__xludf.DUMMYFUNCTION("GOOGLETRANSLATE(B260,""en"",""it"")"),"Monitoraggio della distanza e dell'altitudine")</f>
        <v>Monitoraggio della distanza e dell'altitudine</v>
      </c>
      <c r="K260" s="4" t="str">
        <f>IFERROR(__xludf.DUMMYFUNCTION("GOOGLETRANSLATE(B260,""en"",""pt"")"),"Rastreamento de distância e elevação")</f>
        <v>Rastreamento de distância e elevação</v>
      </c>
      <c r="L260" s="4" t="str">
        <f>IFERROR(__xludf.DUMMYFUNCTION("GOOGLETRANSLATE(B260,""en"",""ro"")"),"Urmărirea distanței și a cotei")</f>
        <v>Urmărirea distanței și a cotei</v>
      </c>
      <c r="M260" s="4" t="str">
        <f>IFERROR(__xludf.DUMMYFUNCTION("GOOGLETRANSLATE(B260,""en"",""vi"")"),"Theo dõi khoảng cách và độ cao")</f>
        <v>Theo dõi khoảng cách và độ cao</v>
      </c>
      <c r="N260" s="4" t="str">
        <f>IFERROR(__xludf.DUMMYFUNCTION("GOOGLETRANSLATE(B260,""en"",""ru"")"),"Отслеживание расстояния и высоты")</f>
        <v>Отслеживание расстояния и высоты</v>
      </c>
      <c r="O260" s="4" t="str">
        <f>IFERROR(__xludf.DUMMYFUNCTION("GOOGLETRANSLATE(B260,""en"",""tr"")"),"Mesafe ve yükseklik takibi")</f>
        <v>Mesafe ve yükseklik takibi</v>
      </c>
      <c r="P260" s="4" t="str">
        <f>IFERROR(__xludf.DUMMYFUNCTION("GOOGLETRANSLATE(B260,""en"",""ar"")"),"تتبع المسافة والارتفاع")</f>
        <v>تتبع المسافة والارتفاع</v>
      </c>
      <c r="Q260" s="4" t="str">
        <f>IFERROR(__xludf.DUMMYFUNCTION("GOOGLETRANSLATE(B260,""en"",""mr"")"),"अंतर आणि उंची ट्रॅकिंग")</f>
        <v>अंतर आणि उंची ट्रॅकिंग</v>
      </c>
      <c r="R260" s="4" t="str">
        <f>IFERROR(__xludf.DUMMYFUNCTION("GOOGLETRANSLATE(B260,""en"",""gu"")"),"અંતર અને એલિવેશન ટ્રેકિંગ")</f>
        <v>અંતર અને એલિવેશન ટ્રેકિંગ</v>
      </c>
      <c r="S260" s="4" t="str">
        <f>IFERROR(__xludf.DUMMYFUNCTION("GOOGLETRANSLATE(B260,""en"",""bn"")"),"দূরত্ব এবং উচ্চতা ট্র্যাকিং")</f>
        <v>দূরত্ব এবং উচ্চতা ট্র্যাকিং</v>
      </c>
      <c r="T260" s="4" t="str">
        <f>IFERROR(__xludf.DUMMYFUNCTION("GOOGLETRANSLATE(B260,""en"",""pa"")"),"ਦੂਰੀ ਅਤੇ ਉਚਾਈ ਟਰੈਕਿੰਗ")</f>
        <v>ਦੂਰੀ ਅਤੇ ਉਚਾਈ ਟਰੈਕਿੰਗ</v>
      </c>
      <c r="U260" s="4" t="str">
        <f>IFERROR(__xludf.DUMMYFUNCTION("GOOGLETRANSLATE(B260,""en"",""te"")"),"దూరం మరియు ఎలివేషన్ ట్రాకింగ్")</f>
        <v>దూరం మరియు ఎలివేషన్ ట్రాకింగ్</v>
      </c>
      <c r="V260" s="4" t="str">
        <f>IFERROR(__xludf.DUMMYFUNCTION("GOOGLETRANSLATE(B260,""en"",""kn"")"),"ದೂರ ಮತ್ತು ಎತ್ತರದ ಟ್ರ್ಯಾಕಿಂಗ್")</f>
        <v>ದೂರ ಮತ್ತು ಎತ್ತರದ ಟ್ರ್ಯಾಕಿಂಗ್</v>
      </c>
      <c r="W260" s="4" t="str">
        <f>IFERROR(__xludf.DUMMYFUNCTION("GOOGLETRANSLATE(B260,""en"",""ml"")"),"ദൂരവും എലവേഷൻ ട്രാക്കിംഗ്")</f>
        <v>ദൂരവും എലവേഷൻ ട്രാക്കിംഗ്</v>
      </c>
      <c r="X260" s="4" t="str">
        <f>IFERROR(__xludf.DUMMYFUNCTION("GOOGLETRANSLATE(B260,""en"",""th"")"),"การติดตามระยะทางและความสูง")</f>
        <v>การติดตามระยะทางและความสูง</v>
      </c>
      <c r="Y260" s="4" t="str">
        <f>IFERROR(__xludf.DUMMYFUNCTION("GOOGLETRANSLATE(B260,""en"",""ko"")"),"거리 및 고도 추적")</f>
        <v>거리 및 고도 추적</v>
      </c>
      <c r="Z260" s="4" t="str">
        <f>IFERROR(__xludf.DUMMYFUNCTION("GOOGLETRANSLATE(B260,""en"",""zh"")"),"距离和海拔跟踪")</f>
        <v>距离和海拔跟踪</v>
      </c>
      <c r="AA260" s="4" t="str">
        <f>IFERROR(__xludf.DUMMYFUNCTION("GOOGLETRANSLATE(B260,""en"",""zh-TW"")"),"距離和海拔跟踪")</f>
        <v>距離和海拔跟踪</v>
      </c>
      <c r="AB260" s="4" t="str">
        <f>IFERROR(__xludf.DUMMYFUNCTION("GOOGLETRANSLATE(B260,""en"",""ja"")"),"距離と高度の追跡")</f>
        <v>距離と高度の追跡</v>
      </c>
      <c r="AC260" s="4" t="str">
        <f>IFERROR(__xludf.DUMMYFUNCTION("GOOGLETRANSLATE(B260,""en"",""bg"")"),"Проследяване на разстояние и надморска височина")</f>
        <v>Проследяване на разстояние и надморска височина</v>
      </c>
      <c r="AD260" s="4" t="str">
        <f>IFERROR(__xludf.DUMMYFUNCTION("GOOGLETRANSLATE(B260,""en"",""cs"")"),"Sledování vzdálenosti a nadmořské výšky")</f>
        <v>Sledování vzdálenosti a nadmořské výšky</v>
      </c>
      <c r="AE260" s="4" t="str">
        <f>IFERROR(__xludf.DUMMYFUNCTION("GOOGLETRANSLATE(B260,""en"",""da"")"),"Sporing af afstand og højde")</f>
        <v>Sporing af afstand og højde</v>
      </c>
      <c r="AF260" s="4" t="str">
        <f>IFERROR(__xludf.DUMMYFUNCTION("GOOGLETRANSLATE(B260,""en"",""el"")"),"Παρακολούθηση απόστασης και υψομέτρου")</f>
        <v>Παρακολούθηση απόστασης και υψομέτρου</v>
      </c>
      <c r="AG260" s="4" t="str">
        <f>IFERROR(__xludf.DUMMYFUNCTION("GOOGLETRANSLATE(B260,""en"",""et"")"),"Kauguse ja kõrguse jälgimine")</f>
        <v>Kauguse ja kõrguse jälgimine</v>
      </c>
      <c r="AH260" s="4" t="str">
        <f>IFERROR(__xludf.DUMMYFUNCTION("GOOGLETRANSLATE(B260,""en"",""fi"")"),"Etäisyyden ja korkeuden seuranta")</f>
        <v>Etäisyyden ja korkeuden seuranta</v>
      </c>
      <c r="AI260" s="4" t="str">
        <f>IFERROR(__xludf.DUMMYFUNCTION("GOOGLETRANSLATE(B260,""en"",""hr"")"),"Praćenje udaljenosti i visine")</f>
        <v>Praćenje udaljenosti i visine</v>
      </c>
      <c r="AJ260" s="4" t="str">
        <f>IFERROR(__xludf.DUMMYFUNCTION("GOOGLETRANSLATE(B260,""en"",""hu"")"),"Távolság- és magasságkövetés")</f>
        <v>Távolság- és magasságkövetés</v>
      </c>
      <c r="AK260" s="4" t="str">
        <f>IFERROR(__xludf.DUMMYFUNCTION("GOOGLETRANSLATE(B260,""en"",""hy"")"),"Հեռավորության և բարձրության հետևում")</f>
        <v>Հեռավորության և բարձրության հետևում</v>
      </c>
      <c r="AL260" s="4" t="str">
        <f>IFERROR(__xludf.DUMMYFUNCTION("GOOGLETRANSLATE(B260,""en"",""ca"")"),"Seguiment de distància i desnivell")</f>
        <v>Seguiment de distància i desnivell</v>
      </c>
      <c r="AM260" s="4" t="str">
        <f>IFERROR(__xludf.DUMMYFUNCTION("GOOGLETRANSLATE(B260,""en"",""nl"")"),"Afstands- en hoogtetracking")</f>
        <v>Afstands- en hoogtetracking</v>
      </c>
      <c r="AN260" s="4" t="str">
        <f>IFERROR(__xludf.DUMMYFUNCTION("GOOGLETRANSLATE(B260,""en"",""he"")"),"מעקב אחר מרחק וגובה")</f>
        <v>מעקב אחר מרחק וגובה</v>
      </c>
      <c r="AO260" s="4" t="str">
        <f>IFERROR(__xludf.DUMMYFUNCTION("GOOGLETRANSLATE(B260,""en"",""is"")"),"Fjarlægðar- og hæðarmæling")</f>
        <v>Fjarlægðar- og hæðarmæling</v>
      </c>
      <c r="AP260" s="4" t="str">
        <f>IFERROR(__xludf.DUMMYFUNCTION("GOOGLETRANSLATE(B260,""en"",""no"")"),"Avstands- og høydesporing")</f>
        <v>Avstands- og høydesporing</v>
      </c>
      <c r="AQ260" s="4" t="str">
        <f>IFERROR(__xludf.DUMMYFUNCTION("GOOGLETRANSLATE(B260,""en"",""fa"")"),"ردیابی فاصله و ارتفاع")</f>
        <v>ردیابی فاصله و ارتفاع</v>
      </c>
      <c r="AR260" s="4" t="str">
        <f>IFERROR(__xludf.DUMMYFUNCTION("GOOGLETRANSLATE(B260,""en"",""pl"")"),"Śledzenie odległości i wysokości")</f>
        <v>Śledzenie odległości i wysokości</v>
      </c>
      <c r="AS260" s="4" t="str">
        <f>IFERROR(__xludf.DUMMYFUNCTION("GOOGLETRANSLATE(B260,""en"",""sv"")"),"Avstånds- och höjdspårning")</f>
        <v>Avstånds- och höjdspårning</v>
      </c>
      <c r="AT260" s="4" t="str">
        <f>IFERROR(__xludf.DUMMYFUNCTION("GOOGLETRANSLATE(B260,""en"",""uk"")"),"Відстеження відстані та висоти")</f>
        <v>Відстеження відстані та висоти</v>
      </c>
      <c r="AU260" s="4" t="str">
        <f>IFERROR(__xludf.DUMMYFUNCTION("GOOGLETRANSLATE(B260,""en"",""zu"")"),"Ukulandelela ibanga nokuphakama")</f>
        <v>Ukulandelela ibanga nokuphakama</v>
      </c>
      <c r="AV260" s="4" t="str">
        <f>IFERROR(__xludf.DUMMYFUNCTION("GOOGLETRANSLATE(B260,""en"",""sr"")"),"Праћење удаљености и надморске висине")</f>
        <v>Праћење удаљености и надморске висине</v>
      </c>
    </row>
    <row r="261">
      <c r="A261" s="3" t="s">
        <v>540</v>
      </c>
      <c r="B261" s="3" t="s">
        <v>541</v>
      </c>
      <c r="C261" s="4" t="str">
        <f>IFERROR(__xludf.DUMMYFUNCTION("GOOGLETRANSLATE(B261,""en"",""ta"")"),"படி எண்ணுதல்")</f>
        <v>படி எண்ணுதல்</v>
      </c>
      <c r="D261" s="4" t="str">
        <f>IFERROR(__xludf.DUMMYFUNCTION("GOOGLETRANSLATE(B261,""en"",""hi"")"),"कदम गिनना")</f>
        <v>कदम गिनना</v>
      </c>
      <c r="E261" s="4" t="str">
        <f>IFERROR(__xludf.DUMMYFUNCTION("GOOGLETRANSLATE(B261,""en"",""id"")"),"Menghitung langkah")</f>
        <v>Menghitung langkah</v>
      </c>
      <c r="F261" s="4" t="str">
        <f>IFERROR(__xludf.DUMMYFUNCTION("GOOGLETRANSLATE(B261,""en"",""ms"")"),"Mengira langkah")</f>
        <v>Mengira langkah</v>
      </c>
      <c r="G261" s="4" t="str">
        <f>IFERROR(__xludf.DUMMYFUNCTION("GOOGLETRANSLATE(B261,""en"",""de"")"),"Schrittzählung")</f>
        <v>Schrittzählung</v>
      </c>
      <c r="H261" s="4" t="str">
        <f>IFERROR(__xludf.DUMMYFUNCTION("GOOGLETRANSLATE(B261,""en"",""es"")"),"Conteo de pasos")</f>
        <v>Conteo de pasos</v>
      </c>
      <c r="I261" s="4" t="str">
        <f>IFERROR(__xludf.DUMMYFUNCTION("GOOGLETRANSLATE(B261,""en"",""fr"")"),"Comptage des pas")</f>
        <v>Comptage des pas</v>
      </c>
      <c r="J261" s="4" t="str">
        <f>IFERROR(__xludf.DUMMYFUNCTION("GOOGLETRANSLATE(B261,""en"",""it"")"),"Conteggio dei passi")</f>
        <v>Conteggio dei passi</v>
      </c>
      <c r="K261" s="4" t="str">
        <f>IFERROR(__xludf.DUMMYFUNCTION("GOOGLETRANSLATE(B261,""en"",""pt"")"),"Contagem de passos")</f>
        <v>Contagem de passos</v>
      </c>
      <c r="L261" s="4" t="str">
        <f>IFERROR(__xludf.DUMMYFUNCTION("GOOGLETRANSLATE(B261,""en"",""ro"")"),"Numărarea pașilor")</f>
        <v>Numărarea pașilor</v>
      </c>
      <c r="M261" s="4" t="str">
        <f>IFERROR(__xludf.DUMMYFUNCTION("GOOGLETRANSLATE(B261,""en"",""vi"")"),"Đếm bước")</f>
        <v>Đếm bước</v>
      </c>
      <c r="N261" s="4" t="str">
        <f>IFERROR(__xludf.DUMMYFUNCTION("GOOGLETRANSLATE(B261,""en"",""ru"")"),"Подсчет шагов")</f>
        <v>Подсчет шагов</v>
      </c>
      <c r="O261" s="4" t="str">
        <f>IFERROR(__xludf.DUMMYFUNCTION("GOOGLETRANSLATE(B261,""en"",""tr"")"),"Adım sayımı")</f>
        <v>Adım sayımı</v>
      </c>
      <c r="P261" s="4" t="str">
        <f>IFERROR(__xludf.DUMMYFUNCTION("GOOGLETRANSLATE(B261,""en"",""ar"")"),"عد الخطوات")</f>
        <v>عد الخطوات</v>
      </c>
      <c r="Q261" s="4" t="str">
        <f>IFERROR(__xludf.DUMMYFUNCTION("GOOGLETRANSLATE(B261,""en"",""mr"")"),"पायरी मोजणी")</f>
        <v>पायरी मोजणी</v>
      </c>
      <c r="R261" s="4" t="str">
        <f>IFERROR(__xludf.DUMMYFUNCTION("GOOGLETRANSLATE(B261,""en"",""gu"")"),"પગલાની ગણતરી")</f>
        <v>પગલાની ગણતરી</v>
      </c>
      <c r="S261" s="4" t="str">
        <f>IFERROR(__xludf.DUMMYFUNCTION("GOOGLETRANSLATE(B261,""en"",""bn"")"),"ধাপ গণনা")</f>
        <v>ধাপ গণনা</v>
      </c>
      <c r="T261" s="4" t="str">
        <f>IFERROR(__xludf.DUMMYFUNCTION("GOOGLETRANSLATE(B261,""en"",""pa"")"),"ਕਦਮ ਗਿਣਤੀ")</f>
        <v>ਕਦਮ ਗਿਣਤੀ</v>
      </c>
      <c r="U261" s="4" t="str">
        <f>IFERROR(__xludf.DUMMYFUNCTION("GOOGLETRANSLATE(B261,""en"",""te"")"),"దశల లెక్కింపు")</f>
        <v>దశల లెక్కింపు</v>
      </c>
      <c r="V261" s="4" t="str">
        <f>IFERROR(__xludf.DUMMYFUNCTION("GOOGLETRANSLATE(B261,""en"",""kn"")"),"ಹಂತ ಎಣಿಕೆ")</f>
        <v>ಹಂತ ಎಣಿಕೆ</v>
      </c>
      <c r="W261" s="4" t="str">
        <f>IFERROR(__xludf.DUMMYFUNCTION("GOOGLETRANSLATE(B261,""en"",""ml"")"),"ഘട്ടം എണ്ണൽ")</f>
        <v>ഘട്ടം എണ്ണൽ</v>
      </c>
      <c r="X261" s="4" t="str">
        <f>IFERROR(__xludf.DUMMYFUNCTION("GOOGLETRANSLATE(B261,""en"",""th"")"),"การนับก้าว")</f>
        <v>การนับก้าว</v>
      </c>
      <c r="Y261" s="4" t="str">
        <f>IFERROR(__xludf.DUMMYFUNCTION("GOOGLETRANSLATE(B261,""en"",""ko"")"),"걸음 수 세기")</f>
        <v>걸음 수 세기</v>
      </c>
      <c r="Z261" s="4" t="str">
        <f>IFERROR(__xludf.DUMMYFUNCTION("GOOGLETRANSLATE(B261,""en"",""zh"")"),"计步")</f>
        <v>计步</v>
      </c>
      <c r="AA261" s="4" t="str">
        <f>IFERROR(__xludf.DUMMYFUNCTION("GOOGLETRANSLATE(B261,""en"",""zh-TW"")"),"計步")</f>
        <v>計步</v>
      </c>
      <c r="AB261" s="4" t="str">
        <f>IFERROR(__xludf.DUMMYFUNCTION("GOOGLETRANSLATE(B261,""en"",""ja"")"),"歩数カウント")</f>
        <v>歩数カウント</v>
      </c>
      <c r="AC261" s="4" t="str">
        <f>IFERROR(__xludf.DUMMYFUNCTION("GOOGLETRANSLATE(B261,""en"",""bg"")"),"Броене на стъпки")</f>
        <v>Броене на стъпки</v>
      </c>
      <c r="AD261" s="4" t="str">
        <f>IFERROR(__xludf.DUMMYFUNCTION("GOOGLETRANSLATE(B261,""en"",""cs"")"),"Počítání kroků")</f>
        <v>Počítání kroků</v>
      </c>
      <c r="AE261" s="4" t="str">
        <f>IFERROR(__xludf.DUMMYFUNCTION("GOOGLETRANSLATE(B261,""en"",""da"")"),"Skridttælling")</f>
        <v>Skridttælling</v>
      </c>
      <c r="AF261" s="4" t="str">
        <f>IFERROR(__xludf.DUMMYFUNCTION("GOOGLETRANSLATE(B261,""en"",""el"")"),"Καταμέτρηση βημάτων")</f>
        <v>Καταμέτρηση βημάτων</v>
      </c>
      <c r="AG261" s="4" t="str">
        <f>IFERROR(__xludf.DUMMYFUNCTION("GOOGLETRANSLATE(B261,""en"",""et"")"),"Sammude lugemine")</f>
        <v>Sammude lugemine</v>
      </c>
      <c r="AH261" s="4" t="str">
        <f>IFERROR(__xludf.DUMMYFUNCTION("GOOGLETRANSLATE(B261,""en"",""fi"")"),"Askelten laskenta")</f>
        <v>Askelten laskenta</v>
      </c>
      <c r="AI261" s="4" t="str">
        <f>IFERROR(__xludf.DUMMYFUNCTION("GOOGLETRANSLATE(B261,""en"",""hr"")"),"Brojanje koraka")</f>
        <v>Brojanje koraka</v>
      </c>
      <c r="AJ261" s="4" t="str">
        <f>IFERROR(__xludf.DUMMYFUNCTION("GOOGLETRANSLATE(B261,""en"",""hu"")"),"Lépésszámlálás")</f>
        <v>Lépésszámlálás</v>
      </c>
      <c r="AK261" s="4" t="str">
        <f>IFERROR(__xludf.DUMMYFUNCTION("GOOGLETRANSLATE(B261,""en"",""hy"")"),"Քայլերի հաշվարկ")</f>
        <v>Քայլերի հաշվարկ</v>
      </c>
      <c r="AL261" s="4" t="str">
        <f>IFERROR(__xludf.DUMMYFUNCTION("GOOGLETRANSLATE(B261,""en"",""ca"")"),"Recompte de passos")</f>
        <v>Recompte de passos</v>
      </c>
      <c r="AM261" s="4" t="str">
        <f>IFERROR(__xludf.DUMMYFUNCTION("GOOGLETRANSLATE(B261,""en"",""nl"")"),"Stappen tellen")</f>
        <v>Stappen tellen</v>
      </c>
      <c r="AN261" s="4" t="str">
        <f>IFERROR(__xludf.DUMMYFUNCTION("GOOGLETRANSLATE(B261,""en"",""he"")"),"ספירת צעדים")</f>
        <v>ספירת צעדים</v>
      </c>
      <c r="AO261" s="4" t="str">
        <f>IFERROR(__xludf.DUMMYFUNCTION("GOOGLETRANSLATE(B261,""en"",""is"")"),"Skreftalning")</f>
        <v>Skreftalning</v>
      </c>
      <c r="AP261" s="4" t="str">
        <f>IFERROR(__xludf.DUMMYFUNCTION("GOOGLETRANSLATE(B261,""en"",""no"")"),"Trinntelling")</f>
        <v>Trinntelling</v>
      </c>
      <c r="AQ261" s="4" t="str">
        <f>IFERROR(__xludf.DUMMYFUNCTION("GOOGLETRANSLATE(B261,""en"",""fa"")"),"گام شماری")</f>
        <v>گام شماری</v>
      </c>
      <c r="AR261" s="4" t="str">
        <f>IFERROR(__xludf.DUMMYFUNCTION("GOOGLETRANSLATE(B261,""en"",""pl"")"),"Liczenie kroków")</f>
        <v>Liczenie kroków</v>
      </c>
      <c r="AS261" s="4" t="str">
        <f>IFERROR(__xludf.DUMMYFUNCTION("GOOGLETRANSLATE(B261,""en"",""sv"")"),"Stegräkning")</f>
        <v>Stegräkning</v>
      </c>
      <c r="AT261" s="4" t="str">
        <f>IFERROR(__xludf.DUMMYFUNCTION("GOOGLETRANSLATE(B261,""en"",""uk"")"),"Підрахунок кроків")</f>
        <v>Підрахунок кроків</v>
      </c>
      <c r="AU261" s="4" t="str">
        <f>IFERROR(__xludf.DUMMYFUNCTION("GOOGLETRANSLATE(B261,""en"",""zu"")"),"Ukubala izinyathelo")</f>
        <v>Ukubala izinyathelo</v>
      </c>
      <c r="AV261" s="4" t="str">
        <f>IFERROR(__xludf.DUMMYFUNCTION("GOOGLETRANSLATE(B261,""en"",""sr"")"),"Бројање корака")</f>
        <v>Бројање корака</v>
      </c>
    </row>
    <row r="262">
      <c r="A262" s="3" t="s">
        <v>542</v>
      </c>
      <c r="B262" s="3" t="s">
        <v>543</v>
      </c>
      <c r="C262" s="4" t="str">
        <f>IFERROR(__xludf.DUMMYFUNCTION("GOOGLETRANSLATE(B262,""en"",""ta"")"),"வானிலை தகவல்")</f>
        <v>வானிலை தகவல்</v>
      </c>
      <c r="D262" s="4" t="str">
        <f>IFERROR(__xludf.DUMMYFUNCTION("GOOGLETRANSLATE(B262,""en"",""hi"")"),"मौसम की जानकारी")</f>
        <v>मौसम की जानकारी</v>
      </c>
      <c r="E262" s="4" t="str">
        <f>IFERROR(__xludf.DUMMYFUNCTION("GOOGLETRANSLATE(B262,""en"",""id"")"),"Informasi cuaca")</f>
        <v>Informasi cuaca</v>
      </c>
      <c r="F262" s="4" t="str">
        <f>IFERROR(__xludf.DUMMYFUNCTION("GOOGLETRANSLATE(B262,""en"",""ms"")"),"Maklumat cuaca")</f>
        <v>Maklumat cuaca</v>
      </c>
      <c r="G262" s="4" t="str">
        <f>IFERROR(__xludf.DUMMYFUNCTION("GOOGLETRANSLATE(B262,""en"",""de"")"),"Wetterinformationen")</f>
        <v>Wetterinformationen</v>
      </c>
      <c r="H262" s="4" t="str">
        <f>IFERROR(__xludf.DUMMYFUNCTION("GOOGLETRANSLATE(B262,""en"",""es"")"),"Información meteorológica")</f>
        <v>Información meteorológica</v>
      </c>
      <c r="I262" s="4" t="str">
        <f>IFERROR(__xludf.DUMMYFUNCTION("GOOGLETRANSLATE(B262,""en"",""fr"")"),"Informations météorologiques")</f>
        <v>Informations météorologiques</v>
      </c>
      <c r="J262" s="4" t="str">
        <f>IFERROR(__xludf.DUMMYFUNCTION("GOOGLETRANSLATE(B262,""en"",""it"")"),"Informazioni meteo")</f>
        <v>Informazioni meteo</v>
      </c>
      <c r="K262" s="4" t="str">
        <f>IFERROR(__xludf.DUMMYFUNCTION("GOOGLETRANSLATE(B262,""en"",""pt"")"),"Informações meteorológicas")</f>
        <v>Informações meteorológicas</v>
      </c>
      <c r="L262" s="4" t="str">
        <f>IFERROR(__xludf.DUMMYFUNCTION("GOOGLETRANSLATE(B262,""en"",""ro"")"),"Informații meteo")</f>
        <v>Informații meteo</v>
      </c>
      <c r="M262" s="4" t="str">
        <f>IFERROR(__xludf.DUMMYFUNCTION("GOOGLETRANSLATE(B262,""en"",""vi"")"),"Thông tin thời tiết")</f>
        <v>Thông tin thời tiết</v>
      </c>
      <c r="N262" s="4" t="str">
        <f>IFERROR(__xludf.DUMMYFUNCTION("GOOGLETRANSLATE(B262,""en"",""ru"")"),"Информация о погоде")</f>
        <v>Информация о погоде</v>
      </c>
      <c r="O262" s="4" t="str">
        <f>IFERROR(__xludf.DUMMYFUNCTION("GOOGLETRANSLATE(B262,""en"",""tr"")"),"Hava durumu bilgisi")</f>
        <v>Hava durumu bilgisi</v>
      </c>
      <c r="P262" s="4" t="str">
        <f>IFERROR(__xludf.DUMMYFUNCTION("GOOGLETRANSLATE(B262,""en"",""ar"")"),"معلومات الطقس")</f>
        <v>معلومات الطقس</v>
      </c>
      <c r="Q262" s="4" t="str">
        <f>IFERROR(__xludf.DUMMYFUNCTION("GOOGLETRANSLATE(B262,""en"",""mr"")"),"हवामान माहिती")</f>
        <v>हवामान माहिती</v>
      </c>
      <c r="R262" s="4" t="str">
        <f>IFERROR(__xludf.DUMMYFUNCTION("GOOGLETRANSLATE(B262,""en"",""gu"")"),"હવામાન માહિતી")</f>
        <v>હવામાન માહિતી</v>
      </c>
      <c r="S262" s="4" t="str">
        <f>IFERROR(__xludf.DUMMYFUNCTION("GOOGLETRANSLATE(B262,""en"",""bn"")"),"আবহাওয়ার তথ্য")</f>
        <v>আবহাওয়ার তথ্য</v>
      </c>
      <c r="T262" s="4" t="str">
        <f>IFERROR(__xludf.DUMMYFUNCTION("GOOGLETRANSLATE(B262,""en"",""pa"")"),"ਮੌਸਮ ਦੀ ਜਾਣਕਾਰੀ")</f>
        <v>ਮੌਸਮ ਦੀ ਜਾਣਕਾਰੀ</v>
      </c>
      <c r="U262" s="4" t="str">
        <f>IFERROR(__xludf.DUMMYFUNCTION("GOOGLETRANSLATE(B262,""en"",""te"")"),"వాతావరణ సమాచారం")</f>
        <v>వాతావరణ సమాచారం</v>
      </c>
      <c r="V262" s="4" t="str">
        <f>IFERROR(__xludf.DUMMYFUNCTION("GOOGLETRANSLATE(B262,""en"",""kn"")"),"ಹವಾಮಾನ ಮಾಹಿತಿ")</f>
        <v>ಹವಾಮಾನ ಮಾಹಿತಿ</v>
      </c>
      <c r="W262" s="4" t="str">
        <f>IFERROR(__xludf.DUMMYFUNCTION("GOOGLETRANSLATE(B262,""en"",""ml"")"),"കാലാവസ്ഥ വിവരങ്ങൾ")</f>
        <v>കാലാവസ്ഥ വിവരങ്ങൾ</v>
      </c>
      <c r="X262" s="4" t="str">
        <f>IFERROR(__xludf.DUMMYFUNCTION("GOOGLETRANSLATE(B262,""en"",""th"")"),"ข้อมูลสภาพอากาศ")</f>
        <v>ข้อมูลสภาพอากาศ</v>
      </c>
      <c r="Y262" s="4" t="str">
        <f>IFERROR(__xludf.DUMMYFUNCTION("GOOGLETRANSLATE(B262,""en"",""ko"")"),"날씨 정보")</f>
        <v>날씨 정보</v>
      </c>
      <c r="Z262" s="4" t="str">
        <f>IFERROR(__xludf.DUMMYFUNCTION("GOOGLETRANSLATE(B262,""en"",""zh"")"),"天气信息")</f>
        <v>天气信息</v>
      </c>
      <c r="AA262" s="4" t="str">
        <f>IFERROR(__xludf.DUMMYFUNCTION("GOOGLETRANSLATE(B262,""en"",""zh-TW"")"),"天氣資訊")</f>
        <v>天氣資訊</v>
      </c>
      <c r="AB262" s="4" t="str">
        <f>IFERROR(__xludf.DUMMYFUNCTION("GOOGLETRANSLATE(B262,""en"",""ja"")"),"天気情報")</f>
        <v>天気情報</v>
      </c>
      <c r="AC262" s="4" t="str">
        <f>IFERROR(__xludf.DUMMYFUNCTION("GOOGLETRANSLATE(B262,""en"",""bg"")"),"Информация за времето")</f>
        <v>Информация за времето</v>
      </c>
      <c r="AD262" s="4" t="str">
        <f>IFERROR(__xludf.DUMMYFUNCTION("GOOGLETRANSLATE(B262,""en"",""cs"")"),"Informace o počasí")</f>
        <v>Informace o počasí</v>
      </c>
      <c r="AE262" s="4" t="str">
        <f>IFERROR(__xludf.DUMMYFUNCTION("GOOGLETRANSLATE(B262,""en"",""da"")"),"Vejrinformation")</f>
        <v>Vejrinformation</v>
      </c>
      <c r="AF262" s="4" t="str">
        <f>IFERROR(__xludf.DUMMYFUNCTION("GOOGLETRANSLATE(B262,""en"",""el"")"),"Πληροφορίες για τον καιρό")</f>
        <v>Πληροφορίες για τον καιρό</v>
      </c>
      <c r="AG262" s="4" t="str">
        <f>IFERROR(__xludf.DUMMYFUNCTION("GOOGLETRANSLATE(B262,""en"",""et"")"),"Ilmateave")</f>
        <v>Ilmateave</v>
      </c>
      <c r="AH262" s="4" t="str">
        <f>IFERROR(__xludf.DUMMYFUNCTION("GOOGLETRANSLATE(B262,""en"",""fi"")"),"Säätiedot")</f>
        <v>Säätiedot</v>
      </c>
      <c r="AI262" s="4" t="str">
        <f>IFERROR(__xludf.DUMMYFUNCTION("GOOGLETRANSLATE(B262,""en"",""hr"")"),"Informacije o vremenu")</f>
        <v>Informacije o vremenu</v>
      </c>
      <c r="AJ262" s="4" t="str">
        <f>IFERROR(__xludf.DUMMYFUNCTION("GOOGLETRANSLATE(B262,""en"",""hu"")"),"Időjárási információk")</f>
        <v>Időjárási információk</v>
      </c>
      <c r="AK262" s="4" t="str">
        <f>IFERROR(__xludf.DUMMYFUNCTION("GOOGLETRANSLATE(B262,""en"",""hy"")"),"Եղանակի մասին տեղեկություններ")</f>
        <v>Եղանակի մասին տեղեկություններ</v>
      </c>
      <c r="AL262" s="4" t="str">
        <f>IFERROR(__xludf.DUMMYFUNCTION("GOOGLETRANSLATE(B262,""en"",""ca"")"),"Informació meteorològica")</f>
        <v>Informació meteorològica</v>
      </c>
      <c r="AM262" s="4" t="str">
        <f>IFERROR(__xludf.DUMMYFUNCTION("GOOGLETRANSLATE(B262,""en"",""nl"")"),"Weersinformatie")</f>
        <v>Weersinformatie</v>
      </c>
      <c r="AN262" s="4" t="str">
        <f>IFERROR(__xludf.DUMMYFUNCTION("GOOGLETRANSLATE(B262,""en"",""he"")"),"מידע על מזג האוויר")</f>
        <v>מידע על מזג האוויר</v>
      </c>
      <c r="AO262" s="4" t="str">
        <f>IFERROR(__xludf.DUMMYFUNCTION("GOOGLETRANSLATE(B262,""en"",""is"")"),"Upplýsingar um veður")</f>
        <v>Upplýsingar um veður</v>
      </c>
      <c r="AP262" s="4" t="str">
        <f>IFERROR(__xludf.DUMMYFUNCTION("GOOGLETRANSLATE(B262,""en"",""no"")"),"Værinformasjon")</f>
        <v>Værinformasjon</v>
      </c>
      <c r="AQ262" s="4" t="str">
        <f>IFERROR(__xludf.DUMMYFUNCTION("GOOGLETRANSLATE(B262,""en"",""fa"")"),"اطلاعات آب و هوا")</f>
        <v>اطلاعات آب و هوا</v>
      </c>
      <c r="AR262" s="4" t="str">
        <f>IFERROR(__xludf.DUMMYFUNCTION("GOOGLETRANSLATE(B262,""en"",""pl"")"),"Informacje pogodowe")</f>
        <v>Informacje pogodowe</v>
      </c>
      <c r="AS262" s="4" t="str">
        <f>IFERROR(__xludf.DUMMYFUNCTION("GOOGLETRANSLATE(B262,""en"",""sv"")"),"Väderinformation")</f>
        <v>Väderinformation</v>
      </c>
      <c r="AT262" s="4" t="str">
        <f>IFERROR(__xludf.DUMMYFUNCTION("GOOGLETRANSLATE(B262,""en"",""uk"")"),"Інформація про погоду")</f>
        <v>Інформація про погоду</v>
      </c>
      <c r="AU262" s="4" t="str">
        <f>IFERROR(__xludf.DUMMYFUNCTION("GOOGLETRANSLATE(B262,""en"",""zu"")"),"Ulwazi lwesimo sezulu")</f>
        <v>Ulwazi lwesimo sezulu</v>
      </c>
      <c r="AV262" s="4" t="str">
        <f>IFERROR(__xludf.DUMMYFUNCTION("GOOGLETRANSLATE(B262,""en"",""sr"")"),"Информације о времену")</f>
        <v>Информације о времену</v>
      </c>
    </row>
    <row r="263">
      <c r="A263" s="3" t="s">
        <v>544</v>
      </c>
      <c r="B263" s="3" t="s">
        <v>545</v>
      </c>
      <c r="C263" s="4" t="str">
        <f>IFERROR(__xludf.DUMMYFUNCTION("GOOGLETRANSLATE(B263,""en"",""ta"")"),"திசைகாட்டி வழிசெலுத்தல்")</f>
        <v>திசைகாட்டி வழிசெலுத்தல்</v>
      </c>
      <c r="D263" s="4" t="str">
        <f>IFERROR(__xludf.DUMMYFUNCTION("GOOGLETRANSLATE(B263,""en"",""hi"")"),"कम्पास नेविगेशन")</f>
        <v>कम्पास नेविगेशन</v>
      </c>
      <c r="E263" s="4" t="str">
        <f>IFERROR(__xludf.DUMMYFUNCTION("GOOGLETRANSLATE(B263,""en"",""id"")"),"Navigasi kompas")</f>
        <v>Navigasi kompas</v>
      </c>
      <c r="F263" s="4" t="str">
        <f>IFERROR(__xludf.DUMMYFUNCTION("GOOGLETRANSLATE(B263,""en"",""ms"")"),"Navigasi kompas")</f>
        <v>Navigasi kompas</v>
      </c>
      <c r="G263" s="4" t="str">
        <f>IFERROR(__xludf.DUMMYFUNCTION("GOOGLETRANSLATE(B263,""en"",""de"")"),"Kompassnavigation")</f>
        <v>Kompassnavigation</v>
      </c>
      <c r="H263" s="4" t="str">
        <f>IFERROR(__xludf.DUMMYFUNCTION("GOOGLETRANSLATE(B263,""en"",""es"")"),"Navegación con brújula")</f>
        <v>Navegación con brújula</v>
      </c>
      <c r="I263" s="4" t="str">
        <f>IFERROR(__xludf.DUMMYFUNCTION("GOOGLETRANSLATE(B263,""en"",""fr"")"),"Navigation à la boussole")</f>
        <v>Navigation à la boussole</v>
      </c>
      <c r="J263" s="4" t="str">
        <f>IFERROR(__xludf.DUMMYFUNCTION("GOOGLETRANSLATE(B263,""en"",""it"")"),"Navigazione con bussola")</f>
        <v>Navigazione con bussola</v>
      </c>
      <c r="K263" s="4" t="str">
        <f>IFERROR(__xludf.DUMMYFUNCTION("GOOGLETRANSLATE(B263,""en"",""pt"")"),"Navegação por bússola")</f>
        <v>Navegação por bússola</v>
      </c>
      <c r="L263" s="4" t="str">
        <f>IFERROR(__xludf.DUMMYFUNCTION("GOOGLETRANSLATE(B263,""en"",""ro"")"),"Navigare cu busolă")</f>
        <v>Navigare cu busolă</v>
      </c>
      <c r="M263" s="4" t="str">
        <f>IFERROR(__xludf.DUMMYFUNCTION("GOOGLETRANSLATE(B263,""en"",""vi"")"),"La bàn dẫn đường")</f>
        <v>La bàn dẫn đường</v>
      </c>
      <c r="N263" s="4" t="str">
        <f>IFERROR(__xludf.DUMMYFUNCTION("GOOGLETRANSLATE(B263,""en"",""ru"")"),"Навигация по компасу")</f>
        <v>Навигация по компасу</v>
      </c>
      <c r="O263" s="4" t="str">
        <f>IFERROR(__xludf.DUMMYFUNCTION("GOOGLETRANSLATE(B263,""en"",""tr"")"),"Pusula navigasyonu")</f>
        <v>Pusula navigasyonu</v>
      </c>
      <c r="P263" s="4" t="str">
        <f>IFERROR(__xludf.DUMMYFUNCTION("GOOGLETRANSLATE(B263,""en"",""ar"")"),"الملاحة بالبوصلة")</f>
        <v>الملاحة بالبوصلة</v>
      </c>
      <c r="Q263" s="4" t="str">
        <f>IFERROR(__xludf.DUMMYFUNCTION("GOOGLETRANSLATE(B263,""en"",""mr"")"),"कंपास नेव्हिगेशन")</f>
        <v>कंपास नेव्हिगेशन</v>
      </c>
      <c r="R263" s="4" t="str">
        <f>IFERROR(__xludf.DUMMYFUNCTION("GOOGLETRANSLATE(B263,""en"",""gu"")"),"કંપાસ નેવિગેશન")</f>
        <v>કંપાસ નેવિગેશન</v>
      </c>
      <c r="S263" s="4" t="str">
        <f>IFERROR(__xludf.DUMMYFUNCTION("GOOGLETRANSLATE(B263,""en"",""bn"")"),"কম্পাস নেভিগেশন")</f>
        <v>কম্পাস নেভিগেশন</v>
      </c>
      <c r="T263" s="4" t="str">
        <f>IFERROR(__xludf.DUMMYFUNCTION("GOOGLETRANSLATE(B263,""en"",""pa"")"),"ਕੰਪਾਸ ਨੈਵੀਗੇਸ਼ਨ")</f>
        <v>ਕੰਪਾਸ ਨੈਵੀਗੇਸ਼ਨ</v>
      </c>
      <c r="U263" s="4" t="str">
        <f>IFERROR(__xludf.DUMMYFUNCTION("GOOGLETRANSLATE(B263,""en"",""te"")"),"కంపాస్ నావిగేషన్")</f>
        <v>కంపాస్ నావిగేషన్</v>
      </c>
      <c r="V263" s="4" t="str">
        <f>IFERROR(__xludf.DUMMYFUNCTION("GOOGLETRANSLATE(B263,""en"",""kn"")"),"ಕಂಪಾಸ್ ನ್ಯಾವಿಗೇಷನ್")</f>
        <v>ಕಂಪಾಸ್ ನ್ಯಾವಿಗೇಷನ್</v>
      </c>
      <c r="W263" s="4" t="str">
        <f>IFERROR(__xludf.DUMMYFUNCTION("GOOGLETRANSLATE(B263,""en"",""ml"")"),"കോമ്പസ് നാവിഗേഷൻ")</f>
        <v>കോമ്പസ് നാവിഗേഷൻ</v>
      </c>
      <c r="X263" s="4" t="str">
        <f>IFERROR(__xludf.DUMMYFUNCTION("GOOGLETRANSLATE(B263,""en"",""th"")"),"เข็มทิศนำทาง")</f>
        <v>เข็มทิศนำทาง</v>
      </c>
      <c r="Y263" s="4" t="str">
        <f>IFERROR(__xludf.DUMMYFUNCTION("GOOGLETRANSLATE(B263,""en"",""ko"")"),"나침반 항해")</f>
        <v>나침반 항해</v>
      </c>
      <c r="Z263" s="4" t="str">
        <f>IFERROR(__xludf.DUMMYFUNCTION("GOOGLETRANSLATE(B263,""en"",""zh"")"),"罗盘导航")</f>
        <v>罗盘导航</v>
      </c>
      <c r="AA263" s="4" t="str">
        <f>IFERROR(__xludf.DUMMYFUNCTION("GOOGLETRANSLATE(B263,""en"",""zh-TW"")"),"羅盤導航")</f>
        <v>羅盤導航</v>
      </c>
      <c r="AB263" s="4" t="str">
        <f>IFERROR(__xludf.DUMMYFUNCTION("GOOGLETRANSLATE(B263,""en"",""ja"")"),"コンパスナビゲーション")</f>
        <v>コンパスナビゲーション</v>
      </c>
      <c r="AC263" s="4" t="str">
        <f>IFERROR(__xludf.DUMMYFUNCTION("GOOGLETRANSLATE(B263,""en"",""bg"")"),"Навигация с компас")</f>
        <v>Навигация с компас</v>
      </c>
      <c r="AD263" s="4" t="str">
        <f>IFERROR(__xludf.DUMMYFUNCTION("GOOGLETRANSLATE(B263,""en"",""cs"")"),"Navigace s kompasem")</f>
        <v>Navigace s kompasem</v>
      </c>
      <c r="AE263" s="4" t="str">
        <f>IFERROR(__xludf.DUMMYFUNCTION("GOOGLETRANSLATE(B263,""en"",""da"")"),"Kompas navigation")</f>
        <v>Kompas navigation</v>
      </c>
      <c r="AF263" s="4" t="str">
        <f>IFERROR(__xludf.DUMMYFUNCTION("GOOGLETRANSLATE(B263,""en"",""el"")"),"Πλοήγηση με πυξίδα")</f>
        <v>Πλοήγηση με πυξίδα</v>
      </c>
      <c r="AG263" s="4" t="str">
        <f>IFERROR(__xludf.DUMMYFUNCTION("GOOGLETRANSLATE(B263,""en"",""et"")"),"Kompassi navigeerimine")</f>
        <v>Kompassi navigeerimine</v>
      </c>
      <c r="AH263" s="4" t="str">
        <f>IFERROR(__xludf.DUMMYFUNCTION("GOOGLETRANSLATE(B263,""en"",""fi"")"),"Navigointi kompassilla")</f>
        <v>Navigointi kompassilla</v>
      </c>
      <c r="AI263" s="4" t="str">
        <f>IFERROR(__xludf.DUMMYFUNCTION("GOOGLETRANSLATE(B263,""en"",""hr"")"),"Navigacija kompasom")</f>
        <v>Navigacija kompasom</v>
      </c>
      <c r="AJ263" s="4" t="str">
        <f>IFERROR(__xludf.DUMMYFUNCTION("GOOGLETRANSLATE(B263,""en"",""hu"")"),"Iránytű navigáció")</f>
        <v>Iránytű navigáció</v>
      </c>
      <c r="AK263" s="4" t="str">
        <f>IFERROR(__xludf.DUMMYFUNCTION("GOOGLETRANSLATE(B263,""en"",""hy"")"),"Կողմնացույցով նավարկություն")</f>
        <v>Կողմնացույցով նավարկություն</v>
      </c>
      <c r="AL263" s="4" t="str">
        <f>IFERROR(__xludf.DUMMYFUNCTION("GOOGLETRANSLATE(B263,""en"",""ca"")"),"Navegació amb brúixola")</f>
        <v>Navegació amb brúixola</v>
      </c>
      <c r="AM263" s="4" t="str">
        <f>IFERROR(__xludf.DUMMYFUNCTION("GOOGLETRANSLATE(B263,""en"",""nl"")"),"Kompasnavigatie")</f>
        <v>Kompasnavigatie</v>
      </c>
      <c r="AN263" s="4" t="str">
        <f>IFERROR(__xludf.DUMMYFUNCTION("GOOGLETRANSLATE(B263,""en"",""he"")"),"ניווט מצפן")</f>
        <v>ניווט מצפן</v>
      </c>
      <c r="AO263" s="4" t="str">
        <f>IFERROR(__xludf.DUMMYFUNCTION("GOOGLETRANSLATE(B263,""en"",""is"")"),"Áttavitaleiðsögn")</f>
        <v>Áttavitaleiðsögn</v>
      </c>
      <c r="AP263" s="4" t="str">
        <f>IFERROR(__xludf.DUMMYFUNCTION("GOOGLETRANSLATE(B263,""en"",""no"")"),"Kompassnavigasjon")</f>
        <v>Kompassnavigasjon</v>
      </c>
      <c r="AQ263" s="4" t="str">
        <f>IFERROR(__xludf.DUMMYFUNCTION("GOOGLETRANSLATE(B263,""en"",""fa"")"),"ناوبری قطب نما")</f>
        <v>ناوبری قطب نما</v>
      </c>
      <c r="AR263" s="4" t="str">
        <f>IFERROR(__xludf.DUMMYFUNCTION("GOOGLETRANSLATE(B263,""en"",""pl"")"),"Nawigacja kompasowa")</f>
        <v>Nawigacja kompasowa</v>
      </c>
      <c r="AS263" s="4" t="str">
        <f>IFERROR(__xludf.DUMMYFUNCTION("GOOGLETRANSLATE(B263,""en"",""sv"")"),"Kompassnavigering")</f>
        <v>Kompassnavigering</v>
      </c>
      <c r="AT263" s="4" t="str">
        <f>IFERROR(__xludf.DUMMYFUNCTION("GOOGLETRANSLATE(B263,""en"",""uk"")"),"Навігація по компасу")</f>
        <v>Навігація по компасу</v>
      </c>
      <c r="AU263" s="4" t="str">
        <f>IFERROR(__xludf.DUMMYFUNCTION("GOOGLETRANSLATE(B263,""en"",""zu"")"),"Ukuzulazula kwekhampasi")</f>
        <v>Ukuzulazula kwekhampasi</v>
      </c>
      <c r="AV263" s="4" t="str">
        <f>IFERROR(__xludf.DUMMYFUNCTION("GOOGLETRANSLATE(B263,""en"",""sr"")"),"Компас навигација")</f>
        <v>Компас навигација</v>
      </c>
    </row>
    <row r="264">
      <c r="A264" s="3" t="s">
        <v>546</v>
      </c>
      <c r="B264" s="3" t="s">
        <v>547</v>
      </c>
      <c r="C264" s="4" t="str">
        <f>IFERROR(__xludf.DUMMYFUNCTION("GOOGLETRANSLATE(B264,""en"",""ta"")"),"குறிப்புகள் மற்றும் புகைப்படங்கள்")</f>
        <v>குறிப்புகள் மற்றும் புகைப்படங்கள்</v>
      </c>
      <c r="D264" s="4" t="str">
        <f>IFERROR(__xludf.DUMMYFUNCTION("GOOGLETRANSLATE(B264,""en"",""hi"")"),"नोट्स और तस्वीरें")</f>
        <v>नोट्स और तस्वीरें</v>
      </c>
      <c r="E264" s="4" t="str">
        <f>IFERROR(__xludf.DUMMYFUNCTION("GOOGLETRANSLATE(B264,""en"",""id"")"),"Catatan dan foto")</f>
        <v>Catatan dan foto</v>
      </c>
      <c r="F264" s="4" t="str">
        <f>IFERROR(__xludf.DUMMYFUNCTION("GOOGLETRANSLATE(B264,""en"",""ms"")"),"Nota dan foto")</f>
        <v>Nota dan foto</v>
      </c>
      <c r="G264" s="4" t="str">
        <f>IFERROR(__xludf.DUMMYFUNCTION("GOOGLETRANSLATE(B264,""en"",""de"")"),"Notizen und Fotos")</f>
        <v>Notizen und Fotos</v>
      </c>
      <c r="H264" s="4" t="str">
        <f>IFERROR(__xludf.DUMMYFUNCTION("GOOGLETRANSLATE(B264,""en"",""es"")"),"Notas y fotos")</f>
        <v>Notas y fotos</v>
      </c>
      <c r="I264" s="4" t="str">
        <f>IFERROR(__xludf.DUMMYFUNCTION("GOOGLETRANSLATE(B264,""en"",""fr"")"),"Notes et photos")</f>
        <v>Notes et photos</v>
      </c>
      <c r="J264" s="4" t="str">
        <f>IFERROR(__xludf.DUMMYFUNCTION("GOOGLETRANSLATE(B264,""en"",""it"")"),"Note e foto")</f>
        <v>Note e foto</v>
      </c>
      <c r="K264" s="4" t="str">
        <f>IFERROR(__xludf.DUMMYFUNCTION("GOOGLETRANSLATE(B264,""en"",""pt"")"),"Notas e fotos")</f>
        <v>Notas e fotos</v>
      </c>
      <c r="L264" s="4" t="str">
        <f>IFERROR(__xludf.DUMMYFUNCTION("GOOGLETRANSLATE(B264,""en"",""ro"")"),"Note și fotografii")</f>
        <v>Note și fotografii</v>
      </c>
      <c r="M264" s="4" t="str">
        <f>IFERROR(__xludf.DUMMYFUNCTION("GOOGLETRANSLATE(B264,""en"",""vi"")"),"Ghi chú và hình ảnh")</f>
        <v>Ghi chú và hình ảnh</v>
      </c>
      <c r="N264" s="4" t="str">
        <f>IFERROR(__xludf.DUMMYFUNCTION("GOOGLETRANSLATE(B264,""en"",""ru"")"),"Заметки и фотографии")</f>
        <v>Заметки и фотографии</v>
      </c>
      <c r="O264" s="4" t="str">
        <f>IFERROR(__xludf.DUMMYFUNCTION("GOOGLETRANSLATE(B264,""en"",""tr"")"),"Notlar ve fotoğraflar")</f>
        <v>Notlar ve fotoğraflar</v>
      </c>
      <c r="P264" s="4" t="str">
        <f>IFERROR(__xludf.DUMMYFUNCTION("GOOGLETRANSLATE(B264,""en"",""ar"")"),"ملاحظات وصور")</f>
        <v>ملاحظات وصور</v>
      </c>
      <c r="Q264" s="4" t="str">
        <f>IFERROR(__xludf.DUMMYFUNCTION("GOOGLETRANSLATE(B264,""en"",""mr"")"),"नोट्स आणि फोटो")</f>
        <v>नोट्स आणि फोटो</v>
      </c>
      <c r="R264" s="4" t="str">
        <f>IFERROR(__xludf.DUMMYFUNCTION("GOOGLETRANSLATE(B264,""en"",""gu"")"),"નોંધો અને ફોટા")</f>
        <v>નોંધો અને ફોટા</v>
      </c>
      <c r="S264" s="4" t="str">
        <f>IFERROR(__xludf.DUMMYFUNCTION("GOOGLETRANSLATE(B264,""en"",""bn"")"),"নোট এবং ফটো")</f>
        <v>নোট এবং ফটো</v>
      </c>
      <c r="T264" s="4" t="str">
        <f>IFERROR(__xludf.DUMMYFUNCTION("GOOGLETRANSLATE(B264,""en"",""pa"")"),"ਨੋਟਸ ਅਤੇ ਫੋਟੋਆਂ")</f>
        <v>ਨੋਟਸ ਅਤੇ ਫੋਟੋਆਂ</v>
      </c>
      <c r="U264" s="4" t="str">
        <f>IFERROR(__xludf.DUMMYFUNCTION("GOOGLETRANSLATE(B264,""en"",""te"")"),"గమనికలు మరియు ఫోటోలు")</f>
        <v>గమనికలు మరియు ఫోటోలు</v>
      </c>
      <c r="V264" s="4" t="str">
        <f>IFERROR(__xludf.DUMMYFUNCTION("GOOGLETRANSLATE(B264,""en"",""kn"")"),"ಟಿಪ್ಪಣಿಗಳು ಮತ್ತು ಫೋಟೋಗಳು")</f>
        <v>ಟಿಪ್ಪಣಿಗಳು ಮತ್ತು ಫೋಟೋಗಳು</v>
      </c>
      <c r="W264" s="4" t="str">
        <f>IFERROR(__xludf.DUMMYFUNCTION("GOOGLETRANSLATE(B264,""en"",""ml"")"),"കുറിപ്പുകളും ഫോട്ടോകളും")</f>
        <v>കുറിപ്പുകളും ഫോട്ടോകളും</v>
      </c>
      <c r="X264" s="4" t="str">
        <f>IFERROR(__xludf.DUMMYFUNCTION("GOOGLETRANSLATE(B264,""en"",""th"")"),"หมายเหตุและภาพถ่าย")</f>
        <v>หมายเหตุและภาพถ่าย</v>
      </c>
      <c r="Y264" s="4" t="str">
        <f>IFERROR(__xludf.DUMMYFUNCTION("GOOGLETRANSLATE(B264,""en"",""ko"")"),"노트와 사진")</f>
        <v>노트와 사진</v>
      </c>
      <c r="Z264" s="4" t="str">
        <f>IFERROR(__xludf.DUMMYFUNCTION("GOOGLETRANSLATE(B264,""en"",""zh"")"),"笔记和照片")</f>
        <v>笔记和照片</v>
      </c>
      <c r="AA264" s="4" t="str">
        <f>IFERROR(__xludf.DUMMYFUNCTION("GOOGLETRANSLATE(B264,""en"",""zh-TW"")"),"筆記和照片")</f>
        <v>筆記和照片</v>
      </c>
      <c r="AB264" s="4" t="str">
        <f>IFERROR(__xludf.DUMMYFUNCTION("GOOGLETRANSLATE(B264,""en"",""ja"")"),"メモと写真")</f>
        <v>メモと写真</v>
      </c>
      <c r="AC264" s="4" t="str">
        <f>IFERROR(__xludf.DUMMYFUNCTION("GOOGLETRANSLATE(B264,""en"",""bg"")"),"Бележки и снимки")</f>
        <v>Бележки и снимки</v>
      </c>
      <c r="AD264" s="4" t="str">
        <f>IFERROR(__xludf.DUMMYFUNCTION("GOOGLETRANSLATE(B264,""en"",""cs"")"),"Poznámky a fotky")</f>
        <v>Poznámky a fotky</v>
      </c>
      <c r="AE264" s="4" t="str">
        <f>IFERROR(__xludf.DUMMYFUNCTION("GOOGLETRANSLATE(B264,""en"",""da"")"),"Noter og fotos")</f>
        <v>Noter og fotos</v>
      </c>
      <c r="AF264" s="4" t="str">
        <f>IFERROR(__xludf.DUMMYFUNCTION("GOOGLETRANSLATE(B264,""en"",""el"")"),"Σημειώσεις και φωτογραφίες")</f>
        <v>Σημειώσεις και φωτογραφίες</v>
      </c>
      <c r="AG264" s="4" t="str">
        <f>IFERROR(__xludf.DUMMYFUNCTION("GOOGLETRANSLATE(B264,""en"",""et"")"),"Märkmed ja fotod")</f>
        <v>Märkmed ja fotod</v>
      </c>
      <c r="AH264" s="4" t="str">
        <f>IFERROR(__xludf.DUMMYFUNCTION("GOOGLETRANSLATE(B264,""en"",""fi"")"),"Muistiinpanot ja valokuvat")</f>
        <v>Muistiinpanot ja valokuvat</v>
      </c>
      <c r="AI264" s="4" t="str">
        <f>IFERROR(__xludf.DUMMYFUNCTION("GOOGLETRANSLATE(B264,""en"",""hr"")"),"Bilješke i fotografije")</f>
        <v>Bilješke i fotografije</v>
      </c>
      <c r="AJ264" s="4" t="str">
        <f>IFERROR(__xludf.DUMMYFUNCTION("GOOGLETRANSLATE(B264,""en"",""hu"")"),"Jegyzetek és fotók")</f>
        <v>Jegyzetek és fotók</v>
      </c>
      <c r="AK264" s="4" t="str">
        <f>IFERROR(__xludf.DUMMYFUNCTION("GOOGLETRANSLATE(B264,""en"",""hy"")"),"Նշումներ և լուսանկարներ")</f>
        <v>Նշումներ և լուսանկարներ</v>
      </c>
      <c r="AL264" s="4" t="str">
        <f>IFERROR(__xludf.DUMMYFUNCTION("GOOGLETRANSLATE(B264,""en"",""ca"")"),"Notes i fotos")</f>
        <v>Notes i fotos</v>
      </c>
      <c r="AM264" s="4" t="str">
        <f>IFERROR(__xludf.DUMMYFUNCTION("GOOGLETRANSLATE(B264,""en"",""nl"")"),"Notities en foto's")</f>
        <v>Notities en foto's</v>
      </c>
      <c r="AN264" s="4" t="str">
        <f>IFERROR(__xludf.DUMMYFUNCTION("GOOGLETRANSLATE(B264,""en"",""he"")"),"הערות ותמונות")</f>
        <v>הערות ותמונות</v>
      </c>
      <c r="AO264" s="4" t="str">
        <f>IFERROR(__xludf.DUMMYFUNCTION("GOOGLETRANSLATE(B264,""en"",""is"")"),"Glósur og myndir")</f>
        <v>Glósur og myndir</v>
      </c>
      <c r="AP264" s="4" t="str">
        <f>IFERROR(__xludf.DUMMYFUNCTION("GOOGLETRANSLATE(B264,""en"",""no"")"),"Notater og bilder")</f>
        <v>Notater og bilder</v>
      </c>
      <c r="AQ264" s="4" t="str">
        <f>IFERROR(__xludf.DUMMYFUNCTION("GOOGLETRANSLATE(B264,""en"",""fa"")"),"یادداشت ها و عکس ها")</f>
        <v>یادداشت ها و عکس ها</v>
      </c>
      <c r="AR264" s="4" t="str">
        <f>IFERROR(__xludf.DUMMYFUNCTION("GOOGLETRANSLATE(B264,""en"",""pl"")"),"Notatki i zdjęcia")</f>
        <v>Notatki i zdjęcia</v>
      </c>
      <c r="AS264" s="4" t="str">
        <f>IFERROR(__xludf.DUMMYFUNCTION("GOOGLETRANSLATE(B264,""en"",""sv"")"),"Anteckningar och foton")</f>
        <v>Anteckningar och foton</v>
      </c>
      <c r="AT264" s="4" t="str">
        <f>IFERROR(__xludf.DUMMYFUNCTION("GOOGLETRANSLATE(B264,""en"",""uk"")"),"Примітки та фотографії")</f>
        <v>Примітки та фотографії</v>
      </c>
      <c r="AU264" s="4" t="str">
        <f>IFERROR(__xludf.DUMMYFUNCTION("GOOGLETRANSLATE(B264,""en"",""zu"")"),"Amanothi nezithombe")</f>
        <v>Amanothi nezithombe</v>
      </c>
      <c r="AV264" s="4" t="str">
        <f>IFERROR(__xludf.DUMMYFUNCTION("GOOGLETRANSLATE(B264,""en"",""sr"")"),"Белешке и фотографије")</f>
        <v>Белешке и фотографије</v>
      </c>
    </row>
    <row r="265">
      <c r="A265" s="3" t="s">
        <v>548</v>
      </c>
      <c r="B265" s="3" t="s">
        <v>549</v>
      </c>
      <c r="C265" s="4" t="str">
        <f>IFERROR(__xludf.DUMMYFUNCTION("GOOGLETRANSLATE(B265,""en"",""ta"")"),"மலையேற்றத்தைத் தொடங்கவும்")</f>
        <v>மலையேற்றத்தைத் தொடங்கவும்</v>
      </c>
      <c r="D265" s="4" t="str">
        <f>IFERROR(__xludf.DUMMYFUNCTION("GOOGLETRANSLATE(B265,""en"",""hi"")"),"ट्रेक शुरू करें")</f>
        <v>ट्रेक शुरू करें</v>
      </c>
      <c r="E265" s="4" t="str">
        <f>IFERROR(__xludf.DUMMYFUNCTION("GOOGLETRANSLATE(B265,""en"",""id"")"),"Mulai Trek")</f>
        <v>Mulai Trek</v>
      </c>
      <c r="F265" s="4" t="str">
        <f>IFERROR(__xludf.DUMMYFUNCTION("GOOGLETRANSLATE(B265,""en"",""ms"")"),"Mulakan Trek")</f>
        <v>Mulakan Trek</v>
      </c>
      <c r="G265" s="4" t="str">
        <f>IFERROR(__xludf.DUMMYFUNCTION("GOOGLETRANSLATE(B265,""en"",""de"")"),"Trek starten")</f>
        <v>Trek starten</v>
      </c>
      <c r="H265" s="4" t="str">
        <f>IFERROR(__xludf.DUMMYFUNCTION("GOOGLETRANSLATE(B265,""en"",""es"")"),"Iniciar caminata")</f>
        <v>Iniciar caminata</v>
      </c>
      <c r="I265" s="4" t="str">
        <f>IFERROR(__xludf.DUMMYFUNCTION("GOOGLETRANSLATE(B265,""en"",""fr"")"),"Démarrer Trek")</f>
        <v>Démarrer Trek</v>
      </c>
      <c r="J265" s="4" t="str">
        <f>IFERROR(__xludf.DUMMYFUNCTION("GOOGLETRANSLATE(B265,""en"",""it"")"),"Inizia il trekking")</f>
        <v>Inizia il trekking</v>
      </c>
      <c r="K265" s="4" t="str">
        <f>IFERROR(__xludf.DUMMYFUNCTION("GOOGLETRANSLATE(B265,""en"",""pt"")"),"Comece a jornada")</f>
        <v>Comece a jornada</v>
      </c>
      <c r="L265" s="4" t="str">
        <f>IFERROR(__xludf.DUMMYFUNCTION("GOOGLETRANSLATE(B265,""en"",""ro"")"),"Începeți Trek")</f>
        <v>Începeți Trek</v>
      </c>
      <c r="M265" s="4" t="str">
        <f>IFERROR(__xludf.DUMMYFUNCTION("GOOGLETRANSLATE(B265,""en"",""vi"")"),"Bắt đầu Trek")</f>
        <v>Bắt đầu Trek</v>
      </c>
      <c r="N265" s="4" t="str">
        <f>IFERROR(__xludf.DUMMYFUNCTION("GOOGLETRANSLATE(B265,""en"",""ru"")"),"Начать Трек")</f>
        <v>Начать Трек</v>
      </c>
      <c r="O265" s="4" t="str">
        <f>IFERROR(__xludf.DUMMYFUNCTION("GOOGLETRANSLATE(B265,""en"",""tr"")"),"Trek'e Başla")</f>
        <v>Trek'e Başla</v>
      </c>
      <c r="P265" s="4" t="str">
        <f>IFERROR(__xludf.DUMMYFUNCTION("GOOGLETRANSLATE(B265,""en"",""ar"")"),"ابدأ الرحلة")</f>
        <v>ابدأ الرحلة</v>
      </c>
      <c r="Q265" s="4" t="str">
        <f>IFERROR(__xludf.DUMMYFUNCTION("GOOGLETRANSLATE(B265,""en"",""mr"")"),"ट्रेक सुरू करा")</f>
        <v>ट्रेक सुरू करा</v>
      </c>
      <c r="R265" s="4" t="str">
        <f>IFERROR(__xludf.DUMMYFUNCTION("GOOGLETRANSLATE(B265,""en"",""gu"")"),"ટ્રેક શરૂ કરો")</f>
        <v>ટ્રેક શરૂ કરો</v>
      </c>
      <c r="S265" s="4" t="str">
        <f>IFERROR(__xludf.DUMMYFUNCTION("GOOGLETRANSLATE(B265,""en"",""bn"")"),"ট্রেক শুরু করুন")</f>
        <v>ট্রেক শুরু করুন</v>
      </c>
      <c r="T265" s="4" t="str">
        <f>IFERROR(__xludf.DUMMYFUNCTION("GOOGLETRANSLATE(B265,""en"",""pa"")"),"ਟ੍ਰੈਕ ਸ਼ੁਰੂ ਕਰੋ")</f>
        <v>ਟ੍ਰੈਕ ਸ਼ੁਰੂ ਕਰੋ</v>
      </c>
      <c r="U265" s="4" t="str">
        <f>IFERROR(__xludf.DUMMYFUNCTION("GOOGLETRANSLATE(B265,""en"",""te"")"),"ట్రెక్ ప్రారంభించండి")</f>
        <v>ట్రెక్ ప్రారంభించండి</v>
      </c>
      <c r="V265" s="4" t="str">
        <f>IFERROR(__xludf.DUMMYFUNCTION("GOOGLETRANSLATE(B265,""en"",""kn"")"),"ಟ್ರೆಕ್ ಪ್ರಾರಂಭಿಸಿ")</f>
        <v>ಟ್ರೆಕ್ ಪ್ರಾರಂಭಿಸಿ</v>
      </c>
      <c r="W265" s="4" t="str">
        <f>IFERROR(__xludf.DUMMYFUNCTION("GOOGLETRANSLATE(B265,""en"",""ml"")"),"ട്രെക്ക് ആരംഭിക്കുക")</f>
        <v>ട്രെക്ക് ആരംഭിക്കുക</v>
      </c>
      <c r="X265" s="4" t="str">
        <f>IFERROR(__xludf.DUMMYFUNCTION("GOOGLETRANSLATE(B265,""en"",""th"")"),"เริ่มการเดินทาง")</f>
        <v>เริ่มการเดินทาง</v>
      </c>
      <c r="Y265" s="4" t="str">
        <f>IFERROR(__xludf.DUMMYFUNCTION("GOOGLETRANSLATE(B265,""en"",""ko"")"),"트레킹 시작")</f>
        <v>트레킹 시작</v>
      </c>
      <c r="Z265" s="4" t="str">
        <f>IFERROR(__xludf.DUMMYFUNCTION("GOOGLETRANSLATE(B265,""en"",""zh"")"),"开始跋涉")</f>
        <v>开始跋涉</v>
      </c>
      <c r="AA265" s="4" t="str">
        <f>IFERROR(__xludf.DUMMYFUNCTION("GOOGLETRANSLATE(B265,""en"",""zh-TW"")"),"開始跋涉")</f>
        <v>開始跋涉</v>
      </c>
      <c r="AB265" s="4" t="str">
        <f>IFERROR(__xludf.DUMMYFUNCTION("GOOGLETRANSLATE(B265,""en"",""ja"")"),"スタートトレック")</f>
        <v>スタートトレック</v>
      </c>
      <c r="AC265" s="4" t="str">
        <f>IFERROR(__xludf.DUMMYFUNCTION("GOOGLETRANSLATE(B265,""en"",""bg"")"),"Стартирайте Трек")</f>
        <v>Стартирайте Трек</v>
      </c>
      <c r="AD265" s="4" t="str">
        <f>IFERROR(__xludf.DUMMYFUNCTION("GOOGLETRANSLATE(B265,""en"",""cs"")"),"Začněte Trek")</f>
        <v>Začněte Trek</v>
      </c>
      <c r="AE265" s="4" t="str">
        <f>IFERROR(__xludf.DUMMYFUNCTION("GOOGLETRANSLATE(B265,""en"",""da"")"),"Start Trek")</f>
        <v>Start Trek</v>
      </c>
      <c r="AF265" s="4" t="str">
        <f>IFERROR(__xludf.DUMMYFUNCTION("GOOGLETRANSLATE(B265,""en"",""el"")"),"Ξεκινήστε το Trek")</f>
        <v>Ξεκινήστε το Trek</v>
      </c>
      <c r="AG265" s="4" t="str">
        <f>IFERROR(__xludf.DUMMYFUNCTION("GOOGLETRANSLATE(B265,""en"",""et"")"),"Alusta Treki")</f>
        <v>Alusta Treki</v>
      </c>
      <c r="AH265" s="4" t="str">
        <f>IFERROR(__xludf.DUMMYFUNCTION("GOOGLETRANSLATE(B265,""en"",""fi"")"),"Aloita Trek")</f>
        <v>Aloita Trek</v>
      </c>
      <c r="AI265" s="4" t="str">
        <f>IFERROR(__xludf.DUMMYFUNCTION("GOOGLETRANSLATE(B265,""en"",""hr"")"),"Pokreni Trek")</f>
        <v>Pokreni Trek</v>
      </c>
      <c r="AJ265" s="4" t="str">
        <f>IFERROR(__xludf.DUMMYFUNCTION("GOOGLETRANSLATE(B265,""en"",""hu"")"),"Indítsa el a Treket")</f>
        <v>Indítsa el a Treket</v>
      </c>
      <c r="AK265" s="4" t="str">
        <f>IFERROR(__xludf.DUMMYFUNCTION("GOOGLETRANSLATE(B265,""en"",""hy"")"),"Սկսեք արշավը")</f>
        <v>Սկսեք արշավը</v>
      </c>
      <c r="AL265" s="4" t="str">
        <f>IFERROR(__xludf.DUMMYFUNCTION("GOOGLETRANSLATE(B265,""en"",""ca"")"),"Comença la caminada")</f>
        <v>Comença la caminada</v>
      </c>
      <c r="AM265" s="4" t="str">
        <f>IFERROR(__xludf.DUMMYFUNCTION("GOOGLETRANSLATE(B265,""en"",""nl"")"),"Begin Trek")</f>
        <v>Begin Trek</v>
      </c>
      <c r="AN265" s="4" t="str">
        <f>IFERROR(__xludf.DUMMYFUNCTION("GOOGLETRANSLATE(B265,""en"",""he"")"),"התחל טרק")</f>
        <v>התחל טרק</v>
      </c>
      <c r="AO265" s="4" t="str">
        <f>IFERROR(__xludf.DUMMYFUNCTION("GOOGLETRANSLATE(B265,""en"",""is"")"),"Byrjaðu Trek")</f>
        <v>Byrjaðu Trek</v>
      </c>
      <c r="AP265" s="4" t="str">
        <f>IFERROR(__xludf.DUMMYFUNCTION("GOOGLETRANSLATE(B265,""en"",""no"")"),"Start Trek")</f>
        <v>Start Trek</v>
      </c>
      <c r="AQ265" s="4" t="str">
        <f>IFERROR(__xludf.DUMMYFUNCTION("GOOGLETRANSLATE(B265,""en"",""fa"")"),"راهپیمایی را شروع کنید")</f>
        <v>راهپیمایی را شروع کنید</v>
      </c>
      <c r="AR265" s="4" t="str">
        <f>IFERROR(__xludf.DUMMYFUNCTION("GOOGLETRANSLATE(B265,""en"",""pl"")"),"Rozpocznij Trek")</f>
        <v>Rozpocznij Trek</v>
      </c>
      <c r="AS265" s="4" t="str">
        <f>IFERROR(__xludf.DUMMYFUNCTION("GOOGLETRANSLATE(B265,""en"",""sv"")"),"Starta Trek")</f>
        <v>Starta Trek</v>
      </c>
      <c r="AT265" s="4" t="str">
        <f>IFERROR(__xludf.DUMMYFUNCTION("GOOGLETRANSLATE(B265,""en"",""uk"")"),"Почати Трек")</f>
        <v>Почати Трек</v>
      </c>
      <c r="AU265" s="4" t="str">
        <f>IFERROR(__xludf.DUMMYFUNCTION("GOOGLETRANSLATE(B265,""en"",""zu"")"),"Qala i-Trek")</f>
        <v>Qala i-Trek</v>
      </c>
      <c r="AV265" s="4" t="str">
        <f>IFERROR(__xludf.DUMMYFUNCTION("GOOGLETRANSLATE(B265,""en"",""sr"")"),"Старт Трек")</f>
        <v>Старт Трек</v>
      </c>
    </row>
    <row r="266">
      <c r="A266" s="3" t="s">
        <v>550</v>
      </c>
      <c r="B266" s="3" t="s">
        <v>551</v>
      </c>
      <c r="C266" s="4" t="str">
        <f>IFERROR(__xludf.DUMMYFUNCTION("GOOGLETRANSLATE(B266,""en"",""ta"")"),"ட்ரெக் முகப்புத் திரைக்குத் திரும்பு")</f>
        <v>ட்ரெக் முகப்புத் திரைக்குத் திரும்பு</v>
      </c>
      <c r="D266" s="4" t="str">
        <f>IFERROR(__xludf.DUMMYFUNCTION("GOOGLETRANSLATE(B266,""en"",""hi"")"),"ट्रेक होम स्क्रीन पर वापस जाएं")</f>
        <v>ट्रेक होम स्क्रीन पर वापस जाएं</v>
      </c>
      <c r="E266" s="4" t="str">
        <f>IFERROR(__xludf.DUMMYFUNCTION("GOOGLETRANSLATE(B266,""en"",""id"")"),"Kembali ke Layar Utama Trek")</f>
        <v>Kembali ke Layar Utama Trek</v>
      </c>
      <c r="F266" s="4" t="str">
        <f>IFERROR(__xludf.DUMMYFUNCTION("GOOGLETRANSLATE(B266,""en"",""ms"")"),"Kembali ke Skrin Utama Trek")</f>
        <v>Kembali ke Skrin Utama Trek</v>
      </c>
      <c r="G266" s="4" t="str">
        <f>IFERROR(__xludf.DUMMYFUNCTION("GOOGLETRANSLATE(B266,""en"",""de"")"),"Zurück zum Trek-Startbildschirm")</f>
        <v>Zurück zum Trek-Startbildschirm</v>
      </c>
      <c r="H266" s="4" t="str">
        <f>IFERROR(__xludf.DUMMYFUNCTION("GOOGLETRANSLATE(B266,""en"",""es"")"),"Volver a la pantalla de inicio de Trek")</f>
        <v>Volver a la pantalla de inicio de Trek</v>
      </c>
      <c r="I266" s="4" t="str">
        <f>IFERROR(__xludf.DUMMYFUNCTION("GOOGLETRANSLATE(B266,""en"",""fr"")"),"Retour à l'écran d'accueil de Trek")</f>
        <v>Retour à l'écran d'accueil de Trek</v>
      </c>
      <c r="J266" s="4" t="str">
        <f>IFERROR(__xludf.DUMMYFUNCTION("GOOGLETRANSLATE(B266,""en"",""it"")"),"Torna alla schermata iniziale di Trek")</f>
        <v>Torna alla schermata iniziale di Trek</v>
      </c>
      <c r="K266" s="4" t="str">
        <f>IFERROR(__xludf.DUMMYFUNCTION("GOOGLETRANSLATE(B266,""en"",""pt"")"),"Voltar para a tela inicial do Trek")</f>
        <v>Voltar para a tela inicial do Trek</v>
      </c>
      <c r="L266" s="4" t="str">
        <f>IFERROR(__xludf.DUMMYFUNCTION("GOOGLETRANSLATE(B266,""en"",""ro"")"),"Înapoi la ecranul de pornire Trek")</f>
        <v>Înapoi la ecranul de pornire Trek</v>
      </c>
      <c r="M266" s="4" t="str">
        <f>IFERROR(__xludf.DUMMYFUNCTION("GOOGLETRANSLATE(B266,""en"",""vi"")"),"Quay lại màn hình chính Trek")</f>
        <v>Quay lại màn hình chính Trek</v>
      </c>
      <c r="N266" s="4" t="str">
        <f>IFERROR(__xludf.DUMMYFUNCTION("GOOGLETRANSLATE(B266,""en"",""ru"")"),"Вернуться на главный экран Trek")</f>
        <v>Вернуться на главный экран Trek</v>
      </c>
      <c r="O266" s="4" t="str">
        <f>IFERROR(__xludf.DUMMYFUNCTION("GOOGLETRANSLATE(B266,""en"",""tr"")"),"Trek Ana Ekranına Geri Dön")</f>
        <v>Trek Ana Ekranına Geri Dön</v>
      </c>
      <c r="P266" s="4" t="str">
        <f>IFERROR(__xludf.DUMMYFUNCTION("GOOGLETRANSLATE(B266,""en"",""ar"")"),"العودة إلى الشاشة الرئيسية لـ Trek")</f>
        <v>العودة إلى الشاشة الرئيسية لـ Trek</v>
      </c>
      <c r="Q266" s="4" t="str">
        <f>IFERROR(__xludf.DUMMYFUNCTION("GOOGLETRANSLATE(B266,""en"",""mr"")"),"ट्रेक होम स्क्रीनवर परत")</f>
        <v>ट्रेक होम स्क्रीनवर परत</v>
      </c>
      <c r="R266" s="4" t="str">
        <f>IFERROR(__xludf.DUMMYFUNCTION("GOOGLETRANSLATE(B266,""en"",""gu"")"),"ટ્રેક હોમ સ્ક્રીન પર પાછા")</f>
        <v>ટ્રેક હોમ સ્ક્રીન પર પાછા</v>
      </c>
      <c r="S266" s="4" t="str">
        <f>IFERROR(__xludf.DUMMYFUNCTION("GOOGLETRANSLATE(B266,""en"",""bn"")"),"ট্রেক হোম স্ক্রীনে ফিরে যান")</f>
        <v>ট্রেক হোম স্ক্রীনে ফিরে যান</v>
      </c>
      <c r="T266" s="4" t="str">
        <f>IFERROR(__xludf.DUMMYFUNCTION("GOOGLETRANSLATE(B266,""en"",""pa"")"),"ਟ੍ਰੈਕ ਹੋਮ ਸਕ੍ਰੀਨ 'ਤੇ ਵਾਪਸ ਜਾਓ")</f>
        <v>ਟ੍ਰੈਕ ਹੋਮ ਸਕ੍ਰੀਨ 'ਤੇ ਵਾਪਸ ਜਾਓ</v>
      </c>
      <c r="U266" s="4" t="str">
        <f>IFERROR(__xludf.DUMMYFUNCTION("GOOGLETRANSLATE(B266,""en"",""te"")"),"తిరిగి ట్రెక్ హోమ్ స్క్రీన్‌కి")</f>
        <v>తిరిగి ట్రెక్ హోమ్ స్క్రీన్‌కి</v>
      </c>
      <c r="V266" s="4" t="str">
        <f>IFERROR(__xludf.DUMMYFUNCTION("GOOGLETRANSLATE(B266,""en"",""kn"")"),"ಟ್ರೆಕ್ ಹೋಮ್ ಸ್ಕ್ರೀನ್‌ಗೆ ಹಿಂತಿರುಗಿ")</f>
        <v>ಟ್ರೆಕ್ ಹೋಮ್ ಸ್ಕ್ರೀನ್‌ಗೆ ಹಿಂತಿರುಗಿ</v>
      </c>
      <c r="W266" s="4" t="str">
        <f>IFERROR(__xludf.DUMMYFUNCTION("GOOGLETRANSLATE(B266,""en"",""ml"")"),"ട്രെക്ക് ഹോം സ്‌ക്രീനിലേക്ക് മടങ്ങുക")</f>
        <v>ട്രെക്ക് ഹോം സ്‌ക്രീനിലേക്ക് മടങ്ങുക</v>
      </c>
      <c r="X266" s="4" t="str">
        <f>IFERROR(__xludf.DUMMYFUNCTION("GOOGLETRANSLATE(B266,""en"",""th"")"),"กลับไปยังหน้าจอหลักของ Trek")</f>
        <v>กลับไปยังหน้าจอหลักของ Trek</v>
      </c>
      <c r="Y266" s="4" t="str">
        <f>IFERROR(__xludf.DUMMYFUNCTION("GOOGLETRANSLATE(B266,""en"",""ko"")"),"트렉 홈 화면으로 돌아가기")</f>
        <v>트렉 홈 화면으로 돌아가기</v>
      </c>
      <c r="Z266" s="4" t="str">
        <f>IFERROR(__xludf.DUMMYFUNCTION("GOOGLETRANSLATE(B266,""en"",""zh"")"),"返回 Trek 主屏幕")</f>
        <v>返回 Trek 主屏幕</v>
      </c>
      <c r="AA266" s="4" t="str">
        <f>IFERROR(__xludf.DUMMYFUNCTION("GOOGLETRANSLATE(B266,""en"",""zh-TW"")"),"返回 Trek 主螢幕")</f>
        <v>返回 Trek 主螢幕</v>
      </c>
      <c r="AB266" s="4" t="str">
        <f>IFERROR(__xludf.DUMMYFUNCTION("GOOGLETRANSLATE(B266,""en"",""ja"")"),"トレックのホーム画面に戻る")</f>
        <v>トレックのホーム画面に戻る</v>
      </c>
      <c r="AC266" s="4" t="str">
        <f>IFERROR(__xludf.DUMMYFUNCTION("GOOGLETRANSLATE(B266,""en"",""bg"")"),"Назад към началния екран на Trek")</f>
        <v>Назад към началния екран на Trek</v>
      </c>
      <c r="AD266" s="4" t="str">
        <f>IFERROR(__xludf.DUMMYFUNCTION("GOOGLETRANSLATE(B266,""en"",""cs"")"),"Zpět na domovskou obrazovku Trek")</f>
        <v>Zpět na domovskou obrazovku Trek</v>
      </c>
      <c r="AE266" s="4" t="str">
        <f>IFERROR(__xludf.DUMMYFUNCTION("GOOGLETRANSLATE(B266,""en"",""da"")"),"Tilbage til Treks startskærm")</f>
        <v>Tilbage til Treks startskærm</v>
      </c>
      <c r="AF266" s="4" t="str">
        <f>IFERROR(__xludf.DUMMYFUNCTION("GOOGLETRANSLATE(B266,""en"",""el"")"),"Επιστροφή στην αρχική οθόνη του Trek")</f>
        <v>Επιστροφή στην αρχική οθόνη του Trek</v>
      </c>
      <c r="AG266" s="4" t="str">
        <f>IFERROR(__xludf.DUMMYFUNCTION("GOOGLETRANSLATE(B266,""en"",""et"")"),"Tagasi Treki avakuvale")</f>
        <v>Tagasi Treki avakuvale</v>
      </c>
      <c r="AH266" s="4" t="str">
        <f>IFERROR(__xludf.DUMMYFUNCTION("GOOGLETRANSLATE(B266,""en"",""fi"")"),"Takaisin Trekin aloitusnäyttöön")</f>
        <v>Takaisin Trekin aloitusnäyttöön</v>
      </c>
      <c r="AI266" s="4" t="str">
        <f>IFERROR(__xludf.DUMMYFUNCTION("GOOGLETRANSLATE(B266,""en"",""hr"")"),"Povratak na početni zaslon Treka")</f>
        <v>Povratak na početni zaslon Treka</v>
      </c>
      <c r="AJ266" s="4" t="str">
        <f>IFERROR(__xludf.DUMMYFUNCTION("GOOGLETRANSLATE(B266,""en"",""hu"")"),"Vissza a Trek kezdőképernyőjére")</f>
        <v>Vissza a Trek kezdőképernyőjére</v>
      </c>
      <c r="AK266" s="4" t="str">
        <f>IFERROR(__xludf.DUMMYFUNCTION("GOOGLETRANSLATE(B266,""en"",""hy"")"),"Վերադառնալ Trek գլխավոր էկրանին")</f>
        <v>Վերադառնալ Trek գլխավոր էկրանին</v>
      </c>
      <c r="AL266" s="4" t="str">
        <f>IFERROR(__xludf.DUMMYFUNCTION("GOOGLETRANSLATE(B266,""en"",""ca"")"),"Torna a la pantalla d'inici de Trek")</f>
        <v>Torna a la pantalla d'inici de Trek</v>
      </c>
      <c r="AM266" s="4" t="str">
        <f>IFERROR(__xludf.DUMMYFUNCTION("GOOGLETRANSLATE(B266,""en"",""nl"")"),"Terug naar het startscherm van Trek")</f>
        <v>Terug naar het startscherm van Trek</v>
      </c>
      <c r="AN266" s="4" t="str">
        <f>IFERROR(__xludf.DUMMYFUNCTION("GOOGLETRANSLATE(B266,""en"",""he"")"),"חזרה למסך הבית של Trek")</f>
        <v>חזרה למסך הבית של Trek</v>
      </c>
      <c r="AO266" s="4" t="str">
        <f>IFERROR(__xludf.DUMMYFUNCTION("GOOGLETRANSLATE(B266,""en"",""is"")"),"Aftur á Heimaskjár Trek")</f>
        <v>Aftur á Heimaskjár Trek</v>
      </c>
      <c r="AP266" s="4" t="str">
        <f>IFERROR(__xludf.DUMMYFUNCTION("GOOGLETRANSLATE(B266,""en"",""no"")"),"Tilbake til Treks startskjerm")</f>
        <v>Tilbake til Treks startskjerm</v>
      </c>
      <c r="AQ266" s="4" t="str">
        <f>IFERROR(__xludf.DUMMYFUNCTION("GOOGLETRANSLATE(B266,""en"",""fa"")"),"بازگشت به صفحه اصلی Trek")</f>
        <v>بازگشت به صفحه اصلی Trek</v>
      </c>
      <c r="AR266" s="4" t="str">
        <f>IFERROR(__xludf.DUMMYFUNCTION("GOOGLETRANSLATE(B266,""en"",""pl"")"),"Powrót do ekranu głównego Trek")</f>
        <v>Powrót do ekranu głównego Trek</v>
      </c>
      <c r="AS266" s="4" t="str">
        <f>IFERROR(__xludf.DUMMYFUNCTION("GOOGLETRANSLATE(B266,""en"",""sv"")"),"Tillbaka till Treks startskärm")</f>
        <v>Tillbaka till Treks startskärm</v>
      </c>
      <c r="AT266" s="4" t="str">
        <f>IFERROR(__xludf.DUMMYFUNCTION("GOOGLETRANSLATE(B266,""en"",""uk"")"),"Назад на головний екран Trek")</f>
        <v>Назад на головний екран Trek</v>
      </c>
      <c r="AU266" s="4" t="str">
        <f>IFERROR(__xludf.DUMMYFUNCTION("GOOGLETRANSLATE(B266,""en"",""zu"")"),"Buyela ku-Trek Home Screen")</f>
        <v>Buyela ku-Trek Home Screen</v>
      </c>
      <c r="AV266" s="4" t="str">
        <f>IFERROR(__xludf.DUMMYFUNCTION("GOOGLETRANSLATE(B266,""en"",""sr"")"),"Назад на почетни екран Трек-а")</f>
        <v>Назад на почетни екран Трек-а</v>
      </c>
    </row>
    <row r="267">
      <c r="A267" s="3" t="s">
        <v>552</v>
      </c>
      <c r="B267" s="3" t="s">
        <v>553</v>
      </c>
      <c r="C267" s="4" t="str">
        <f>IFERROR(__xludf.DUMMYFUNCTION("GOOGLETRANSLATE(B267,""en"",""ta"")"),"கி.மீ")</f>
        <v>கி.மீ</v>
      </c>
      <c r="D267" s="4" t="str">
        <f>IFERROR(__xludf.DUMMYFUNCTION("GOOGLETRANSLATE(B267,""en"",""hi"")"),"किमी")</f>
        <v>किमी</v>
      </c>
      <c r="E267" s="4" t="str">
        <f>IFERROR(__xludf.DUMMYFUNCTION("GOOGLETRANSLATE(B267,""en"",""id"")"),"kilometer")</f>
        <v>kilometer</v>
      </c>
      <c r="F267" s="4" t="str">
        <f>IFERROR(__xludf.DUMMYFUNCTION("GOOGLETRANSLATE(B267,""en"",""ms"")"),"km")</f>
        <v>km</v>
      </c>
      <c r="G267" s="4" t="str">
        <f>IFERROR(__xludf.DUMMYFUNCTION("GOOGLETRANSLATE(B267,""en"",""de"")"),"km")</f>
        <v>km</v>
      </c>
      <c r="H267" s="4" t="str">
        <f>IFERROR(__xludf.DUMMYFUNCTION("GOOGLETRANSLATE(B267,""en"",""es"")"),"kilómetros")</f>
        <v>kilómetros</v>
      </c>
      <c r="I267" s="4" t="str">
        <f>IFERROR(__xludf.DUMMYFUNCTION("GOOGLETRANSLATE(B267,""en"",""fr"")"),"km")</f>
        <v>km</v>
      </c>
      <c r="J267" s="4" t="str">
        <f>IFERROR(__xludf.DUMMYFUNCTION("GOOGLETRANSLATE(B267,""en"",""it"")"),"chilometri")</f>
        <v>chilometri</v>
      </c>
      <c r="K267" s="4" t="str">
        <f>IFERROR(__xludf.DUMMYFUNCTION("GOOGLETRANSLATE(B267,""en"",""pt"")"),"quilômetros")</f>
        <v>quilômetros</v>
      </c>
      <c r="L267" s="4" t="str">
        <f>IFERROR(__xludf.DUMMYFUNCTION("GOOGLETRANSLATE(B267,""en"",""ro"")"),"km")</f>
        <v>km</v>
      </c>
      <c r="M267" s="4" t="str">
        <f>IFERROR(__xludf.DUMMYFUNCTION("GOOGLETRANSLATE(B267,""en"",""vi"")"),"km")</f>
        <v>km</v>
      </c>
      <c r="N267" s="4" t="str">
        <f>IFERROR(__xludf.DUMMYFUNCTION("GOOGLETRANSLATE(B267,""en"",""ru"")"),"км")</f>
        <v>км</v>
      </c>
      <c r="O267" s="4" t="str">
        <f>IFERROR(__xludf.DUMMYFUNCTION("GOOGLETRANSLATE(B267,""en"",""tr"")"),"km")</f>
        <v>km</v>
      </c>
      <c r="P267" s="4" t="str">
        <f>IFERROR(__xludf.DUMMYFUNCTION("GOOGLETRANSLATE(B267,""en"",""ar"")"),"كم")</f>
        <v>كم</v>
      </c>
      <c r="Q267" s="4" t="str">
        <f>IFERROR(__xludf.DUMMYFUNCTION("GOOGLETRANSLATE(B267,""en"",""mr"")"),"किमी")</f>
        <v>किमी</v>
      </c>
      <c r="R267" s="4" t="str">
        <f>IFERROR(__xludf.DUMMYFUNCTION("GOOGLETRANSLATE(B267,""en"",""gu"")"),"કિમી")</f>
        <v>કિમી</v>
      </c>
      <c r="S267" s="4" t="str">
        <f>IFERROR(__xludf.DUMMYFUNCTION("GOOGLETRANSLATE(B267,""en"",""bn"")"),"কিমি")</f>
        <v>কিমি</v>
      </c>
      <c r="T267" s="4" t="str">
        <f>IFERROR(__xludf.DUMMYFUNCTION("GOOGLETRANSLATE(B267,""en"",""pa"")"),"ਕਿਲੋਮੀਟਰ")</f>
        <v>ਕਿਲੋਮੀਟਰ</v>
      </c>
      <c r="U267" s="4" t="str">
        <f>IFERROR(__xludf.DUMMYFUNCTION("GOOGLETRANSLATE(B267,""en"",""te"")"),"కి.మీ")</f>
        <v>కి.మీ</v>
      </c>
      <c r="V267" s="4" t="str">
        <f>IFERROR(__xludf.DUMMYFUNCTION("GOOGLETRANSLATE(B267,""en"",""kn"")"),"ಕಿ.ಮೀ")</f>
        <v>ಕಿ.ಮೀ</v>
      </c>
      <c r="W267" s="4" t="str">
        <f>IFERROR(__xludf.DUMMYFUNCTION("GOOGLETRANSLATE(B267,""en"",""ml"")"),"കി.മീ")</f>
        <v>കി.മീ</v>
      </c>
      <c r="X267" s="4" t="str">
        <f>IFERROR(__xludf.DUMMYFUNCTION("GOOGLETRANSLATE(B267,""en"",""th"")"),"กม.")</f>
        <v>กม.</v>
      </c>
      <c r="Y267" s="4" t="str">
        <f>IFERROR(__xludf.DUMMYFUNCTION("GOOGLETRANSLATE(B267,""en"",""ko"")"),"킬로미터")</f>
        <v>킬로미터</v>
      </c>
      <c r="Z267" s="4" t="str">
        <f>IFERROR(__xludf.DUMMYFUNCTION("GOOGLETRANSLATE(B267,""en"",""zh"")"),"公里")</f>
        <v>公里</v>
      </c>
      <c r="AA267" s="4" t="str">
        <f>IFERROR(__xludf.DUMMYFUNCTION("GOOGLETRANSLATE(B267,""en"",""zh-TW"")"),"公里")</f>
        <v>公里</v>
      </c>
      <c r="AB267" s="4" t="str">
        <f>IFERROR(__xludf.DUMMYFUNCTION("GOOGLETRANSLATE(B267,""en"",""ja"")"),"キロ")</f>
        <v>キロ</v>
      </c>
      <c r="AC267" s="4" t="str">
        <f>IFERROR(__xludf.DUMMYFUNCTION("GOOGLETRANSLATE(B267,""en"",""bg"")"),"км")</f>
        <v>км</v>
      </c>
      <c r="AD267" s="4" t="str">
        <f>IFERROR(__xludf.DUMMYFUNCTION("GOOGLETRANSLATE(B267,""en"",""cs"")"),"km")</f>
        <v>km</v>
      </c>
      <c r="AE267" s="4" t="str">
        <f>IFERROR(__xludf.DUMMYFUNCTION("GOOGLETRANSLATE(B267,""en"",""da"")"),"km")</f>
        <v>km</v>
      </c>
      <c r="AF267" s="4" t="str">
        <f>IFERROR(__xludf.DUMMYFUNCTION("GOOGLETRANSLATE(B267,""en"",""el"")"),"χλμ")</f>
        <v>χλμ</v>
      </c>
      <c r="AG267" s="4" t="str">
        <f>IFERROR(__xludf.DUMMYFUNCTION("GOOGLETRANSLATE(B267,""en"",""et"")"),"km")</f>
        <v>km</v>
      </c>
      <c r="AH267" s="4" t="str">
        <f>IFERROR(__xludf.DUMMYFUNCTION("GOOGLETRANSLATE(B267,""en"",""fi"")"),"km")</f>
        <v>km</v>
      </c>
      <c r="AI267" s="4" t="str">
        <f>IFERROR(__xludf.DUMMYFUNCTION("GOOGLETRANSLATE(B267,""en"",""hr"")"),"km")</f>
        <v>km</v>
      </c>
      <c r="AJ267" s="4" t="str">
        <f>IFERROR(__xludf.DUMMYFUNCTION("GOOGLETRANSLATE(B267,""en"",""hu"")"),"km")</f>
        <v>km</v>
      </c>
      <c r="AK267" s="4" t="str">
        <f>IFERROR(__xludf.DUMMYFUNCTION("GOOGLETRANSLATE(B267,""en"",""hy"")"),"կմ")</f>
        <v>կմ</v>
      </c>
      <c r="AL267" s="4" t="str">
        <f>IFERROR(__xludf.DUMMYFUNCTION("GOOGLETRANSLATE(B267,""en"",""ca"")"),"km")</f>
        <v>km</v>
      </c>
      <c r="AM267" s="4" t="str">
        <f>IFERROR(__xludf.DUMMYFUNCTION("GOOGLETRANSLATE(B267,""en"",""nl"")"),"km")</f>
        <v>km</v>
      </c>
      <c r="AN267" s="4" t="str">
        <f>IFERROR(__xludf.DUMMYFUNCTION("GOOGLETRANSLATE(B267,""en"",""he"")"),"ק""מ")</f>
        <v>ק"מ</v>
      </c>
      <c r="AO267" s="4" t="str">
        <f>IFERROR(__xludf.DUMMYFUNCTION("GOOGLETRANSLATE(B267,""en"",""is"")"),"km")</f>
        <v>km</v>
      </c>
      <c r="AP267" s="4" t="str">
        <f>IFERROR(__xludf.DUMMYFUNCTION("GOOGLETRANSLATE(B267,""en"",""no"")"),"km")</f>
        <v>km</v>
      </c>
      <c r="AQ267" s="4" t="str">
        <f>IFERROR(__xludf.DUMMYFUNCTION("GOOGLETRANSLATE(B267,""en"",""fa"")"),"کیلومتر")</f>
        <v>کیلومتر</v>
      </c>
      <c r="AR267" s="4" t="str">
        <f>IFERROR(__xludf.DUMMYFUNCTION("GOOGLETRANSLATE(B267,""en"",""pl"")"),"km")</f>
        <v>km</v>
      </c>
      <c r="AS267" s="4" t="str">
        <f>IFERROR(__xludf.DUMMYFUNCTION("GOOGLETRANSLATE(B267,""en"",""sv"")"),"km")</f>
        <v>km</v>
      </c>
      <c r="AT267" s="4" t="str">
        <f>IFERROR(__xludf.DUMMYFUNCTION("GOOGLETRANSLATE(B267,""en"",""uk"")"),"км")</f>
        <v>км</v>
      </c>
      <c r="AU267" s="4" t="str">
        <f>IFERROR(__xludf.DUMMYFUNCTION("GOOGLETRANSLATE(B267,""en"",""zu"")"),"km")</f>
        <v>km</v>
      </c>
      <c r="AV267" s="4" t="str">
        <f>IFERROR(__xludf.DUMMYFUNCTION("GOOGLETRANSLATE(B267,""en"",""sr"")"),"км")</f>
        <v>км</v>
      </c>
    </row>
    <row r="268">
      <c r="A268" s="3" t="s">
        <v>554</v>
      </c>
      <c r="B268" s="3" t="s">
        <v>555</v>
      </c>
      <c r="C268" s="4" t="str">
        <f>IFERROR(__xludf.DUMMYFUNCTION("GOOGLETRANSLATE(B268,""en"",""ta"")"),"கிமீ தொலைவில்")</f>
        <v>கிமீ தொலைவில்</v>
      </c>
      <c r="D268" s="4" t="str">
        <f>IFERROR(__xludf.DUMMYFUNCTION("GOOGLETRANSLATE(B268,""en"",""hi"")"),"किमी दूर")</f>
        <v>किमी दूर</v>
      </c>
      <c r="E268" s="4" t="str">
        <f>IFERROR(__xludf.DUMMYFUNCTION("GOOGLETRANSLATE(B268,""en"",""id"")"),"km Jauhnya")</f>
        <v>km Jauhnya</v>
      </c>
      <c r="F268" s="4" t="str">
        <f>IFERROR(__xludf.DUMMYFUNCTION("GOOGLETRANSLATE(B268,""en"",""ms"")"),"km Jauh")</f>
        <v>km Jauh</v>
      </c>
      <c r="G268" s="4" t="str">
        <f>IFERROR(__xludf.DUMMYFUNCTION("GOOGLETRANSLATE(B268,""en"",""de"")"),"km entfernt")</f>
        <v>km entfernt</v>
      </c>
      <c r="H268" s="4" t="str">
        <f>IFERROR(__xludf.DUMMYFUNCTION("GOOGLETRANSLATE(B268,""en"",""es"")"),"km de distancia")</f>
        <v>km de distancia</v>
      </c>
      <c r="I268" s="4" t="str">
        <f>IFERROR(__xludf.DUMMYFUNCTION("GOOGLETRANSLATE(B268,""en"",""fr"")"),"km")</f>
        <v>km</v>
      </c>
      <c r="J268" s="4" t="str">
        <f>IFERROR(__xludf.DUMMYFUNCTION("GOOGLETRANSLATE(B268,""en"",""it"")"),"km di distanza")</f>
        <v>km di distanza</v>
      </c>
      <c r="K268" s="4" t="str">
        <f>IFERROR(__xludf.DUMMYFUNCTION("GOOGLETRANSLATE(B268,""en"",""pt"")"),"km de distância")</f>
        <v>km de distância</v>
      </c>
      <c r="L268" s="4" t="str">
        <f>IFERROR(__xludf.DUMMYFUNCTION("GOOGLETRANSLATE(B268,""en"",""ro"")"),"km distanță")</f>
        <v>km distanță</v>
      </c>
      <c r="M268" s="4" t="str">
        <f>IFERROR(__xludf.DUMMYFUNCTION("GOOGLETRANSLATE(B268,""en"",""vi"")"),"km Xa")</f>
        <v>km Xa</v>
      </c>
      <c r="N268" s="4" t="str">
        <f>IFERROR(__xludf.DUMMYFUNCTION("GOOGLETRANSLATE(B268,""en"",""ru"")"),"км.")</f>
        <v>км.</v>
      </c>
      <c r="O268" s="4" t="str">
        <f>IFERROR(__xludf.DUMMYFUNCTION("GOOGLETRANSLATE(B268,""en"",""tr"")"),"km Uzaklıkta")</f>
        <v>km Uzaklıkta</v>
      </c>
      <c r="P268" s="4" t="str">
        <f>IFERROR(__xludf.DUMMYFUNCTION("GOOGLETRANSLATE(B268,""en"",""ar"")"),"كم بعيدا")</f>
        <v>كم بعيدا</v>
      </c>
      <c r="Q268" s="4" t="str">
        <f>IFERROR(__xludf.DUMMYFUNCTION("GOOGLETRANSLATE(B268,""en"",""mr"")"),"किमी दूर")</f>
        <v>किमी दूर</v>
      </c>
      <c r="R268" s="4" t="str">
        <f>IFERROR(__xludf.DUMMYFUNCTION("GOOGLETRANSLATE(B268,""en"",""gu"")"),"કિમી દૂર")</f>
        <v>કિમી દૂર</v>
      </c>
      <c r="S268" s="4" t="str">
        <f>IFERROR(__xludf.DUMMYFUNCTION("GOOGLETRANSLATE(B268,""en"",""bn"")"),"কিমি দূরে")</f>
        <v>কিমি দূরে</v>
      </c>
      <c r="T268" s="4" t="str">
        <f>IFERROR(__xludf.DUMMYFUNCTION("GOOGLETRANSLATE(B268,""en"",""pa"")"),"ਕਿਲੋਮੀਟਰ ਦੂਰ")</f>
        <v>ਕਿਲੋਮੀਟਰ ਦੂਰ</v>
      </c>
      <c r="U268" s="4" t="str">
        <f>IFERROR(__xludf.DUMMYFUNCTION("GOOGLETRANSLATE(B268,""en"",""te"")"),"కిమీ దూరంలో")</f>
        <v>కిమీ దూరంలో</v>
      </c>
      <c r="V268" s="4" t="str">
        <f>IFERROR(__xludf.DUMMYFUNCTION("GOOGLETRANSLATE(B268,""en"",""kn"")"),"ಕಿಮೀ ದೂರ")</f>
        <v>ಕಿಮೀ ದೂರ</v>
      </c>
      <c r="W268" s="4" t="str">
        <f>IFERROR(__xludf.DUMMYFUNCTION("GOOGLETRANSLATE(B268,""en"",""ml"")"),"കിലോമീറ്റർ അകലെ")</f>
        <v>കിലോമീറ്റർ അകലെ</v>
      </c>
      <c r="X268" s="4" t="str">
        <f>IFERROR(__xludf.DUMMYFUNCTION("GOOGLETRANSLATE(B268,""en"",""th"")"),"ห่างออกไป กม.")</f>
        <v>ห่างออกไป กม.</v>
      </c>
      <c r="Y268" s="4" t="str">
        <f>IFERROR(__xludf.DUMMYFUNCTION("GOOGLETRANSLATE(B268,""en"",""ko"")"),"km 떨어져 있음")</f>
        <v>km 떨어져 있음</v>
      </c>
      <c r="Z268" s="4" t="str">
        <f>IFERROR(__xludf.DUMMYFUNCTION("GOOGLETRANSLATE(B268,""en"",""zh"")"),"距离")</f>
        <v>距离</v>
      </c>
      <c r="AA268" s="4" t="str">
        <f>IFERROR(__xludf.DUMMYFUNCTION("GOOGLETRANSLATE(B268,""en"",""zh-TW"")"),"距離")</f>
        <v>距離</v>
      </c>
      <c r="AB268" s="4" t="str">
        <f>IFERROR(__xludf.DUMMYFUNCTION("GOOGLETRANSLATE(B268,""en"",""ja"")"),"km離れた場所")</f>
        <v>km離れた場所</v>
      </c>
      <c r="AC268" s="4" t="str">
        <f>IFERROR(__xludf.DUMMYFUNCTION("GOOGLETRANSLATE(B268,""en"",""bg"")"),"км")</f>
        <v>км</v>
      </c>
      <c r="AD268" s="4" t="str">
        <f>IFERROR(__xludf.DUMMYFUNCTION("GOOGLETRANSLATE(B268,""en"",""cs"")"),"km pryč")</f>
        <v>km pryč</v>
      </c>
      <c r="AE268" s="4" t="str">
        <f>IFERROR(__xludf.DUMMYFUNCTION("GOOGLETRANSLATE(B268,""en"",""da"")"),"km væk")</f>
        <v>km væk</v>
      </c>
      <c r="AF268" s="4" t="str">
        <f>IFERROR(__xludf.DUMMYFUNCTION("GOOGLETRANSLATE(B268,""en"",""el"")"),"χλμ μακριά")</f>
        <v>χλμ μακριά</v>
      </c>
      <c r="AG268" s="4" t="str">
        <f>IFERROR(__xludf.DUMMYFUNCTION("GOOGLETRANSLATE(B268,""en"",""et"")"),"km kaugusel")</f>
        <v>km kaugusel</v>
      </c>
      <c r="AH268" s="4" t="str">
        <f>IFERROR(__xludf.DUMMYFUNCTION("GOOGLETRANSLATE(B268,""en"",""fi"")"),"km päässä")</f>
        <v>km päässä</v>
      </c>
      <c r="AI268" s="4" t="str">
        <f>IFERROR(__xludf.DUMMYFUNCTION("GOOGLETRANSLATE(B268,""en"",""hr"")"),"km daleko")</f>
        <v>km daleko</v>
      </c>
      <c r="AJ268" s="4" t="str">
        <f>IFERROR(__xludf.DUMMYFUNCTION("GOOGLETRANSLATE(B268,""en"",""hu"")"),"km-re")</f>
        <v>km-re</v>
      </c>
      <c r="AK268" s="4" t="str">
        <f>IFERROR(__xludf.DUMMYFUNCTION("GOOGLETRANSLATE(B268,""en"",""hy"")"),"կմ հեռավորության վրա")</f>
        <v>կմ հեռավորության վրա</v>
      </c>
      <c r="AL268" s="4" t="str">
        <f>IFERROR(__xludf.DUMMYFUNCTION("GOOGLETRANSLATE(B268,""en"",""ca"")"),"km de distància")</f>
        <v>km de distància</v>
      </c>
      <c r="AM268" s="4" t="str">
        <f>IFERROR(__xludf.DUMMYFUNCTION("GOOGLETRANSLATE(B268,""en"",""nl"")"),"km afstand")</f>
        <v>km afstand</v>
      </c>
      <c r="AN268" s="4" t="str">
        <f>IFERROR(__xludf.DUMMYFUNCTION("GOOGLETRANSLATE(B268,""en"",""he"")"),"ק""מ משם")</f>
        <v>ק"מ משם</v>
      </c>
      <c r="AO268" s="4" t="str">
        <f>IFERROR(__xludf.DUMMYFUNCTION("GOOGLETRANSLATE(B268,""en"",""is"")"),"km í burtu")</f>
        <v>km í burtu</v>
      </c>
      <c r="AP268" s="4" t="str">
        <f>IFERROR(__xludf.DUMMYFUNCTION("GOOGLETRANSLATE(B268,""en"",""no"")"),"km unna")</f>
        <v>km unna</v>
      </c>
      <c r="AQ268" s="4" t="str">
        <f>IFERROR(__xludf.DUMMYFUNCTION("GOOGLETRANSLATE(B268,""en"",""fa"")"),"کیلومتر دورتر")</f>
        <v>کیلومتر دورتر</v>
      </c>
      <c r="AR268" s="4" t="str">
        <f>IFERROR(__xludf.DUMMYFUNCTION("GOOGLETRANSLATE(B268,""en"",""pl"")"),"km stąd")</f>
        <v>km stąd</v>
      </c>
      <c r="AS268" s="4" t="str">
        <f>IFERROR(__xludf.DUMMYFUNCTION("GOOGLETRANSLATE(B268,""en"",""sv"")"),"km bort")</f>
        <v>km bort</v>
      </c>
      <c r="AT268" s="4" t="str">
        <f>IFERROR(__xludf.DUMMYFUNCTION("GOOGLETRANSLATE(B268,""en"",""uk"")"),"км")</f>
        <v>км</v>
      </c>
      <c r="AU268" s="4" t="str">
        <f>IFERROR(__xludf.DUMMYFUNCTION("GOOGLETRANSLATE(B268,""en"",""zu"")"),"km kude")</f>
        <v>km kude</v>
      </c>
      <c r="AV268" s="4" t="str">
        <f>IFERROR(__xludf.DUMMYFUNCTION("GOOGLETRANSLATE(B268,""en"",""sr"")"),"км далеко")</f>
        <v>км далеко</v>
      </c>
    </row>
    <row r="269">
      <c r="A269" s="3" t="s">
        <v>556</v>
      </c>
      <c r="B269" s="3" t="s">
        <v>557</v>
      </c>
      <c r="C269" s="4" t="str">
        <f>IFERROR(__xludf.DUMMYFUNCTION("GOOGLETRANSLATE(B269,""en"",""ta"")"),"தொடங்கு")</f>
        <v>தொடங்கு</v>
      </c>
      <c r="D269" s="4" t="str">
        <f>IFERROR(__xludf.DUMMYFUNCTION("GOOGLETRANSLATE(B269,""en"",""hi"")"),"शुरू")</f>
        <v>शुरू</v>
      </c>
      <c r="E269" s="4" t="str">
        <f>IFERROR(__xludf.DUMMYFUNCTION("GOOGLETRANSLATE(B269,""en"",""id"")"),"Awal")</f>
        <v>Awal</v>
      </c>
      <c r="F269" s="4" t="str">
        <f>IFERROR(__xludf.DUMMYFUNCTION("GOOGLETRANSLATE(B269,""en"",""ms"")"),"Mulakan")</f>
        <v>Mulakan</v>
      </c>
      <c r="G269" s="4" t="str">
        <f>IFERROR(__xludf.DUMMYFUNCTION("GOOGLETRANSLATE(B269,""en"",""de"")"),"Start")</f>
        <v>Start</v>
      </c>
      <c r="H269" s="4" t="str">
        <f>IFERROR(__xludf.DUMMYFUNCTION("GOOGLETRANSLATE(B269,""en"",""es"")"),"Comenzar")</f>
        <v>Comenzar</v>
      </c>
      <c r="I269" s="4" t="str">
        <f>IFERROR(__xludf.DUMMYFUNCTION("GOOGLETRANSLATE(B269,""en"",""fr"")"),"Commencer")</f>
        <v>Commencer</v>
      </c>
      <c r="J269" s="4" t="str">
        <f>IFERROR(__xludf.DUMMYFUNCTION("GOOGLETRANSLATE(B269,""en"",""it"")"),"Inizio")</f>
        <v>Inizio</v>
      </c>
      <c r="K269" s="4" t="str">
        <f>IFERROR(__xludf.DUMMYFUNCTION("GOOGLETRANSLATE(B269,""en"",""pt"")"),"Começar")</f>
        <v>Começar</v>
      </c>
      <c r="L269" s="4" t="str">
        <f>IFERROR(__xludf.DUMMYFUNCTION("GOOGLETRANSLATE(B269,""en"",""ro"")"),"Început")</f>
        <v>Început</v>
      </c>
      <c r="M269" s="4" t="str">
        <f>IFERROR(__xludf.DUMMYFUNCTION("GOOGLETRANSLATE(B269,""en"",""vi"")"),"Bắt đầu")</f>
        <v>Bắt đầu</v>
      </c>
      <c r="N269" s="4" t="str">
        <f>IFERROR(__xludf.DUMMYFUNCTION("GOOGLETRANSLATE(B269,""en"",""ru"")"),"Начинать")</f>
        <v>Начинать</v>
      </c>
      <c r="O269" s="4" t="str">
        <f>IFERROR(__xludf.DUMMYFUNCTION("GOOGLETRANSLATE(B269,""en"",""tr"")"),"Başlangıç")</f>
        <v>Başlangıç</v>
      </c>
      <c r="P269" s="4" t="str">
        <f>IFERROR(__xludf.DUMMYFUNCTION("GOOGLETRANSLATE(B269,""en"",""ar"")"),"يبدأ")</f>
        <v>يبدأ</v>
      </c>
      <c r="Q269" s="4" t="str">
        <f>IFERROR(__xludf.DUMMYFUNCTION("GOOGLETRANSLATE(B269,""en"",""mr"")"),"सुरू करा")</f>
        <v>सुरू करा</v>
      </c>
      <c r="R269" s="4" t="str">
        <f>IFERROR(__xludf.DUMMYFUNCTION("GOOGLETRANSLATE(B269,""en"",""gu"")"),"શરૂ કરો")</f>
        <v>શરૂ કરો</v>
      </c>
      <c r="S269" s="4" t="str">
        <f>IFERROR(__xludf.DUMMYFUNCTION("GOOGLETRANSLATE(B269,""en"",""bn"")"),"শুরু করুন")</f>
        <v>শুরু করুন</v>
      </c>
      <c r="T269" s="4" t="str">
        <f>IFERROR(__xludf.DUMMYFUNCTION("GOOGLETRANSLATE(B269,""en"",""pa"")"),"ਸ਼ੁਰੂ ਕਰੋ")</f>
        <v>ਸ਼ੁਰੂ ਕਰੋ</v>
      </c>
      <c r="U269" s="4" t="str">
        <f>IFERROR(__xludf.DUMMYFUNCTION("GOOGLETRANSLATE(B269,""en"",""te"")"),"ప్రారంభించండి")</f>
        <v>ప్రారంభించండి</v>
      </c>
      <c r="V269" s="4" t="str">
        <f>IFERROR(__xludf.DUMMYFUNCTION("GOOGLETRANSLATE(B269,""en"",""kn"")"),"ಪ್ರಾರಂಭಿಸಿ")</f>
        <v>ಪ್ರಾರಂಭಿಸಿ</v>
      </c>
      <c r="W269" s="4" t="str">
        <f>IFERROR(__xludf.DUMMYFUNCTION("GOOGLETRANSLATE(B269,""en"",""ml"")"),"ആരംഭിക്കുക")</f>
        <v>ആരംഭിക്കുക</v>
      </c>
      <c r="X269" s="4" t="str">
        <f>IFERROR(__xludf.DUMMYFUNCTION("GOOGLETRANSLATE(B269,""en"",""th"")"),"เริ่ม")</f>
        <v>เริ่ม</v>
      </c>
      <c r="Y269" s="4" t="str">
        <f>IFERROR(__xludf.DUMMYFUNCTION("GOOGLETRANSLATE(B269,""en"",""ko"")"),"시작")</f>
        <v>시작</v>
      </c>
      <c r="Z269" s="4" t="str">
        <f>IFERROR(__xludf.DUMMYFUNCTION("GOOGLETRANSLATE(B269,""en"",""zh"")"),"开始")</f>
        <v>开始</v>
      </c>
      <c r="AA269" s="4" t="str">
        <f>IFERROR(__xludf.DUMMYFUNCTION("GOOGLETRANSLATE(B269,""en"",""zh-TW"")"),"開始")</f>
        <v>開始</v>
      </c>
      <c r="AB269" s="4" t="str">
        <f>IFERROR(__xludf.DUMMYFUNCTION("GOOGLETRANSLATE(B269,""en"",""ja"")"),"始める")</f>
        <v>始める</v>
      </c>
      <c r="AC269" s="4" t="str">
        <f>IFERROR(__xludf.DUMMYFUNCTION("GOOGLETRANSLATE(B269,""en"",""bg"")"),"Започнете")</f>
        <v>Започнете</v>
      </c>
      <c r="AD269" s="4" t="str">
        <f>IFERROR(__xludf.DUMMYFUNCTION("GOOGLETRANSLATE(B269,""en"",""cs"")"),"Start")</f>
        <v>Start</v>
      </c>
      <c r="AE269" s="4" t="str">
        <f>IFERROR(__xludf.DUMMYFUNCTION("GOOGLETRANSLATE(B269,""en"",""da"")"),"Starte")</f>
        <v>Starte</v>
      </c>
      <c r="AF269" s="4" t="str">
        <f>IFERROR(__xludf.DUMMYFUNCTION("GOOGLETRANSLATE(B269,""en"",""el"")"),"Αρχή")</f>
        <v>Αρχή</v>
      </c>
      <c r="AG269" s="4" t="str">
        <f>IFERROR(__xludf.DUMMYFUNCTION("GOOGLETRANSLATE(B269,""en"",""et"")"),"Alusta")</f>
        <v>Alusta</v>
      </c>
      <c r="AH269" s="4" t="str">
        <f>IFERROR(__xludf.DUMMYFUNCTION("GOOGLETRANSLATE(B269,""en"",""fi"")"),"Aloita")</f>
        <v>Aloita</v>
      </c>
      <c r="AI269" s="4" t="str">
        <f>IFERROR(__xludf.DUMMYFUNCTION("GOOGLETRANSLATE(B269,""en"",""hr"")"),"Start")</f>
        <v>Start</v>
      </c>
      <c r="AJ269" s="4" t="str">
        <f>IFERROR(__xludf.DUMMYFUNCTION("GOOGLETRANSLATE(B269,""en"",""hu"")"),"Indul")</f>
        <v>Indul</v>
      </c>
      <c r="AK269" s="4" t="str">
        <f>IFERROR(__xludf.DUMMYFUNCTION("GOOGLETRANSLATE(B269,""en"",""hy"")"),"Սկսել")</f>
        <v>Սկսել</v>
      </c>
      <c r="AL269" s="4" t="str">
        <f>IFERROR(__xludf.DUMMYFUNCTION("GOOGLETRANSLATE(B269,""en"",""ca"")"),"Comença")</f>
        <v>Comença</v>
      </c>
      <c r="AM269" s="4" t="str">
        <f>IFERROR(__xludf.DUMMYFUNCTION("GOOGLETRANSLATE(B269,""en"",""nl"")"),"Begin")</f>
        <v>Begin</v>
      </c>
      <c r="AN269" s="4" t="str">
        <f>IFERROR(__xludf.DUMMYFUNCTION("GOOGLETRANSLATE(B269,""en"",""he"")"),"הַתחָלָה")</f>
        <v>הַתחָלָה</v>
      </c>
      <c r="AO269" s="4" t="str">
        <f>IFERROR(__xludf.DUMMYFUNCTION("GOOGLETRANSLATE(B269,""en"",""is"")"),"Byrjaðu")</f>
        <v>Byrjaðu</v>
      </c>
      <c r="AP269" s="4" t="str">
        <f>IFERROR(__xludf.DUMMYFUNCTION("GOOGLETRANSLATE(B269,""en"",""no"")"),"Start")</f>
        <v>Start</v>
      </c>
      <c r="AQ269" s="4" t="str">
        <f>IFERROR(__xludf.DUMMYFUNCTION("GOOGLETRANSLATE(B269,""en"",""fa"")"),"شروع کنید")</f>
        <v>شروع کنید</v>
      </c>
      <c r="AR269" s="4" t="str">
        <f>IFERROR(__xludf.DUMMYFUNCTION("GOOGLETRANSLATE(B269,""en"",""pl"")"),"Start")</f>
        <v>Start</v>
      </c>
      <c r="AS269" s="4" t="str">
        <f>IFERROR(__xludf.DUMMYFUNCTION("GOOGLETRANSLATE(B269,""en"",""sv"")"),"Start")</f>
        <v>Start</v>
      </c>
      <c r="AT269" s="4" t="str">
        <f>IFERROR(__xludf.DUMMYFUNCTION("GOOGLETRANSLATE(B269,""en"",""uk"")"),"Почніть")</f>
        <v>Почніть</v>
      </c>
      <c r="AU269" s="4" t="str">
        <f>IFERROR(__xludf.DUMMYFUNCTION("GOOGLETRANSLATE(B269,""en"",""zu"")"),"Qala")</f>
        <v>Qala</v>
      </c>
      <c r="AV269" s="4" t="str">
        <f>IFERROR(__xludf.DUMMYFUNCTION("GOOGLETRANSLATE(B269,""en"",""sr"")"),"Почни")</f>
        <v>Почни</v>
      </c>
    </row>
    <row r="270">
      <c r="A270" s="3" t="s">
        <v>558</v>
      </c>
      <c r="B270" s="3" t="s">
        <v>559</v>
      </c>
      <c r="C270" s="4" t="str">
        <f>IFERROR(__xludf.DUMMYFUNCTION("GOOGLETRANSLATE(B270,""en"",""ta"")"),"இடைநிறுத்தம்")</f>
        <v>இடைநிறுத்தம்</v>
      </c>
      <c r="D270" s="4" t="str">
        <f>IFERROR(__xludf.DUMMYFUNCTION("GOOGLETRANSLATE(B270,""en"",""hi"")"),"विराम")</f>
        <v>विराम</v>
      </c>
      <c r="E270" s="4" t="str">
        <f>IFERROR(__xludf.DUMMYFUNCTION("GOOGLETRANSLATE(B270,""en"",""id"")"),"Berhenti sebentar")</f>
        <v>Berhenti sebentar</v>
      </c>
      <c r="F270" s="4" t="str">
        <f>IFERROR(__xludf.DUMMYFUNCTION("GOOGLETRANSLATE(B270,""en"",""ms"")"),"jeda")</f>
        <v>jeda</v>
      </c>
      <c r="G270" s="4" t="str">
        <f>IFERROR(__xludf.DUMMYFUNCTION("GOOGLETRANSLATE(B270,""en"",""de"")"),"Pause")</f>
        <v>Pause</v>
      </c>
      <c r="H270" s="4" t="str">
        <f>IFERROR(__xludf.DUMMYFUNCTION("GOOGLETRANSLATE(B270,""en"",""es"")"),"Pausa")</f>
        <v>Pausa</v>
      </c>
      <c r="I270" s="4" t="str">
        <f>IFERROR(__xludf.DUMMYFUNCTION("GOOGLETRANSLATE(B270,""en"",""fr"")"),"Pause")</f>
        <v>Pause</v>
      </c>
      <c r="J270" s="4" t="str">
        <f>IFERROR(__xludf.DUMMYFUNCTION("GOOGLETRANSLATE(B270,""en"",""it"")"),"Pausa")</f>
        <v>Pausa</v>
      </c>
      <c r="K270" s="4" t="str">
        <f>IFERROR(__xludf.DUMMYFUNCTION("GOOGLETRANSLATE(B270,""en"",""pt"")"),"Pausa")</f>
        <v>Pausa</v>
      </c>
      <c r="L270" s="4" t="str">
        <f>IFERROR(__xludf.DUMMYFUNCTION("GOOGLETRANSLATE(B270,""en"",""ro"")"),"Pauză")</f>
        <v>Pauză</v>
      </c>
      <c r="M270" s="4" t="str">
        <f>IFERROR(__xludf.DUMMYFUNCTION("GOOGLETRANSLATE(B270,""en"",""vi"")"),"Tạm dừng")</f>
        <v>Tạm dừng</v>
      </c>
      <c r="N270" s="4" t="str">
        <f>IFERROR(__xludf.DUMMYFUNCTION("GOOGLETRANSLATE(B270,""en"",""ru"")"),"Пауза")</f>
        <v>Пауза</v>
      </c>
      <c r="O270" s="4" t="str">
        <f>IFERROR(__xludf.DUMMYFUNCTION("GOOGLETRANSLATE(B270,""en"",""tr"")"),"Duraklama")</f>
        <v>Duraklama</v>
      </c>
      <c r="P270" s="4" t="str">
        <f>IFERROR(__xludf.DUMMYFUNCTION("GOOGLETRANSLATE(B270,""en"",""ar"")"),"يوقف")</f>
        <v>يوقف</v>
      </c>
      <c r="Q270" s="4" t="str">
        <f>IFERROR(__xludf.DUMMYFUNCTION("GOOGLETRANSLATE(B270,""en"",""mr"")"),"विराम द्या")</f>
        <v>विराम द्या</v>
      </c>
      <c r="R270" s="4" t="str">
        <f>IFERROR(__xludf.DUMMYFUNCTION("GOOGLETRANSLATE(B270,""en"",""gu"")"),"વિરામ")</f>
        <v>વિરામ</v>
      </c>
      <c r="S270" s="4" t="str">
        <f>IFERROR(__xludf.DUMMYFUNCTION("GOOGLETRANSLATE(B270,""en"",""bn"")"),"বিরতি")</f>
        <v>বিরতি</v>
      </c>
      <c r="T270" s="4" t="str">
        <f>IFERROR(__xludf.DUMMYFUNCTION("GOOGLETRANSLATE(B270,""en"",""pa"")"),"ਵਿਰਾਮ")</f>
        <v>ਵਿਰਾਮ</v>
      </c>
      <c r="U270" s="4" t="str">
        <f>IFERROR(__xludf.DUMMYFUNCTION("GOOGLETRANSLATE(B270,""en"",""te"")"),"పాజ్ చేయండి")</f>
        <v>పాజ్ చేయండి</v>
      </c>
      <c r="V270" s="4" t="str">
        <f>IFERROR(__xludf.DUMMYFUNCTION("GOOGLETRANSLATE(B270,""en"",""kn"")"),"ವಿರಾಮ")</f>
        <v>ವಿರಾಮ</v>
      </c>
      <c r="W270" s="4" t="str">
        <f>IFERROR(__xludf.DUMMYFUNCTION("GOOGLETRANSLATE(B270,""en"",""ml"")"),"താൽക്കാലികമായി നിർത്തുക")</f>
        <v>താൽക്കാലികമായി നിർത്തുക</v>
      </c>
      <c r="X270" s="4" t="str">
        <f>IFERROR(__xludf.DUMMYFUNCTION("GOOGLETRANSLATE(B270,""en"",""th"")"),"หยุดชั่วคราว")</f>
        <v>หยุดชั่วคราว</v>
      </c>
      <c r="Y270" s="4" t="str">
        <f>IFERROR(__xludf.DUMMYFUNCTION("GOOGLETRANSLATE(B270,""en"",""ko"")"),"정지시키다")</f>
        <v>정지시키다</v>
      </c>
      <c r="Z270" s="4" t="str">
        <f>IFERROR(__xludf.DUMMYFUNCTION("GOOGLETRANSLATE(B270,""en"",""zh"")"),"暂停")</f>
        <v>暂停</v>
      </c>
      <c r="AA270" s="4" t="str">
        <f>IFERROR(__xludf.DUMMYFUNCTION("GOOGLETRANSLATE(B270,""en"",""zh-TW"")"),"暫停")</f>
        <v>暫停</v>
      </c>
      <c r="AB270" s="4" t="str">
        <f>IFERROR(__xludf.DUMMYFUNCTION("GOOGLETRANSLATE(B270,""en"",""ja"")"),"一時停止")</f>
        <v>一時停止</v>
      </c>
      <c r="AC270" s="4" t="str">
        <f>IFERROR(__xludf.DUMMYFUNCTION("GOOGLETRANSLATE(B270,""en"",""bg"")"),"Пауза")</f>
        <v>Пауза</v>
      </c>
      <c r="AD270" s="4" t="str">
        <f>IFERROR(__xludf.DUMMYFUNCTION("GOOGLETRANSLATE(B270,""en"",""cs"")"),"Pauza")</f>
        <v>Pauza</v>
      </c>
      <c r="AE270" s="4" t="str">
        <f>IFERROR(__xludf.DUMMYFUNCTION("GOOGLETRANSLATE(B270,""en"",""da"")"),"Pause")</f>
        <v>Pause</v>
      </c>
      <c r="AF270" s="4" t="str">
        <f>IFERROR(__xludf.DUMMYFUNCTION("GOOGLETRANSLATE(B270,""en"",""el"")"),"Παύση")</f>
        <v>Παύση</v>
      </c>
      <c r="AG270" s="4" t="str">
        <f>IFERROR(__xludf.DUMMYFUNCTION("GOOGLETRANSLATE(B270,""en"",""et"")"),"Paus")</f>
        <v>Paus</v>
      </c>
      <c r="AH270" s="4" t="str">
        <f>IFERROR(__xludf.DUMMYFUNCTION("GOOGLETRANSLATE(B270,""en"",""fi"")"),"Tauko")</f>
        <v>Tauko</v>
      </c>
      <c r="AI270" s="4" t="str">
        <f>IFERROR(__xludf.DUMMYFUNCTION("GOOGLETRANSLATE(B270,""en"",""hr"")"),"Pauza")</f>
        <v>Pauza</v>
      </c>
      <c r="AJ270" s="4" t="str">
        <f>IFERROR(__xludf.DUMMYFUNCTION("GOOGLETRANSLATE(B270,""en"",""hu"")"),"Szünet")</f>
        <v>Szünet</v>
      </c>
      <c r="AK270" s="4" t="str">
        <f>IFERROR(__xludf.DUMMYFUNCTION("GOOGLETRANSLATE(B270,""en"",""hy"")"),"Դադար")</f>
        <v>Դադար</v>
      </c>
      <c r="AL270" s="4" t="str">
        <f>IFERROR(__xludf.DUMMYFUNCTION("GOOGLETRANSLATE(B270,""en"",""ca"")"),"Pausa")</f>
        <v>Pausa</v>
      </c>
      <c r="AM270" s="4" t="str">
        <f>IFERROR(__xludf.DUMMYFUNCTION("GOOGLETRANSLATE(B270,""en"",""nl"")"),"Pauze")</f>
        <v>Pauze</v>
      </c>
      <c r="AN270" s="4" t="str">
        <f>IFERROR(__xludf.DUMMYFUNCTION("GOOGLETRANSLATE(B270,""en"",""he"")"),"הַפסָקָה")</f>
        <v>הַפסָקָה</v>
      </c>
      <c r="AO270" s="4" t="str">
        <f>IFERROR(__xludf.DUMMYFUNCTION("GOOGLETRANSLATE(B270,""en"",""is"")"),"Gera hlé")</f>
        <v>Gera hlé</v>
      </c>
      <c r="AP270" s="4" t="str">
        <f>IFERROR(__xludf.DUMMYFUNCTION("GOOGLETRANSLATE(B270,""en"",""no"")"),"Pause")</f>
        <v>Pause</v>
      </c>
      <c r="AQ270" s="4" t="str">
        <f>IFERROR(__xludf.DUMMYFUNCTION("GOOGLETRANSLATE(B270,""en"",""fa"")"),"مکث کنید")</f>
        <v>مکث کنید</v>
      </c>
      <c r="AR270" s="4" t="str">
        <f>IFERROR(__xludf.DUMMYFUNCTION("GOOGLETRANSLATE(B270,""en"",""pl"")"),"Pauza")</f>
        <v>Pauza</v>
      </c>
      <c r="AS270" s="4" t="str">
        <f>IFERROR(__xludf.DUMMYFUNCTION("GOOGLETRANSLATE(B270,""en"",""sv"")"),"Paus")</f>
        <v>Paus</v>
      </c>
      <c r="AT270" s="4" t="str">
        <f>IFERROR(__xludf.DUMMYFUNCTION("GOOGLETRANSLATE(B270,""en"",""uk"")"),"Пауза")</f>
        <v>Пауза</v>
      </c>
      <c r="AU270" s="4" t="str">
        <f>IFERROR(__xludf.DUMMYFUNCTION("GOOGLETRANSLATE(B270,""en"",""zu"")"),"Misa isikhashana")</f>
        <v>Misa isikhashana</v>
      </c>
      <c r="AV270" s="4" t="str">
        <f>IFERROR(__xludf.DUMMYFUNCTION("GOOGLETRANSLATE(B270,""en"",""sr"")"),"Пауза")</f>
        <v>Пауза</v>
      </c>
    </row>
    <row r="271">
      <c r="A271" s="3" t="s">
        <v>560</v>
      </c>
      <c r="B271" s="3" t="s">
        <v>561</v>
      </c>
      <c r="C271" s="4" t="str">
        <f>IFERROR(__xludf.DUMMYFUNCTION("GOOGLETRANSLATE(B271,""en"",""ta"")"),"நிறுத்து")</f>
        <v>நிறுத்து</v>
      </c>
      <c r="D271" s="4" t="str">
        <f>IFERROR(__xludf.DUMMYFUNCTION("GOOGLETRANSLATE(B271,""en"",""hi"")"),"रुकना")</f>
        <v>रुकना</v>
      </c>
      <c r="E271" s="4" t="str">
        <f>IFERROR(__xludf.DUMMYFUNCTION("GOOGLETRANSLATE(B271,""en"",""id"")"),"Berhenti")</f>
        <v>Berhenti</v>
      </c>
      <c r="F271" s="4" t="str">
        <f>IFERROR(__xludf.DUMMYFUNCTION("GOOGLETRANSLATE(B271,""en"",""ms"")"),"Berhenti")</f>
        <v>Berhenti</v>
      </c>
      <c r="G271" s="4" t="str">
        <f>IFERROR(__xludf.DUMMYFUNCTION("GOOGLETRANSLATE(B271,""en"",""de"")"),"Stoppen")</f>
        <v>Stoppen</v>
      </c>
      <c r="H271" s="4" t="str">
        <f>IFERROR(__xludf.DUMMYFUNCTION("GOOGLETRANSLATE(B271,""en"",""es"")"),"Detener")</f>
        <v>Detener</v>
      </c>
      <c r="I271" s="4" t="str">
        <f>IFERROR(__xludf.DUMMYFUNCTION("GOOGLETRANSLATE(B271,""en"",""fr"")"),"Arrêt")</f>
        <v>Arrêt</v>
      </c>
      <c r="J271" s="4" t="str">
        <f>IFERROR(__xludf.DUMMYFUNCTION("GOOGLETRANSLATE(B271,""en"",""it"")"),"Fermare")</f>
        <v>Fermare</v>
      </c>
      <c r="K271" s="4" t="str">
        <f>IFERROR(__xludf.DUMMYFUNCTION("GOOGLETRANSLATE(B271,""en"",""pt"")"),"Parar")</f>
        <v>Parar</v>
      </c>
      <c r="L271" s="4" t="str">
        <f>IFERROR(__xludf.DUMMYFUNCTION("GOOGLETRANSLATE(B271,""en"",""ro"")"),"Stop")</f>
        <v>Stop</v>
      </c>
      <c r="M271" s="4" t="str">
        <f>IFERROR(__xludf.DUMMYFUNCTION("GOOGLETRANSLATE(B271,""en"",""vi"")"),"Dừng lại")</f>
        <v>Dừng lại</v>
      </c>
      <c r="N271" s="4" t="str">
        <f>IFERROR(__xludf.DUMMYFUNCTION("GOOGLETRANSLATE(B271,""en"",""ru"")"),"Останавливаться")</f>
        <v>Останавливаться</v>
      </c>
      <c r="O271" s="4" t="str">
        <f>IFERROR(__xludf.DUMMYFUNCTION("GOOGLETRANSLATE(B271,""en"",""tr"")"),"Durmak")</f>
        <v>Durmak</v>
      </c>
      <c r="P271" s="4" t="str">
        <f>IFERROR(__xludf.DUMMYFUNCTION("GOOGLETRANSLATE(B271,""en"",""ar"")"),"قف")</f>
        <v>قف</v>
      </c>
      <c r="Q271" s="4" t="str">
        <f>IFERROR(__xludf.DUMMYFUNCTION("GOOGLETRANSLATE(B271,""en"",""mr"")"),"थांबा")</f>
        <v>थांबा</v>
      </c>
      <c r="R271" s="4" t="str">
        <f>IFERROR(__xludf.DUMMYFUNCTION("GOOGLETRANSLATE(B271,""en"",""gu"")"),"રોકો")</f>
        <v>રોકો</v>
      </c>
      <c r="S271" s="4" t="str">
        <f>IFERROR(__xludf.DUMMYFUNCTION("GOOGLETRANSLATE(B271,""en"",""bn"")"),"থামো")</f>
        <v>থামো</v>
      </c>
      <c r="T271" s="4" t="str">
        <f>IFERROR(__xludf.DUMMYFUNCTION("GOOGLETRANSLATE(B271,""en"",""pa"")"),"ਰੂਕੋ")</f>
        <v>ਰੂਕੋ</v>
      </c>
      <c r="U271" s="4" t="str">
        <f>IFERROR(__xludf.DUMMYFUNCTION("GOOGLETRANSLATE(B271,""en"",""te"")"),"ఆపు")</f>
        <v>ఆపు</v>
      </c>
      <c r="V271" s="4" t="str">
        <f>IFERROR(__xludf.DUMMYFUNCTION("GOOGLETRANSLATE(B271,""en"",""kn"")"),"ನಿಲ್ಲಿಸು")</f>
        <v>ನಿಲ್ಲಿಸು</v>
      </c>
      <c r="W271" s="4" t="str">
        <f>IFERROR(__xludf.DUMMYFUNCTION("GOOGLETRANSLATE(B271,""en"",""ml"")"),"നിർത്തുക")</f>
        <v>നിർത്തുക</v>
      </c>
      <c r="X271" s="4" t="str">
        <f>IFERROR(__xludf.DUMMYFUNCTION("GOOGLETRANSLATE(B271,""en"",""th"")"),"หยุด")</f>
        <v>หยุด</v>
      </c>
      <c r="Y271" s="4" t="str">
        <f>IFERROR(__xludf.DUMMYFUNCTION("GOOGLETRANSLATE(B271,""en"",""ko"")"),"멈추다")</f>
        <v>멈추다</v>
      </c>
      <c r="Z271" s="4" t="str">
        <f>IFERROR(__xludf.DUMMYFUNCTION("GOOGLETRANSLATE(B271,""en"",""zh"")"),"停止")</f>
        <v>停止</v>
      </c>
      <c r="AA271" s="4" t="str">
        <f>IFERROR(__xludf.DUMMYFUNCTION("GOOGLETRANSLATE(B271,""en"",""zh-TW"")"),"停止")</f>
        <v>停止</v>
      </c>
      <c r="AB271" s="4" t="str">
        <f>IFERROR(__xludf.DUMMYFUNCTION("GOOGLETRANSLATE(B271,""en"",""ja"")"),"停止")</f>
        <v>停止</v>
      </c>
      <c r="AC271" s="4" t="str">
        <f>IFERROR(__xludf.DUMMYFUNCTION("GOOGLETRANSLATE(B271,""en"",""bg"")"),"Спрете")</f>
        <v>Спрете</v>
      </c>
      <c r="AD271" s="4" t="str">
        <f>IFERROR(__xludf.DUMMYFUNCTION("GOOGLETRANSLATE(B271,""en"",""cs"")"),"Zastávka")</f>
        <v>Zastávka</v>
      </c>
      <c r="AE271" s="4" t="str">
        <f>IFERROR(__xludf.DUMMYFUNCTION("GOOGLETRANSLATE(B271,""en"",""da"")"),"Stop")</f>
        <v>Stop</v>
      </c>
      <c r="AF271" s="4" t="str">
        <f>IFERROR(__xludf.DUMMYFUNCTION("GOOGLETRANSLATE(B271,""en"",""el"")"),"Στάση")</f>
        <v>Στάση</v>
      </c>
      <c r="AG271" s="4" t="str">
        <f>IFERROR(__xludf.DUMMYFUNCTION("GOOGLETRANSLATE(B271,""en"",""et"")"),"Peatus")</f>
        <v>Peatus</v>
      </c>
      <c r="AH271" s="4" t="str">
        <f>IFERROR(__xludf.DUMMYFUNCTION("GOOGLETRANSLATE(B271,""en"",""fi"")"),"Stop")</f>
        <v>Stop</v>
      </c>
      <c r="AI271" s="4" t="str">
        <f>IFERROR(__xludf.DUMMYFUNCTION("GOOGLETRANSLATE(B271,""en"",""hr"")"),"Stop")</f>
        <v>Stop</v>
      </c>
      <c r="AJ271" s="4" t="str">
        <f>IFERROR(__xludf.DUMMYFUNCTION("GOOGLETRANSLATE(B271,""en"",""hu"")"),"Stop")</f>
        <v>Stop</v>
      </c>
      <c r="AK271" s="4" t="str">
        <f>IFERROR(__xludf.DUMMYFUNCTION("GOOGLETRANSLATE(B271,""en"",""hy"")"),"Դադարեցրեք")</f>
        <v>Դադարեցրեք</v>
      </c>
      <c r="AL271" s="4" t="str">
        <f>IFERROR(__xludf.DUMMYFUNCTION("GOOGLETRANSLATE(B271,""en"",""ca"")"),"Atureu-vos")</f>
        <v>Atureu-vos</v>
      </c>
      <c r="AM271" s="4" t="str">
        <f>IFERROR(__xludf.DUMMYFUNCTION("GOOGLETRANSLATE(B271,""en"",""nl"")"),"Stop")</f>
        <v>Stop</v>
      </c>
      <c r="AN271" s="4" t="str">
        <f>IFERROR(__xludf.DUMMYFUNCTION("GOOGLETRANSLATE(B271,""en"",""he"")"),"לְהַפְסִיק")</f>
        <v>לְהַפְסִיק</v>
      </c>
      <c r="AO271" s="4" t="str">
        <f>IFERROR(__xludf.DUMMYFUNCTION("GOOGLETRANSLATE(B271,""en"",""is"")"),"Hættu")</f>
        <v>Hættu</v>
      </c>
      <c r="AP271" s="4" t="str">
        <f>IFERROR(__xludf.DUMMYFUNCTION("GOOGLETRANSLATE(B271,""en"",""no"")"),"Stoppe")</f>
        <v>Stoppe</v>
      </c>
      <c r="AQ271" s="4" t="str">
        <f>IFERROR(__xludf.DUMMYFUNCTION("GOOGLETRANSLATE(B271,""en"",""fa"")"),"توقف کنید")</f>
        <v>توقف کنید</v>
      </c>
      <c r="AR271" s="4" t="str">
        <f>IFERROR(__xludf.DUMMYFUNCTION("GOOGLETRANSLATE(B271,""en"",""pl"")"),"Zatrzymywać się")</f>
        <v>Zatrzymywać się</v>
      </c>
      <c r="AS271" s="4" t="str">
        <f>IFERROR(__xludf.DUMMYFUNCTION("GOOGLETRANSLATE(B271,""en"",""sv"")"),"Stopp")</f>
        <v>Stopp</v>
      </c>
      <c r="AT271" s="4" t="str">
        <f>IFERROR(__xludf.DUMMYFUNCTION("GOOGLETRANSLATE(B271,""en"",""uk"")"),"СТІЙ")</f>
        <v>СТІЙ</v>
      </c>
      <c r="AU271" s="4" t="str">
        <f>IFERROR(__xludf.DUMMYFUNCTION("GOOGLETRANSLATE(B271,""en"",""zu"")"),"Ima")</f>
        <v>Ima</v>
      </c>
      <c r="AV271" s="4" t="str">
        <f>IFERROR(__xludf.DUMMYFUNCTION("GOOGLETRANSLATE(B271,""en"",""sr"")"),"Стани")</f>
        <v>Стани</v>
      </c>
    </row>
    <row r="272">
      <c r="A272" s="3" t="s">
        <v>562</v>
      </c>
      <c r="B272" s="3" t="s">
        <v>563</v>
      </c>
      <c r="C272" s="4" t="str">
        <f>IFERROR(__xludf.DUMMYFUNCTION("GOOGLETRANSLATE(B272,""en"",""ta"")"),"ரெஸ்யூம்")</f>
        <v>ரெஸ்யூம்</v>
      </c>
      <c r="D272" s="4" t="str">
        <f>IFERROR(__xludf.DUMMYFUNCTION("GOOGLETRANSLATE(B272,""en"",""hi"")"),"फिर शुरू करना")</f>
        <v>फिर शुरू करना</v>
      </c>
      <c r="E272" s="4" t="str">
        <f>IFERROR(__xludf.DUMMYFUNCTION("GOOGLETRANSLATE(B272,""en"",""id"")"),"Melanjutkan")</f>
        <v>Melanjutkan</v>
      </c>
      <c r="F272" s="4" t="str">
        <f>IFERROR(__xludf.DUMMYFUNCTION("GOOGLETRANSLATE(B272,""en"",""ms"")"),"Sambung semula")</f>
        <v>Sambung semula</v>
      </c>
      <c r="G272" s="4" t="str">
        <f>IFERROR(__xludf.DUMMYFUNCTION("GOOGLETRANSLATE(B272,""en"",""de"")"),"Wieder aufnehmen")</f>
        <v>Wieder aufnehmen</v>
      </c>
      <c r="H272" s="4" t="str">
        <f>IFERROR(__xludf.DUMMYFUNCTION("GOOGLETRANSLATE(B272,""en"",""es"")"),"Reanudar")</f>
        <v>Reanudar</v>
      </c>
      <c r="I272" s="4" t="str">
        <f>IFERROR(__xludf.DUMMYFUNCTION("GOOGLETRANSLATE(B272,""en"",""fr"")"),"CV")</f>
        <v>CV</v>
      </c>
      <c r="J272" s="4" t="str">
        <f>IFERROR(__xludf.DUMMYFUNCTION("GOOGLETRANSLATE(B272,""en"",""it"")"),"Riprendere")</f>
        <v>Riprendere</v>
      </c>
      <c r="K272" s="4" t="str">
        <f>IFERROR(__xludf.DUMMYFUNCTION("GOOGLETRANSLATE(B272,""en"",""pt"")"),"Retomar")</f>
        <v>Retomar</v>
      </c>
      <c r="L272" s="4" t="str">
        <f>IFERROR(__xludf.DUMMYFUNCTION("GOOGLETRANSLATE(B272,""en"",""ro"")"),"Relua")</f>
        <v>Relua</v>
      </c>
      <c r="M272" s="4" t="str">
        <f>IFERROR(__xludf.DUMMYFUNCTION("GOOGLETRANSLATE(B272,""en"",""vi"")"),"Bản tóm tắt")</f>
        <v>Bản tóm tắt</v>
      </c>
      <c r="N272" s="4" t="str">
        <f>IFERROR(__xludf.DUMMYFUNCTION("GOOGLETRANSLATE(B272,""en"",""ru"")"),"Резюме")</f>
        <v>Резюме</v>
      </c>
      <c r="O272" s="4" t="str">
        <f>IFERROR(__xludf.DUMMYFUNCTION("GOOGLETRANSLATE(B272,""en"",""tr"")"),"Sürdürmek")</f>
        <v>Sürdürmek</v>
      </c>
      <c r="P272" s="4" t="str">
        <f>IFERROR(__xludf.DUMMYFUNCTION("GOOGLETRANSLATE(B272,""en"",""ar"")"),"سيرة ذاتية")</f>
        <v>سيرة ذاتية</v>
      </c>
      <c r="Q272" s="4" t="str">
        <f>IFERROR(__xludf.DUMMYFUNCTION("GOOGLETRANSLATE(B272,""en"",""mr"")"),"पुन्हा सुरू करा")</f>
        <v>पुन्हा सुरू करा</v>
      </c>
      <c r="R272" s="4" t="str">
        <f>IFERROR(__xludf.DUMMYFUNCTION("GOOGLETRANSLATE(B272,""en"",""gu"")"),"ફરી શરૂ કરો")</f>
        <v>ફરી શરૂ કરો</v>
      </c>
      <c r="S272" s="4" t="str">
        <f>IFERROR(__xludf.DUMMYFUNCTION("GOOGLETRANSLATE(B272,""en"",""bn"")"),"পুনরায় শুরু করুন")</f>
        <v>পুনরায় শুরু করুন</v>
      </c>
      <c r="T272" s="4" t="str">
        <f>IFERROR(__xludf.DUMMYFUNCTION("GOOGLETRANSLATE(B272,""en"",""pa"")"),"ਮੁੜ ਸ਼ੁਰੂ ਕਰੋ")</f>
        <v>ਮੁੜ ਸ਼ੁਰੂ ਕਰੋ</v>
      </c>
      <c r="U272" s="4" t="str">
        <f>IFERROR(__xludf.DUMMYFUNCTION("GOOGLETRANSLATE(B272,""en"",""te"")"),"పునఃప్రారంభించండి")</f>
        <v>పునఃప్రారంభించండి</v>
      </c>
      <c r="V272" s="4" t="str">
        <f>IFERROR(__xludf.DUMMYFUNCTION("GOOGLETRANSLATE(B272,""en"",""kn"")"),"ಪುನರಾರಂಭಿಸಿ")</f>
        <v>ಪುನರಾರಂಭಿಸಿ</v>
      </c>
      <c r="W272" s="4" t="str">
        <f>IFERROR(__xludf.DUMMYFUNCTION("GOOGLETRANSLATE(B272,""en"",""ml"")"),"പുനരാരംഭിക്കുക")</f>
        <v>പുനരാരംഭിക്കുക</v>
      </c>
      <c r="X272" s="4" t="str">
        <f>IFERROR(__xludf.DUMMYFUNCTION("GOOGLETRANSLATE(B272,""en"",""th"")"),"ประวัติย่อ")</f>
        <v>ประวัติย่อ</v>
      </c>
      <c r="Y272" s="4" t="str">
        <f>IFERROR(__xludf.DUMMYFUNCTION("GOOGLETRANSLATE(B272,""en"",""ko"")"),"재개하다")</f>
        <v>재개하다</v>
      </c>
      <c r="Z272" s="4" t="str">
        <f>IFERROR(__xludf.DUMMYFUNCTION("GOOGLETRANSLATE(B272,""en"",""zh"")"),"恢复")</f>
        <v>恢复</v>
      </c>
      <c r="AA272" s="4" t="str">
        <f>IFERROR(__xludf.DUMMYFUNCTION("GOOGLETRANSLATE(B272,""en"",""zh-TW"")"),"恢復")</f>
        <v>恢復</v>
      </c>
      <c r="AB272" s="4" t="str">
        <f>IFERROR(__xludf.DUMMYFUNCTION("GOOGLETRANSLATE(B272,""en"",""ja"")"),"再開する")</f>
        <v>再開する</v>
      </c>
      <c r="AC272" s="4" t="str">
        <f>IFERROR(__xludf.DUMMYFUNCTION("GOOGLETRANSLATE(B272,""en"",""bg"")"),"Резюме")</f>
        <v>Резюме</v>
      </c>
      <c r="AD272" s="4" t="str">
        <f>IFERROR(__xludf.DUMMYFUNCTION("GOOGLETRANSLATE(B272,""en"",""cs"")"),"Resumé")</f>
        <v>Resumé</v>
      </c>
      <c r="AE272" s="4" t="str">
        <f>IFERROR(__xludf.DUMMYFUNCTION("GOOGLETRANSLATE(B272,""en"",""da"")"),"Genoptage")</f>
        <v>Genoptage</v>
      </c>
      <c r="AF272" s="4" t="str">
        <f>IFERROR(__xludf.DUMMYFUNCTION("GOOGLETRANSLATE(B272,""en"",""el"")"),"Περίληψη")</f>
        <v>Περίληψη</v>
      </c>
      <c r="AG272" s="4" t="str">
        <f>IFERROR(__xludf.DUMMYFUNCTION("GOOGLETRANSLATE(B272,""en"",""et"")"),"Jätka")</f>
        <v>Jätka</v>
      </c>
      <c r="AH272" s="4" t="str">
        <f>IFERROR(__xludf.DUMMYFUNCTION("GOOGLETRANSLATE(B272,""en"",""fi"")"),"Jatkaa")</f>
        <v>Jatkaa</v>
      </c>
      <c r="AI272" s="4" t="str">
        <f>IFERROR(__xludf.DUMMYFUNCTION("GOOGLETRANSLATE(B272,""en"",""hr"")"),"Nastavi")</f>
        <v>Nastavi</v>
      </c>
      <c r="AJ272" s="4" t="str">
        <f>IFERROR(__xludf.DUMMYFUNCTION("GOOGLETRANSLATE(B272,""en"",""hu"")"),"Folytatás")</f>
        <v>Folytatás</v>
      </c>
      <c r="AK272" s="4" t="str">
        <f>IFERROR(__xludf.DUMMYFUNCTION("GOOGLETRANSLATE(B272,""en"",""hy"")"),"Ռեզյումե")</f>
        <v>Ռեզյումե</v>
      </c>
      <c r="AL272" s="4" t="str">
        <f>IFERROR(__xludf.DUMMYFUNCTION("GOOGLETRANSLATE(B272,""en"",""ca"")"),"Currículum")</f>
        <v>Currículum</v>
      </c>
      <c r="AM272" s="4" t="str">
        <f>IFERROR(__xludf.DUMMYFUNCTION("GOOGLETRANSLATE(B272,""en"",""nl"")"),"Cv")</f>
        <v>Cv</v>
      </c>
      <c r="AN272" s="4" t="str">
        <f>IFERROR(__xludf.DUMMYFUNCTION("GOOGLETRANSLATE(B272,""en"",""he"")"),"קוֹרוֹת חַיִים")</f>
        <v>קוֹרוֹת חַיִים</v>
      </c>
      <c r="AO272" s="4" t="str">
        <f>IFERROR(__xludf.DUMMYFUNCTION("GOOGLETRANSLATE(B272,""en"",""is"")"),"Halda áfram")</f>
        <v>Halda áfram</v>
      </c>
      <c r="AP272" s="4" t="str">
        <f>IFERROR(__xludf.DUMMYFUNCTION("GOOGLETRANSLATE(B272,""en"",""no"")"),"Gjenoppta")</f>
        <v>Gjenoppta</v>
      </c>
      <c r="AQ272" s="4" t="str">
        <f>IFERROR(__xludf.DUMMYFUNCTION("GOOGLETRANSLATE(B272,""en"",""fa"")"),"رزومه")</f>
        <v>رزومه</v>
      </c>
      <c r="AR272" s="4" t="str">
        <f>IFERROR(__xludf.DUMMYFUNCTION("GOOGLETRANSLATE(B272,""en"",""pl"")"),"Wznawiać")</f>
        <v>Wznawiać</v>
      </c>
      <c r="AS272" s="4" t="str">
        <f>IFERROR(__xludf.DUMMYFUNCTION("GOOGLETRANSLATE(B272,""en"",""sv"")"),"Resume")</f>
        <v>Resume</v>
      </c>
      <c r="AT272" s="4" t="str">
        <f>IFERROR(__xludf.DUMMYFUNCTION("GOOGLETRANSLATE(B272,""en"",""uk"")"),"Резюме")</f>
        <v>Резюме</v>
      </c>
      <c r="AU272" s="4" t="str">
        <f>IFERROR(__xludf.DUMMYFUNCTION("GOOGLETRANSLATE(B272,""en"",""zu"")"),"Qalisa kabusha")</f>
        <v>Qalisa kabusha</v>
      </c>
      <c r="AV272" s="4" t="str">
        <f>IFERROR(__xludf.DUMMYFUNCTION("GOOGLETRANSLATE(B272,""en"",""sr"")"),"Настави")</f>
        <v>Настави</v>
      </c>
    </row>
    <row r="273">
      <c r="A273" s="3" t="s">
        <v>564</v>
      </c>
      <c r="B273" s="3" t="s">
        <v>565</v>
      </c>
      <c r="C273" s="4" t="str">
        <f>IFERROR(__xludf.DUMMYFUNCTION("GOOGLETRANSLATE(B273,""en"",""ta"")"),"குறிப்புகளுக்கு வரவேற்கிறோம்!")</f>
        <v>குறிப்புகளுக்கு வரவேற்கிறோம்!</v>
      </c>
      <c r="D273" s="4" t="str">
        <f>IFERROR(__xludf.DUMMYFUNCTION("GOOGLETRANSLATE(B273,""en"",""hi"")"),"नोट्स में आपका स्वागत है!")</f>
        <v>नोट्स में आपका स्वागत है!</v>
      </c>
      <c r="E273" s="4" t="str">
        <f>IFERROR(__xludf.DUMMYFUNCTION("GOOGLETRANSLATE(B273,""en"",""id"")"),"Selamat datang di Notes!")</f>
        <v>Selamat datang di Notes!</v>
      </c>
      <c r="F273" s="4" t="str">
        <f>IFERROR(__xludf.DUMMYFUNCTION("GOOGLETRANSLATE(B273,""en"",""ms"")"),"Selamat datang ke Nota!")</f>
        <v>Selamat datang ke Nota!</v>
      </c>
      <c r="G273" s="4" t="str">
        <f>IFERROR(__xludf.DUMMYFUNCTION("GOOGLETRANSLATE(B273,""en"",""de"")"),"Willkommen bei Notes!")</f>
        <v>Willkommen bei Notes!</v>
      </c>
      <c r="H273" s="4" t="str">
        <f>IFERROR(__xludf.DUMMYFUNCTION("GOOGLETRANSLATE(B273,""en"",""es"")"),"¡Bienvenido a Notas!")</f>
        <v>¡Bienvenido a Notas!</v>
      </c>
      <c r="I273" s="4" t="str">
        <f>IFERROR(__xludf.DUMMYFUNCTION("GOOGLETRANSLATE(B273,""en"",""fr"")"),"Bienvenue sur Notes !")</f>
        <v>Bienvenue sur Notes !</v>
      </c>
      <c r="J273" s="4" t="str">
        <f>IFERROR(__xludf.DUMMYFUNCTION("GOOGLETRANSLATE(B273,""en"",""it"")"),"Benvenuti su Notes!")</f>
        <v>Benvenuti su Notes!</v>
      </c>
      <c r="K273" s="4" t="str">
        <f>IFERROR(__xludf.DUMMYFUNCTION("GOOGLETRANSLATE(B273,""en"",""pt"")"),"Bem-vindo ao Notes!")</f>
        <v>Bem-vindo ao Notes!</v>
      </c>
      <c r="L273" s="4" t="str">
        <f>IFERROR(__xludf.DUMMYFUNCTION("GOOGLETRANSLATE(B273,""en"",""ro"")"),"Bun venit la Notes!")</f>
        <v>Bun venit la Notes!</v>
      </c>
      <c r="M273" s="4" t="str">
        <f>IFERROR(__xludf.DUMMYFUNCTION("GOOGLETRANSLATE(B273,""en"",""vi"")"),"Chào mừng đến với Notes!")</f>
        <v>Chào mừng đến với Notes!</v>
      </c>
      <c r="N273" s="4" t="str">
        <f>IFERROR(__xludf.DUMMYFUNCTION("GOOGLETRANSLATE(B273,""en"",""ru"")"),"Добро пожаловать в «Заметки»!")</f>
        <v>Добро пожаловать в «Заметки»!</v>
      </c>
      <c r="O273" s="4" t="str">
        <f>IFERROR(__xludf.DUMMYFUNCTION("GOOGLETRANSLATE(B273,""en"",""tr"")"),"Notlara Hoş Geldiniz!")</f>
        <v>Notlara Hoş Geldiniz!</v>
      </c>
      <c r="P273" s="4" t="str">
        <f>IFERROR(__xludf.DUMMYFUNCTION("GOOGLETRANSLATE(B273,""en"",""ar"")"),"مرحباً بكم في الملاحظات!")</f>
        <v>مرحباً بكم في الملاحظات!</v>
      </c>
      <c r="Q273" s="4" t="str">
        <f>IFERROR(__xludf.DUMMYFUNCTION("GOOGLETRANSLATE(B273,""en"",""mr"")"),"नोट्समध्ये आपले स्वागत आहे!")</f>
        <v>नोट्समध्ये आपले स्वागत आहे!</v>
      </c>
      <c r="R273" s="4" t="str">
        <f>IFERROR(__xludf.DUMMYFUNCTION("GOOGLETRANSLATE(B273,""en"",""gu"")"),"નોંધો પર આપનું સ્વાગત છે!")</f>
        <v>નોંધો પર આપનું સ્વાગત છે!</v>
      </c>
      <c r="S273" s="4" t="str">
        <f>IFERROR(__xludf.DUMMYFUNCTION("GOOGLETRANSLATE(B273,""en"",""bn"")"),"নোটে স্বাগতম!")</f>
        <v>নোটে স্বাগতম!</v>
      </c>
      <c r="T273" s="4" t="str">
        <f>IFERROR(__xludf.DUMMYFUNCTION("GOOGLETRANSLATE(B273,""en"",""pa"")"),"ਨੋਟਸ ਵਿੱਚ ਤੁਹਾਡਾ ਸੁਆਗਤ ਹੈ!")</f>
        <v>ਨੋਟਸ ਵਿੱਚ ਤੁਹਾਡਾ ਸੁਆਗਤ ਹੈ!</v>
      </c>
      <c r="U273" s="4" t="str">
        <f>IFERROR(__xludf.DUMMYFUNCTION("GOOGLETRANSLATE(B273,""en"",""te"")"),"గమనికలకు స్వాగతం!")</f>
        <v>గమనికలకు స్వాగతం!</v>
      </c>
      <c r="V273" s="4" t="str">
        <f>IFERROR(__xludf.DUMMYFUNCTION("GOOGLETRANSLATE(B273,""en"",""kn"")"),"ಟಿಪ್ಪಣಿಗಳಿಗೆ ಸುಸ್ವಾಗತ!")</f>
        <v>ಟಿಪ್ಪಣಿಗಳಿಗೆ ಸುಸ್ವಾಗತ!</v>
      </c>
      <c r="W273" s="4" t="str">
        <f>IFERROR(__xludf.DUMMYFUNCTION("GOOGLETRANSLATE(B273,""en"",""ml"")"),"കുറിപ്പുകളിലേക്ക് സ്വാഗതം!")</f>
        <v>കുറിപ്പുകളിലേക്ക് സ്വാഗതം!</v>
      </c>
      <c r="X273" s="4" t="str">
        <f>IFERROR(__xludf.DUMMYFUNCTION("GOOGLETRANSLATE(B273,""en"",""th"")"),"ยินดีต้อนรับสู่ Notes!")</f>
        <v>ยินดีต้อนรับสู่ Notes!</v>
      </c>
      <c r="Y273" s="4" t="str">
        <f>IFERROR(__xludf.DUMMYFUNCTION("GOOGLETRANSLATE(B273,""en"",""ko"")"),"Notes에 오신 것을 환영합니다!")</f>
        <v>Notes에 오신 것을 환영합니다!</v>
      </c>
      <c r="Z273" s="4" t="str">
        <f>IFERROR(__xludf.DUMMYFUNCTION("GOOGLETRANSLATE(B273,""en"",""zh"")"),"欢迎来到 Notes！")</f>
        <v>欢迎来到 Notes！</v>
      </c>
      <c r="AA273" s="4" t="str">
        <f>IFERROR(__xludf.DUMMYFUNCTION("GOOGLETRANSLATE(B273,""en"",""zh-TW"")"),"歡迎來到 Notes！")</f>
        <v>歡迎來到 Notes！</v>
      </c>
      <c r="AB273" s="4" t="str">
        <f>IFERROR(__xludf.DUMMYFUNCTION("GOOGLETRANSLATE(B273,""en"",""ja"")"),"Notes へようこそ!")</f>
        <v>Notes へようこそ!</v>
      </c>
      <c r="AC273" s="4" t="str">
        <f>IFERROR(__xludf.DUMMYFUNCTION("GOOGLETRANSLATE(B273,""en"",""bg"")"),"Добре дошли в Бележки!")</f>
        <v>Добре дошли в Бележки!</v>
      </c>
      <c r="AD273" s="4" t="str">
        <f>IFERROR(__xludf.DUMMYFUNCTION("GOOGLETRANSLATE(B273,""en"",""cs"")"),"Vítejte v aplikaci Notes!")</f>
        <v>Vítejte v aplikaci Notes!</v>
      </c>
      <c r="AE273" s="4" t="str">
        <f>IFERROR(__xludf.DUMMYFUNCTION("GOOGLETRANSLATE(B273,""en"",""da"")"),"Velkommen til Notes!")</f>
        <v>Velkommen til Notes!</v>
      </c>
      <c r="AF273" s="4" t="str">
        <f>IFERROR(__xludf.DUMMYFUNCTION("GOOGLETRANSLATE(B273,""en"",""el"")"),"Καλώς ήρθατε στο Notes!")</f>
        <v>Καλώς ήρθατε στο Notes!</v>
      </c>
      <c r="AG273" s="4" t="str">
        <f>IFERROR(__xludf.DUMMYFUNCTION("GOOGLETRANSLATE(B273,""en"",""et"")"),"Tere tulemast Notesisse!")</f>
        <v>Tere tulemast Notesisse!</v>
      </c>
      <c r="AH273" s="4" t="str">
        <f>IFERROR(__xludf.DUMMYFUNCTION("GOOGLETRANSLATE(B273,""en"",""fi"")"),"Tervetuloa Notesiin!")</f>
        <v>Tervetuloa Notesiin!</v>
      </c>
      <c r="AI273" s="4" t="str">
        <f>IFERROR(__xludf.DUMMYFUNCTION("GOOGLETRANSLATE(B273,""en"",""hr"")"),"Dobrodošli u Bilješke!")</f>
        <v>Dobrodošli u Bilješke!</v>
      </c>
      <c r="AJ273" s="4" t="str">
        <f>IFERROR(__xludf.DUMMYFUNCTION("GOOGLETRANSLATE(B273,""en"",""hu"")"),"Üdvözli a Notes!")</f>
        <v>Üdvözli a Notes!</v>
      </c>
      <c r="AK273" s="4" t="str">
        <f>IFERROR(__xludf.DUMMYFUNCTION("GOOGLETRANSLATE(B273,""en"",""hy"")"),"Բարի գալուստ Notes:")</f>
        <v>Բարի գալուստ Notes:</v>
      </c>
      <c r="AL273" s="4" t="str">
        <f>IFERROR(__xludf.DUMMYFUNCTION("GOOGLETRANSLATE(B273,""en"",""ca"")"),"Benvingut a Notes!")</f>
        <v>Benvingut a Notes!</v>
      </c>
      <c r="AM273" s="4" t="str">
        <f>IFERROR(__xludf.DUMMYFUNCTION("GOOGLETRANSLATE(B273,""en"",""nl"")"),"Welkom bij Notes!")</f>
        <v>Welkom bij Notes!</v>
      </c>
      <c r="AN273" s="4" t="str">
        <f>IFERROR(__xludf.DUMMYFUNCTION("GOOGLETRANSLATE(B273,""en"",""he"")"),"ברוכים הבאים ל-Notes!")</f>
        <v>ברוכים הבאים ל-Notes!</v>
      </c>
      <c r="AO273" s="4" t="str">
        <f>IFERROR(__xludf.DUMMYFUNCTION("GOOGLETRANSLATE(B273,""en"",""is"")"),"Velkomin í Notes!")</f>
        <v>Velkomin í Notes!</v>
      </c>
      <c r="AP273" s="4" t="str">
        <f>IFERROR(__xludf.DUMMYFUNCTION("GOOGLETRANSLATE(B273,""en"",""no"")"),"Velkommen til Notes!")</f>
        <v>Velkommen til Notes!</v>
      </c>
      <c r="AQ273" s="4" t="str">
        <f>IFERROR(__xludf.DUMMYFUNCTION("GOOGLETRANSLATE(B273,""en"",""fa"")"),"به یادداشت ها خوش آمدید!")</f>
        <v>به یادداشت ها خوش آمدید!</v>
      </c>
      <c r="AR273" s="4" t="str">
        <f>IFERROR(__xludf.DUMMYFUNCTION("GOOGLETRANSLATE(B273,""en"",""pl"")"),"Witamy w Notatkach!")</f>
        <v>Witamy w Notatkach!</v>
      </c>
      <c r="AS273" s="4" t="str">
        <f>IFERROR(__xludf.DUMMYFUNCTION("GOOGLETRANSLATE(B273,""en"",""sv"")"),"Välkommen till Notes!")</f>
        <v>Välkommen till Notes!</v>
      </c>
      <c r="AT273" s="4" t="str">
        <f>IFERROR(__xludf.DUMMYFUNCTION("GOOGLETRANSLATE(B273,""en"",""uk"")"),"Вітаємо в Notes!")</f>
        <v>Вітаємо в Notes!</v>
      </c>
      <c r="AU273" s="4" t="str">
        <f>IFERROR(__xludf.DUMMYFUNCTION("GOOGLETRANSLATE(B273,""en"",""zu"")"),"Siyakwamukela kumanothi!")</f>
        <v>Siyakwamukela kumanothi!</v>
      </c>
      <c r="AV273" s="4" t="str">
        <f>IFERROR(__xludf.DUMMYFUNCTION("GOOGLETRANSLATE(B273,""en"",""sr"")"),"Добродошли у Нотес!")</f>
        <v>Добродошли у Нотес!</v>
      </c>
    </row>
    <row r="274">
      <c r="A274" s="3" t="s">
        <v>566</v>
      </c>
      <c r="B274" s="3" t="s">
        <v>567</v>
      </c>
      <c r="C274" s="4" t="str">
        <f>IFERROR(__xludf.DUMMYFUNCTION("GOOGLETRANSLATE(B274,""en"",""ta"")"),"உங்கள் மலையேற்றத்தின் போது எந்த நேரத்திலும் குறிப்புகளைச் சேர்க்கவும்")</f>
        <v>உங்கள் மலையேற்றத்தின் போது எந்த நேரத்திலும் குறிப்புகளைச் சேர்க்கவும்</v>
      </c>
      <c r="D274" s="4" t="str">
        <f>IFERROR(__xludf.DUMMYFUNCTION("GOOGLETRANSLATE(B274,""en"",""hi"")"),"अपने ट्रेक के दौरान किसी भी बिंदु पर नोट्स जोड़ें")</f>
        <v>अपने ट्रेक के दौरान किसी भी बिंदु पर नोट्स जोड़ें</v>
      </c>
      <c r="E274" s="4" t="str">
        <f>IFERROR(__xludf.DUMMYFUNCTION("GOOGLETRANSLATE(B274,""en"",""id"")"),"Tambahkan catatan kapan saja selama perjalanan Anda")</f>
        <v>Tambahkan catatan kapan saja selama perjalanan Anda</v>
      </c>
      <c r="F274" s="4" t="str">
        <f>IFERROR(__xludf.DUMMYFUNCTION("GOOGLETRANSLATE(B274,""en"",""ms"")"),"Tambah nota pada bila-bila masa semasa perjalanan anda")</f>
        <v>Tambah nota pada bila-bila masa semasa perjalanan anda</v>
      </c>
      <c r="G274" s="4" t="str">
        <f>IFERROR(__xludf.DUMMYFUNCTION("GOOGLETRANSLATE(B274,""en"",""de"")"),"Fügen Sie während Ihrer Wanderung jederzeit Notizen hinzu")</f>
        <v>Fügen Sie während Ihrer Wanderung jederzeit Notizen hinzu</v>
      </c>
      <c r="H274" s="4" t="str">
        <f>IFERROR(__xludf.DUMMYFUNCTION("GOOGLETRANSLATE(B274,""en"",""es"")"),"Añade notas en cualquier momento durante tu recorrido.")</f>
        <v>Añade notas en cualquier momento durante tu recorrido.</v>
      </c>
      <c r="I274" s="4" t="str">
        <f>IFERROR(__xludf.DUMMYFUNCTION("GOOGLETRANSLATE(B274,""en"",""fr"")"),"Ajoutez des notes à tout moment pendant votre randonnée")</f>
        <v>Ajoutez des notes à tout moment pendant votre randonnée</v>
      </c>
      <c r="J274" s="4" t="str">
        <f>IFERROR(__xludf.DUMMYFUNCTION("GOOGLETRANSLATE(B274,""en"",""it"")"),"Aggiungi note in qualsiasi momento durante il tuo trekking")</f>
        <v>Aggiungi note in qualsiasi momento durante il tuo trekking</v>
      </c>
      <c r="K274" s="4" t="str">
        <f>IFERROR(__xludf.DUMMYFUNCTION("GOOGLETRANSLATE(B274,""en"",""pt"")"),"Adicione notas a qualquer momento durante sua caminhada")</f>
        <v>Adicione notas a qualquer momento durante sua caminhada</v>
      </c>
      <c r="L274" s="4" t="str">
        <f>IFERROR(__xludf.DUMMYFUNCTION("GOOGLETRANSLATE(B274,""en"",""ro"")"),"Adaugă note în orice moment în timpul călătoriei")</f>
        <v>Adaugă note în orice moment în timpul călătoriei</v>
      </c>
      <c r="M274" s="4" t="str">
        <f>IFERROR(__xludf.DUMMYFUNCTION("GOOGLETRANSLATE(B274,""en"",""vi"")"),"Thêm ghi chú tại bất kỳ thời điểm nào trong chuyến đi của bạn")</f>
        <v>Thêm ghi chú tại bất kỳ thời điểm nào trong chuyến đi của bạn</v>
      </c>
      <c r="N274" s="4" t="str">
        <f>IFERROR(__xludf.DUMMYFUNCTION("GOOGLETRANSLATE(B274,""en"",""ru"")"),"Добавляйте заметки в любой момент вашего похода")</f>
        <v>Добавляйте заметки в любой момент вашего похода</v>
      </c>
      <c r="O274" s="4" t="str">
        <f>IFERROR(__xludf.DUMMYFUNCTION("GOOGLETRANSLATE(B274,""en"",""tr"")"),"Trekkinginiz sırasında herhangi bir noktada notlar ekleyin")</f>
        <v>Trekkinginiz sırasında herhangi bir noktada notlar ekleyin</v>
      </c>
      <c r="P274" s="4" t="str">
        <f>IFERROR(__xludf.DUMMYFUNCTION("GOOGLETRANSLATE(B274,""en"",""ar"")"),"أضف ملاحظات في أي وقت أثناء رحلتك")</f>
        <v>أضف ملاحظات في أي وقت أثناء رحلتك</v>
      </c>
      <c r="Q274" s="4" t="str">
        <f>IFERROR(__xludf.DUMMYFUNCTION("GOOGLETRANSLATE(B274,""en"",""mr"")"),"तुमच्या ट्रेक दरम्यान कोणत्याही वेळी नोट्स जोडा")</f>
        <v>तुमच्या ट्रेक दरम्यान कोणत्याही वेळी नोट्स जोडा</v>
      </c>
      <c r="R274" s="4" t="str">
        <f>IFERROR(__xludf.DUMMYFUNCTION("GOOGLETRANSLATE(B274,""en"",""gu"")"),"તમારા ટ્રેક દરમિયાન કોઈપણ સમયે નોંધો ઉમેરો")</f>
        <v>તમારા ટ્રેક દરમિયાન કોઈપણ સમયે નોંધો ઉમેરો</v>
      </c>
      <c r="S274" s="4" t="str">
        <f>IFERROR(__xludf.DUMMYFUNCTION("GOOGLETRANSLATE(B274,""en"",""bn"")"),"আপনার ট্র্যাক চলাকালীন যেকোনো সময়ে নোট যোগ করুন")</f>
        <v>আপনার ট্র্যাক চলাকালীন যেকোনো সময়ে নোট যোগ করুন</v>
      </c>
      <c r="T274" s="4" t="str">
        <f>IFERROR(__xludf.DUMMYFUNCTION("GOOGLETRANSLATE(B274,""en"",""pa"")"),"ਆਪਣੇ ਟ੍ਰੈਕ ਦੌਰਾਨ ਕਿਸੇ ਵੀ ਸਮੇਂ ਨੋਟਸ ਸ਼ਾਮਲ ਕਰੋ")</f>
        <v>ਆਪਣੇ ਟ੍ਰੈਕ ਦੌਰਾਨ ਕਿਸੇ ਵੀ ਸਮੇਂ ਨੋਟਸ ਸ਼ਾਮਲ ਕਰੋ</v>
      </c>
      <c r="U274" s="4" t="str">
        <f>IFERROR(__xludf.DUMMYFUNCTION("GOOGLETRANSLATE(B274,""en"",""te"")"),"మీ ట్రెక్ సమయంలో ఏ సమయంలోనైనా గమనికలను జోడించండి")</f>
        <v>మీ ట్రెక్ సమయంలో ఏ సమయంలోనైనా గమనికలను జోడించండి</v>
      </c>
      <c r="V274" s="4" t="str">
        <f>IFERROR(__xludf.DUMMYFUNCTION("GOOGLETRANSLATE(B274,""en"",""kn"")"),"ನಿಮ್ಮ ಚಾರಣದ ಸಮಯದಲ್ಲಿ ಯಾವುದೇ ಸಮಯದಲ್ಲಿ ಟಿಪ್ಪಣಿಗಳನ್ನು ಸೇರಿಸಿ")</f>
        <v>ನಿಮ್ಮ ಚಾರಣದ ಸಮಯದಲ್ಲಿ ಯಾವುದೇ ಸಮಯದಲ್ಲಿ ಟಿಪ್ಪಣಿಗಳನ್ನು ಸೇರಿಸಿ</v>
      </c>
      <c r="W274" s="4" t="str">
        <f>IFERROR(__xludf.DUMMYFUNCTION("GOOGLETRANSLATE(B274,""en"",""ml"")"),"നിങ്ങളുടെ ട്രെക്കിംഗ് സമയത്ത് ഏത് സമയത്തും കുറിപ്പുകൾ ചേർക്കുക")</f>
        <v>നിങ്ങളുടെ ട്രെക്കിംഗ് സമയത്ത് ഏത് സമയത്തും കുറിപ്പുകൾ ചേർക്കുക</v>
      </c>
      <c r="X274" s="4" t="str">
        <f>IFERROR(__xludf.DUMMYFUNCTION("GOOGLETRANSLATE(B274,""en"",""th"")"),"เพิ่มบันทึกได้ตลอดเวลาในระหว่างการเดินทางของคุณ")</f>
        <v>เพิ่มบันทึกได้ตลอดเวลาในระหว่างการเดินทางของคุณ</v>
      </c>
      <c r="Y274" s="4" t="str">
        <f>IFERROR(__xludf.DUMMYFUNCTION("GOOGLETRANSLATE(B274,""en"",""ko"")"),"트레킹 중 언제든지 메모를 추가하세요")</f>
        <v>트레킹 중 언제든지 메모를 추가하세요</v>
      </c>
      <c r="Z274" s="4" t="str">
        <f>IFERROR(__xludf.DUMMYFUNCTION("GOOGLETRANSLATE(B274,""en"",""zh"")"),"在徒步途中的任何时候添加笔记")</f>
        <v>在徒步途中的任何时候添加笔记</v>
      </c>
      <c r="AA274" s="4" t="str">
        <f>IFERROR(__xludf.DUMMYFUNCTION("GOOGLETRANSLATE(B274,""en"",""zh-TW"")"),"在徒步途中的任何時間添加筆記")</f>
        <v>在徒步途中的任何時間添加筆記</v>
      </c>
      <c r="AB274" s="4" t="str">
        <f>IFERROR(__xludf.DUMMYFUNCTION("GOOGLETRANSLATE(B274,""en"",""ja"")"),"トレッキング中にいつでもメモを追加できます")</f>
        <v>トレッキング中にいつでもメモを追加できます</v>
      </c>
      <c r="AC274" s="4" t="str">
        <f>IFERROR(__xludf.DUMMYFUNCTION("GOOGLETRANSLATE(B274,""en"",""bg"")"),"Добавяйте бележки по всяко време на вашето пътуване")</f>
        <v>Добавяйте бележки по всяко време на вашето пътуване</v>
      </c>
      <c r="AD274" s="4" t="str">
        <f>IFERROR(__xludf.DUMMYFUNCTION("GOOGLETRANSLATE(B274,""en"",""cs"")"),"Přidávejte poznámky kdykoli během cesty")</f>
        <v>Přidávejte poznámky kdykoli během cesty</v>
      </c>
      <c r="AE274" s="4" t="str">
        <f>IFERROR(__xludf.DUMMYFUNCTION("GOOGLETRANSLATE(B274,""en"",""da"")"),"Tilføj noter på et hvilket som helst tidspunkt under din vandring")</f>
        <v>Tilføj noter på et hvilket som helst tidspunkt under din vandring</v>
      </c>
      <c r="AF274" s="4" t="str">
        <f>IFERROR(__xludf.DUMMYFUNCTION("GOOGLETRANSLATE(B274,""en"",""el"")"),"Προσθέστε σημειώσεις σε οποιοδήποτε σημείο κατά τη διάρκεια της διαδρομής σας")</f>
        <v>Προσθέστε σημειώσεις σε οποιοδήποτε σημείο κατά τη διάρκεια της διαδρομής σας</v>
      </c>
      <c r="AG274" s="4" t="str">
        <f>IFERROR(__xludf.DUMMYFUNCTION("GOOGLETRANSLATE(B274,""en"",""et"")"),"Lisage oma retke mis tahes hetkel märkmeid")</f>
        <v>Lisage oma retke mis tahes hetkel märkmeid</v>
      </c>
      <c r="AH274" s="4" t="str">
        <f>IFERROR(__xludf.DUMMYFUNCTION("GOOGLETRANSLATE(B274,""en"",""fi"")"),"Lisää muistiinpanoja milloin tahansa vaelluksen aikana")</f>
        <v>Lisää muistiinpanoja milloin tahansa vaelluksen aikana</v>
      </c>
      <c r="AI274" s="4" t="str">
        <f>IFERROR(__xludf.DUMMYFUNCTION("GOOGLETRANSLATE(B274,""en"",""hr"")"),"Dodajte bilješke u bilo kojem trenutku tijekom putovanja")</f>
        <v>Dodajte bilješke u bilo kojem trenutku tijekom putovanja</v>
      </c>
      <c r="AJ274" s="4" t="str">
        <f>IFERROR(__xludf.DUMMYFUNCTION("GOOGLETRANSLATE(B274,""en"",""hu"")"),"A túra során bármikor írhat jegyzeteket")</f>
        <v>A túra során bármikor írhat jegyzeteket</v>
      </c>
      <c r="AK274" s="4" t="str">
        <f>IFERROR(__xludf.DUMMYFUNCTION("GOOGLETRANSLATE(B274,""en"",""hy"")"),"Ձեր արշավի ընթացքում ցանկացած պահի նշումներ ավելացրեք")</f>
        <v>Ձեր արշավի ընթացքում ցանկացած պահի նշումներ ավելացրեք</v>
      </c>
      <c r="AL274" s="4" t="str">
        <f>IFERROR(__xludf.DUMMYFUNCTION("GOOGLETRANSLATE(B274,""en"",""ca"")"),"Afegeix notes en qualsevol moment de la teva caminada")</f>
        <v>Afegeix notes en qualsevol moment de la teva caminada</v>
      </c>
      <c r="AM274" s="4" t="str">
        <f>IFERROR(__xludf.DUMMYFUNCTION("GOOGLETRANSLATE(B274,""en"",""nl"")"),"Voeg op elk moment tijdens uw tocht notities toe")</f>
        <v>Voeg op elk moment tijdens uw tocht notities toe</v>
      </c>
      <c r="AN274" s="4" t="str">
        <f>IFERROR(__xludf.DUMMYFUNCTION("GOOGLETRANSLATE(B274,""en"",""he"")"),"הוסף הערות בכל שלב במהלך הטרק שלך")</f>
        <v>הוסף הערות בכל שלב במהלך הטרק שלך</v>
      </c>
      <c r="AO274" s="4" t="str">
        <f>IFERROR(__xludf.DUMMYFUNCTION("GOOGLETRANSLATE(B274,""en"",""is"")"),"Bættu við athugasemdum hvenær sem er meðan á ferð stendur")</f>
        <v>Bættu við athugasemdum hvenær sem er meðan á ferð stendur</v>
      </c>
      <c r="AP274" s="4" t="str">
        <f>IFERROR(__xludf.DUMMYFUNCTION("GOOGLETRANSLATE(B274,""en"",""no"")"),"Legg til notater når som helst under turen")</f>
        <v>Legg til notater når som helst under turen</v>
      </c>
      <c r="AQ274" s="4" t="str">
        <f>IFERROR(__xludf.DUMMYFUNCTION("GOOGLETRANSLATE(B274,""en"",""fa"")"),"در هر نقطه از سفر خود یادداشت اضافه کنید")</f>
        <v>در هر نقطه از سفر خود یادداشت اضافه کنید</v>
      </c>
      <c r="AR274" s="4" t="str">
        <f>IFERROR(__xludf.DUMMYFUNCTION("GOOGLETRANSLATE(B274,""en"",""pl"")"),"Dodawaj notatki w dowolnym momencie wędrówki")</f>
        <v>Dodawaj notatki w dowolnym momencie wędrówki</v>
      </c>
      <c r="AS274" s="4" t="str">
        <f>IFERROR(__xludf.DUMMYFUNCTION("GOOGLETRANSLATE(B274,""en"",""sv"")"),"Lägg till anteckningar när som helst under din vandring")</f>
        <v>Lägg till anteckningar när som helst under din vandring</v>
      </c>
      <c r="AT274" s="4" t="str">
        <f>IFERROR(__xludf.DUMMYFUNCTION("GOOGLETRANSLATE(B274,""en"",""uk"")"),"Додавайте нотатки в будь-який момент подорожі")</f>
        <v>Додавайте нотатки в будь-який момент подорожі</v>
      </c>
      <c r="AU274" s="4" t="str">
        <f>IFERROR(__xludf.DUMMYFUNCTION("GOOGLETRANSLATE(B274,""en"",""zu"")"),"Engeza amanothi noma nini phakathi nohambo lwakho")</f>
        <v>Engeza amanothi noma nini phakathi nohambo lwakho</v>
      </c>
      <c r="AV274" s="4" t="str">
        <f>IFERROR(__xludf.DUMMYFUNCTION("GOOGLETRANSLATE(B274,""en"",""sr"")"),"Додајте белешке у било ком тренутку током путовања")</f>
        <v>Додајте белешке у било ком тренутку током путовања</v>
      </c>
    </row>
    <row r="275">
      <c r="A275" s="3" t="s">
        <v>568</v>
      </c>
      <c r="B275" s="3" t="s">
        <v>569</v>
      </c>
      <c r="C275" s="4" t="str">
        <f>IFERROR(__xludf.DUMMYFUNCTION("GOOGLETRANSLATE(B275,""en"",""ta"")"),"உங்கள் குறிப்புகளுடன் புகைப்படங்களைச் சேர்க்கவும்")</f>
        <v>உங்கள் குறிப்புகளுடன் புகைப்படங்களைச் சேர்க்கவும்</v>
      </c>
      <c r="D275" s="4" t="str">
        <f>IFERROR(__xludf.DUMMYFUNCTION("GOOGLETRANSLATE(B275,""en"",""hi"")"),"अपने नोट्स के साथ फ़ोटो भी शामिल करें")</f>
        <v>अपने नोट्स के साथ फ़ोटो भी शामिल करें</v>
      </c>
      <c r="E275" s="4" t="str">
        <f>IFERROR(__xludf.DUMMYFUNCTION("GOOGLETRANSLATE(B275,""en"",""id"")"),"Sertakan foto dengan catatan Anda")</f>
        <v>Sertakan foto dengan catatan Anda</v>
      </c>
      <c r="F275" s="4" t="str">
        <f>IFERROR(__xludf.DUMMYFUNCTION("GOOGLETRANSLATE(B275,""en"",""ms"")"),"Sertakan foto dengan nota anda")</f>
        <v>Sertakan foto dengan nota anda</v>
      </c>
      <c r="G275" s="4" t="str">
        <f>IFERROR(__xludf.DUMMYFUNCTION("GOOGLETRANSLATE(B275,""en"",""de"")"),"Fügen Sie Ihren Notizen Fotos hinzu")</f>
        <v>Fügen Sie Ihren Notizen Fotos hinzu</v>
      </c>
      <c r="H275" s="4" t="str">
        <f>IFERROR(__xludf.DUMMYFUNCTION("GOOGLETRANSLATE(B275,""en"",""es"")"),"Incluye fotos con tus notas")</f>
        <v>Incluye fotos con tus notas</v>
      </c>
      <c r="I275" s="4" t="str">
        <f>IFERROR(__xludf.DUMMYFUNCTION("GOOGLETRANSLATE(B275,""en"",""fr"")"),"Inclure des photos avec vos notes")</f>
        <v>Inclure des photos avec vos notes</v>
      </c>
      <c r="J275" s="4" t="str">
        <f>IFERROR(__xludf.DUMMYFUNCTION("GOOGLETRANSLATE(B275,""en"",""it"")"),"Includi foto con le tue note")</f>
        <v>Includi foto con le tue note</v>
      </c>
      <c r="K275" s="4" t="str">
        <f>IFERROR(__xludf.DUMMYFUNCTION("GOOGLETRANSLATE(B275,""en"",""pt"")"),"Inclua fotos com suas anotações")</f>
        <v>Inclua fotos com suas anotações</v>
      </c>
      <c r="L275" s="4" t="str">
        <f>IFERROR(__xludf.DUMMYFUNCTION("GOOGLETRANSLATE(B275,""en"",""ro"")"),"Includeți fotografii cu notele dvs")</f>
        <v>Includeți fotografii cu notele dvs</v>
      </c>
      <c r="M275" s="4" t="str">
        <f>IFERROR(__xludf.DUMMYFUNCTION("GOOGLETRANSLATE(B275,""en"",""vi"")"),"Bao gồm hình ảnh với ghi chú của bạn")</f>
        <v>Bao gồm hình ảnh với ghi chú của bạn</v>
      </c>
      <c r="N275" s="4" t="str">
        <f>IFERROR(__xludf.DUMMYFUNCTION("GOOGLETRANSLATE(B275,""en"",""ru"")"),"Прикрепляйте фотографии к своим заметкам")</f>
        <v>Прикрепляйте фотографии к своим заметкам</v>
      </c>
      <c r="O275" s="4" t="str">
        <f>IFERROR(__xludf.DUMMYFUNCTION("GOOGLETRANSLATE(B275,""en"",""tr"")"),"Notlarınıza fotoğraflar ekleyin")</f>
        <v>Notlarınıza fotoğraflar ekleyin</v>
      </c>
      <c r="P275" s="4" t="str">
        <f>IFERROR(__xludf.DUMMYFUNCTION("GOOGLETRANSLATE(B275,""en"",""ar"")"),"قم بإدراج الصور مع ملاحظاتك")</f>
        <v>قم بإدراج الصور مع ملاحظاتك</v>
      </c>
      <c r="Q275" s="4" t="str">
        <f>IFERROR(__xludf.DUMMYFUNCTION("GOOGLETRANSLATE(B275,""en"",""mr"")"),"तुमच्या टिपांसह फोटो समाविष्ट करा")</f>
        <v>तुमच्या टिपांसह फोटो समाविष्ट करा</v>
      </c>
      <c r="R275" s="4" t="str">
        <f>IFERROR(__xludf.DUMMYFUNCTION("GOOGLETRANSLATE(B275,""en"",""gu"")"),"તમારી નોંધો સાથે ફોટા શામેલ કરો")</f>
        <v>તમારી નોંધો સાથે ફોટા શામેલ કરો</v>
      </c>
      <c r="S275" s="4" t="str">
        <f>IFERROR(__xludf.DUMMYFUNCTION("GOOGLETRANSLATE(B275,""en"",""bn"")"),"আপনার নোটের সাথে ফটোগুলি অন্তর্ভুক্ত করুন")</f>
        <v>আপনার নোটের সাথে ফটোগুলি অন্তর্ভুক্ত করুন</v>
      </c>
      <c r="T275" s="4" t="str">
        <f>IFERROR(__xludf.DUMMYFUNCTION("GOOGLETRANSLATE(B275,""en"",""pa"")"),"ਆਪਣੇ ਨੋਟਸ ਦੇ ਨਾਲ ਫੋਟੋਆਂ ਸ਼ਾਮਲ ਕਰੋ")</f>
        <v>ਆਪਣੇ ਨੋਟਸ ਦੇ ਨਾਲ ਫੋਟੋਆਂ ਸ਼ਾਮਲ ਕਰੋ</v>
      </c>
      <c r="U275" s="4" t="str">
        <f>IFERROR(__xludf.DUMMYFUNCTION("GOOGLETRANSLATE(B275,""en"",""te"")"),"మీ గమనికలతో ఫోటోలను చేర్చండి")</f>
        <v>మీ గమనికలతో ఫోటోలను చేర్చండి</v>
      </c>
      <c r="V275" s="4" t="str">
        <f>IFERROR(__xludf.DUMMYFUNCTION("GOOGLETRANSLATE(B275,""en"",""kn"")"),"ನಿಮ್ಮ ಟಿಪ್ಪಣಿಗಳೊಂದಿಗೆ ಫೋಟೋಗಳನ್ನು ಸೇರಿಸಿ")</f>
        <v>ನಿಮ್ಮ ಟಿಪ್ಪಣಿಗಳೊಂದಿಗೆ ಫೋಟೋಗಳನ್ನು ಸೇರಿಸಿ</v>
      </c>
      <c r="W275" s="4" t="str">
        <f>IFERROR(__xludf.DUMMYFUNCTION("GOOGLETRANSLATE(B275,""en"",""ml"")"),"നിങ്ങളുടെ കുറിപ്പുകൾക്കൊപ്പം ഫോട്ടോകളും ഉൾപ്പെടുത്തുക")</f>
        <v>നിങ്ങളുടെ കുറിപ്പുകൾക്കൊപ്പം ഫോട്ടോകളും ഉൾപ്പെടുത്തുക</v>
      </c>
      <c r="X275" s="4" t="str">
        <f>IFERROR(__xludf.DUMMYFUNCTION("GOOGLETRANSLATE(B275,""en"",""th"")"),"รวมรูปถ่ายกับบันทึกของคุณ")</f>
        <v>รวมรูปถ่ายกับบันทึกของคุณ</v>
      </c>
      <c r="Y275" s="4" t="str">
        <f>IFERROR(__xludf.DUMMYFUNCTION("GOOGLETRANSLATE(B275,""en"",""ko"")"),"노트에 사진을 포함하세요")</f>
        <v>노트에 사진을 포함하세요</v>
      </c>
      <c r="Z275" s="4" t="str">
        <f>IFERROR(__xludf.DUMMYFUNCTION("GOOGLETRANSLATE(B275,""en"",""zh"")"),"在笔记中添加照片")</f>
        <v>在笔记中添加照片</v>
      </c>
      <c r="AA275" s="4" t="str">
        <f>IFERROR(__xludf.DUMMYFUNCTION("GOOGLETRANSLATE(B275,""en"",""zh-TW"")"),"在筆記中加入照片")</f>
        <v>在筆記中加入照片</v>
      </c>
      <c r="AB275" s="4" t="str">
        <f>IFERROR(__xludf.DUMMYFUNCTION("GOOGLETRANSLATE(B275,""en"",""ja"")"),"メモに写真を含める")</f>
        <v>メモに写真を含める</v>
      </c>
      <c r="AC275" s="4" t="str">
        <f>IFERROR(__xludf.DUMMYFUNCTION("GOOGLETRANSLATE(B275,""en"",""bg"")"),"Включете снимки с вашите бележки")</f>
        <v>Включете снимки с вашите бележки</v>
      </c>
      <c r="AD275" s="4" t="str">
        <f>IFERROR(__xludf.DUMMYFUNCTION("GOOGLETRANSLATE(B275,""en"",""cs"")"),"Přidejte k poznámkám fotografie")</f>
        <v>Přidejte k poznámkám fotografie</v>
      </c>
      <c r="AE275" s="4" t="str">
        <f>IFERROR(__xludf.DUMMYFUNCTION("GOOGLETRANSLATE(B275,""en"",""da"")"),"Inkluder billeder med dine noter")</f>
        <v>Inkluder billeder med dine noter</v>
      </c>
      <c r="AF275" s="4" t="str">
        <f>IFERROR(__xludf.DUMMYFUNCTION("GOOGLETRANSLATE(B275,""en"",""el"")"),"Συμπεριλάβετε φωτογραφίες με τις σημειώσεις σας")</f>
        <v>Συμπεριλάβετε φωτογραφίες με τις σημειώσεις σας</v>
      </c>
      <c r="AG275" s="4" t="str">
        <f>IFERROR(__xludf.DUMMYFUNCTION("GOOGLETRANSLATE(B275,""en"",""et"")"),"Lisage oma märkmetele fotod")</f>
        <v>Lisage oma märkmetele fotod</v>
      </c>
      <c r="AH275" s="4" t="str">
        <f>IFERROR(__xludf.DUMMYFUNCTION("GOOGLETRANSLATE(B275,""en"",""fi"")"),"Liitä muistiinpanoihisi valokuvia")</f>
        <v>Liitä muistiinpanoihisi valokuvia</v>
      </c>
      <c r="AI275" s="4" t="str">
        <f>IFERROR(__xludf.DUMMYFUNCTION("GOOGLETRANSLATE(B275,""en"",""hr"")"),"Uključite fotografije uz svoje bilješke")</f>
        <v>Uključite fotografije uz svoje bilješke</v>
      </c>
      <c r="AJ275" s="4" t="str">
        <f>IFERROR(__xludf.DUMMYFUNCTION("GOOGLETRANSLATE(B275,""en"",""hu"")"),"Mellékeljen fényképeket a jegyzeteihez")</f>
        <v>Mellékeljen fényképeket a jegyzeteihez</v>
      </c>
      <c r="AK275" s="4" t="str">
        <f>IFERROR(__xludf.DUMMYFUNCTION("GOOGLETRANSLATE(B275,""en"",""hy"")"),"Ներառեք լուսանկարներ ձեր նշումների հետ")</f>
        <v>Ներառեք լուսանկարներ ձեր նշումների հետ</v>
      </c>
      <c r="AL275" s="4" t="str">
        <f>IFERROR(__xludf.DUMMYFUNCTION("GOOGLETRANSLATE(B275,""en"",""ca"")"),"Incloeu fotos amb les vostres notes")</f>
        <v>Incloeu fotos amb les vostres notes</v>
      </c>
      <c r="AM275" s="4" t="str">
        <f>IFERROR(__xludf.DUMMYFUNCTION("GOOGLETRANSLATE(B275,""en"",""nl"")"),"Voeg foto's toe aan uw notities")</f>
        <v>Voeg foto's toe aan uw notities</v>
      </c>
      <c r="AN275" s="4" t="str">
        <f>IFERROR(__xludf.DUMMYFUNCTION("GOOGLETRANSLATE(B275,""en"",""he"")"),"כלול תמונות עם ההערות שלך")</f>
        <v>כלול תמונות עם ההערות שלך</v>
      </c>
      <c r="AO275" s="4" t="str">
        <f>IFERROR(__xludf.DUMMYFUNCTION("GOOGLETRANSLATE(B275,""en"",""is"")"),"Láttu myndir fylgja glósunum þínum")</f>
        <v>Láttu myndir fylgja glósunum þínum</v>
      </c>
      <c r="AP275" s="4" t="str">
        <f>IFERROR(__xludf.DUMMYFUNCTION("GOOGLETRANSLATE(B275,""en"",""no"")"),"Inkluder bilder med notatene dine")</f>
        <v>Inkluder bilder med notatene dine</v>
      </c>
      <c r="AQ275" s="4" t="str">
        <f>IFERROR(__xludf.DUMMYFUNCTION("GOOGLETRANSLATE(B275,""en"",""fa"")"),"عکس ها را با یادداشت های خود بگنجانید")</f>
        <v>عکس ها را با یادداشت های خود بگنجانید</v>
      </c>
      <c r="AR275" s="4" t="str">
        <f>IFERROR(__xludf.DUMMYFUNCTION("GOOGLETRANSLATE(B275,""en"",""pl"")"),"Dołącz zdjęcia do swoich notatek")</f>
        <v>Dołącz zdjęcia do swoich notatek</v>
      </c>
      <c r="AS275" s="4" t="str">
        <f>IFERROR(__xludf.DUMMYFUNCTION("GOOGLETRANSLATE(B275,""en"",""sv"")"),"Inkludera bilder med dina anteckningar")</f>
        <v>Inkludera bilder med dina anteckningar</v>
      </c>
      <c r="AT275" s="4" t="str">
        <f>IFERROR(__xludf.DUMMYFUNCTION("GOOGLETRANSLATE(B275,""en"",""uk"")"),"Додайте фотографії до своїх нотаток")</f>
        <v>Додайте фотографії до своїх нотаток</v>
      </c>
      <c r="AU275" s="4" t="str">
        <f>IFERROR(__xludf.DUMMYFUNCTION("GOOGLETRANSLATE(B275,""en"",""zu"")"),"Faka izithombe namanothi akho")</f>
        <v>Faka izithombe namanothi akho</v>
      </c>
      <c r="AV275" s="4" t="str">
        <f>IFERROR(__xludf.DUMMYFUNCTION("GOOGLETRANSLATE(B275,""en"",""sr"")"),"Укључите фотографије уз своје белешке")</f>
        <v>Укључите фотографије уз своје белешке</v>
      </c>
    </row>
    <row r="276">
      <c r="A276" s="3" t="s">
        <v>570</v>
      </c>
      <c r="B276" s="3" t="s">
        <v>571</v>
      </c>
      <c r="C276" s="4" t="str">
        <f>IFERROR(__xludf.DUMMYFUNCTION("GOOGLETRANSLATE(B276,""en"",""ta"")"),"உங்கள் மலையேற்ற வரலாற்றைக் காண்க")</f>
        <v>உங்கள் மலையேற்ற வரலாற்றைக் காண்க</v>
      </c>
      <c r="D276" s="4" t="str">
        <f>IFERROR(__xludf.DUMMYFUNCTION("GOOGLETRANSLATE(B276,""en"",""hi"")"),"अपना ट्रेक इतिहास देखें")</f>
        <v>अपना ट्रेक इतिहास देखें</v>
      </c>
      <c r="E276" s="4" t="str">
        <f>IFERROR(__xludf.DUMMYFUNCTION("GOOGLETRANSLATE(B276,""en"",""id"")"),"Lihat riwayat perjalanan Anda")</f>
        <v>Lihat riwayat perjalanan Anda</v>
      </c>
      <c r="F276" s="4" t="str">
        <f>IFERROR(__xludf.DUMMYFUNCTION("GOOGLETRANSLATE(B276,""en"",""ms"")"),"Lihat sejarah perjalanan anda")</f>
        <v>Lihat sejarah perjalanan anda</v>
      </c>
      <c r="G276" s="4" t="str">
        <f>IFERROR(__xludf.DUMMYFUNCTION("GOOGLETRANSLATE(B276,""en"",""de"")"),"Sehen Sie sich Ihren Trekkingverlauf an")</f>
        <v>Sehen Sie sich Ihren Trekkingverlauf an</v>
      </c>
      <c r="H276" s="4" t="str">
        <f>IFERROR(__xludf.DUMMYFUNCTION("GOOGLETRANSLATE(B276,""en"",""es"")"),"Ver tu historial de trekking")</f>
        <v>Ver tu historial de trekking</v>
      </c>
      <c r="I276" s="4" t="str">
        <f>IFERROR(__xludf.DUMMYFUNCTION("GOOGLETRANSLATE(B276,""en"",""fr"")"),"Consultez l'historique de vos randonnées")</f>
        <v>Consultez l'historique de vos randonnées</v>
      </c>
      <c r="J276" s="4" t="str">
        <f>IFERROR(__xludf.DUMMYFUNCTION("GOOGLETRANSLATE(B276,""en"",""it"")"),"Visualizza la cronologia del tuo viaggio")</f>
        <v>Visualizza la cronologia del tuo viaggio</v>
      </c>
      <c r="K276" s="4" t="str">
        <f>IFERROR(__xludf.DUMMYFUNCTION("GOOGLETRANSLATE(B276,""en"",""pt"")"),"Veja seu histórico de caminhadas")</f>
        <v>Veja seu histórico de caminhadas</v>
      </c>
      <c r="L276" s="4" t="str">
        <f>IFERROR(__xludf.DUMMYFUNCTION("GOOGLETRANSLATE(B276,""en"",""ro"")"),"Vedeți istoricul călătoriei dvs")</f>
        <v>Vedeți istoricul călătoriei dvs</v>
      </c>
      <c r="M276" s="4" t="str">
        <f>IFERROR(__xludf.DUMMYFUNCTION("GOOGLETRANSLATE(B276,""en"",""vi"")"),"Xem lịch sử chuyến đi của bạn")</f>
        <v>Xem lịch sử chuyến đi của bạn</v>
      </c>
      <c r="N276" s="4" t="str">
        <f>IFERROR(__xludf.DUMMYFUNCTION("GOOGLETRANSLATE(B276,""en"",""ru"")"),"Просмотр истории ваших походов")</f>
        <v>Просмотр истории ваших походов</v>
      </c>
      <c r="O276" s="4" t="str">
        <f>IFERROR(__xludf.DUMMYFUNCTION("GOOGLETRANSLATE(B276,""en"",""tr"")"),"Trek geçmişinizi görüntüleyin")</f>
        <v>Trek geçmişinizi görüntüleyin</v>
      </c>
      <c r="P276" s="4" t="str">
        <f>IFERROR(__xludf.DUMMYFUNCTION("GOOGLETRANSLATE(B276,""en"",""ar"")"),"عرض تاريخ رحلتك")</f>
        <v>عرض تاريخ رحلتك</v>
      </c>
      <c r="Q276" s="4" t="str">
        <f>IFERROR(__xludf.DUMMYFUNCTION("GOOGLETRANSLATE(B276,""en"",""mr"")"),"तुमचा ट्रेक इतिहास पहा")</f>
        <v>तुमचा ट्रेक इतिहास पहा</v>
      </c>
      <c r="R276" s="4" t="str">
        <f>IFERROR(__xludf.DUMMYFUNCTION("GOOGLETRANSLATE(B276,""en"",""gu"")"),"તમારો ટ્રેક ઇતિહાસ જુઓ")</f>
        <v>તમારો ટ્રેક ઇતિહાસ જુઓ</v>
      </c>
      <c r="S276" s="4" t="str">
        <f>IFERROR(__xludf.DUMMYFUNCTION("GOOGLETRANSLATE(B276,""en"",""bn"")"),"আপনার ট্র্যাক ইতিহাস দেখুন")</f>
        <v>আপনার ট্র্যাক ইতিহাস দেখুন</v>
      </c>
      <c r="T276" s="4" t="str">
        <f>IFERROR(__xludf.DUMMYFUNCTION("GOOGLETRANSLATE(B276,""en"",""pa"")"),"ਆਪਣਾ ਟ੍ਰੈਕ ਇਤਿਹਾਸ ਦੇਖੋ")</f>
        <v>ਆਪਣਾ ਟ੍ਰੈਕ ਇਤਿਹਾਸ ਦੇਖੋ</v>
      </c>
      <c r="U276" s="4" t="str">
        <f>IFERROR(__xludf.DUMMYFUNCTION("GOOGLETRANSLATE(B276,""en"",""te"")"),"మీ ట్రెక్ చరిత్రను వీక్షించండి")</f>
        <v>మీ ట్రెక్ చరిత్రను వీక్షించండి</v>
      </c>
      <c r="V276" s="4" t="str">
        <f>IFERROR(__xludf.DUMMYFUNCTION("GOOGLETRANSLATE(B276,""en"",""kn"")"),"ನಿಮ್ಮ ಚಾರಣ ಇತಿಹಾಸವನ್ನು ವೀಕ್ಷಿಸಿ")</f>
        <v>ನಿಮ್ಮ ಚಾರಣ ಇತಿಹಾಸವನ್ನು ವೀಕ್ಷಿಸಿ</v>
      </c>
      <c r="W276" s="4" t="str">
        <f>IFERROR(__xludf.DUMMYFUNCTION("GOOGLETRANSLATE(B276,""en"",""ml"")"),"നിങ്ങളുടെ ട്രെക്ക് ചരിത്രം കാണുക")</f>
        <v>നിങ്ങളുടെ ട്രെക്ക് ചരിത്രം കാണുക</v>
      </c>
      <c r="X276" s="4" t="str">
        <f>IFERROR(__xludf.DUMMYFUNCTION("GOOGLETRANSLATE(B276,""en"",""th"")"),"ดูประวัติการเดินทางของคุณ")</f>
        <v>ดูประวัติการเดินทางของคุณ</v>
      </c>
      <c r="Y276" s="4" t="str">
        <f>IFERROR(__xludf.DUMMYFUNCTION("GOOGLETRANSLATE(B276,""en"",""ko"")"),"트레킹 기록 보기")</f>
        <v>트레킹 기록 보기</v>
      </c>
      <c r="Z276" s="4" t="str">
        <f>IFERROR(__xludf.DUMMYFUNCTION("GOOGLETRANSLATE(B276,""en"",""zh"")"),"查看您的徒步历史记录")</f>
        <v>查看您的徒步历史记录</v>
      </c>
      <c r="AA276" s="4" t="str">
        <f>IFERROR(__xludf.DUMMYFUNCTION("GOOGLETRANSLATE(B276,""en"",""zh-TW"")"),"查看您的徒步歷史記錄")</f>
        <v>查看您的徒步歷史記錄</v>
      </c>
      <c r="AB276" s="4" t="str">
        <f>IFERROR(__xludf.DUMMYFUNCTION("GOOGLETRANSLATE(B276,""en"",""ja"")"),"トレッキング履歴を見る")</f>
        <v>トレッキング履歴を見る</v>
      </c>
      <c r="AC276" s="4" t="str">
        <f>IFERROR(__xludf.DUMMYFUNCTION("GOOGLETRANSLATE(B276,""en"",""bg"")"),"Преглед на вашата история на прехода")</f>
        <v>Преглед на вашата история на прехода</v>
      </c>
      <c r="AD276" s="4" t="str">
        <f>IFERROR(__xludf.DUMMYFUNCTION("GOOGLETRANSLATE(B276,""en"",""cs"")"),"Prohlédněte si historii treku")</f>
        <v>Prohlédněte si historii treku</v>
      </c>
      <c r="AE276" s="4" t="str">
        <f>IFERROR(__xludf.DUMMYFUNCTION("GOOGLETRANSLATE(B276,""en"",""da"")"),"Se din vandrehistorie")</f>
        <v>Se din vandrehistorie</v>
      </c>
      <c r="AF276" s="4" t="str">
        <f>IFERROR(__xludf.DUMMYFUNCTION("GOOGLETRANSLATE(B276,""en"",""el"")"),"Δείτε το ιστορικό της διαδρομής σας")</f>
        <v>Δείτε το ιστορικό της διαδρομής σας</v>
      </c>
      <c r="AG276" s="4" t="str">
        <f>IFERROR(__xludf.DUMMYFUNCTION("GOOGLETRANSLATE(B276,""en"",""et"")"),"Vaadake oma matka ajalugu")</f>
        <v>Vaadake oma matka ajalugu</v>
      </c>
      <c r="AH276" s="4" t="str">
        <f>IFERROR(__xludf.DUMMYFUNCTION("GOOGLETRANSLATE(B276,""en"",""fi"")"),"Tarkastele vaellushistoriaasi")</f>
        <v>Tarkastele vaellushistoriaasi</v>
      </c>
      <c r="AI276" s="4" t="str">
        <f>IFERROR(__xludf.DUMMYFUNCTION("GOOGLETRANSLATE(B276,""en"",""hr"")"),"Pogledajte svoju povijest putovanja")</f>
        <v>Pogledajte svoju povijest putovanja</v>
      </c>
      <c r="AJ276" s="4" t="str">
        <f>IFERROR(__xludf.DUMMYFUNCTION("GOOGLETRANSLATE(B276,""en"",""hu"")"),"Tekintse meg utazási előzményeit")</f>
        <v>Tekintse meg utazási előzményeit</v>
      </c>
      <c r="AK276" s="4" t="str">
        <f>IFERROR(__xludf.DUMMYFUNCTION("GOOGLETRANSLATE(B276,""en"",""hy"")"),"Դիտեք ձեր ճանապարհորդության պատմությունը")</f>
        <v>Դիտեք ձեր ճանապարհորդության պատմությունը</v>
      </c>
      <c r="AL276" s="4" t="str">
        <f>IFERROR(__xludf.DUMMYFUNCTION("GOOGLETRANSLATE(B276,""en"",""ca"")"),"Consulta l'historial de la teva caminada")</f>
        <v>Consulta l'historial de la teva caminada</v>
      </c>
      <c r="AM276" s="4" t="str">
        <f>IFERROR(__xludf.DUMMYFUNCTION("GOOGLETRANSLATE(B276,""en"",""nl"")"),"Bekijk uw trektochtgeschiedenis")</f>
        <v>Bekijk uw trektochtgeschiedenis</v>
      </c>
      <c r="AN276" s="4" t="str">
        <f>IFERROR(__xludf.DUMMYFUNCTION("GOOGLETRANSLATE(B276,""en"",""he"")"),"הצג את היסטוריית הטרק שלך")</f>
        <v>הצג את היסטוריית הטרק שלך</v>
      </c>
      <c r="AO276" s="4" t="str">
        <f>IFERROR(__xludf.DUMMYFUNCTION("GOOGLETRANSLATE(B276,""en"",""is"")"),"Skoðaðu ferðasögu þína")</f>
        <v>Skoðaðu ferðasögu þína</v>
      </c>
      <c r="AP276" s="4" t="str">
        <f>IFERROR(__xludf.DUMMYFUNCTION("GOOGLETRANSLATE(B276,""en"",""no"")"),"Se turhistorikken din")</f>
        <v>Se turhistorikken din</v>
      </c>
      <c r="AQ276" s="4" t="str">
        <f>IFERROR(__xludf.DUMMYFUNCTION("GOOGLETRANSLATE(B276,""en"",""fa"")"),"تاریخچه سفر خود را مشاهده کنید")</f>
        <v>تاریخچه سفر خود را مشاهده کنید</v>
      </c>
      <c r="AR276" s="4" t="str">
        <f>IFERROR(__xludf.DUMMYFUNCTION("GOOGLETRANSLATE(B276,""en"",""pl"")"),"Przeglądaj historię swoich wędrówek")</f>
        <v>Przeglądaj historię swoich wędrówek</v>
      </c>
      <c r="AS276" s="4" t="str">
        <f>IFERROR(__xludf.DUMMYFUNCTION("GOOGLETRANSLATE(B276,""en"",""sv"")"),"Se din vandringshistorik")</f>
        <v>Se din vandringshistorik</v>
      </c>
      <c r="AT276" s="4" t="str">
        <f>IFERROR(__xludf.DUMMYFUNCTION("GOOGLETRANSLATE(B276,""en"",""uk"")"),"Перегляньте свою історію походів")</f>
        <v>Перегляньте свою історію походів</v>
      </c>
      <c r="AU276" s="4" t="str">
        <f>IFERROR(__xludf.DUMMYFUNCTION("GOOGLETRANSLATE(B276,""en"",""zu"")"),"Buka umlando wakho wohambo")</f>
        <v>Buka umlando wakho wohambo</v>
      </c>
      <c r="AV276" s="4" t="str">
        <f>IFERROR(__xludf.DUMMYFUNCTION("GOOGLETRANSLATE(B276,""en"",""sr"")"),"Погледајте историју вашег путовања")</f>
        <v>Погледајте историју вашег путовања</v>
      </c>
    </row>
    <row r="277">
      <c r="A277" s="3" t="s">
        <v>572</v>
      </c>
      <c r="B277" s="3" t="s">
        <v>573</v>
      </c>
      <c r="C277" s="4" t="str">
        <f>IFERROR(__xludf.DUMMYFUNCTION("GOOGLETRANSLATE(B277,""en"",""ta"")"),"உங்கள் முன்னேற்றத்தைக் கண்காணிக்கவும்")</f>
        <v>உங்கள் முன்னேற்றத்தைக் கண்காணிக்கவும்</v>
      </c>
      <c r="D277" s="4" t="str">
        <f>IFERROR(__xludf.DUMMYFUNCTION("GOOGLETRANSLATE(B277,""en"",""hi"")"),"अपनी प्रगति पर नज़र रखें")</f>
        <v>अपनी प्रगति पर नज़र रखें</v>
      </c>
      <c r="E277" s="4" t="str">
        <f>IFERROR(__xludf.DUMMYFUNCTION("GOOGLETRANSLATE(B277,""en"",""id"")"),"Lacak kemajuan Anda")</f>
        <v>Lacak kemajuan Anda</v>
      </c>
      <c r="F277" s="4" t="str">
        <f>IFERROR(__xludf.DUMMYFUNCTION("GOOGLETRANSLATE(B277,""en"",""ms"")"),"Jejaki kemajuan anda")</f>
        <v>Jejaki kemajuan anda</v>
      </c>
      <c r="G277" s="4" t="str">
        <f>IFERROR(__xludf.DUMMYFUNCTION("GOOGLETRANSLATE(B277,""en"",""de"")"),"Verfolgen Sie Ihren Fortschritt")</f>
        <v>Verfolgen Sie Ihren Fortschritt</v>
      </c>
      <c r="H277" s="4" t="str">
        <f>IFERROR(__xludf.DUMMYFUNCTION("GOOGLETRANSLATE(B277,""en"",""es"")"),"Sigue tu progreso")</f>
        <v>Sigue tu progreso</v>
      </c>
      <c r="I277" s="4" t="str">
        <f>IFERROR(__xludf.DUMMYFUNCTION("GOOGLETRANSLATE(B277,""en"",""fr"")"),"Suivez vos progrès")</f>
        <v>Suivez vos progrès</v>
      </c>
      <c r="J277" s="4" t="str">
        <f>IFERROR(__xludf.DUMMYFUNCTION("GOOGLETRANSLATE(B277,""en"",""it"")"),"Tieni traccia dei tuoi progressi")</f>
        <v>Tieni traccia dei tuoi progressi</v>
      </c>
      <c r="K277" s="4" t="str">
        <f>IFERROR(__xludf.DUMMYFUNCTION("GOOGLETRANSLATE(B277,""en"",""pt"")"),"Acompanhe seu progresso")</f>
        <v>Acompanhe seu progresso</v>
      </c>
      <c r="L277" s="4" t="str">
        <f>IFERROR(__xludf.DUMMYFUNCTION("GOOGLETRANSLATE(B277,""en"",""ro"")"),"Urmăriți-vă progresul")</f>
        <v>Urmăriți-vă progresul</v>
      </c>
      <c r="M277" s="4" t="str">
        <f>IFERROR(__xludf.DUMMYFUNCTION("GOOGLETRANSLATE(B277,""en"",""vi"")"),"Theo dõi tiến trình của bạn")</f>
        <v>Theo dõi tiến trình của bạn</v>
      </c>
      <c r="N277" s="4" t="str">
        <f>IFERROR(__xludf.DUMMYFUNCTION("GOOGLETRANSLATE(B277,""en"",""ru"")"),"Отслеживайте свой прогресс")</f>
        <v>Отслеживайте свой прогресс</v>
      </c>
      <c r="O277" s="4" t="str">
        <f>IFERROR(__xludf.DUMMYFUNCTION("GOOGLETRANSLATE(B277,""en"",""tr"")"),"İlerlemenizi takip edin")</f>
        <v>İlerlemenizi takip edin</v>
      </c>
      <c r="P277" s="4" t="str">
        <f>IFERROR(__xludf.DUMMYFUNCTION("GOOGLETRANSLATE(B277,""en"",""ar"")"),"تتبع تقدمك")</f>
        <v>تتبع تقدمك</v>
      </c>
      <c r="Q277" s="4" t="str">
        <f>IFERROR(__xludf.DUMMYFUNCTION("GOOGLETRANSLATE(B277,""en"",""mr"")"),"तुमच्या प्रगतीचा मागोवा घ्या")</f>
        <v>तुमच्या प्रगतीचा मागोवा घ्या</v>
      </c>
      <c r="R277" s="4" t="str">
        <f>IFERROR(__xludf.DUMMYFUNCTION("GOOGLETRANSLATE(B277,""en"",""gu"")"),"તમારી પ્રગતિને ટ્રૅક કરો")</f>
        <v>તમારી પ્રગતિને ટ્રૅક કરો</v>
      </c>
      <c r="S277" s="4" t="str">
        <f>IFERROR(__xludf.DUMMYFUNCTION("GOOGLETRANSLATE(B277,""en"",""bn"")"),"আপনার অগ্রগতি ট্র্যাক করুন")</f>
        <v>আপনার অগ্রগতি ট্র্যাক করুন</v>
      </c>
      <c r="T277" s="4" t="str">
        <f>IFERROR(__xludf.DUMMYFUNCTION("GOOGLETRANSLATE(B277,""en"",""pa"")"),"ਆਪਣੀ ਤਰੱਕੀ 'ਤੇ ਨਜ਼ਰ ਰੱਖੋ")</f>
        <v>ਆਪਣੀ ਤਰੱਕੀ 'ਤੇ ਨਜ਼ਰ ਰੱਖੋ</v>
      </c>
      <c r="U277" s="4" t="str">
        <f>IFERROR(__xludf.DUMMYFUNCTION("GOOGLETRANSLATE(B277,""en"",""te"")"),"మీ పురోగతిని ట్రాక్ చేయండి")</f>
        <v>మీ పురోగతిని ట్రాక్ చేయండి</v>
      </c>
      <c r="V277" s="4" t="str">
        <f>IFERROR(__xludf.DUMMYFUNCTION("GOOGLETRANSLATE(B277,""en"",""kn"")"),"ನಿಮ್ಮ ಪ್ರಗತಿಯನ್ನು ಟ್ರ್ಯಾಕ್ ಮಾಡಿ")</f>
        <v>ನಿಮ್ಮ ಪ್ರಗತಿಯನ್ನು ಟ್ರ್ಯಾಕ್ ಮಾಡಿ</v>
      </c>
      <c r="W277" s="4" t="str">
        <f>IFERROR(__xludf.DUMMYFUNCTION("GOOGLETRANSLATE(B277,""en"",""ml"")"),"നിങ്ങളുടെ പുരോഗതി ട്രാക്ക് ചെയ്യുക")</f>
        <v>നിങ്ങളുടെ പുരോഗതി ട്രാക്ക് ചെയ്യുക</v>
      </c>
      <c r="X277" s="4" t="str">
        <f>IFERROR(__xludf.DUMMYFUNCTION("GOOGLETRANSLATE(B277,""en"",""th"")"),"ติดตามความคืบหน้าของคุณ")</f>
        <v>ติดตามความคืบหน้าของคุณ</v>
      </c>
      <c r="Y277" s="4" t="str">
        <f>IFERROR(__xludf.DUMMYFUNCTION("GOOGLETRANSLATE(B277,""en"",""ko"")"),"진행 상황을 추적하세요")</f>
        <v>진행 상황을 추적하세요</v>
      </c>
      <c r="Z277" s="4" t="str">
        <f>IFERROR(__xludf.DUMMYFUNCTION("GOOGLETRANSLATE(B277,""en"",""zh"")"),"追踪您的进度")</f>
        <v>追踪您的进度</v>
      </c>
      <c r="AA277" s="4" t="str">
        <f>IFERROR(__xludf.DUMMYFUNCTION("GOOGLETRANSLATE(B277,""en"",""zh-TW"")"),"追蹤您的進度")</f>
        <v>追蹤您的進度</v>
      </c>
      <c r="AB277" s="4" t="str">
        <f>IFERROR(__xludf.DUMMYFUNCTION("GOOGLETRANSLATE(B277,""en"",""ja"")"),"進捗状況を追跡する")</f>
        <v>進捗状況を追跡する</v>
      </c>
      <c r="AC277" s="4" t="str">
        <f>IFERROR(__xludf.DUMMYFUNCTION("GOOGLETRANSLATE(B277,""en"",""bg"")"),"Проследявайте напредъка си")</f>
        <v>Проследявайте напредъка си</v>
      </c>
      <c r="AD277" s="4" t="str">
        <f>IFERROR(__xludf.DUMMYFUNCTION("GOOGLETRANSLATE(B277,""en"",""cs"")"),"Sledujte svůj pokrok")</f>
        <v>Sledujte svůj pokrok</v>
      </c>
      <c r="AE277" s="4" t="str">
        <f>IFERROR(__xludf.DUMMYFUNCTION("GOOGLETRANSLATE(B277,""en"",""da"")"),"Følg dine fremskridt")</f>
        <v>Følg dine fremskridt</v>
      </c>
      <c r="AF277" s="4" t="str">
        <f>IFERROR(__xludf.DUMMYFUNCTION("GOOGLETRANSLATE(B277,""en"",""el"")"),"Παρακολουθήστε την πρόοδό σας")</f>
        <v>Παρακολουθήστε την πρόοδό σας</v>
      </c>
      <c r="AG277" s="4" t="str">
        <f>IFERROR(__xludf.DUMMYFUNCTION("GOOGLETRANSLATE(B277,""en"",""et"")"),"Jälgige oma edusamme")</f>
        <v>Jälgige oma edusamme</v>
      </c>
      <c r="AH277" s="4" t="str">
        <f>IFERROR(__xludf.DUMMYFUNCTION("GOOGLETRANSLATE(B277,""en"",""fi"")"),"Seuraa edistymistäsi")</f>
        <v>Seuraa edistymistäsi</v>
      </c>
      <c r="AI277" s="4" t="str">
        <f>IFERROR(__xludf.DUMMYFUNCTION("GOOGLETRANSLATE(B277,""en"",""hr"")"),"Pratite svoj napredak")</f>
        <v>Pratite svoj napredak</v>
      </c>
      <c r="AJ277" s="4" t="str">
        <f>IFERROR(__xludf.DUMMYFUNCTION("GOOGLETRANSLATE(B277,""en"",""hu"")"),"Kövesse nyomon a fejlődést")</f>
        <v>Kövesse nyomon a fejlődést</v>
      </c>
      <c r="AK277" s="4" t="str">
        <f>IFERROR(__xludf.DUMMYFUNCTION("GOOGLETRANSLATE(B277,""en"",""hy"")"),"Հետևեք ձեր առաջընթացին")</f>
        <v>Հետևեք ձեր առաջընթացին</v>
      </c>
      <c r="AL277" s="4" t="str">
        <f>IFERROR(__xludf.DUMMYFUNCTION("GOOGLETRANSLATE(B277,""en"",""ca"")"),"Feu un seguiment del vostre progrés")</f>
        <v>Feu un seguiment del vostre progrés</v>
      </c>
      <c r="AM277" s="4" t="str">
        <f>IFERROR(__xludf.DUMMYFUNCTION("GOOGLETRANSLATE(B277,""en"",""nl"")"),"Volg uw voortgang")</f>
        <v>Volg uw voortgang</v>
      </c>
      <c r="AN277" s="4" t="str">
        <f>IFERROR(__xludf.DUMMYFUNCTION("GOOGLETRANSLATE(B277,""en"",""he"")"),"עקוב אחר ההתקדמות שלך")</f>
        <v>עקוב אחר ההתקדמות שלך</v>
      </c>
      <c r="AO277" s="4" t="str">
        <f>IFERROR(__xludf.DUMMYFUNCTION("GOOGLETRANSLATE(B277,""en"",""is"")"),"Fylgstu með framförum þínum")</f>
        <v>Fylgstu með framförum þínum</v>
      </c>
      <c r="AP277" s="4" t="str">
        <f>IFERROR(__xludf.DUMMYFUNCTION("GOOGLETRANSLATE(B277,""en"",""no"")"),"Følg fremgangen din")</f>
        <v>Følg fremgangen din</v>
      </c>
      <c r="AQ277" s="4" t="str">
        <f>IFERROR(__xludf.DUMMYFUNCTION("GOOGLETRANSLATE(B277,""en"",""fa"")"),"پیشرفت خود را پیگیری کنید")</f>
        <v>پیشرفت خود را پیگیری کنید</v>
      </c>
      <c r="AR277" s="4" t="str">
        <f>IFERROR(__xludf.DUMMYFUNCTION("GOOGLETRANSLATE(B277,""en"",""pl"")"),"Śledź swoje postępy")</f>
        <v>Śledź swoje postępy</v>
      </c>
      <c r="AS277" s="4" t="str">
        <f>IFERROR(__xludf.DUMMYFUNCTION("GOOGLETRANSLATE(B277,""en"",""sv"")"),"Spåra dina framsteg")</f>
        <v>Spåra dina framsteg</v>
      </c>
      <c r="AT277" s="4" t="str">
        <f>IFERROR(__xludf.DUMMYFUNCTION("GOOGLETRANSLATE(B277,""en"",""uk"")"),"Відстежуйте свій прогрес")</f>
        <v>Відстежуйте свій прогрес</v>
      </c>
      <c r="AU277" s="4" t="str">
        <f>IFERROR(__xludf.DUMMYFUNCTION("GOOGLETRANSLATE(B277,""en"",""zu"")"),"Landela intuthuko yakho")</f>
        <v>Landela intuthuko yakho</v>
      </c>
      <c r="AV277" s="4" t="str">
        <f>IFERROR(__xludf.DUMMYFUNCTION("GOOGLETRANSLATE(B277,""en"",""sr"")"),"Пратите свој напредак")</f>
        <v>Пратите свој напредак</v>
      </c>
    </row>
    <row r="278">
      <c r="A278" s="3" t="s">
        <v>574</v>
      </c>
      <c r="B278" s="3" t="s">
        <v>575</v>
      </c>
      <c r="C278" s="4" t="str">
        <f>IFERROR(__xludf.DUMMYFUNCTION("GOOGLETRANSLATE(B278,""en"",""ta"")"),"குறிப்புகளைச் சேர்க்கவும்")</f>
        <v>குறிப்புகளைச் சேர்க்கவும்</v>
      </c>
      <c r="D278" s="4" t="str">
        <f>IFERROR(__xludf.DUMMYFUNCTION("GOOGLETRANSLATE(B278,""en"",""hi"")"),"नोट्स जोड़ें")</f>
        <v>नोट्स जोड़ें</v>
      </c>
      <c r="E278" s="4" t="str">
        <f>IFERROR(__xludf.DUMMYFUNCTION("GOOGLETRANSLATE(B278,""en"",""id"")"),"Tambahkan Catatan")</f>
        <v>Tambahkan Catatan</v>
      </c>
      <c r="F278" s="4" t="str">
        <f>IFERROR(__xludf.DUMMYFUNCTION("GOOGLETRANSLATE(B278,""en"",""ms"")"),"Tambah Nota")</f>
        <v>Tambah Nota</v>
      </c>
      <c r="G278" s="4" t="str">
        <f>IFERROR(__xludf.DUMMYFUNCTION("GOOGLETRANSLATE(B278,""en"",""de"")"),"Notizen hinzufügen")</f>
        <v>Notizen hinzufügen</v>
      </c>
      <c r="H278" s="4" t="str">
        <f>IFERROR(__xludf.DUMMYFUNCTION("GOOGLETRANSLATE(B278,""en"",""es"")"),"Agregar notas")</f>
        <v>Agregar notas</v>
      </c>
      <c r="I278" s="4" t="str">
        <f>IFERROR(__xludf.DUMMYFUNCTION("GOOGLETRANSLATE(B278,""en"",""fr"")"),"Ajouter des notes")</f>
        <v>Ajouter des notes</v>
      </c>
      <c r="J278" s="4" t="str">
        <f>IFERROR(__xludf.DUMMYFUNCTION("GOOGLETRANSLATE(B278,""en"",""it"")"),"Aggiungi note")</f>
        <v>Aggiungi note</v>
      </c>
      <c r="K278" s="4" t="str">
        <f>IFERROR(__xludf.DUMMYFUNCTION("GOOGLETRANSLATE(B278,""en"",""pt"")"),"Adicionar notas")</f>
        <v>Adicionar notas</v>
      </c>
      <c r="L278" s="4" t="str">
        <f>IFERROR(__xludf.DUMMYFUNCTION("GOOGLETRANSLATE(B278,""en"",""ro"")"),"Adăugați note")</f>
        <v>Adăugați note</v>
      </c>
      <c r="M278" s="4" t="str">
        <f>IFERROR(__xludf.DUMMYFUNCTION("GOOGLETRANSLATE(B278,""en"",""vi"")"),"Thêm Ghi chú")</f>
        <v>Thêm Ghi chú</v>
      </c>
      <c r="N278" s="4" t="str">
        <f>IFERROR(__xludf.DUMMYFUNCTION("GOOGLETRANSLATE(B278,""en"",""ru"")"),"Добавить заметки")</f>
        <v>Добавить заметки</v>
      </c>
      <c r="O278" s="4" t="str">
        <f>IFERROR(__xludf.DUMMYFUNCTION("GOOGLETRANSLATE(B278,""en"",""tr"")"),"Not Ekle")</f>
        <v>Not Ekle</v>
      </c>
      <c r="P278" s="4" t="str">
        <f>IFERROR(__xludf.DUMMYFUNCTION("GOOGLETRANSLATE(B278,""en"",""ar"")"),"إضافة ملاحظات")</f>
        <v>إضافة ملاحظات</v>
      </c>
      <c r="Q278" s="4" t="str">
        <f>IFERROR(__xludf.DUMMYFUNCTION("GOOGLETRANSLATE(B278,""en"",""mr"")"),"नोट्स जोडा")</f>
        <v>नोट्स जोडा</v>
      </c>
      <c r="R278" s="4" t="str">
        <f>IFERROR(__xludf.DUMMYFUNCTION("GOOGLETRANSLATE(B278,""en"",""gu"")"),"નોંધો ઉમેરો")</f>
        <v>નોંધો ઉમેરો</v>
      </c>
      <c r="S278" s="4" t="str">
        <f>IFERROR(__xludf.DUMMYFUNCTION("GOOGLETRANSLATE(B278,""en"",""bn"")"),"নোট যোগ করুন")</f>
        <v>নোট যোগ করুন</v>
      </c>
      <c r="T278" s="4" t="str">
        <f>IFERROR(__xludf.DUMMYFUNCTION("GOOGLETRANSLATE(B278,""en"",""pa"")"),"ਨੋਟਸ ਸ਼ਾਮਲ ਕਰੋ")</f>
        <v>ਨੋਟਸ ਸ਼ਾਮਲ ਕਰੋ</v>
      </c>
      <c r="U278" s="4" t="str">
        <f>IFERROR(__xludf.DUMMYFUNCTION("GOOGLETRANSLATE(B278,""en"",""te"")"),"గమనికలను జోడించండి")</f>
        <v>గమనికలను జోడించండి</v>
      </c>
      <c r="V278" s="4" t="str">
        <f>IFERROR(__xludf.DUMMYFUNCTION("GOOGLETRANSLATE(B278,""en"",""kn"")"),"ಟಿಪ್ಪಣಿಗಳನ್ನು ಸೇರಿಸಿ")</f>
        <v>ಟಿಪ್ಪಣಿಗಳನ್ನು ಸೇರಿಸಿ</v>
      </c>
      <c r="W278" s="4" t="str">
        <f>IFERROR(__xludf.DUMMYFUNCTION("GOOGLETRANSLATE(B278,""en"",""ml"")"),"കുറിപ്പുകൾ ചേർക്കുക")</f>
        <v>കുറിപ്പുകൾ ചേർക്കുക</v>
      </c>
      <c r="X278" s="4" t="str">
        <f>IFERROR(__xludf.DUMMYFUNCTION("GOOGLETRANSLATE(B278,""en"",""th"")"),"เพิ่มหมายเหตุ")</f>
        <v>เพิ่มหมายเหตุ</v>
      </c>
      <c r="Y278" s="4" t="str">
        <f>IFERROR(__xludf.DUMMYFUNCTION("GOOGLETRANSLATE(B278,""en"",""ko"")"),"메모 추가")</f>
        <v>메모 추가</v>
      </c>
      <c r="Z278" s="4" t="str">
        <f>IFERROR(__xludf.DUMMYFUNCTION("GOOGLETRANSLATE(B278,""en"",""zh"")"),"添加注释")</f>
        <v>添加注释</v>
      </c>
      <c r="AA278" s="4" t="str">
        <f>IFERROR(__xludf.DUMMYFUNCTION("GOOGLETRANSLATE(B278,""en"",""zh-TW"")"),"新增註釋")</f>
        <v>新增註釋</v>
      </c>
      <c r="AB278" s="4" t="str">
        <f>IFERROR(__xludf.DUMMYFUNCTION("GOOGLETRANSLATE(B278,""en"",""ja"")"),"メモを追加")</f>
        <v>メモを追加</v>
      </c>
      <c r="AC278" s="4" t="str">
        <f>IFERROR(__xludf.DUMMYFUNCTION("GOOGLETRANSLATE(B278,""en"",""bg"")"),"Добавяне на бележки")</f>
        <v>Добавяне на бележки</v>
      </c>
      <c r="AD278" s="4" t="str">
        <f>IFERROR(__xludf.DUMMYFUNCTION("GOOGLETRANSLATE(B278,""en"",""cs"")"),"Přidat poznámky")</f>
        <v>Přidat poznámky</v>
      </c>
      <c r="AE278" s="4" t="str">
        <f>IFERROR(__xludf.DUMMYFUNCTION("GOOGLETRANSLATE(B278,""en"",""da"")"),"Tilføj noter")</f>
        <v>Tilføj noter</v>
      </c>
      <c r="AF278" s="4" t="str">
        <f>IFERROR(__xludf.DUMMYFUNCTION("GOOGLETRANSLATE(B278,""en"",""el"")"),"Προσθήκη σημειώσεων")</f>
        <v>Προσθήκη σημειώσεων</v>
      </c>
      <c r="AG278" s="4" t="str">
        <f>IFERROR(__xludf.DUMMYFUNCTION("GOOGLETRANSLATE(B278,""en"",""et"")"),"Lisa märkmeid")</f>
        <v>Lisa märkmeid</v>
      </c>
      <c r="AH278" s="4" t="str">
        <f>IFERROR(__xludf.DUMMYFUNCTION("GOOGLETRANSLATE(B278,""en"",""fi"")"),"Lisää muistiinpanoja")</f>
        <v>Lisää muistiinpanoja</v>
      </c>
      <c r="AI278" s="4" t="str">
        <f>IFERROR(__xludf.DUMMYFUNCTION("GOOGLETRANSLATE(B278,""en"",""hr"")"),"Dodaj bilješke")</f>
        <v>Dodaj bilješke</v>
      </c>
      <c r="AJ278" s="4" t="str">
        <f>IFERROR(__xludf.DUMMYFUNCTION("GOOGLETRANSLATE(B278,""en"",""hu"")"),"Jegyzetek hozzáadása")</f>
        <v>Jegyzetek hozzáadása</v>
      </c>
      <c r="AK278" s="4" t="str">
        <f>IFERROR(__xludf.DUMMYFUNCTION("GOOGLETRANSLATE(B278,""en"",""hy"")"),"Ավելացնել նշումներ")</f>
        <v>Ավելացնել նշումներ</v>
      </c>
      <c r="AL278" s="4" t="str">
        <f>IFERROR(__xludf.DUMMYFUNCTION("GOOGLETRANSLATE(B278,""en"",""ca"")"),"Afegeix notes")</f>
        <v>Afegeix notes</v>
      </c>
      <c r="AM278" s="4" t="str">
        <f>IFERROR(__xludf.DUMMYFUNCTION("GOOGLETRANSLATE(B278,""en"",""nl"")"),"Notities toevoegen")</f>
        <v>Notities toevoegen</v>
      </c>
      <c r="AN278" s="4" t="str">
        <f>IFERROR(__xludf.DUMMYFUNCTION("GOOGLETRANSLATE(B278,""en"",""he"")"),"הוסף הערות")</f>
        <v>הוסף הערות</v>
      </c>
      <c r="AO278" s="4" t="str">
        <f>IFERROR(__xludf.DUMMYFUNCTION("GOOGLETRANSLATE(B278,""en"",""is"")"),"Bæta við athugasemdum")</f>
        <v>Bæta við athugasemdum</v>
      </c>
      <c r="AP278" s="4" t="str">
        <f>IFERROR(__xludf.DUMMYFUNCTION("GOOGLETRANSLATE(B278,""en"",""no"")"),"Legg til notater")</f>
        <v>Legg til notater</v>
      </c>
      <c r="AQ278" s="4" t="str">
        <f>IFERROR(__xludf.DUMMYFUNCTION("GOOGLETRANSLATE(B278,""en"",""fa"")"),"یادداشت ها را اضافه کنید")</f>
        <v>یادداشت ها را اضافه کنید</v>
      </c>
      <c r="AR278" s="4" t="str">
        <f>IFERROR(__xludf.DUMMYFUNCTION("GOOGLETRANSLATE(B278,""en"",""pl"")"),"Dodaj notatki")</f>
        <v>Dodaj notatki</v>
      </c>
      <c r="AS278" s="4" t="str">
        <f>IFERROR(__xludf.DUMMYFUNCTION("GOOGLETRANSLATE(B278,""en"",""sv"")"),"Lägg till anteckningar")</f>
        <v>Lägg till anteckningar</v>
      </c>
      <c r="AT278" s="4" t="str">
        <f>IFERROR(__xludf.DUMMYFUNCTION("GOOGLETRANSLATE(B278,""en"",""uk"")"),"Додати примітки")</f>
        <v>Додати примітки</v>
      </c>
      <c r="AU278" s="4" t="str">
        <f>IFERROR(__xludf.DUMMYFUNCTION("GOOGLETRANSLATE(B278,""en"",""zu"")"),"Engeza Amanothi")</f>
        <v>Engeza Amanothi</v>
      </c>
      <c r="AV278" s="4" t="str">
        <f>IFERROR(__xludf.DUMMYFUNCTION("GOOGLETRANSLATE(B278,""en"",""sr"")"),"Додај белешке")</f>
        <v>Додај белешке</v>
      </c>
    </row>
    <row r="279">
      <c r="A279" s="3" t="s">
        <v>576</v>
      </c>
      <c r="B279" s="3" t="s">
        <v>526</v>
      </c>
      <c r="C279" s="4" t="str">
        <f>IFERROR(__xludf.DUMMYFUNCTION("GOOGLETRANSLATE(B279,""en"",""ta"")"),"குறிப்புகள்")</f>
        <v>குறிப்புகள்</v>
      </c>
      <c r="D279" s="4" t="str">
        <f>IFERROR(__xludf.DUMMYFUNCTION("GOOGLETRANSLATE(B279,""en"",""hi"")"),"नोट्स")</f>
        <v>नोट्स</v>
      </c>
      <c r="E279" s="4" t="str">
        <f>IFERROR(__xludf.DUMMYFUNCTION("GOOGLETRANSLATE(B279,""en"",""id"")"),"Catatan")</f>
        <v>Catatan</v>
      </c>
      <c r="F279" s="4" t="str">
        <f>IFERROR(__xludf.DUMMYFUNCTION("GOOGLETRANSLATE(B279,""en"",""ms"")"),"Nota")</f>
        <v>Nota</v>
      </c>
      <c r="G279" s="4" t="str">
        <f>IFERROR(__xludf.DUMMYFUNCTION("GOOGLETRANSLATE(B279,""en"",""de"")"),"Hinweise")</f>
        <v>Hinweise</v>
      </c>
      <c r="H279" s="4" t="str">
        <f>IFERROR(__xludf.DUMMYFUNCTION("GOOGLETRANSLATE(B279,""en"",""es"")"),"Notas")</f>
        <v>Notas</v>
      </c>
      <c r="I279" s="4" t="str">
        <f>IFERROR(__xludf.DUMMYFUNCTION("GOOGLETRANSLATE(B279,""en"",""fr"")"),"Remarques")</f>
        <v>Remarques</v>
      </c>
      <c r="J279" s="4" t="str">
        <f>IFERROR(__xludf.DUMMYFUNCTION("GOOGLETRANSLATE(B279,""en"",""it"")"),"Note")</f>
        <v>Note</v>
      </c>
      <c r="K279" s="4" t="str">
        <f>IFERROR(__xludf.DUMMYFUNCTION("GOOGLETRANSLATE(B279,""en"",""pt"")"),"Notas")</f>
        <v>Notas</v>
      </c>
      <c r="L279" s="4" t="str">
        <f>IFERROR(__xludf.DUMMYFUNCTION("GOOGLETRANSLATE(B279,""en"",""ro"")"),"Note")</f>
        <v>Note</v>
      </c>
      <c r="M279" s="4" t="str">
        <f>IFERROR(__xludf.DUMMYFUNCTION("GOOGLETRANSLATE(B279,""en"",""vi"")"),"Ghi chú")</f>
        <v>Ghi chú</v>
      </c>
      <c r="N279" s="4" t="str">
        <f>IFERROR(__xludf.DUMMYFUNCTION("GOOGLETRANSLATE(B279,""en"",""ru"")"),"Примечания")</f>
        <v>Примечания</v>
      </c>
      <c r="O279" s="4" t="str">
        <f>IFERROR(__xludf.DUMMYFUNCTION("GOOGLETRANSLATE(B279,""en"",""tr"")"),"Notlar")</f>
        <v>Notlar</v>
      </c>
      <c r="P279" s="4" t="str">
        <f>IFERROR(__xludf.DUMMYFUNCTION("GOOGLETRANSLATE(B279,""en"",""ar"")"),"ملحوظات")</f>
        <v>ملحوظات</v>
      </c>
      <c r="Q279" s="4" t="str">
        <f>IFERROR(__xludf.DUMMYFUNCTION("GOOGLETRANSLATE(B279,""en"",""mr"")"),"नोट्स")</f>
        <v>नोट्स</v>
      </c>
      <c r="R279" s="4" t="str">
        <f>IFERROR(__xludf.DUMMYFUNCTION("GOOGLETRANSLATE(B279,""en"",""gu"")"),"નોંધો")</f>
        <v>નોંધો</v>
      </c>
      <c r="S279" s="4" t="str">
        <f>IFERROR(__xludf.DUMMYFUNCTION("GOOGLETRANSLATE(B279,""en"",""bn"")"),"নোট")</f>
        <v>নোট</v>
      </c>
      <c r="T279" s="4" t="str">
        <f>IFERROR(__xludf.DUMMYFUNCTION("GOOGLETRANSLATE(B279,""en"",""pa"")"),"ਨੋਟਸ")</f>
        <v>ਨੋਟਸ</v>
      </c>
      <c r="U279" s="4" t="str">
        <f>IFERROR(__xludf.DUMMYFUNCTION("GOOGLETRANSLATE(B279,""en"",""te"")"),"గమనికలు")</f>
        <v>గమనికలు</v>
      </c>
      <c r="V279" s="4" t="str">
        <f>IFERROR(__xludf.DUMMYFUNCTION("GOOGLETRANSLATE(B279,""en"",""kn"")"),"ಟಿಪ್ಪಣಿಗಳು")</f>
        <v>ಟಿಪ್ಪಣಿಗಳು</v>
      </c>
      <c r="W279" s="4" t="str">
        <f>IFERROR(__xludf.DUMMYFUNCTION("GOOGLETRANSLATE(B279,""en"",""ml"")"),"കുറിപ്പുകൾ")</f>
        <v>കുറിപ്പുകൾ</v>
      </c>
      <c r="X279" s="4" t="str">
        <f>IFERROR(__xludf.DUMMYFUNCTION("GOOGLETRANSLATE(B279,""en"",""th"")"),"หมายเหตุ")</f>
        <v>หมายเหตุ</v>
      </c>
      <c r="Y279" s="4" t="str">
        <f>IFERROR(__xludf.DUMMYFUNCTION("GOOGLETRANSLATE(B279,""en"",""ko"")"),"노트")</f>
        <v>노트</v>
      </c>
      <c r="Z279" s="4" t="str">
        <f>IFERROR(__xludf.DUMMYFUNCTION("GOOGLETRANSLATE(B279,""en"",""zh"")"),"笔记")</f>
        <v>笔记</v>
      </c>
      <c r="AA279" s="4" t="str">
        <f>IFERROR(__xludf.DUMMYFUNCTION("GOOGLETRANSLATE(B279,""en"",""zh-TW"")"),"筆記")</f>
        <v>筆記</v>
      </c>
      <c r="AB279" s="4" t="str">
        <f>IFERROR(__xludf.DUMMYFUNCTION("GOOGLETRANSLATE(B279,""en"",""ja"")"),"注記")</f>
        <v>注記</v>
      </c>
      <c r="AC279" s="4" t="str">
        <f>IFERROR(__xludf.DUMMYFUNCTION("GOOGLETRANSLATE(B279,""en"",""bg"")"),"Бележки")</f>
        <v>Бележки</v>
      </c>
      <c r="AD279" s="4" t="str">
        <f>IFERROR(__xludf.DUMMYFUNCTION("GOOGLETRANSLATE(B279,""en"",""cs"")"),"Poznámky")</f>
        <v>Poznámky</v>
      </c>
      <c r="AE279" s="4" t="str">
        <f>IFERROR(__xludf.DUMMYFUNCTION("GOOGLETRANSLATE(B279,""en"",""da"")"),"Noter")</f>
        <v>Noter</v>
      </c>
      <c r="AF279" s="4" t="str">
        <f>IFERROR(__xludf.DUMMYFUNCTION("GOOGLETRANSLATE(B279,""en"",""el"")"),"Σημειώσεις")</f>
        <v>Σημειώσεις</v>
      </c>
      <c r="AG279" s="4" t="str">
        <f>IFERROR(__xludf.DUMMYFUNCTION("GOOGLETRANSLATE(B279,""en"",""et"")"),"Märkmed")</f>
        <v>Märkmed</v>
      </c>
      <c r="AH279" s="4" t="str">
        <f>IFERROR(__xludf.DUMMYFUNCTION("GOOGLETRANSLATE(B279,""en"",""fi"")"),"Huomautuksia")</f>
        <v>Huomautuksia</v>
      </c>
      <c r="AI279" s="4" t="str">
        <f>IFERROR(__xludf.DUMMYFUNCTION("GOOGLETRANSLATE(B279,""en"",""hr"")"),"Bilješke")</f>
        <v>Bilješke</v>
      </c>
      <c r="AJ279" s="4" t="str">
        <f>IFERROR(__xludf.DUMMYFUNCTION("GOOGLETRANSLATE(B279,""en"",""hu"")"),"Megjegyzések")</f>
        <v>Megjegyzések</v>
      </c>
      <c r="AK279" s="4" t="str">
        <f>IFERROR(__xludf.DUMMYFUNCTION("GOOGLETRANSLATE(B279,""en"",""hy"")"),"Նշումներ")</f>
        <v>Նշումներ</v>
      </c>
      <c r="AL279" s="4" t="str">
        <f>IFERROR(__xludf.DUMMYFUNCTION("GOOGLETRANSLATE(B279,""en"",""ca"")"),"Notes")</f>
        <v>Notes</v>
      </c>
      <c r="AM279" s="4" t="str">
        <f>IFERROR(__xludf.DUMMYFUNCTION("GOOGLETRANSLATE(B279,""en"",""nl"")"),"Notities")</f>
        <v>Notities</v>
      </c>
      <c r="AN279" s="4" t="str">
        <f>IFERROR(__xludf.DUMMYFUNCTION("GOOGLETRANSLATE(B279,""en"",""he"")"),"הערות")</f>
        <v>הערות</v>
      </c>
      <c r="AO279" s="4" t="str">
        <f>IFERROR(__xludf.DUMMYFUNCTION("GOOGLETRANSLATE(B279,""en"",""is"")"),"Skýringar")</f>
        <v>Skýringar</v>
      </c>
      <c r="AP279" s="4" t="str">
        <f>IFERROR(__xludf.DUMMYFUNCTION("GOOGLETRANSLATE(B279,""en"",""no"")"),"Notater")</f>
        <v>Notater</v>
      </c>
      <c r="AQ279" s="4" t="str">
        <f>IFERROR(__xludf.DUMMYFUNCTION("GOOGLETRANSLATE(B279,""en"",""fa"")"),"یادداشت ها")</f>
        <v>یادداشت ها</v>
      </c>
      <c r="AR279" s="4" t="str">
        <f>IFERROR(__xludf.DUMMYFUNCTION("GOOGLETRANSLATE(B279,""en"",""pl"")"),"Notatki")</f>
        <v>Notatki</v>
      </c>
      <c r="AS279" s="4" t="str">
        <f>IFERROR(__xludf.DUMMYFUNCTION("GOOGLETRANSLATE(B279,""en"",""sv"")"),"Anteckningar")</f>
        <v>Anteckningar</v>
      </c>
      <c r="AT279" s="4" t="str">
        <f>IFERROR(__xludf.DUMMYFUNCTION("GOOGLETRANSLATE(B279,""en"",""uk"")"),"Примітки")</f>
        <v>Примітки</v>
      </c>
      <c r="AU279" s="4" t="str">
        <f>IFERROR(__xludf.DUMMYFUNCTION("GOOGLETRANSLATE(B279,""en"",""zu"")"),"Amanothi")</f>
        <v>Amanothi</v>
      </c>
      <c r="AV279" s="4" t="str">
        <f>IFERROR(__xludf.DUMMYFUNCTION("GOOGLETRANSLATE(B279,""en"",""sr"")"),"Напомене")</f>
        <v>Напомене</v>
      </c>
    </row>
    <row r="280">
      <c r="A280" s="3" t="s">
        <v>577</v>
      </c>
      <c r="B280" s="3" t="s">
        <v>578</v>
      </c>
      <c r="C280" s="4" t="str">
        <f>IFERROR(__xludf.DUMMYFUNCTION("GOOGLETRANSLATE(B280,""en"",""ta"")"),"இந்த மலையேற்றத்தின் போது குறிப்புகள் எதுவும் சேர்க்கப்படவில்லை")</f>
        <v>இந்த மலையேற்றத்தின் போது குறிப்புகள் எதுவும் சேர்க்கப்படவில்லை</v>
      </c>
      <c r="D280" s="4" t="str">
        <f>IFERROR(__xludf.DUMMYFUNCTION("GOOGLETRANSLATE(B280,""en"",""hi"")"),"इस ट्रेक के दौरान कोई नोट नहीं जोड़ा गया")</f>
        <v>इस ट्रेक के दौरान कोई नोट नहीं जोड़ा गया</v>
      </c>
      <c r="E280" s="4" t="str">
        <f>IFERROR(__xludf.DUMMYFUNCTION("GOOGLETRANSLATE(B280,""en"",""id"")"),"Tidak ada catatan yang ditambahkan selama perjalanan ini")</f>
        <v>Tidak ada catatan yang ditambahkan selama perjalanan ini</v>
      </c>
      <c r="F280" s="4" t="str">
        <f>IFERROR(__xludf.DUMMYFUNCTION("GOOGLETRANSLATE(B280,""en"",""ms"")"),"Tiada nota ditambahkan semasa perjalanan ini")</f>
        <v>Tiada nota ditambahkan semasa perjalanan ini</v>
      </c>
      <c r="G280" s="4" t="str">
        <f>IFERROR(__xludf.DUMMYFUNCTION("GOOGLETRANSLATE(B280,""en"",""de"")"),"Während dieser Wanderung wurden keine Notizen hinzugefügt")</f>
        <v>Während dieser Wanderung wurden keine Notizen hinzugefügt</v>
      </c>
      <c r="H280" s="4" t="str">
        <f>IFERROR(__xludf.DUMMYFUNCTION("GOOGLETRANSLATE(B280,""en"",""es"")"),"No se agregaron notas durante esta caminata.")</f>
        <v>No se agregaron notas durante esta caminata.</v>
      </c>
      <c r="I280" s="4" t="str">
        <f>IFERROR(__xludf.DUMMYFUNCTION("GOOGLETRANSLATE(B280,""en"",""fr"")"),"Aucune note n'a été ajoutée au cours de ce trek")</f>
        <v>Aucune note n'a été ajoutée au cours de ce trek</v>
      </c>
      <c r="J280" s="4" t="str">
        <f>IFERROR(__xludf.DUMMYFUNCTION("GOOGLETRANSLATE(B280,""en"",""it"")"),"Nessuna nota è stata aggiunta durante questo trekking")</f>
        <v>Nessuna nota è stata aggiunta durante questo trekking</v>
      </c>
      <c r="K280" s="4" t="str">
        <f>IFERROR(__xludf.DUMMYFUNCTION("GOOGLETRANSLATE(B280,""en"",""pt"")"),"Nenhuma nota foi adicionada durante esta caminhada")</f>
        <v>Nenhuma nota foi adicionada durante esta caminhada</v>
      </c>
      <c r="L280" s="4" t="str">
        <f>IFERROR(__xludf.DUMMYFUNCTION("GOOGLETRANSLATE(B280,""en"",""ro"")"),"Nu au fost adăugate note în timpul acestei călătorii")</f>
        <v>Nu au fost adăugate note în timpul acestei călătorii</v>
      </c>
      <c r="M280" s="4" t="str">
        <f>IFERROR(__xludf.DUMMYFUNCTION("GOOGLETRANSLATE(B280,""en"",""vi"")"),"Không có ghi chú nào được thêm vào trong chuyến đi này")</f>
        <v>Không có ghi chú nào được thêm vào trong chuyến đi này</v>
      </c>
      <c r="N280" s="4" t="str">
        <f>IFERROR(__xludf.DUMMYFUNCTION("GOOGLETRANSLATE(B280,""en"",""ru"")"),"Во время этого похода не было добавлено ни одной заметки.")</f>
        <v>Во время этого похода не было добавлено ни одной заметки.</v>
      </c>
      <c r="O280" s="4" t="str">
        <f>IFERROR(__xludf.DUMMYFUNCTION("GOOGLETRANSLATE(B280,""en"",""tr"")"),"Bu yürüyüş sırasında hiçbir not eklenmedi")</f>
        <v>Bu yürüyüş sırasında hiçbir not eklenmedi</v>
      </c>
      <c r="P280" s="4" t="str">
        <f>IFERROR(__xludf.DUMMYFUNCTION("GOOGLETRANSLATE(B280,""en"",""ar"")"),"لم تتم إضافة أي ملاحظات أثناء هذه الرحلة")</f>
        <v>لم تتم إضافة أي ملاحظات أثناء هذه الرحلة</v>
      </c>
      <c r="Q280" s="4" t="str">
        <f>IFERROR(__xludf.DUMMYFUNCTION("GOOGLETRANSLATE(B280,""en"",""mr"")"),"या ट्रेक दरम्यान कोणत्याही नोट्स जोडल्या नाहीत")</f>
        <v>या ट्रेक दरम्यान कोणत्याही नोट्स जोडल्या नाहीत</v>
      </c>
      <c r="R280" s="4" t="str">
        <f>IFERROR(__xludf.DUMMYFUNCTION("GOOGLETRANSLATE(B280,""en"",""gu"")"),"આ ટ્રેક દરમિયાન કોઈ નોંધ ઉમેરવામાં આવી નથી")</f>
        <v>આ ટ્રેક દરમિયાન કોઈ નોંધ ઉમેરવામાં આવી નથી</v>
      </c>
      <c r="S280" s="4" t="str">
        <f>IFERROR(__xludf.DUMMYFUNCTION("GOOGLETRANSLATE(B280,""en"",""bn"")"),"এই ট্রেক চলাকালীন কোন নোট যোগ করা হয়নি")</f>
        <v>এই ট্রেক চলাকালীন কোন নোট যোগ করা হয়নি</v>
      </c>
      <c r="T280" s="4" t="str">
        <f>IFERROR(__xludf.DUMMYFUNCTION("GOOGLETRANSLATE(B280,""en"",""pa"")"),"ਇਸ ਯਾਤਰਾ ਦੌਰਾਨ ਕੋਈ ਨੋਟ ਨਹੀਂ ਜੋੜਿਆ ਗਿਆ")</f>
        <v>ਇਸ ਯਾਤਰਾ ਦੌਰਾਨ ਕੋਈ ਨੋਟ ਨਹੀਂ ਜੋੜਿਆ ਗਿਆ</v>
      </c>
      <c r="U280" s="4" t="str">
        <f>IFERROR(__xludf.DUMMYFUNCTION("GOOGLETRANSLATE(B280,""en"",""te"")"),"ఈ ట్రెక్ సమయంలో ఎలాంటి గమనికలు జోడించబడలేదు")</f>
        <v>ఈ ట్రెక్ సమయంలో ఎలాంటి గమనికలు జోడించబడలేదు</v>
      </c>
      <c r="V280" s="4" t="str">
        <f>IFERROR(__xludf.DUMMYFUNCTION("GOOGLETRANSLATE(B280,""en"",""kn"")"),"ಈ ಚಾರಣದ ಸಮಯದಲ್ಲಿ ಯಾವುದೇ ಟಿಪ್ಪಣಿಗಳನ್ನು ಸೇರಿಸಲಾಗಿಲ್ಲ")</f>
        <v>ಈ ಚಾರಣದ ಸಮಯದಲ್ಲಿ ಯಾವುದೇ ಟಿಪ್ಪಣಿಗಳನ್ನು ಸೇರಿಸಲಾಗಿಲ್ಲ</v>
      </c>
      <c r="W280" s="4" t="str">
        <f>IFERROR(__xludf.DUMMYFUNCTION("GOOGLETRANSLATE(B280,""en"",""ml"")"),"ഈ ട്രെക്കിംഗിൽ കുറിപ്പുകളൊന്നും ചേർത്തിട്ടില്ല")</f>
        <v>ഈ ട്രെക്കിംഗിൽ കുറിപ്പുകളൊന്നും ചേർത്തിട്ടില്ല</v>
      </c>
      <c r="X280" s="4" t="str">
        <f>IFERROR(__xludf.DUMMYFUNCTION("GOOGLETRANSLATE(B280,""en"",""th"")"),"ไม่มีการเพิ่มบันทึกใดๆ ในระหว่างการเดินป่าครั้งนี้")</f>
        <v>ไม่มีการเพิ่มบันทึกใดๆ ในระหว่างการเดินป่าครั้งนี้</v>
      </c>
      <c r="Y280" s="4" t="str">
        <f>IFERROR(__xludf.DUMMYFUNCTION("GOOGLETRANSLATE(B280,""en"",""ko"")"),"이 트레킹 동안에는 메모가 추가되지 않았습니다.")</f>
        <v>이 트레킹 동안에는 메모가 추가되지 않았습니다.</v>
      </c>
      <c r="Z280" s="4" t="str">
        <f>IFERROR(__xludf.DUMMYFUNCTION("GOOGLETRANSLATE(B280,""en"",""zh"")"),"此次徒步期间未添加任何注释")</f>
        <v>此次徒步期间未添加任何注释</v>
      </c>
      <c r="AA280" s="4" t="str">
        <f>IFERROR(__xludf.DUMMYFUNCTION("GOOGLETRANSLATE(B280,""en"",""zh-TW"")"),"此次徒步期間未添加任何註釋")</f>
        <v>此次徒步期間未添加任何註釋</v>
      </c>
      <c r="AB280" s="4" t="str">
        <f>IFERROR(__xludf.DUMMYFUNCTION("GOOGLETRANSLATE(B280,""en"",""ja"")"),"このトレッキング中にメモは追加されませんでした")</f>
        <v>このトレッキング中にメモは追加されませんでした</v>
      </c>
      <c r="AC280" s="4" t="str">
        <f>IFERROR(__xludf.DUMMYFUNCTION("GOOGLETRANSLATE(B280,""en"",""bg"")"),"Не са добавени бележки по време на този преход")</f>
        <v>Не са добавени бележки по време на този преход</v>
      </c>
      <c r="AD280" s="4" t="str">
        <f>IFERROR(__xludf.DUMMYFUNCTION("GOOGLETRANSLATE(B280,""en"",""cs"")"),"Během tohoto treku nebyly přidány žádné poznámky")</f>
        <v>Během tohoto treku nebyly přidány žádné poznámky</v>
      </c>
      <c r="AE280" s="4" t="str">
        <f>IFERROR(__xludf.DUMMYFUNCTION("GOOGLETRANSLATE(B280,""en"",""da"")"),"Ingen noter blev tilføjet under denne vandring")</f>
        <v>Ingen noter blev tilføjet under denne vandring</v>
      </c>
      <c r="AF280" s="4" t="str">
        <f>IFERROR(__xludf.DUMMYFUNCTION("GOOGLETRANSLATE(B280,""en"",""el"")"),"Δεν προστέθηκαν σημειώσεις κατά τη διάρκεια αυτής της διαδρομής")</f>
        <v>Δεν προστέθηκαν σημειώσεις κατά τη διάρκεια αυτής της διαδρομής</v>
      </c>
      <c r="AG280" s="4" t="str">
        <f>IFERROR(__xludf.DUMMYFUNCTION("GOOGLETRANSLATE(B280,""en"",""et"")"),"Selle matka ajal ei lisatud ühtegi märkust")</f>
        <v>Selle matka ajal ei lisatud ühtegi märkust</v>
      </c>
      <c r="AH280" s="4" t="str">
        <f>IFERROR(__xludf.DUMMYFUNCTION("GOOGLETRANSLATE(B280,""en"",""fi"")"),"Tämän vaelluksen aikana ei lisätty muistiinpanoja")</f>
        <v>Tämän vaelluksen aikana ei lisätty muistiinpanoja</v>
      </c>
      <c r="AI280" s="4" t="str">
        <f>IFERROR(__xludf.DUMMYFUNCTION("GOOGLETRANSLATE(B280,""en"",""hr"")"),"Tijekom ovog putovanja nisu dodane nikakve bilješke")</f>
        <v>Tijekom ovog putovanja nisu dodane nikakve bilješke</v>
      </c>
      <c r="AJ280" s="4" t="str">
        <f>IFERROR(__xludf.DUMMYFUNCTION("GOOGLETRANSLATE(B280,""en"",""hu"")"),"A túra során nem adtak hozzá megjegyzéseket")</f>
        <v>A túra során nem adtak hozzá megjegyzéseket</v>
      </c>
      <c r="AK280" s="4" t="str">
        <f>IFERROR(__xludf.DUMMYFUNCTION("GOOGLETRANSLATE(B280,""en"",""hy"")"),"Այս արշավի ընթացքում նշումներ չեն ավելացվել")</f>
        <v>Այս արշավի ընթացքում նշումներ չեն ավելացվել</v>
      </c>
      <c r="AL280" s="4" t="str">
        <f>IFERROR(__xludf.DUMMYFUNCTION("GOOGLETRANSLATE(B280,""en"",""ca"")"),"No s'han afegit notes durant aquesta caminada")</f>
        <v>No s'han afegit notes durant aquesta caminada</v>
      </c>
      <c r="AM280" s="4" t="str">
        <f>IFERROR(__xludf.DUMMYFUNCTION("GOOGLETRANSLATE(B280,""en"",""nl"")"),"Er zijn geen notities toegevoegd tijdens deze trektocht")</f>
        <v>Er zijn geen notities toegevoegd tijdens deze trektocht</v>
      </c>
      <c r="AN280" s="4" t="str">
        <f>IFERROR(__xludf.DUMMYFUNCTION("GOOGLETRANSLATE(B280,""en"",""he"")"),"לא נוספו הערות במהלך הטרק הזה")</f>
        <v>לא נוספו הערות במהלך הטרק הזה</v>
      </c>
      <c r="AO280" s="4" t="str">
        <f>IFERROR(__xludf.DUMMYFUNCTION("GOOGLETRANSLATE(B280,""en"",""is"")"),"Engum athugasemdum var bætt við í þessari ferð")</f>
        <v>Engum athugasemdum var bætt við í þessari ferð</v>
      </c>
      <c r="AP280" s="4" t="str">
        <f>IFERROR(__xludf.DUMMYFUNCTION("GOOGLETRANSLATE(B280,""en"",""no"")"),"Ingen notater ble lagt til under denne vandringen")</f>
        <v>Ingen notater ble lagt til under denne vandringen</v>
      </c>
      <c r="AQ280" s="4" t="str">
        <f>IFERROR(__xludf.DUMMYFUNCTION("GOOGLETRANSLATE(B280,""en"",""fa"")"),"هیچ یادداشتی در طول این سفر اضافه نشد")</f>
        <v>هیچ یادداشتی در طول این سفر اضافه نشد</v>
      </c>
      <c r="AR280" s="4" t="str">
        <f>IFERROR(__xludf.DUMMYFUNCTION("GOOGLETRANSLATE(B280,""en"",""pl"")"),"Podczas tej wędrówki nie dodano żadnych notatek")</f>
        <v>Podczas tej wędrówki nie dodano żadnych notatek</v>
      </c>
      <c r="AS280" s="4" t="str">
        <f>IFERROR(__xludf.DUMMYFUNCTION("GOOGLETRANSLATE(B280,""en"",""sv"")"),"Inga anteckningar lades till under denna vandring")</f>
        <v>Inga anteckningar lades till under denna vandring</v>
      </c>
      <c r="AT280" s="4" t="str">
        <f>IFERROR(__xludf.DUMMYFUNCTION("GOOGLETRANSLATE(B280,""en"",""uk"")"),"Під час цього походу не було додано жодних нотаток")</f>
        <v>Під час цього походу не було додано жодних нотаток</v>
      </c>
      <c r="AU280" s="4" t="str">
        <f>IFERROR(__xludf.DUMMYFUNCTION("GOOGLETRANSLATE(B280,""en"",""zu"")"),"Awekho amanothi engeziwe phakathi nalolu hambo")</f>
        <v>Awekho amanothi engeziwe phakathi nalolu hambo</v>
      </c>
      <c r="AV280" s="4" t="str">
        <f>IFERROR(__xludf.DUMMYFUNCTION("GOOGLETRANSLATE(B280,""en"",""sr"")"),"Током овог путовања нису додане белешке")</f>
        <v>Током овог путовања нису додане белешке</v>
      </c>
    </row>
    <row r="281">
      <c r="A281" s="3" t="s">
        <v>579</v>
      </c>
      <c r="B281" s="3" t="s">
        <v>580</v>
      </c>
      <c r="C281" s="4" t="str">
        <f>IFERROR(__xludf.DUMMYFUNCTION("GOOGLETRANSLATE(B281,""en"",""ta"")"),"குறிப்பைச் சேர்க்கவும்")</f>
        <v>குறிப்பைச் சேர்க்கவும்</v>
      </c>
      <c r="D281" s="4" t="str">
        <f>IFERROR(__xludf.DUMMYFUNCTION("GOOGLETRANSLATE(B281,""en"",""hi"")"),"नोट जोड़े")</f>
        <v>नोट जोड़े</v>
      </c>
      <c r="E281" s="4" t="str">
        <f>IFERROR(__xludf.DUMMYFUNCTION("GOOGLETRANSLATE(B281,""en"",""id"")"),"Tambahkan Catatan")</f>
        <v>Tambahkan Catatan</v>
      </c>
      <c r="F281" s="4" t="str">
        <f>IFERROR(__xludf.DUMMYFUNCTION("GOOGLETRANSLATE(B281,""en"",""ms"")"),"Tambah Nota")</f>
        <v>Tambah Nota</v>
      </c>
      <c r="G281" s="4" t="str">
        <f>IFERROR(__xludf.DUMMYFUNCTION("GOOGLETRANSLATE(B281,""en"",""de"")"),"Notiz hinzufügen")</f>
        <v>Notiz hinzufügen</v>
      </c>
      <c r="H281" s="4" t="str">
        <f>IFERROR(__xludf.DUMMYFUNCTION("GOOGLETRANSLATE(B281,""en"",""es"")"),"Añadir nota")</f>
        <v>Añadir nota</v>
      </c>
      <c r="I281" s="4" t="str">
        <f>IFERROR(__xludf.DUMMYFUNCTION("GOOGLETRANSLATE(B281,""en"",""fr"")"),"Ajouter une note")</f>
        <v>Ajouter une note</v>
      </c>
      <c r="J281" s="4" t="str">
        <f>IFERROR(__xludf.DUMMYFUNCTION("GOOGLETRANSLATE(B281,""en"",""it"")"),"Aggiungi nota")</f>
        <v>Aggiungi nota</v>
      </c>
      <c r="K281" s="4" t="str">
        <f>IFERROR(__xludf.DUMMYFUNCTION("GOOGLETRANSLATE(B281,""en"",""pt"")"),"Adicionar nota")</f>
        <v>Adicionar nota</v>
      </c>
      <c r="L281" s="4" t="str">
        <f>IFERROR(__xludf.DUMMYFUNCTION("GOOGLETRANSLATE(B281,""en"",""ro"")"),"Adăugați o notă")</f>
        <v>Adăugați o notă</v>
      </c>
      <c r="M281" s="4" t="str">
        <f>IFERROR(__xludf.DUMMYFUNCTION("GOOGLETRANSLATE(B281,""en"",""vi"")"),"Thêm Ghi chú")</f>
        <v>Thêm Ghi chú</v>
      </c>
      <c r="N281" s="4" t="str">
        <f>IFERROR(__xludf.DUMMYFUNCTION("GOOGLETRANSLATE(B281,""en"",""ru"")"),"Добавить примечание")</f>
        <v>Добавить примечание</v>
      </c>
      <c r="O281" s="4" t="str">
        <f>IFERROR(__xludf.DUMMYFUNCTION("GOOGLETRANSLATE(B281,""en"",""tr"")"),"Not Ekle")</f>
        <v>Not Ekle</v>
      </c>
      <c r="P281" s="4" t="str">
        <f>IFERROR(__xludf.DUMMYFUNCTION("GOOGLETRANSLATE(B281,""en"",""ar"")"),"إضافة ملاحظة")</f>
        <v>إضافة ملاحظة</v>
      </c>
      <c r="Q281" s="4" t="str">
        <f>IFERROR(__xludf.DUMMYFUNCTION("GOOGLETRANSLATE(B281,""en"",""mr"")"),"टीप जोडा")</f>
        <v>टीप जोडा</v>
      </c>
      <c r="R281" s="4" t="str">
        <f>IFERROR(__xludf.DUMMYFUNCTION("GOOGLETRANSLATE(B281,""en"",""gu"")"),"નોંધ ઉમેરો")</f>
        <v>નોંધ ઉમેરો</v>
      </c>
      <c r="S281" s="4" t="str">
        <f>IFERROR(__xludf.DUMMYFUNCTION("GOOGLETRANSLATE(B281,""en"",""bn"")"),"নোট যোগ করুন")</f>
        <v>নোট যোগ করুন</v>
      </c>
      <c r="T281" s="4" t="str">
        <f>IFERROR(__xludf.DUMMYFUNCTION("GOOGLETRANSLATE(B281,""en"",""pa"")"),"ਨੋਟ ਸ਼ਾਮਲ ਕਰੋ")</f>
        <v>ਨੋਟ ਸ਼ਾਮਲ ਕਰੋ</v>
      </c>
      <c r="U281" s="4" t="str">
        <f>IFERROR(__xludf.DUMMYFUNCTION("GOOGLETRANSLATE(B281,""en"",""te"")"),"గమనికను జోడించండి")</f>
        <v>గమనికను జోడించండి</v>
      </c>
      <c r="V281" s="4" t="str">
        <f>IFERROR(__xludf.DUMMYFUNCTION("GOOGLETRANSLATE(B281,""en"",""kn"")"),"ಟಿಪ್ಪಣಿ ಸೇರಿಸಿ")</f>
        <v>ಟಿಪ್ಪಣಿ ಸೇರಿಸಿ</v>
      </c>
      <c r="W281" s="4" t="str">
        <f>IFERROR(__xludf.DUMMYFUNCTION("GOOGLETRANSLATE(B281,""en"",""ml"")"),"കുറിപ്പ് ചേർക്കുക")</f>
        <v>കുറിപ്പ് ചേർക്കുക</v>
      </c>
      <c r="X281" s="4" t="str">
        <f>IFERROR(__xludf.DUMMYFUNCTION("GOOGLETRANSLATE(B281,""en"",""th"")"),"เพิ่มหมายเหตุ")</f>
        <v>เพิ่มหมายเหตุ</v>
      </c>
      <c r="Y281" s="4" t="str">
        <f>IFERROR(__xludf.DUMMYFUNCTION("GOOGLETRANSLATE(B281,""en"",""ko"")"),"메모 추가")</f>
        <v>메모 추가</v>
      </c>
      <c r="Z281" s="4" t="str">
        <f>IFERROR(__xludf.DUMMYFUNCTION("GOOGLETRANSLATE(B281,""en"",""zh"")"),"添加注释")</f>
        <v>添加注释</v>
      </c>
      <c r="AA281" s="4" t="str">
        <f>IFERROR(__xludf.DUMMYFUNCTION("GOOGLETRANSLATE(B281,""en"",""zh-TW"")"),"新增註釋")</f>
        <v>新增註釋</v>
      </c>
      <c r="AB281" s="4" t="str">
        <f>IFERROR(__xludf.DUMMYFUNCTION("GOOGLETRANSLATE(B281,""en"",""ja"")"),"メモを追加")</f>
        <v>メモを追加</v>
      </c>
      <c r="AC281" s="4" t="str">
        <f>IFERROR(__xludf.DUMMYFUNCTION("GOOGLETRANSLATE(B281,""en"",""bg"")"),"Добавете бележка")</f>
        <v>Добавете бележка</v>
      </c>
      <c r="AD281" s="4" t="str">
        <f>IFERROR(__xludf.DUMMYFUNCTION("GOOGLETRANSLATE(B281,""en"",""cs"")"),"Přidat poznámku")</f>
        <v>Přidat poznámku</v>
      </c>
      <c r="AE281" s="4" t="str">
        <f>IFERROR(__xludf.DUMMYFUNCTION("GOOGLETRANSLATE(B281,""en"",""da"")"),"Tilføj note")</f>
        <v>Tilføj note</v>
      </c>
      <c r="AF281" s="4" t="str">
        <f>IFERROR(__xludf.DUMMYFUNCTION("GOOGLETRANSLATE(B281,""en"",""el"")"),"Προσθήκη Σημείωσης")</f>
        <v>Προσθήκη Σημείωσης</v>
      </c>
      <c r="AG281" s="4" t="str">
        <f>IFERROR(__xludf.DUMMYFUNCTION("GOOGLETRANSLATE(B281,""en"",""et"")"),"Lisa märkus")</f>
        <v>Lisa märkus</v>
      </c>
      <c r="AH281" s="4" t="str">
        <f>IFERROR(__xludf.DUMMYFUNCTION("GOOGLETRANSLATE(B281,""en"",""fi"")"),"Lisää huomautus")</f>
        <v>Lisää huomautus</v>
      </c>
      <c r="AI281" s="4" t="str">
        <f>IFERROR(__xludf.DUMMYFUNCTION("GOOGLETRANSLATE(B281,""en"",""hr"")"),"Dodaj bilješku")</f>
        <v>Dodaj bilješku</v>
      </c>
      <c r="AJ281" s="4" t="str">
        <f>IFERROR(__xludf.DUMMYFUNCTION("GOOGLETRANSLATE(B281,""en"",""hu"")"),"Megjegyzés hozzáadása")</f>
        <v>Megjegyzés hozzáadása</v>
      </c>
      <c r="AK281" s="4" t="str">
        <f>IFERROR(__xludf.DUMMYFUNCTION("GOOGLETRANSLATE(B281,""en"",""hy"")"),"Ավելացնել նշում")</f>
        <v>Ավելացնել նշում</v>
      </c>
      <c r="AL281" s="4" t="str">
        <f>IFERROR(__xludf.DUMMYFUNCTION("GOOGLETRANSLATE(B281,""en"",""ca"")"),"Afegeix una nota")</f>
        <v>Afegeix una nota</v>
      </c>
      <c r="AM281" s="4" t="str">
        <f>IFERROR(__xludf.DUMMYFUNCTION("GOOGLETRANSLATE(B281,""en"",""nl"")"),"Notitie toevoegen")</f>
        <v>Notitie toevoegen</v>
      </c>
      <c r="AN281" s="4" t="str">
        <f>IFERROR(__xludf.DUMMYFUNCTION("GOOGLETRANSLATE(B281,""en"",""he"")"),"הוסף הערה")</f>
        <v>הוסף הערה</v>
      </c>
      <c r="AO281" s="4" t="str">
        <f>IFERROR(__xludf.DUMMYFUNCTION("GOOGLETRANSLATE(B281,""en"",""is"")"),"Bæta við athugasemd")</f>
        <v>Bæta við athugasemd</v>
      </c>
      <c r="AP281" s="4" t="str">
        <f>IFERROR(__xludf.DUMMYFUNCTION("GOOGLETRANSLATE(B281,""en"",""no"")"),"Legg til notat")</f>
        <v>Legg til notat</v>
      </c>
      <c r="AQ281" s="4" t="str">
        <f>IFERROR(__xludf.DUMMYFUNCTION("GOOGLETRANSLATE(B281,""en"",""fa"")"),"اضافه کردن یادداشت")</f>
        <v>اضافه کردن یادداشت</v>
      </c>
      <c r="AR281" s="4" t="str">
        <f>IFERROR(__xludf.DUMMYFUNCTION("GOOGLETRANSLATE(B281,""en"",""pl"")"),"Dodaj notatkę")</f>
        <v>Dodaj notatkę</v>
      </c>
      <c r="AS281" s="4" t="str">
        <f>IFERROR(__xludf.DUMMYFUNCTION("GOOGLETRANSLATE(B281,""en"",""sv"")"),"Lägg till anteckning")</f>
        <v>Lägg till anteckning</v>
      </c>
      <c r="AT281" s="4" t="str">
        <f>IFERROR(__xludf.DUMMYFUNCTION("GOOGLETRANSLATE(B281,""en"",""uk"")"),"Додати примітку")</f>
        <v>Додати примітку</v>
      </c>
      <c r="AU281" s="4" t="str">
        <f>IFERROR(__xludf.DUMMYFUNCTION("GOOGLETRANSLATE(B281,""en"",""zu"")"),"Engeza Inothi")</f>
        <v>Engeza Inothi</v>
      </c>
      <c r="AV281" s="4" t="str">
        <f>IFERROR(__xludf.DUMMYFUNCTION("GOOGLETRANSLATE(B281,""en"",""sr"")"),"Додај напомену")</f>
        <v>Додај напомену</v>
      </c>
    </row>
    <row r="282">
      <c r="A282" s="3" t="s">
        <v>581</v>
      </c>
      <c r="B282" s="3" t="s">
        <v>79</v>
      </c>
      <c r="C282" s="4" t="str">
        <f>IFERROR(__xludf.DUMMYFUNCTION("GOOGLETRANSLATE(B282,""en"",""ta"")"),"சேமிக்கவும்")</f>
        <v>சேமிக்கவும்</v>
      </c>
      <c r="D282" s="4" t="str">
        <f>IFERROR(__xludf.DUMMYFUNCTION("GOOGLETRANSLATE(B282,""en"",""hi"")"),"बचाना")</f>
        <v>बचाना</v>
      </c>
      <c r="E282" s="4" t="str">
        <f>IFERROR(__xludf.DUMMYFUNCTION("GOOGLETRANSLATE(B282,""en"",""id"")"),"Menyimpan")</f>
        <v>Menyimpan</v>
      </c>
      <c r="F282" s="4" t="str">
        <f>IFERROR(__xludf.DUMMYFUNCTION("GOOGLETRANSLATE(B282,""en"",""ms"")"),"Jimat")</f>
        <v>Jimat</v>
      </c>
      <c r="G282" s="4" t="str">
        <f>IFERROR(__xludf.DUMMYFUNCTION("GOOGLETRANSLATE(B282,""en"",""de"")"),"Speichern")</f>
        <v>Speichern</v>
      </c>
      <c r="H282" s="4" t="str">
        <f>IFERROR(__xludf.DUMMYFUNCTION("GOOGLETRANSLATE(B282,""en"",""es"")"),"Ahorrar")</f>
        <v>Ahorrar</v>
      </c>
      <c r="I282" s="4" t="str">
        <f>IFERROR(__xludf.DUMMYFUNCTION("GOOGLETRANSLATE(B282,""en"",""fr"")"),"Sauvegarder")</f>
        <v>Sauvegarder</v>
      </c>
      <c r="J282" s="4" t="str">
        <f>IFERROR(__xludf.DUMMYFUNCTION("GOOGLETRANSLATE(B282,""en"",""it"")"),"Salva")</f>
        <v>Salva</v>
      </c>
      <c r="K282" s="4" t="str">
        <f>IFERROR(__xludf.DUMMYFUNCTION("GOOGLETRANSLATE(B282,""en"",""pt"")"),"Salvar")</f>
        <v>Salvar</v>
      </c>
      <c r="L282" s="4" t="str">
        <f>IFERROR(__xludf.DUMMYFUNCTION("GOOGLETRANSLATE(B282,""en"",""ro"")"),"Salva")</f>
        <v>Salva</v>
      </c>
      <c r="M282" s="4" t="str">
        <f>IFERROR(__xludf.DUMMYFUNCTION("GOOGLETRANSLATE(B282,""en"",""vi"")"),"Cứu")</f>
        <v>Cứu</v>
      </c>
      <c r="N282" s="4" t="str">
        <f>IFERROR(__xludf.DUMMYFUNCTION("GOOGLETRANSLATE(B282,""en"",""ru"")"),"Сохранять")</f>
        <v>Сохранять</v>
      </c>
      <c r="O282" s="4" t="str">
        <f>IFERROR(__xludf.DUMMYFUNCTION("GOOGLETRANSLATE(B282,""en"",""tr"")"),"Kaydetmek")</f>
        <v>Kaydetmek</v>
      </c>
      <c r="P282" s="4" t="str">
        <f>IFERROR(__xludf.DUMMYFUNCTION("GOOGLETRANSLATE(B282,""en"",""ar"")"),"يحفظ")</f>
        <v>يحفظ</v>
      </c>
      <c r="Q282" s="4" t="str">
        <f>IFERROR(__xludf.DUMMYFUNCTION("GOOGLETRANSLATE(B282,""en"",""mr"")"),"जतन करा")</f>
        <v>जतन करा</v>
      </c>
      <c r="R282" s="4" t="str">
        <f>IFERROR(__xludf.DUMMYFUNCTION("GOOGLETRANSLATE(B282,""en"",""gu"")"),"સાચવો")</f>
        <v>સાચવો</v>
      </c>
      <c r="S282" s="4" t="str">
        <f>IFERROR(__xludf.DUMMYFUNCTION("GOOGLETRANSLATE(B282,""en"",""bn"")"),"সংরক্ষণ করুন")</f>
        <v>সংরক্ষণ করুন</v>
      </c>
      <c r="T282" s="4" t="str">
        <f>IFERROR(__xludf.DUMMYFUNCTION("GOOGLETRANSLATE(B282,""en"",""pa"")"),"ਸੇਵ ਕਰੋ")</f>
        <v>ਸੇਵ ਕਰੋ</v>
      </c>
      <c r="U282" s="4" t="str">
        <f>IFERROR(__xludf.DUMMYFUNCTION("GOOGLETRANSLATE(B282,""en"",""te"")"),"సేవ్ చేయండి")</f>
        <v>సేవ్ చేయండి</v>
      </c>
      <c r="V282" s="4" t="str">
        <f>IFERROR(__xludf.DUMMYFUNCTION("GOOGLETRANSLATE(B282,""en"",""kn"")"),"ಉಳಿಸಿ")</f>
        <v>ಉಳಿಸಿ</v>
      </c>
      <c r="W282" s="4" t="str">
        <f>IFERROR(__xludf.DUMMYFUNCTION("GOOGLETRANSLATE(B282,""en"",""ml"")"),"സംരക്ഷിക്കുക")</f>
        <v>സംരക്ഷിക്കുക</v>
      </c>
      <c r="X282" s="4" t="str">
        <f>IFERROR(__xludf.DUMMYFUNCTION("GOOGLETRANSLATE(B282,""en"",""th"")"),"บันทึก")</f>
        <v>บันทึก</v>
      </c>
      <c r="Y282" s="4" t="str">
        <f>IFERROR(__xludf.DUMMYFUNCTION("GOOGLETRANSLATE(B282,""en"",""ko"")"),"구하다")</f>
        <v>구하다</v>
      </c>
      <c r="Z282" s="4" t="str">
        <f>IFERROR(__xludf.DUMMYFUNCTION("GOOGLETRANSLATE(B282,""en"",""zh"")"),"节省")</f>
        <v>节省</v>
      </c>
      <c r="AA282" s="4" t="str">
        <f>IFERROR(__xludf.DUMMYFUNCTION("GOOGLETRANSLATE(B282,""en"",""zh-TW"")"),"節省")</f>
        <v>節省</v>
      </c>
      <c r="AB282" s="4" t="str">
        <f>IFERROR(__xludf.DUMMYFUNCTION("GOOGLETRANSLATE(B282,""en"",""ja"")"),"保存")</f>
        <v>保存</v>
      </c>
      <c r="AC282" s="4" t="str">
        <f>IFERROR(__xludf.DUMMYFUNCTION("GOOGLETRANSLATE(B282,""en"",""bg"")"),"Запазване")</f>
        <v>Запазване</v>
      </c>
      <c r="AD282" s="4" t="str">
        <f>IFERROR(__xludf.DUMMYFUNCTION("GOOGLETRANSLATE(B282,""en"",""cs"")"),"Uložit")</f>
        <v>Uložit</v>
      </c>
      <c r="AE282" s="4" t="str">
        <f>IFERROR(__xludf.DUMMYFUNCTION("GOOGLETRANSLATE(B282,""en"",""da"")"),"Spare")</f>
        <v>Spare</v>
      </c>
      <c r="AF282" s="4" t="str">
        <f>IFERROR(__xludf.DUMMYFUNCTION("GOOGLETRANSLATE(B282,""en"",""el"")"),"Εκτός")</f>
        <v>Εκτός</v>
      </c>
      <c r="AG282" s="4" t="str">
        <f>IFERROR(__xludf.DUMMYFUNCTION("GOOGLETRANSLATE(B282,""en"",""et"")"),"Salvesta")</f>
        <v>Salvesta</v>
      </c>
      <c r="AH282" s="4" t="str">
        <f>IFERROR(__xludf.DUMMYFUNCTION("GOOGLETRANSLATE(B282,""en"",""fi"")"),"Tallentaa")</f>
        <v>Tallentaa</v>
      </c>
      <c r="AI282" s="4" t="str">
        <f>IFERROR(__xludf.DUMMYFUNCTION("GOOGLETRANSLATE(B282,""en"",""hr"")"),"Uštedjeti")</f>
        <v>Uštedjeti</v>
      </c>
      <c r="AJ282" s="4" t="str">
        <f>IFERROR(__xludf.DUMMYFUNCTION("GOOGLETRANSLATE(B282,""en"",""hu"")"),"Megtakarítás")</f>
        <v>Megtakarítás</v>
      </c>
      <c r="AK282" s="4" t="str">
        <f>IFERROR(__xludf.DUMMYFUNCTION("GOOGLETRANSLATE(B282,""en"",""hy"")"),"Պահպանել")</f>
        <v>Պահպանել</v>
      </c>
      <c r="AL282" s="4" t="str">
        <f>IFERROR(__xludf.DUMMYFUNCTION("GOOGLETRANSLATE(B282,""en"",""ca"")"),"Desa")</f>
        <v>Desa</v>
      </c>
      <c r="AM282" s="4" t="str">
        <f>IFERROR(__xludf.DUMMYFUNCTION("GOOGLETRANSLATE(B282,""en"",""nl"")"),"Redden")</f>
        <v>Redden</v>
      </c>
      <c r="AN282" s="4" t="str">
        <f>IFERROR(__xludf.DUMMYFUNCTION("GOOGLETRANSLATE(B282,""en"",""he"")"),"לְהַצִיל")</f>
        <v>לְהַצִיל</v>
      </c>
      <c r="AO282" s="4" t="str">
        <f>IFERROR(__xludf.DUMMYFUNCTION("GOOGLETRANSLATE(B282,""en"",""is"")"),"Vista")</f>
        <v>Vista</v>
      </c>
      <c r="AP282" s="4" t="str">
        <f>IFERROR(__xludf.DUMMYFUNCTION("GOOGLETRANSLATE(B282,""en"",""no"")"),"Spare")</f>
        <v>Spare</v>
      </c>
      <c r="AQ282" s="4" t="str">
        <f>IFERROR(__xludf.DUMMYFUNCTION("GOOGLETRANSLATE(B282,""en"",""fa"")"),"ذخیره کنید")</f>
        <v>ذخیره کنید</v>
      </c>
      <c r="AR282" s="4" t="str">
        <f>IFERROR(__xludf.DUMMYFUNCTION("GOOGLETRANSLATE(B282,""en"",""pl"")"),"Ratować")</f>
        <v>Ratować</v>
      </c>
      <c r="AS282" s="4" t="str">
        <f>IFERROR(__xludf.DUMMYFUNCTION("GOOGLETRANSLATE(B282,""en"",""sv"")"),"Spara")</f>
        <v>Spara</v>
      </c>
      <c r="AT282" s="4" t="str">
        <f>IFERROR(__xludf.DUMMYFUNCTION("GOOGLETRANSLATE(B282,""en"",""uk"")"),"зберегти")</f>
        <v>зберегти</v>
      </c>
      <c r="AU282" s="4" t="str">
        <f>IFERROR(__xludf.DUMMYFUNCTION("GOOGLETRANSLATE(B282,""en"",""zu"")"),"Londoloza")</f>
        <v>Londoloza</v>
      </c>
      <c r="AV282" s="4" t="str">
        <f>IFERROR(__xludf.DUMMYFUNCTION("GOOGLETRANSLATE(B282,""en"",""sr"")"),"Сачувај")</f>
        <v>Сачувај</v>
      </c>
    </row>
    <row r="283">
      <c r="A283" s="3" t="s">
        <v>582</v>
      </c>
      <c r="B283" s="3" t="s">
        <v>357</v>
      </c>
      <c r="C283" s="4" t="str">
        <f>IFERROR(__xludf.DUMMYFUNCTION("GOOGLETRANSLATE(B283,""en"",""ta"")"),"ரத்து செய்")</f>
        <v>ரத்து செய்</v>
      </c>
      <c r="D283" s="4" t="str">
        <f>IFERROR(__xludf.DUMMYFUNCTION("GOOGLETRANSLATE(B283,""en"",""hi"")"),"रद्द करना")</f>
        <v>रद्द करना</v>
      </c>
      <c r="E283" s="4" t="str">
        <f>IFERROR(__xludf.DUMMYFUNCTION("GOOGLETRANSLATE(B283,""en"",""id"")"),"Membatalkan")</f>
        <v>Membatalkan</v>
      </c>
      <c r="F283" s="4" t="str">
        <f>IFERROR(__xludf.DUMMYFUNCTION("GOOGLETRANSLATE(B283,""en"",""ms"")"),"Batal")</f>
        <v>Batal</v>
      </c>
      <c r="G283" s="4" t="str">
        <f>IFERROR(__xludf.DUMMYFUNCTION("GOOGLETRANSLATE(B283,""en"",""de"")"),"Stornieren")</f>
        <v>Stornieren</v>
      </c>
      <c r="H283" s="4" t="str">
        <f>IFERROR(__xludf.DUMMYFUNCTION("GOOGLETRANSLATE(B283,""en"",""es"")"),"Cancelar")</f>
        <v>Cancelar</v>
      </c>
      <c r="I283" s="4" t="str">
        <f>IFERROR(__xludf.DUMMYFUNCTION("GOOGLETRANSLATE(B283,""en"",""fr"")"),"Annuler")</f>
        <v>Annuler</v>
      </c>
      <c r="J283" s="4" t="str">
        <f>IFERROR(__xludf.DUMMYFUNCTION("GOOGLETRANSLATE(B283,""en"",""it"")"),"Cancellare")</f>
        <v>Cancellare</v>
      </c>
      <c r="K283" s="4" t="str">
        <f>IFERROR(__xludf.DUMMYFUNCTION("GOOGLETRANSLATE(B283,""en"",""pt"")"),"Cancelar")</f>
        <v>Cancelar</v>
      </c>
      <c r="L283" s="4" t="str">
        <f>IFERROR(__xludf.DUMMYFUNCTION("GOOGLETRANSLATE(B283,""en"",""ro"")"),"Anula")</f>
        <v>Anula</v>
      </c>
      <c r="M283" s="4" t="str">
        <f>IFERROR(__xludf.DUMMYFUNCTION("GOOGLETRANSLATE(B283,""en"",""vi"")"),"Hủy bỏ")</f>
        <v>Hủy bỏ</v>
      </c>
      <c r="N283" s="4" t="str">
        <f>IFERROR(__xludf.DUMMYFUNCTION("GOOGLETRANSLATE(B283,""en"",""ru"")"),"Отмена")</f>
        <v>Отмена</v>
      </c>
      <c r="O283" s="4" t="str">
        <f>IFERROR(__xludf.DUMMYFUNCTION("GOOGLETRANSLATE(B283,""en"",""tr"")"),"İptal etmek")</f>
        <v>İptal etmek</v>
      </c>
      <c r="P283" s="4" t="str">
        <f>IFERROR(__xludf.DUMMYFUNCTION("GOOGLETRANSLATE(B283,""en"",""ar"")"),"يلغي")</f>
        <v>يلغي</v>
      </c>
      <c r="Q283" s="4" t="str">
        <f>IFERROR(__xludf.DUMMYFUNCTION("GOOGLETRANSLATE(B283,""en"",""mr"")"),"रद्द करा")</f>
        <v>रद्द करा</v>
      </c>
      <c r="R283" s="4" t="str">
        <f>IFERROR(__xludf.DUMMYFUNCTION("GOOGLETRANSLATE(B283,""en"",""gu"")"),"રદ કરો")</f>
        <v>રદ કરો</v>
      </c>
      <c r="S283" s="4" t="str">
        <f>IFERROR(__xludf.DUMMYFUNCTION("GOOGLETRANSLATE(B283,""en"",""bn"")"),"বাতিল করুন")</f>
        <v>বাতিল করুন</v>
      </c>
      <c r="T283" s="4" t="str">
        <f>IFERROR(__xludf.DUMMYFUNCTION("GOOGLETRANSLATE(B283,""en"",""pa"")"),"ਰੱਦ ਕਰੋ")</f>
        <v>ਰੱਦ ਕਰੋ</v>
      </c>
      <c r="U283" s="4" t="str">
        <f>IFERROR(__xludf.DUMMYFUNCTION("GOOGLETRANSLATE(B283,""en"",""te"")"),"రద్దు చేయి")</f>
        <v>రద్దు చేయి</v>
      </c>
      <c r="V283" s="4" t="str">
        <f>IFERROR(__xludf.DUMMYFUNCTION("GOOGLETRANSLATE(B283,""en"",""kn"")"),"ರದ್ದುಮಾಡು")</f>
        <v>ರದ್ದುಮಾಡು</v>
      </c>
      <c r="W283" s="4" t="str">
        <f>IFERROR(__xludf.DUMMYFUNCTION("GOOGLETRANSLATE(B283,""en"",""ml"")"),"റദ്ദാക്കുക")</f>
        <v>റദ്ദാക്കുക</v>
      </c>
      <c r="X283" s="4" t="str">
        <f>IFERROR(__xludf.DUMMYFUNCTION("GOOGLETRANSLATE(B283,""en"",""th"")"),"ยกเลิก")</f>
        <v>ยกเลิก</v>
      </c>
      <c r="Y283" s="4" t="str">
        <f>IFERROR(__xludf.DUMMYFUNCTION("GOOGLETRANSLATE(B283,""en"",""ko"")"),"취소")</f>
        <v>취소</v>
      </c>
      <c r="Z283" s="4" t="str">
        <f>IFERROR(__xludf.DUMMYFUNCTION("GOOGLETRANSLATE(B283,""en"",""zh"")"),"取消")</f>
        <v>取消</v>
      </c>
      <c r="AA283" s="4" t="str">
        <f>IFERROR(__xludf.DUMMYFUNCTION("GOOGLETRANSLATE(B283,""en"",""zh-TW"")"),"取消")</f>
        <v>取消</v>
      </c>
      <c r="AB283" s="4" t="str">
        <f>IFERROR(__xludf.DUMMYFUNCTION("GOOGLETRANSLATE(B283,""en"",""ja"")"),"キャンセル")</f>
        <v>キャンセル</v>
      </c>
      <c r="AC283" s="4" t="str">
        <f>IFERROR(__xludf.DUMMYFUNCTION("GOOGLETRANSLATE(B283,""en"",""bg"")"),"Отказ")</f>
        <v>Отказ</v>
      </c>
      <c r="AD283" s="4" t="str">
        <f>IFERROR(__xludf.DUMMYFUNCTION("GOOGLETRANSLATE(B283,""en"",""cs"")"),"Zrušit")</f>
        <v>Zrušit</v>
      </c>
      <c r="AE283" s="4" t="str">
        <f>IFERROR(__xludf.DUMMYFUNCTION("GOOGLETRANSLATE(B283,""en"",""da"")"),"Ophæve")</f>
        <v>Ophæve</v>
      </c>
      <c r="AF283" s="4" t="str">
        <f>IFERROR(__xludf.DUMMYFUNCTION("GOOGLETRANSLATE(B283,""en"",""el"")"),"Ματαίωση")</f>
        <v>Ματαίωση</v>
      </c>
      <c r="AG283" s="4" t="str">
        <f>IFERROR(__xludf.DUMMYFUNCTION("GOOGLETRANSLATE(B283,""en"",""et"")"),"Tühista")</f>
        <v>Tühista</v>
      </c>
      <c r="AH283" s="4" t="str">
        <f>IFERROR(__xludf.DUMMYFUNCTION("GOOGLETRANSLATE(B283,""en"",""fi"")"),"Peruuttaa")</f>
        <v>Peruuttaa</v>
      </c>
      <c r="AI283" s="4" t="str">
        <f>IFERROR(__xludf.DUMMYFUNCTION("GOOGLETRANSLATE(B283,""en"",""hr"")"),"Otkazati")</f>
        <v>Otkazati</v>
      </c>
      <c r="AJ283" s="4" t="str">
        <f>IFERROR(__xludf.DUMMYFUNCTION("GOOGLETRANSLATE(B283,""en"",""hu"")"),"Mégsem")</f>
        <v>Mégsem</v>
      </c>
      <c r="AK283" s="4" t="str">
        <f>IFERROR(__xludf.DUMMYFUNCTION("GOOGLETRANSLATE(B283,""en"",""hy"")"),"Չեղարկել")</f>
        <v>Չեղարկել</v>
      </c>
      <c r="AL283" s="4" t="str">
        <f>IFERROR(__xludf.DUMMYFUNCTION("GOOGLETRANSLATE(B283,""en"",""ca"")"),"Cancel·la")</f>
        <v>Cancel·la</v>
      </c>
      <c r="AM283" s="4" t="str">
        <f>IFERROR(__xludf.DUMMYFUNCTION("GOOGLETRANSLATE(B283,""en"",""nl"")"),"Annuleren")</f>
        <v>Annuleren</v>
      </c>
      <c r="AN283" s="4" t="str">
        <f>IFERROR(__xludf.DUMMYFUNCTION("GOOGLETRANSLATE(B283,""en"",""he"")"),"לְבַטֵל")</f>
        <v>לְבַטֵל</v>
      </c>
      <c r="AO283" s="4" t="str">
        <f>IFERROR(__xludf.DUMMYFUNCTION("GOOGLETRANSLATE(B283,""en"",""is"")"),"Hætta við")</f>
        <v>Hætta við</v>
      </c>
      <c r="AP283" s="4" t="str">
        <f>IFERROR(__xludf.DUMMYFUNCTION("GOOGLETRANSLATE(B283,""en"",""no"")"),"Kansellere")</f>
        <v>Kansellere</v>
      </c>
      <c r="AQ283" s="4" t="str">
        <f>IFERROR(__xludf.DUMMYFUNCTION("GOOGLETRANSLATE(B283,""en"",""fa"")"),"لغو کنید")</f>
        <v>لغو کنید</v>
      </c>
      <c r="AR283" s="4" t="str">
        <f>IFERROR(__xludf.DUMMYFUNCTION("GOOGLETRANSLATE(B283,""en"",""pl"")"),"Anulować")</f>
        <v>Anulować</v>
      </c>
      <c r="AS283" s="4" t="str">
        <f>IFERROR(__xludf.DUMMYFUNCTION("GOOGLETRANSLATE(B283,""en"",""sv"")"),"Avboka")</f>
        <v>Avboka</v>
      </c>
      <c r="AT283" s="4" t="str">
        <f>IFERROR(__xludf.DUMMYFUNCTION("GOOGLETRANSLATE(B283,""en"",""uk"")"),"Скасувати")</f>
        <v>Скасувати</v>
      </c>
      <c r="AU283" s="4" t="str">
        <f>IFERROR(__xludf.DUMMYFUNCTION("GOOGLETRANSLATE(B283,""en"",""zu"")"),"Khansela")</f>
        <v>Khansela</v>
      </c>
      <c r="AV283" s="4" t="str">
        <f>IFERROR(__xludf.DUMMYFUNCTION("GOOGLETRANSLATE(B283,""en"",""sr"")"),"Откажи")</f>
        <v>Откажи</v>
      </c>
    </row>
    <row r="284">
      <c r="A284" s="3" t="s">
        <v>583</v>
      </c>
      <c r="B284" s="3" t="s">
        <v>584</v>
      </c>
      <c r="C284" s="4" t="str">
        <f>IFERROR(__xludf.DUMMYFUNCTION("GOOGLETRANSLATE(B284,""en"",""ta"")"),"உங்கள் குறிப்பை இங்கே உள்ளிடவும்...")</f>
        <v>உங்கள் குறிப்பை இங்கே உள்ளிடவும்...</v>
      </c>
      <c r="D284" s="4" t="str">
        <f>IFERROR(__xludf.DUMMYFUNCTION("GOOGLETRANSLATE(B284,""en"",""hi"")"),"अपना नोट यहां दर्ज करें...")</f>
        <v>अपना नोट यहां दर्ज करें...</v>
      </c>
      <c r="E284" s="4" t="str">
        <f>IFERROR(__xludf.DUMMYFUNCTION("GOOGLETRANSLATE(B284,""en"",""id"")"),"Masukkan catatan Anda di sini...")</f>
        <v>Masukkan catatan Anda di sini...</v>
      </c>
      <c r="F284" s="4" t="str">
        <f>IFERROR(__xludf.DUMMYFUNCTION("GOOGLETRANSLATE(B284,""en"",""ms"")"),"Masukkan nota anda di sini...")</f>
        <v>Masukkan nota anda di sini...</v>
      </c>
      <c r="G284" s="4" t="str">
        <f>IFERROR(__xludf.DUMMYFUNCTION("GOOGLETRANSLATE(B284,""en"",""de"")"),"Geben Sie hier Ihre Notiz ein ...")</f>
        <v>Geben Sie hier Ihre Notiz ein ...</v>
      </c>
      <c r="H284" s="4" t="str">
        <f>IFERROR(__xludf.DUMMYFUNCTION("GOOGLETRANSLATE(B284,""en"",""es"")"),"Introduce tu nota aquí...")</f>
        <v>Introduce tu nota aquí...</v>
      </c>
      <c r="I284" s="4" t="str">
        <f>IFERROR(__xludf.DUMMYFUNCTION("GOOGLETRANSLATE(B284,""en"",""fr"")"),"Entrez votre note ici...")</f>
        <v>Entrez votre note ici...</v>
      </c>
      <c r="J284" s="4" t="str">
        <f>IFERROR(__xludf.DUMMYFUNCTION("GOOGLETRANSLATE(B284,""en"",""it"")"),"Inserisci qui la tua nota...")</f>
        <v>Inserisci qui la tua nota...</v>
      </c>
      <c r="K284" s="4" t="str">
        <f>IFERROR(__xludf.DUMMYFUNCTION("GOOGLETRANSLATE(B284,""en"",""pt"")"),"Digite sua nota aqui...")</f>
        <v>Digite sua nota aqui...</v>
      </c>
      <c r="L284" s="4" t="str">
        <f>IFERROR(__xludf.DUMMYFUNCTION("GOOGLETRANSLATE(B284,""en"",""ro"")"),"Introduceți nota aici...")</f>
        <v>Introduceți nota aici...</v>
      </c>
      <c r="M284" s="4" t="str">
        <f>IFERROR(__xludf.DUMMYFUNCTION("GOOGLETRANSLATE(B284,""en"",""vi"")"),"Nhập ghi chú của bạn vào đây...")</f>
        <v>Nhập ghi chú của bạn vào đây...</v>
      </c>
      <c r="N284" s="4" t="str">
        <f>IFERROR(__xludf.DUMMYFUNCTION("GOOGLETRANSLATE(B284,""en"",""ru"")"),"Введите здесь свою заметку...")</f>
        <v>Введите здесь свою заметку...</v>
      </c>
      <c r="O284" s="4" t="str">
        <f>IFERROR(__xludf.DUMMYFUNCTION("GOOGLETRANSLATE(B284,""en"",""tr"")"),"Notunuzu buraya girin...")</f>
        <v>Notunuzu buraya girin...</v>
      </c>
      <c r="P284" s="4" t="str">
        <f>IFERROR(__xludf.DUMMYFUNCTION("GOOGLETRANSLATE(B284,""en"",""ar"")"),"أدخل ملاحظتك هنا...")</f>
        <v>أدخل ملاحظتك هنا...</v>
      </c>
      <c r="Q284" s="4" t="str">
        <f>IFERROR(__xludf.DUMMYFUNCTION("GOOGLETRANSLATE(B284,""en"",""mr"")"),"तुमची टीप इथे टाका...")</f>
        <v>तुमची टीप इथे टाका...</v>
      </c>
      <c r="R284" s="4" t="str">
        <f>IFERROR(__xludf.DUMMYFUNCTION("GOOGLETRANSLATE(B284,""en"",""gu"")"),"તમારી નોંધ અહીં દાખલ કરો...")</f>
        <v>તમારી નોંધ અહીં દાખલ કરો...</v>
      </c>
      <c r="S284" s="4" t="str">
        <f>IFERROR(__xludf.DUMMYFUNCTION("GOOGLETRANSLATE(B284,""en"",""bn"")"),"এখানে আপনার নোট লিখুন...")</f>
        <v>এখানে আপনার নোট লিখুন...</v>
      </c>
      <c r="T284" s="4" t="str">
        <f>IFERROR(__xludf.DUMMYFUNCTION("GOOGLETRANSLATE(B284,""en"",""pa"")"),"ਇੱਥੇ ਆਪਣਾ ਨੋਟ ਦਰਜ ਕਰੋ...")</f>
        <v>ਇੱਥੇ ਆਪਣਾ ਨੋਟ ਦਰਜ ਕਰੋ...</v>
      </c>
      <c r="U284" s="4" t="str">
        <f>IFERROR(__xludf.DUMMYFUNCTION("GOOGLETRANSLATE(B284,""en"",""te"")"),"మీ గమనికను ఇక్కడ నమోదు చేయండి...")</f>
        <v>మీ గమనికను ఇక్కడ నమోదు చేయండి...</v>
      </c>
      <c r="V284" s="4" t="str">
        <f>IFERROR(__xludf.DUMMYFUNCTION("GOOGLETRANSLATE(B284,""en"",""kn"")"),"ನಿಮ್ಮ ಟಿಪ್ಪಣಿಯನ್ನು ಇಲ್ಲಿ ನಮೂದಿಸಿ...")</f>
        <v>ನಿಮ್ಮ ಟಿಪ್ಪಣಿಯನ್ನು ಇಲ್ಲಿ ನಮೂದಿಸಿ...</v>
      </c>
      <c r="W284" s="4" t="str">
        <f>IFERROR(__xludf.DUMMYFUNCTION("GOOGLETRANSLATE(B284,""en"",""ml"")"),"നിങ്ങളുടെ കുറിപ്പ് ഇവിടെ നൽകുക...")</f>
        <v>നിങ്ങളുടെ കുറിപ്പ് ഇവിടെ നൽകുക...</v>
      </c>
      <c r="X284" s="4" t="str">
        <f>IFERROR(__xludf.DUMMYFUNCTION("GOOGLETRANSLATE(B284,""en"",""th"")"),"กรอกบันทึกของคุณที่นี่...")</f>
        <v>กรอกบันทึกของคุณที่นี่...</v>
      </c>
      <c r="Y284" s="4" t="str">
        <f>IFERROR(__xludf.DUMMYFUNCTION("GOOGLETRANSLATE(B284,""en"",""ko"")"),"여기에 메모를 입력하세요...")</f>
        <v>여기에 메모를 입력하세요...</v>
      </c>
      <c r="Z284" s="4" t="str">
        <f>IFERROR(__xludf.DUMMYFUNCTION("GOOGLETRANSLATE(B284,""en"",""zh"")"),"在此输入您的注释...")</f>
        <v>在此输入您的注释...</v>
      </c>
      <c r="AA284" s="4" t="str">
        <f>IFERROR(__xludf.DUMMYFUNCTION("GOOGLETRANSLATE(B284,""en"",""zh-TW"")"),"在此輸入您的註釋...")</f>
        <v>在此輸入您的註釋...</v>
      </c>
      <c r="AB284" s="4" t="str">
        <f>IFERROR(__xludf.DUMMYFUNCTION("GOOGLETRANSLATE(B284,""en"",""ja"")"),"ここにメモを入力してください...")</f>
        <v>ここにメモを入力してください...</v>
      </c>
      <c r="AC284" s="4" t="str">
        <f>IFERROR(__xludf.DUMMYFUNCTION("GOOGLETRANSLATE(B284,""en"",""bg"")"),"Въведете бележката си тук...")</f>
        <v>Въведете бележката си тук...</v>
      </c>
      <c r="AD284" s="4" t="str">
        <f>IFERROR(__xludf.DUMMYFUNCTION("GOOGLETRANSLATE(B284,""en"",""cs"")"),"Zde zadejte svou poznámku...")</f>
        <v>Zde zadejte svou poznámku...</v>
      </c>
      <c r="AE284" s="4" t="str">
        <f>IFERROR(__xludf.DUMMYFUNCTION("GOOGLETRANSLATE(B284,""en"",""da"")"),"Indtast din note her...")</f>
        <v>Indtast din note her...</v>
      </c>
      <c r="AF284" s="4" t="str">
        <f>IFERROR(__xludf.DUMMYFUNCTION("GOOGLETRANSLATE(B284,""en"",""el"")"),"Εισαγάγετε τη σημείωσή σας εδώ...")</f>
        <v>Εισαγάγετε τη σημείωσή σας εδώ...</v>
      </c>
      <c r="AG284" s="4" t="str">
        <f>IFERROR(__xludf.DUMMYFUNCTION("GOOGLETRANSLATE(B284,""en"",""et"")"),"Sisesta oma märkus siia...")</f>
        <v>Sisesta oma märkus siia...</v>
      </c>
      <c r="AH284" s="4" t="str">
        <f>IFERROR(__xludf.DUMMYFUNCTION("GOOGLETRANSLATE(B284,""en"",""fi"")"),"Kirjoita muistiinpanosi tähän...")</f>
        <v>Kirjoita muistiinpanosi tähän...</v>
      </c>
      <c r="AI284" s="4" t="str">
        <f>IFERROR(__xludf.DUMMYFUNCTION("GOOGLETRANSLATE(B284,""en"",""hr"")"),"Unesite svoju bilješku ovdje...")</f>
        <v>Unesite svoju bilješku ovdje...</v>
      </c>
      <c r="AJ284" s="4" t="str">
        <f>IFERROR(__xludf.DUMMYFUNCTION("GOOGLETRANSLATE(B284,""en"",""hu"")"),"Írja be ide a jegyzetét...")</f>
        <v>Írja be ide a jegyzetét...</v>
      </c>
      <c r="AK284" s="4" t="str">
        <f>IFERROR(__xludf.DUMMYFUNCTION("GOOGLETRANSLATE(B284,""en"",""hy"")"),"Մուտքագրեք ձեր նշումն այստեղ...")</f>
        <v>Մուտքագրեք ձեր նշումն այստեղ...</v>
      </c>
      <c r="AL284" s="4" t="str">
        <f>IFERROR(__xludf.DUMMYFUNCTION("GOOGLETRANSLATE(B284,""en"",""ca"")"),"Introdueix la teva nota aquí...")</f>
        <v>Introdueix la teva nota aquí...</v>
      </c>
      <c r="AM284" s="4" t="str">
        <f>IFERROR(__xludf.DUMMYFUNCTION("GOOGLETRANSLATE(B284,""en"",""nl"")"),"Voer hier uw opmerking in...")</f>
        <v>Voer hier uw opmerking in...</v>
      </c>
      <c r="AN284" s="4" t="str">
        <f>IFERROR(__xludf.DUMMYFUNCTION("GOOGLETRANSLATE(B284,""en"",""he"")"),"הכנס את ההערה שלך כאן...")</f>
        <v>הכנס את ההערה שלך כאן...</v>
      </c>
      <c r="AO284" s="4" t="str">
        <f>IFERROR(__xludf.DUMMYFUNCTION("GOOGLETRANSLATE(B284,""en"",""is"")"),"Sláðu inn athugasemdina þína hér...")</f>
        <v>Sláðu inn athugasemdina þína hér...</v>
      </c>
      <c r="AP284" s="4" t="str">
        <f>IFERROR(__xludf.DUMMYFUNCTION("GOOGLETRANSLATE(B284,""en"",""no"")"),"Skriv inn notatet ditt her...")</f>
        <v>Skriv inn notatet ditt her...</v>
      </c>
      <c r="AQ284" s="4" t="str">
        <f>IFERROR(__xludf.DUMMYFUNCTION("GOOGLETRANSLATE(B284,""en"",""fa"")"),"یادداشت خود را اینجا وارد کنید...")</f>
        <v>یادداشت خود را اینجا وارد کنید...</v>
      </c>
      <c r="AR284" s="4" t="str">
        <f>IFERROR(__xludf.DUMMYFUNCTION("GOOGLETRANSLATE(B284,""en"",""pl"")"),"Wpisz tutaj swoją notatkę...")</f>
        <v>Wpisz tutaj swoją notatkę...</v>
      </c>
      <c r="AS284" s="4" t="str">
        <f>IFERROR(__xludf.DUMMYFUNCTION("GOOGLETRANSLATE(B284,""en"",""sv"")"),"Ange din anteckning här...")</f>
        <v>Ange din anteckning här...</v>
      </c>
      <c r="AT284" s="4" t="str">
        <f>IFERROR(__xludf.DUMMYFUNCTION("GOOGLETRANSLATE(B284,""en"",""uk"")"),"Введіть свою нотатку тут...")</f>
        <v>Введіть свою нотатку тут...</v>
      </c>
      <c r="AU284" s="4" t="str">
        <f>IFERROR(__xludf.DUMMYFUNCTION("GOOGLETRANSLATE(B284,""en"",""zu"")"),"Faka inothi lakho lapha...")</f>
        <v>Faka inothi lakho lapha...</v>
      </c>
      <c r="AV284" s="4" t="str">
        <f>IFERROR(__xludf.DUMMYFUNCTION("GOOGLETRANSLATE(B284,""en"",""sr"")"),"Унесите своју белешку овде...")</f>
        <v>Унесите своју белешку овде...</v>
      </c>
    </row>
    <row r="285">
      <c r="A285" s="3" t="s">
        <v>585</v>
      </c>
      <c r="B285" s="3" t="s">
        <v>586</v>
      </c>
      <c r="C285" s="4" t="str">
        <f>IFERROR(__xludf.DUMMYFUNCTION("GOOGLETRANSLATE(B285,""en"",""ta"")"),"புகைப்படம் எடு")</f>
        <v>புகைப்படம் எடு</v>
      </c>
      <c r="D285" s="4" t="str">
        <f>IFERROR(__xludf.DUMMYFUNCTION("GOOGLETRANSLATE(B285,""en"",""hi"")"),"फोटो लो")</f>
        <v>फोटो लो</v>
      </c>
      <c r="E285" s="4" t="str">
        <f>IFERROR(__xludf.DUMMYFUNCTION("GOOGLETRANSLATE(B285,""en"",""id"")"),"Ambil Foto")</f>
        <v>Ambil Foto</v>
      </c>
      <c r="F285" s="4" t="str">
        <f>IFERROR(__xludf.DUMMYFUNCTION("GOOGLETRANSLATE(B285,""en"",""ms"")"),"Ambil Foto")</f>
        <v>Ambil Foto</v>
      </c>
      <c r="G285" s="4" t="str">
        <f>IFERROR(__xludf.DUMMYFUNCTION("GOOGLETRANSLATE(B285,""en"",""de"")"),"Foto aufnehmen")</f>
        <v>Foto aufnehmen</v>
      </c>
      <c r="H285" s="4" t="str">
        <f>IFERROR(__xludf.DUMMYFUNCTION("GOOGLETRANSLATE(B285,""en"",""es"")"),"Tomar foto")</f>
        <v>Tomar foto</v>
      </c>
      <c r="I285" s="4" t="str">
        <f>IFERROR(__xludf.DUMMYFUNCTION("GOOGLETRANSLATE(B285,""en"",""fr"")"),"Prendre une photo")</f>
        <v>Prendre une photo</v>
      </c>
      <c r="J285" s="4" t="str">
        <f>IFERROR(__xludf.DUMMYFUNCTION("GOOGLETRANSLATE(B285,""en"",""it"")"),"Scatta una foto")</f>
        <v>Scatta una foto</v>
      </c>
      <c r="K285" s="4" t="str">
        <f>IFERROR(__xludf.DUMMYFUNCTION("GOOGLETRANSLATE(B285,""en"",""pt"")"),"Tirar foto")</f>
        <v>Tirar foto</v>
      </c>
      <c r="L285" s="4" t="str">
        <f>IFERROR(__xludf.DUMMYFUNCTION("GOOGLETRANSLATE(B285,""en"",""ro"")"),"Faceți o fotografie")</f>
        <v>Faceți o fotografie</v>
      </c>
      <c r="M285" s="4" t="str">
        <f>IFERROR(__xludf.DUMMYFUNCTION("GOOGLETRANSLATE(B285,""en"",""vi"")"),"Chụp ảnh")</f>
        <v>Chụp ảnh</v>
      </c>
      <c r="N285" s="4" t="str">
        <f>IFERROR(__xludf.DUMMYFUNCTION("GOOGLETRANSLATE(B285,""en"",""ru"")"),"Сделать фото")</f>
        <v>Сделать фото</v>
      </c>
      <c r="O285" s="4" t="str">
        <f>IFERROR(__xludf.DUMMYFUNCTION("GOOGLETRANSLATE(B285,""en"",""tr"")"),"Fotoğraf Çek")</f>
        <v>Fotoğraf Çek</v>
      </c>
      <c r="P285" s="4" t="str">
        <f>IFERROR(__xludf.DUMMYFUNCTION("GOOGLETRANSLATE(B285,""en"",""ar"")"),"التقط صورة")</f>
        <v>التقط صورة</v>
      </c>
      <c r="Q285" s="4" t="str">
        <f>IFERROR(__xludf.DUMMYFUNCTION("GOOGLETRANSLATE(B285,""en"",""mr"")"),"फोटो घ्या")</f>
        <v>फोटो घ्या</v>
      </c>
      <c r="R285" s="4" t="str">
        <f>IFERROR(__xludf.DUMMYFUNCTION("GOOGLETRANSLATE(B285,""en"",""gu"")"),"ફોટો લો")</f>
        <v>ફોટો લો</v>
      </c>
      <c r="S285" s="4" t="str">
        <f>IFERROR(__xludf.DUMMYFUNCTION("GOOGLETRANSLATE(B285,""en"",""bn"")"),"ছবি তুলুন")</f>
        <v>ছবি তুলুন</v>
      </c>
      <c r="T285" s="4" t="str">
        <f>IFERROR(__xludf.DUMMYFUNCTION("GOOGLETRANSLATE(B285,""en"",""pa"")"),"ਫੋਟੋ ਲਓ")</f>
        <v>ਫੋਟੋ ਲਓ</v>
      </c>
      <c r="U285" s="4" t="str">
        <f>IFERROR(__xludf.DUMMYFUNCTION("GOOGLETRANSLATE(B285,""en"",""te"")"),"ఫోటో తీయండి")</f>
        <v>ఫోటో తీయండి</v>
      </c>
      <c r="V285" s="4" t="str">
        <f>IFERROR(__xludf.DUMMYFUNCTION("GOOGLETRANSLATE(B285,""en"",""kn"")"),"ಫೋಟೋ ತೆಗೆಯಿರಿ")</f>
        <v>ಫೋಟೋ ತೆಗೆಯಿರಿ</v>
      </c>
      <c r="W285" s="4" t="str">
        <f>IFERROR(__xludf.DUMMYFUNCTION("GOOGLETRANSLATE(B285,""en"",""ml"")"),"ഫോട്ടോ എടുക്കുക")</f>
        <v>ഫോട്ടോ എടുക്കുക</v>
      </c>
      <c r="X285" s="4" t="str">
        <f>IFERROR(__xludf.DUMMYFUNCTION("GOOGLETRANSLATE(B285,""en"",""th"")"),"ถ่ายรูป")</f>
        <v>ถ่ายรูป</v>
      </c>
      <c r="Y285" s="4" t="str">
        <f>IFERROR(__xludf.DUMMYFUNCTION("GOOGLETRANSLATE(B285,""en"",""ko"")"),"사진 찍기")</f>
        <v>사진 찍기</v>
      </c>
      <c r="Z285" s="4" t="str">
        <f>IFERROR(__xludf.DUMMYFUNCTION("GOOGLETRANSLATE(B285,""en"",""zh"")"),"拍照")</f>
        <v>拍照</v>
      </c>
      <c r="AA285" s="4" t="str">
        <f>IFERROR(__xludf.DUMMYFUNCTION("GOOGLETRANSLATE(B285,""en"",""zh-TW"")"),"拍照")</f>
        <v>拍照</v>
      </c>
      <c r="AB285" s="4" t="str">
        <f>IFERROR(__xludf.DUMMYFUNCTION("GOOGLETRANSLATE(B285,""en"",""ja"")"),"写真を撮る")</f>
        <v>写真を撮る</v>
      </c>
      <c r="AC285" s="4" t="str">
        <f>IFERROR(__xludf.DUMMYFUNCTION("GOOGLETRANSLATE(B285,""en"",""bg"")"),"Направете снимка")</f>
        <v>Направете снимка</v>
      </c>
      <c r="AD285" s="4" t="str">
        <f>IFERROR(__xludf.DUMMYFUNCTION("GOOGLETRANSLATE(B285,""en"",""cs"")"),"Vyfotit")</f>
        <v>Vyfotit</v>
      </c>
      <c r="AE285" s="4" t="str">
        <f>IFERROR(__xludf.DUMMYFUNCTION("GOOGLETRANSLATE(B285,""en"",""da"")"),"Tag billede")</f>
        <v>Tag billede</v>
      </c>
      <c r="AF285" s="4" t="str">
        <f>IFERROR(__xludf.DUMMYFUNCTION("GOOGLETRANSLATE(B285,""en"",""el"")"),"Τραβήξτε φωτογραφία")</f>
        <v>Τραβήξτε φωτογραφία</v>
      </c>
      <c r="AG285" s="4" t="str">
        <f>IFERROR(__xludf.DUMMYFUNCTION("GOOGLETRANSLATE(B285,""en"",""et"")"),"Pildista")</f>
        <v>Pildista</v>
      </c>
      <c r="AH285" s="4" t="str">
        <f>IFERROR(__xludf.DUMMYFUNCTION("GOOGLETRANSLATE(B285,""en"",""fi"")"),"Ota valokuva")</f>
        <v>Ota valokuva</v>
      </c>
      <c r="AI285" s="4" t="str">
        <f>IFERROR(__xludf.DUMMYFUNCTION("GOOGLETRANSLATE(B285,""en"",""hr"")"),"Fotografiraj")</f>
        <v>Fotografiraj</v>
      </c>
      <c r="AJ285" s="4" t="str">
        <f>IFERROR(__xludf.DUMMYFUNCTION("GOOGLETRANSLATE(B285,""en"",""hu"")"),"Fotó készítése")</f>
        <v>Fotó készítése</v>
      </c>
      <c r="AK285" s="4" t="str">
        <f>IFERROR(__xludf.DUMMYFUNCTION("GOOGLETRANSLATE(B285,""en"",""hy"")"),"Լուսանկարեք")</f>
        <v>Լուսանկարեք</v>
      </c>
      <c r="AL285" s="4" t="str">
        <f>IFERROR(__xludf.DUMMYFUNCTION("GOOGLETRANSLATE(B285,""en"",""ca"")"),"Fes una foto")</f>
        <v>Fes una foto</v>
      </c>
      <c r="AM285" s="4" t="str">
        <f>IFERROR(__xludf.DUMMYFUNCTION("GOOGLETRANSLATE(B285,""en"",""nl"")"),"Maak een foto")</f>
        <v>Maak een foto</v>
      </c>
      <c r="AN285" s="4" t="str">
        <f>IFERROR(__xludf.DUMMYFUNCTION("GOOGLETRANSLATE(B285,""en"",""he"")"),"צלם תמונה")</f>
        <v>צלם תמונה</v>
      </c>
      <c r="AO285" s="4" t="str">
        <f>IFERROR(__xludf.DUMMYFUNCTION("GOOGLETRANSLATE(B285,""en"",""is"")"),"Taktu mynd")</f>
        <v>Taktu mynd</v>
      </c>
      <c r="AP285" s="4" t="str">
        <f>IFERROR(__xludf.DUMMYFUNCTION("GOOGLETRANSLATE(B285,""en"",""no"")"),"Ta bilde")</f>
        <v>Ta bilde</v>
      </c>
      <c r="AQ285" s="4" t="str">
        <f>IFERROR(__xludf.DUMMYFUNCTION("GOOGLETRANSLATE(B285,""en"",""fa"")"),"عکس بگیرید")</f>
        <v>عکس بگیرید</v>
      </c>
      <c r="AR285" s="4" t="str">
        <f>IFERROR(__xludf.DUMMYFUNCTION("GOOGLETRANSLATE(B285,""en"",""pl"")"),"Zrób zdjęcie")</f>
        <v>Zrób zdjęcie</v>
      </c>
      <c r="AS285" s="4" t="str">
        <f>IFERROR(__xludf.DUMMYFUNCTION("GOOGLETRANSLATE(B285,""en"",""sv"")"),"Ta foto")</f>
        <v>Ta foto</v>
      </c>
      <c r="AT285" s="4" t="str">
        <f>IFERROR(__xludf.DUMMYFUNCTION("GOOGLETRANSLATE(B285,""en"",""uk"")"),"Зробити фото")</f>
        <v>Зробити фото</v>
      </c>
      <c r="AU285" s="4" t="str">
        <f>IFERROR(__xludf.DUMMYFUNCTION("GOOGLETRANSLATE(B285,""en"",""zu"")"),"Thatha Isithombe")</f>
        <v>Thatha Isithombe</v>
      </c>
      <c r="AV285" s="4" t="str">
        <f>IFERROR(__xludf.DUMMYFUNCTION("GOOGLETRANSLATE(B285,""en"",""sr"")"),"Снимите фотографију")</f>
        <v>Снимите фотографију</v>
      </c>
    </row>
    <row r="286">
      <c r="A286" s="3" t="s">
        <v>587</v>
      </c>
      <c r="B286" s="3" t="s">
        <v>310</v>
      </c>
      <c r="C286" s="4" t="str">
        <f>IFERROR(__xludf.DUMMYFUNCTION("GOOGLETRANSLATE(B286,""en"",""ta"")"),"தொகுப்பு")</f>
        <v>தொகுப்பு</v>
      </c>
      <c r="D286" s="4" t="str">
        <f>IFERROR(__xludf.DUMMYFUNCTION("GOOGLETRANSLATE(B286,""en"",""hi"")"),"गैलरी")</f>
        <v>गैलरी</v>
      </c>
      <c r="E286" s="4" t="str">
        <f>IFERROR(__xludf.DUMMYFUNCTION("GOOGLETRANSLATE(B286,""en"",""id"")"),"Galeri")</f>
        <v>Galeri</v>
      </c>
      <c r="F286" s="4" t="str">
        <f>IFERROR(__xludf.DUMMYFUNCTION("GOOGLETRANSLATE(B286,""en"",""ms"")"),"Galeri")</f>
        <v>Galeri</v>
      </c>
      <c r="G286" s="4" t="str">
        <f>IFERROR(__xludf.DUMMYFUNCTION("GOOGLETRANSLATE(B286,""en"",""de"")"),"Galerie")</f>
        <v>Galerie</v>
      </c>
      <c r="H286" s="4" t="str">
        <f>IFERROR(__xludf.DUMMYFUNCTION("GOOGLETRANSLATE(B286,""en"",""es"")"),"Galería")</f>
        <v>Galería</v>
      </c>
      <c r="I286" s="4" t="str">
        <f>IFERROR(__xludf.DUMMYFUNCTION("GOOGLETRANSLATE(B286,""en"",""fr"")"),"Galerie")</f>
        <v>Galerie</v>
      </c>
      <c r="J286" s="4" t="str">
        <f>IFERROR(__xludf.DUMMYFUNCTION("GOOGLETRANSLATE(B286,""en"",""it"")"),"Galleria")</f>
        <v>Galleria</v>
      </c>
      <c r="K286" s="4" t="str">
        <f>IFERROR(__xludf.DUMMYFUNCTION("GOOGLETRANSLATE(B286,""en"",""pt"")"),"Galeria")</f>
        <v>Galeria</v>
      </c>
      <c r="L286" s="4" t="str">
        <f>IFERROR(__xludf.DUMMYFUNCTION("GOOGLETRANSLATE(B286,""en"",""ro"")"),"Galerie")</f>
        <v>Galerie</v>
      </c>
      <c r="M286" s="4" t="str">
        <f>IFERROR(__xludf.DUMMYFUNCTION("GOOGLETRANSLATE(B286,""en"",""vi"")"),"Phòng trưng bày")</f>
        <v>Phòng trưng bày</v>
      </c>
      <c r="N286" s="4" t="str">
        <f>IFERROR(__xludf.DUMMYFUNCTION("GOOGLETRANSLATE(B286,""en"",""ru"")"),"Галерея")</f>
        <v>Галерея</v>
      </c>
      <c r="O286" s="4" t="str">
        <f>IFERROR(__xludf.DUMMYFUNCTION("GOOGLETRANSLATE(B286,""en"",""tr"")"),"Galeri")</f>
        <v>Galeri</v>
      </c>
      <c r="P286" s="4" t="str">
        <f>IFERROR(__xludf.DUMMYFUNCTION("GOOGLETRANSLATE(B286,""en"",""ar"")"),"معرض الصور")</f>
        <v>معرض الصور</v>
      </c>
      <c r="Q286" s="4" t="str">
        <f>IFERROR(__xludf.DUMMYFUNCTION("GOOGLETRANSLATE(B286,""en"",""mr"")"),"गॅलरी")</f>
        <v>गॅलरी</v>
      </c>
      <c r="R286" s="4" t="str">
        <f>IFERROR(__xludf.DUMMYFUNCTION("GOOGLETRANSLATE(B286,""en"",""gu"")"),"ગેલેરી")</f>
        <v>ગેલેરી</v>
      </c>
      <c r="S286" s="4" t="str">
        <f>IFERROR(__xludf.DUMMYFUNCTION("GOOGLETRANSLATE(B286,""en"",""bn"")"),"গ্যালারি")</f>
        <v>গ্যালারি</v>
      </c>
      <c r="T286" s="4" t="str">
        <f>IFERROR(__xludf.DUMMYFUNCTION("GOOGLETRANSLATE(B286,""en"",""pa"")"),"ਗੈਲਰੀ")</f>
        <v>ਗੈਲਰੀ</v>
      </c>
      <c r="U286" s="4" t="str">
        <f>IFERROR(__xludf.DUMMYFUNCTION("GOOGLETRANSLATE(B286,""en"",""te"")"),"గ్యాలరీ")</f>
        <v>గ్యాలరీ</v>
      </c>
      <c r="V286" s="4" t="str">
        <f>IFERROR(__xludf.DUMMYFUNCTION("GOOGLETRANSLATE(B286,""en"",""kn"")"),"ಗ್ಯಾಲರಿ")</f>
        <v>ಗ್ಯಾಲರಿ</v>
      </c>
      <c r="W286" s="4" t="str">
        <f>IFERROR(__xludf.DUMMYFUNCTION("GOOGLETRANSLATE(B286,""en"",""ml"")"),"ഗാലറി")</f>
        <v>ഗാലറി</v>
      </c>
      <c r="X286" s="4" t="str">
        <f>IFERROR(__xludf.DUMMYFUNCTION("GOOGLETRANSLATE(B286,""en"",""th"")"),"แกลเลอรี่")</f>
        <v>แกลเลอรี่</v>
      </c>
      <c r="Y286" s="4" t="str">
        <f>IFERROR(__xludf.DUMMYFUNCTION("GOOGLETRANSLATE(B286,""en"",""ko"")"),"갱도")</f>
        <v>갱도</v>
      </c>
      <c r="Z286" s="4" t="str">
        <f>IFERROR(__xludf.DUMMYFUNCTION("GOOGLETRANSLATE(B286,""en"",""zh"")"),"画廊")</f>
        <v>画廊</v>
      </c>
      <c r="AA286" s="4" t="str">
        <f>IFERROR(__xludf.DUMMYFUNCTION("GOOGLETRANSLATE(B286,""en"",""zh-TW"")"),"畫廊")</f>
        <v>畫廊</v>
      </c>
      <c r="AB286" s="4" t="str">
        <f>IFERROR(__xludf.DUMMYFUNCTION("GOOGLETRANSLATE(B286,""en"",""ja"")"),"ギャラリー")</f>
        <v>ギャラリー</v>
      </c>
      <c r="AC286" s="4" t="str">
        <f>IFERROR(__xludf.DUMMYFUNCTION("GOOGLETRANSLATE(B286,""en"",""bg"")"),"Галерия")</f>
        <v>Галерия</v>
      </c>
      <c r="AD286" s="4" t="str">
        <f>IFERROR(__xludf.DUMMYFUNCTION("GOOGLETRANSLATE(B286,""en"",""cs"")"),"Galerie")</f>
        <v>Galerie</v>
      </c>
      <c r="AE286" s="4" t="str">
        <f>IFERROR(__xludf.DUMMYFUNCTION("GOOGLETRANSLATE(B286,""en"",""da"")"),"Galleri")</f>
        <v>Galleri</v>
      </c>
      <c r="AF286" s="4" t="str">
        <f>IFERROR(__xludf.DUMMYFUNCTION("GOOGLETRANSLATE(B286,""en"",""el"")"),"Στοά")</f>
        <v>Στοά</v>
      </c>
      <c r="AG286" s="4" t="str">
        <f>IFERROR(__xludf.DUMMYFUNCTION("GOOGLETRANSLATE(B286,""en"",""et"")"),"Galerii")</f>
        <v>Galerii</v>
      </c>
      <c r="AH286" s="4" t="str">
        <f>IFERROR(__xludf.DUMMYFUNCTION("GOOGLETRANSLATE(B286,""en"",""fi"")"),"Galleria")</f>
        <v>Galleria</v>
      </c>
      <c r="AI286" s="4" t="str">
        <f>IFERROR(__xludf.DUMMYFUNCTION("GOOGLETRANSLATE(B286,""en"",""hr"")"),"Galerija")</f>
        <v>Galerija</v>
      </c>
      <c r="AJ286" s="4" t="str">
        <f>IFERROR(__xludf.DUMMYFUNCTION("GOOGLETRANSLATE(B286,""en"",""hu"")"),"Galéria")</f>
        <v>Galéria</v>
      </c>
      <c r="AK286" s="4" t="str">
        <f>IFERROR(__xludf.DUMMYFUNCTION("GOOGLETRANSLATE(B286,""en"",""hy"")"),"Պատկերասրահ")</f>
        <v>Պատկերասրահ</v>
      </c>
      <c r="AL286" s="4" t="str">
        <f>IFERROR(__xludf.DUMMYFUNCTION("GOOGLETRANSLATE(B286,""en"",""ca"")"),"Galeria")</f>
        <v>Galeria</v>
      </c>
      <c r="AM286" s="4" t="str">
        <f>IFERROR(__xludf.DUMMYFUNCTION("GOOGLETRANSLATE(B286,""en"",""nl"")"),"Galerij")</f>
        <v>Galerij</v>
      </c>
      <c r="AN286" s="4" t="str">
        <f>IFERROR(__xludf.DUMMYFUNCTION("GOOGLETRANSLATE(B286,""en"",""he"")"),"גָלֶרֵיָה")</f>
        <v>גָלֶרֵיָה</v>
      </c>
      <c r="AO286" s="4" t="str">
        <f>IFERROR(__xludf.DUMMYFUNCTION("GOOGLETRANSLATE(B286,""en"",""is"")"),"Gallerí")</f>
        <v>Gallerí</v>
      </c>
      <c r="AP286" s="4" t="str">
        <f>IFERROR(__xludf.DUMMYFUNCTION("GOOGLETRANSLATE(B286,""en"",""no"")"),"Galleri")</f>
        <v>Galleri</v>
      </c>
      <c r="AQ286" s="4" t="str">
        <f>IFERROR(__xludf.DUMMYFUNCTION("GOOGLETRANSLATE(B286,""en"",""fa"")"),"گالری")</f>
        <v>گالری</v>
      </c>
      <c r="AR286" s="4" t="str">
        <f>IFERROR(__xludf.DUMMYFUNCTION("GOOGLETRANSLATE(B286,""en"",""pl"")"),"Galeria")</f>
        <v>Galeria</v>
      </c>
      <c r="AS286" s="4" t="str">
        <f>IFERROR(__xludf.DUMMYFUNCTION("GOOGLETRANSLATE(B286,""en"",""sv"")"),"Galleri")</f>
        <v>Galleri</v>
      </c>
      <c r="AT286" s="4" t="str">
        <f>IFERROR(__xludf.DUMMYFUNCTION("GOOGLETRANSLATE(B286,""en"",""uk"")"),"Галерея")</f>
        <v>Галерея</v>
      </c>
      <c r="AU286" s="4" t="str">
        <f>IFERROR(__xludf.DUMMYFUNCTION("GOOGLETRANSLATE(B286,""en"",""zu"")"),"Igalari")</f>
        <v>Igalari</v>
      </c>
      <c r="AV286" s="4" t="str">
        <f>IFERROR(__xludf.DUMMYFUNCTION("GOOGLETRANSLATE(B286,""en"",""sr"")"),"Галерија")</f>
        <v>Галерија</v>
      </c>
    </row>
    <row r="287">
      <c r="A287" s="3" t="s">
        <v>588</v>
      </c>
      <c r="B287" s="3" t="s">
        <v>589</v>
      </c>
      <c r="C287" s="4" t="str">
        <f>IFERROR(__xludf.DUMMYFUNCTION("GOOGLETRANSLATE(B287,""en"",""ta"")"),"இடம்")</f>
        <v>இடம்</v>
      </c>
      <c r="D287" s="4" t="str">
        <f>IFERROR(__xludf.DUMMYFUNCTION("GOOGLETRANSLATE(B287,""en"",""hi"")"),"जगह")</f>
        <v>जगह</v>
      </c>
      <c r="E287" s="4" t="str">
        <f>IFERROR(__xludf.DUMMYFUNCTION("GOOGLETRANSLATE(B287,""en"",""id"")"),"Lokasi")</f>
        <v>Lokasi</v>
      </c>
      <c r="F287" s="4" t="str">
        <f>IFERROR(__xludf.DUMMYFUNCTION("GOOGLETRANSLATE(B287,""en"",""ms"")"),"Lokasi")</f>
        <v>Lokasi</v>
      </c>
      <c r="G287" s="4" t="str">
        <f>IFERROR(__xludf.DUMMYFUNCTION("GOOGLETRANSLATE(B287,""en"",""de"")"),"Standort")</f>
        <v>Standort</v>
      </c>
      <c r="H287" s="4" t="str">
        <f>IFERROR(__xludf.DUMMYFUNCTION("GOOGLETRANSLATE(B287,""en"",""es"")"),"Ubicación")</f>
        <v>Ubicación</v>
      </c>
      <c r="I287" s="4" t="str">
        <f>IFERROR(__xludf.DUMMYFUNCTION("GOOGLETRANSLATE(B287,""en"",""fr"")"),"Emplacement")</f>
        <v>Emplacement</v>
      </c>
      <c r="J287" s="4" t="str">
        <f>IFERROR(__xludf.DUMMYFUNCTION("GOOGLETRANSLATE(B287,""en"",""it"")"),"Posizione")</f>
        <v>Posizione</v>
      </c>
      <c r="K287" s="4" t="str">
        <f>IFERROR(__xludf.DUMMYFUNCTION("GOOGLETRANSLATE(B287,""en"",""pt"")"),"Localização")</f>
        <v>Localização</v>
      </c>
      <c r="L287" s="4" t="str">
        <f>IFERROR(__xludf.DUMMYFUNCTION("GOOGLETRANSLATE(B287,""en"",""ro"")"),"Locaţie")</f>
        <v>Locaţie</v>
      </c>
      <c r="M287" s="4" t="str">
        <f>IFERROR(__xludf.DUMMYFUNCTION("GOOGLETRANSLATE(B287,""en"",""vi"")"),"Vị trí")</f>
        <v>Vị trí</v>
      </c>
      <c r="N287" s="4" t="str">
        <f>IFERROR(__xludf.DUMMYFUNCTION("GOOGLETRANSLATE(B287,""en"",""ru"")"),"Расположение")</f>
        <v>Расположение</v>
      </c>
      <c r="O287" s="4" t="str">
        <f>IFERROR(__xludf.DUMMYFUNCTION("GOOGLETRANSLATE(B287,""en"",""tr"")"),"Konum")</f>
        <v>Konum</v>
      </c>
      <c r="P287" s="4" t="str">
        <f>IFERROR(__xludf.DUMMYFUNCTION("GOOGLETRANSLATE(B287,""en"",""ar"")"),"موقع")</f>
        <v>موقع</v>
      </c>
      <c r="Q287" s="4" t="str">
        <f>IFERROR(__xludf.DUMMYFUNCTION("GOOGLETRANSLATE(B287,""en"",""mr"")"),"स्थान")</f>
        <v>स्थान</v>
      </c>
      <c r="R287" s="4" t="str">
        <f>IFERROR(__xludf.DUMMYFUNCTION("GOOGLETRANSLATE(B287,""en"",""gu"")"),"સ્થાન")</f>
        <v>સ્થાન</v>
      </c>
      <c r="S287" s="4" t="str">
        <f>IFERROR(__xludf.DUMMYFUNCTION("GOOGLETRANSLATE(B287,""en"",""bn"")"),"অবস্থান")</f>
        <v>অবস্থান</v>
      </c>
      <c r="T287" s="4" t="str">
        <f>IFERROR(__xludf.DUMMYFUNCTION("GOOGLETRANSLATE(B287,""en"",""pa"")"),"ਟਿਕਾਣਾ")</f>
        <v>ਟਿਕਾਣਾ</v>
      </c>
      <c r="U287" s="4" t="str">
        <f>IFERROR(__xludf.DUMMYFUNCTION("GOOGLETRANSLATE(B287,""en"",""te"")"),"స్థానం")</f>
        <v>స్థానం</v>
      </c>
      <c r="V287" s="4" t="str">
        <f>IFERROR(__xludf.DUMMYFUNCTION("GOOGLETRANSLATE(B287,""en"",""kn"")"),"ಸ್ಥಳ")</f>
        <v>ಸ್ಥಳ</v>
      </c>
      <c r="W287" s="4" t="str">
        <f>IFERROR(__xludf.DUMMYFUNCTION("GOOGLETRANSLATE(B287,""en"",""ml"")"),"സ്ഥാനം")</f>
        <v>സ്ഥാനം</v>
      </c>
      <c r="X287" s="4" t="str">
        <f>IFERROR(__xludf.DUMMYFUNCTION("GOOGLETRANSLATE(B287,""en"",""th"")"),"ที่ตั้ง")</f>
        <v>ที่ตั้ง</v>
      </c>
      <c r="Y287" s="4" t="str">
        <f>IFERROR(__xludf.DUMMYFUNCTION("GOOGLETRANSLATE(B287,""en"",""ko"")"),"위치")</f>
        <v>위치</v>
      </c>
      <c r="Z287" s="4" t="str">
        <f>IFERROR(__xludf.DUMMYFUNCTION("GOOGLETRANSLATE(B287,""en"",""zh"")"),"地点")</f>
        <v>地点</v>
      </c>
      <c r="AA287" s="4" t="str">
        <f>IFERROR(__xludf.DUMMYFUNCTION("GOOGLETRANSLATE(B287,""en"",""zh-TW"")"),"地點")</f>
        <v>地點</v>
      </c>
      <c r="AB287" s="4" t="str">
        <f>IFERROR(__xludf.DUMMYFUNCTION("GOOGLETRANSLATE(B287,""en"",""ja"")"),"位置")</f>
        <v>位置</v>
      </c>
      <c r="AC287" s="4" t="str">
        <f>IFERROR(__xludf.DUMMYFUNCTION("GOOGLETRANSLATE(B287,""en"",""bg"")"),"Местоположение")</f>
        <v>Местоположение</v>
      </c>
      <c r="AD287" s="4" t="str">
        <f>IFERROR(__xludf.DUMMYFUNCTION("GOOGLETRANSLATE(B287,""en"",""cs"")"),"Umístění")</f>
        <v>Umístění</v>
      </c>
      <c r="AE287" s="4" t="str">
        <f>IFERROR(__xludf.DUMMYFUNCTION("GOOGLETRANSLATE(B287,""en"",""da"")"),"Beliggenhed")</f>
        <v>Beliggenhed</v>
      </c>
      <c r="AF287" s="4" t="str">
        <f>IFERROR(__xludf.DUMMYFUNCTION("GOOGLETRANSLATE(B287,""en"",""el"")"),"Τοποθεσία")</f>
        <v>Τοποθεσία</v>
      </c>
      <c r="AG287" s="4" t="str">
        <f>IFERROR(__xludf.DUMMYFUNCTION("GOOGLETRANSLATE(B287,""en"",""et"")"),"Asukoht")</f>
        <v>Asukoht</v>
      </c>
      <c r="AH287" s="4" t="str">
        <f>IFERROR(__xludf.DUMMYFUNCTION("GOOGLETRANSLATE(B287,""en"",""fi"")"),"Sijainti")</f>
        <v>Sijainti</v>
      </c>
      <c r="AI287" s="4" t="str">
        <f>IFERROR(__xludf.DUMMYFUNCTION("GOOGLETRANSLATE(B287,""en"",""hr"")"),"Mjesto")</f>
        <v>Mjesto</v>
      </c>
      <c r="AJ287" s="4" t="str">
        <f>IFERROR(__xludf.DUMMYFUNCTION("GOOGLETRANSLATE(B287,""en"",""hu"")"),"Elhelyezkedés")</f>
        <v>Elhelyezkedés</v>
      </c>
      <c r="AK287" s="4" t="str">
        <f>IFERROR(__xludf.DUMMYFUNCTION("GOOGLETRANSLATE(B287,""en"",""hy"")"),"Գտնվելու վայրը")</f>
        <v>Գտնվելու վայրը</v>
      </c>
      <c r="AL287" s="4" t="str">
        <f>IFERROR(__xludf.DUMMYFUNCTION("GOOGLETRANSLATE(B287,""en"",""ca"")"),"Ubicació")</f>
        <v>Ubicació</v>
      </c>
      <c r="AM287" s="4" t="str">
        <f>IFERROR(__xludf.DUMMYFUNCTION("GOOGLETRANSLATE(B287,""en"",""nl"")"),"Locatie")</f>
        <v>Locatie</v>
      </c>
      <c r="AN287" s="4" t="str">
        <f>IFERROR(__xludf.DUMMYFUNCTION("GOOGLETRANSLATE(B287,""en"",""he"")"),"מִקוּם")</f>
        <v>מִקוּם</v>
      </c>
      <c r="AO287" s="4" t="str">
        <f>IFERROR(__xludf.DUMMYFUNCTION("GOOGLETRANSLATE(B287,""en"",""is"")"),"Staðsetning")</f>
        <v>Staðsetning</v>
      </c>
      <c r="AP287" s="4" t="str">
        <f>IFERROR(__xludf.DUMMYFUNCTION("GOOGLETRANSLATE(B287,""en"",""no"")"),"Sted")</f>
        <v>Sted</v>
      </c>
      <c r="AQ287" s="4" t="str">
        <f>IFERROR(__xludf.DUMMYFUNCTION("GOOGLETRANSLATE(B287,""en"",""fa"")"),"مکان")</f>
        <v>مکان</v>
      </c>
      <c r="AR287" s="4" t="str">
        <f>IFERROR(__xludf.DUMMYFUNCTION("GOOGLETRANSLATE(B287,""en"",""pl"")"),"Lokalizacja")</f>
        <v>Lokalizacja</v>
      </c>
      <c r="AS287" s="4" t="str">
        <f>IFERROR(__xludf.DUMMYFUNCTION("GOOGLETRANSLATE(B287,""en"",""sv"")"),"Plats")</f>
        <v>Plats</v>
      </c>
      <c r="AT287" s="4" t="str">
        <f>IFERROR(__xludf.DUMMYFUNCTION("GOOGLETRANSLATE(B287,""en"",""uk"")"),"Розташування")</f>
        <v>Розташування</v>
      </c>
      <c r="AU287" s="4" t="str">
        <f>IFERROR(__xludf.DUMMYFUNCTION("GOOGLETRANSLATE(B287,""en"",""zu"")"),"Indawo")</f>
        <v>Indawo</v>
      </c>
      <c r="AV287" s="4" t="str">
        <f>IFERROR(__xludf.DUMMYFUNCTION("GOOGLETRANSLATE(B287,""en"",""sr"")"),"Локација")</f>
        <v>Локација</v>
      </c>
    </row>
    <row r="288">
      <c r="A288" s="3" t="s">
        <v>590</v>
      </c>
      <c r="B288" s="3" t="s">
        <v>591</v>
      </c>
      <c r="C288" s="4" t="str">
        <f>IFERROR(__xludf.DUMMYFUNCTION("GOOGLETRANSLATE(B288,""en"",""ta"")"),"நேரம்")</f>
        <v>நேரம்</v>
      </c>
      <c r="D288" s="4" t="str">
        <f>IFERROR(__xludf.DUMMYFUNCTION("GOOGLETRANSLATE(B288,""en"",""hi"")"),"समय")</f>
        <v>समय</v>
      </c>
      <c r="E288" s="4" t="str">
        <f>IFERROR(__xludf.DUMMYFUNCTION("GOOGLETRANSLATE(B288,""en"",""id"")"),"Waktu")</f>
        <v>Waktu</v>
      </c>
      <c r="F288" s="4" t="str">
        <f>IFERROR(__xludf.DUMMYFUNCTION("GOOGLETRANSLATE(B288,""en"",""ms"")"),"Masa")</f>
        <v>Masa</v>
      </c>
      <c r="G288" s="4" t="str">
        <f>IFERROR(__xludf.DUMMYFUNCTION("GOOGLETRANSLATE(B288,""en"",""de"")"),"Zeit")</f>
        <v>Zeit</v>
      </c>
      <c r="H288" s="4" t="str">
        <f>IFERROR(__xludf.DUMMYFUNCTION("GOOGLETRANSLATE(B288,""en"",""es"")"),"Tiempo")</f>
        <v>Tiempo</v>
      </c>
      <c r="I288" s="4" t="str">
        <f>IFERROR(__xludf.DUMMYFUNCTION("GOOGLETRANSLATE(B288,""en"",""fr"")"),"Temps")</f>
        <v>Temps</v>
      </c>
      <c r="J288" s="4" t="str">
        <f>IFERROR(__xludf.DUMMYFUNCTION("GOOGLETRANSLATE(B288,""en"",""it"")"),"Tempo")</f>
        <v>Tempo</v>
      </c>
      <c r="K288" s="4" t="str">
        <f>IFERROR(__xludf.DUMMYFUNCTION("GOOGLETRANSLATE(B288,""en"",""pt"")"),"Tempo")</f>
        <v>Tempo</v>
      </c>
      <c r="L288" s="4" t="str">
        <f>IFERROR(__xludf.DUMMYFUNCTION("GOOGLETRANSLATE(B288,""en"",""ro"")"),"Timp")</f>
        <v>Timp</v>
      </c>
      <c r="M288" s="4" t="str">
        <f>IFERROR(__xludf.DUMMYFUNCTION("GOOGLETRANSLATE(B288,""en"",""vi"")"),"Thời gian")</f>
        <v>Thời gian</v>
      </c>
      <c r="N288" s="4" t="str">
        <f>IFERROR(__xludf.DUMMYFUNCTION("GOOGLETRANSLATE(B288,""en"",""ru"")"),"Время")</f>
        <v>Время</v>
      </c>
      <c r="O288" s="4" t="str">
        <f>IFERROR(__xludf.DUMMYFUNCTION("GOOGLETRANSLATE(B288,""en"",""tr"")"),"Zaman")</f>
        <v>Zaman</v>
      </c>
      <c r="P288" s="4" t="str">
        <f>IFERROR(__xludf.DUMMYFUNCTION("GOOGLETRANSLATE(B288,""en"",""ar"")"),"وقت")</f>
        <v>وقت</v>
      </c>
      <c r="Q288" s="4" t="str">
        <f>IFERROR(__xludf.DUMMYFUNCTION("GOOGLETRANSLATE(B288,""en"",""mr"")"),"वेळ")</f>
        <v>वेळ</v>
      </c>
      <c r="R288" s="4" t="str">
        <f>IFERROR(__xludf.DUMMYFUNCTION("GOOGLETRANSLATE(B288,""en"",""gu"")"),"સમય")</f>
        <v>સમય</v>
      </c>
      <c r="S288" s="4" t="str">
        <f>IFERROR(__xludf.DUMMYFUNCTION("GOOGLETRANSLATE(B288,""en"",""bn"")"),"সময়")</f>
        <v>সময়</v>
      </c>
      <c r="T288" s="4" t="str">
        <f>IFERROR(__xludf.DUMMYFUNCTION("GOOGLETRANSLATE(B288,""en"",""pa"")"),"ਸਮਾਂ")</f>
        <v>ਸਮਾਂ</v>
      </c>
      <c r="U288" s="4" t="str">
        <f>IFERROR(__xludf.DUMMYFUNCTION("GOOGLETRANSLATE(B288,""en"",""te"")"),"సమయం")</f>
        <v>సమయం</v>
      </c>
      <c r="V288" s="4" t="str">
        <f>IFERROR(__xludf.DUMMYFUNCTION("GOOGLETRANSLATE(B288,""en"",""kn"")"),"ಸಮಯ")</f>
        <v>ಸಮಯ</v>
      </c>
      <c r="W288" s="4" t="str">
        <f>IFERROR(__xludf.DUMMYFUNCTION("GOOGLETRANSLATE(B288,""en"",""ml"")"),"സമയം")</f>
        <v>സമയം</v>
      </c>
      <c r="X288" s="4" t="str">
        <f>IFERROR(__xludf.DUMMYFUNCTION("GOOGLETRANSLATE(B288,""en"",""th"")"),"เวลา")</f>
        <v>เวลา</v>
      </c>
      <c r="Y288" s="4" t="str">
        <f>IFERROR(__xludf.DUMMYFUNCTION("GOOGLETRANSLATE(B288,""en"",""ko"")"),"시간")</f>
        <v>시간</v>
      </c>
      <c r="Z288" s="4" t="str">
        <f>IFERROR(__xludf.DUMMYFUNCTION("GOOGLETRANSLATE(B288,""en"",""zh"")"),"时间")</f>
        <v>时间</v>
      </c>
      <c r="AA288" s="4" t="str">
        <f>IFERROR(__xludf.DUMMYFUNCTION("GOOGLETRANSLATE(B288,""en"",""zh-TW"")"),"時間")</f>
        <v>時間</v>
      </c>
      <c r="AB288" s="4" t="str">
        <f>IFERROR(__xludf.DUMMYFUNCTION("GOOGLETRANSLATE(B288,""en"",""ja"")"),"時間")</f>
        <v>時間</v>
      </c>
      <c r="AC288" s="4" t="str">
        <f>IFERROR(__xludf.DUMMYFUNCTION("GOOGLETRANSLATE(B288,""en"",""bg"")"),"време")</f>
        <v>време</v>
      </c>
      <c r="AD288" s="4" t="str">
        <f>IFERROR(__xludf.DUMMYFUNCTION("GOOGLETRANSLATE(B288,""en"",""cs"")"),"Čas")</f>
        <v>Čas</v>
      </c>
      <c r="AE288" s="4" t="str">
        <f>IFERROR(__xludf.DUMMYFUNCTION("GOOGLETRANSLATE(B288,""en"",""da"")"),"Tid")</f>
        <v>Tid</v>
      </c>
      <c r="AF288" s="4" t="str">
        <f>IFERROR(__xludf.DUMMYFUNCTION("GOOGLETRANSLATE(B288,""en"",""el"")"),"Φορά")</f>
        <v>Φορά</v>
      </c>
      <c r="AG288" s="4" t="str">
        <f>IFERROR(__xludf.DUMMYFUNCTION("GOOGLETRANSLATE(B288,""en"",""et"")"),"Aeg")</f>
        <v>Aeg</v>
      </c>
      <c r="AH288" s="4" t="str">
        <f>IFERROR(__xludf.DUMMYFUNCTION("GOOGLETRANSLATE(B288,""en"",""fi"")"),"Aika")</f>
        <v>Aika</v>
      </c>
      <c r="AI288" s="4" t="str">
        <f>IFERROR(__xludf.DUMMYFUNCTION("GOOGLETRANSLATE(B288,""en"",""hr"")"),"Vrijeme")</f>
        <v>Vrijeme</v>
      </c>
      <c r="AJ288" s="4" t="str">
        <f>IFERROR(__xludf.DUMMYFUNCTION("GOOGLETRANSLATE(B288,""en"",""hu"")"),"Idő")</f>
        <v>Idő</v>
      </c>
      <c r="AK288" s="4" t="str">
        <f>IFERROR(__xludf.DUMMYFUNCTION("GOOGLETRANSLATE(B288,""en"",""hy"")"),"Ժամանակը")</f>
        <v>Ժամանակը</v>
      </c>
      <c r="AL288" s="4" t="str">
        <f>IFERROR(__xludf.DUMMYFUNCTION("GOOGLETRANSLATE(B288,""en"",""ca"")"),"Temps")</f>
        <v>Temps</v>
      </c>
      <c r="AM288" s="4" t="str">
        <f>IFERROR(__xludf.DUMMYFUNCTION("GOOGLETRANSLATE(B288,""en"",""nl"")"),"Tijd")</f>
        <v>Tijd</v>
      </c>
      <c r="AN288" s="4" t="str">
        <f>IFERROR(__xludf.DUMMYFUNCTION("GOOGLETRANSLATE(B288,""en"",""he"")"),"זְמַן")</f>
        <v>זְמַן</v>
      </c>
      <c r="AO288" s="4" t="str">
        <f>IFERROR(__xludf.DUMMYFUNCTION("GOOGLETRANSLATE(B288,""en"",""is"")"),"Tími")</f>
        <v>Tími</v>
      </c>
      <c r="AP288" s="4" t="str">
        <f>IFERROR(__xludf.DUMMYFUNCTION("GOOGLETRANSLATE(B288,""en"",""no"")"),"Tid")</f>
        <v>Tid</v>
      </c>
      <c r="AQ288" s="4" t="str">
        <f>IFERROR(__xludf.DUMMYFUNCTION("GOOGLETRANSLATE(B288,""en"",""fa"")"),"زمان")</f>
        <v>زمان</v>
      </c>
      <c r="AR288" s="4" t="str">
        <f>IFERROR(__xludf.DUMMYFUNCTION("GOOGLETRANSLATE(B288,""en"",""pl"")"),"Czas")</f>
        <v>Czas</v>
      </c>
      <c r="AS288" s="4" t="str">
        <f>IFERROR(__xludf.DUMMYFUNCTION("GOOGLETRANSLATE(B288,""en"",""sv"")"),"Tid")</f>
        <v>Tid</v>
      </c>
      <c r="AT288" s="4" t="str">
        <f>IFERROR(__xludf.DUMMYFUNCTION("GOOGLETRANSLATE(B288,""en"",""uk"")"),"час")</f>
        <v>час</v>
      </c>
      <c r="AU288" s="4" t="str">
        <f>IFERROR(__xludf.DUMMYFUNCTION("GOOGLETRANSLATE(B288,""en"",""zu"")"),"Isikhathi")</f>
        <v>Isikhathi</v>
      </c>
      <c r="AV288" s="4" t="str">
        <f>IFERROR(__xludf.DUMMYFUNCTION("GOOGLETRANSLATE(B288,""en"",""sr"")"),"Време")</f>
        <v>Време</v>
      </c>
    </row>
    <row r="289">
      <c r="A289" s="3" t="s">
        <v>592</v>
      </c>
      <c r="B289" s="3" t="s">
        <v>492</v>
      </c>
      <c r="C289" s="4" t="str">
        <f>IFERROR(__xludf.DUMMYFUNCTION("GOOGLETRANSLATE(B289,""en"",""ta"")"),"உயரம்")</f>
        <v>உயரம்</v>
      </c>
      <c r="D289" s="4" t="str">
        <f>IFERROR(__xludf.DUMMYFUNCTION("GOOGLETRANSLATE(B289,""en"",""hi"")"),"ऊंचाई")</f>
        <v>ऊंचाई</v>
      </c>
      <c r="E289" s="4" t="str">
        <f>IFERROR(__xludf.DUMMYFUNCTION("GOOGLETRANSLATE(B289,""en"",""id"")"),"Ketinggian")</f>
        <v>Ketinggian</v>
      </c>
      <c r="F289" s="4" t="str">
        <f>IFERROR(__xludf.DUMMYFUNCTION("GOOGLETRANSLATE(B289,""en"",""ms"")"),"Ketinggian")</f>
        <v>Ketinggian</v>
      </c>
      <c r="G289" s="4" t="str">
        <f>IFERROR(__xludf.DUMMYFUNCTION("GOOGLETRANSLATE(B289,""en"",""de"")"),"Höhe")</f>
        <v>Höhe</v>
      </c>
      <c r="H289" s="4" t="str">
        <f>IFERROR(__xludf.DUMMYFUNCTION("GOOGLETRANSLATE(B289,""en"",""es"")"),"Altitud")</f>
        <v>Altitud</v>
      </c>
      <c r="I289" s="4" t="str">
        <f>IFERROR(__xludf.DUMMYFUNCTION("GOOGLETRANSLATE(B289,""en"",""fr"")"),"Altitude")</f>
        <v>Altitude</v>
      </c>
      <c r="J289" s="4" t="str">
        <f>IFERROR(__xludf.DUMMYFUNCTION("GOOGLETRANSLATE(B289,""en"",""it"")"),"Altitudine")</f>
        <v>Altitudine</v>
      </c>
      <c r="K289" s="4" t="str">
        <f>IFERROR(__xludf.DUMMYFUNCTION("GOOGLETRANSLATE(B289,""en"",""pt"")"),"Altitude")</f>
        <v>Altitude</v>
      </c>
      <c r="L289" s="4" t="str">
        <f>IFERROR(__xludf.DUMMYFUNCTION("GOOGLETRANSLATE(B289,""en"",""ro"")"),"Altitudine")</f>
        <v>Altitudine</v>
      </c>
      <c r="M289" s="4" t="str">
        <f>IFERROR(__xludf.DUMMYFUNCTION("GOOGLETRANSLATE(B289,""en"",""vi"")"),"Độ cao")</f>
        <v>Độ cao</v>
      </c>
      <c r="N289" s="4" t="str">
        <f>IFERROR(__xludf.DUMMYFUNCTION("GOOGLETRANSLATE(B289,""en"",""ru"")"),"Высота")</f>
        <v>Высота</v>
      </c>
      <c r="O289" s="4" t="str">
        <f>IFERROR(__xludf.DUMMYFUNCTION("GOOGLETRANSLATE(B289,""en"",""tr"")"),"Yükseklik")</f>
        <v>Yükseklik</v>
      </c>
      <c r="P289" s="4" t="str">
        <f>IFERROR(__xludf.DUMMYFUNCTION("GOOGLETRANSLATE(B289,""en"",""ar"")"),"ارتفاع")</f>
        <v>ارتفاع</v>
      </c>
      <c r="Q289" s="4" t="str">
        <f>IFERROR(__xludf.DUMMYFUNCTION("GOOGLETRANSLATE(B289,""en"",""mr"")"),"उंची")</f>
        <v>उंची</v>
      </c>
      <c r="R289" s="4" t="str">
        <f>IFERROR(__xludf.DUMMYFUNCTION("GOOGLETRANSLATE(B289,""en"",""gu"")"),"ઊંચાઈ")</f>
        <v>ઊંચાઈ</v>
      </c>
      <c r="S289" s="4" t="str">
        <f>IFERROR(__xludf.DUMMYFUNCTION("GOOGLETRANSLATE(B289,""en"",""bn"")"),"উচ্চতা")</f>
        <v>উচ্চতা</v>
      </c>
      <c r="T289" s="4" t="str">
        <f>IFERROR(__xludf.DUMMYFUNCTION("GOOGLETRANSLATE(B289,""en"",""pa"")"),"ਉਚਾਈ")</f>
        <v>ਉਚਾਈ</v>
      </c>
      <c r="U289" s="4" t="str">
        <f>IFERROR(__xludf.DUMMYFUNCTION("GOOGLETRANSLATE(B289,""en"",""te"")"),"ఎత్తు")</f>
        <v>ఎత్తు</v>
      </c>
      <c r="V289" s="4" t="str">
        <f>IFERROR(__xludf.DUMMYFUNCTION("GOOGLETRANSLATE(B289,""en"",""kn"")"),"ಎತ್ತರ")</f>
        <v>ಎತ್ತರ</v>
      </c>
      <c r="W289" s="4" t="str">
        <f>IFERROR(__xludf.DUMMYFUNCTION("GOOGLETRANSLATE(B289,""en"",""ml"")"),"ഉയരം")</f>
        <v>ഉയരം</v>
      </c>
      <c r="X289" s="4" t="str">
        <f>IFERROR(__xludf.DUMMYFUNCTION("GOOGLETRANSLATE(B289,""en"",""th"")"),"ระดับความสูง")</f>
        <v>ระดับความสูง</v>
      </c>
      <c r="Y289" s="4" t="str">
        <f>IFERROR(__xludf.DUMMYFUNCTION("GOOGLETRANSLATE(B289,""en"",""ko"")"),"고도")</f>
        <v>고도</v>
      </c>
      <c r="Z289" s="4" t="str">
        <f>IFERROR(__xludf.DUMMYFUNCTION("GOOGLETRANSLATE(B289,""en"",""zh"")"),"高度")</f>
        <v>高度</v>
      </c>
      <c r="AA289" s="4" t="str">
        <f>IFERROR(__xludf.DUMMYFUNCTION("GOOGLETRANSLATE(B289,""en"",""zh-TW"")"),"高度")</f>
        <v>高度</v>
      </c>
      <c r="AB289" s="4" t="str">
        <f>IFERROR(__xludf.DUMMYFUNCTION("GOOGLETRANSLATE(B289,""en"",""ja"")"),"高度")</f>
        <v>高度</v>
      </c>
      <c r="AC289" s="4" t="str">
        <f>IFERROR(__xludf.DUMMYFUNCTION("GOOGLETRANSLATE(B289,""en"",""bg"")"),"Надморска височина")</f>
        <v>Надморска височина</v>
      </c>
      <c r="AD289" s="4" t="str">
        <f>IFERROR(__xludf.DUMMYFUNCTION("GOOGLETRANSLATE(B289,""en"",""cs"")"),"Nadmořská výška")</f>
        <v>Nadmořská výška</v>
      </c>
      <c r="AE289" s="4" t="str">
        <f>IFERROR(__xludf.DUMMYFUNCTION("GOOGLETRANSLATE(B289,""en"",""da"")"),"Højde")</f>
        <v>Højde</v>
      </c>
      <c r="AF289" s="4" t="str">
        <f>IFERROR(__xludf.DUMMYFUNCTION("GOOGLETRANSLATE(B289,""en"",""el"")"),"Υψόμετρο")</f>
        <v>Υψόμετρο</v>
      </c>
      <c r="AG289" s="4" t="str">
        <f>IFERROR(__xludf.DUMMYFUNCTION("GOOGLETRANSLATE(B289,""en"",""et"")"),"Kõrgus merepinnast")</f>
        <v>Kõrgus merepinnast</v>
      </c>
      <c r="AH289" s="4" t="str">
        <f>IFERROR(__xludf.DUMMYFUNCTION("GOOGLETRANSLATE(B289,""en"",""fi"")"),"Korkeus")</f>
        <v>Korkeus</v>
      </c>
      <c r="AI289" s="4" t="str">
        <f>IFERROR(__xludf.DUMMYFUNCTION("GOOGLETRANSLATE(B289,""en"",""hr"")"),"Nadmorska visina")</f>
        <v>Nadmorska visina</v>
      </c>
      <c r="AJ289" s="4" t="str">
        <f>IFERROR(__xludf.DUMMYFUNCTION("GOOGLETRANSLATE(B289,""en"",""hu"")"),"Magasság")</f>
        <v>Magasság</v>
      </c>
      <c r="AK289" s="4" t="str">
        <f>IFERROR(__xludf.DUMMYFUNCTION("GOOGLETRANSLATE(B289,""en"",""hy"")"),"Բարձրություն")</f>
        <v>Բարձրություն</v>
      </c>
      <c r="AL289" s="4" t="str">
        <f>IFERROR(__xludf.DUMMYFUNCTION("GOOGLETRANSLATE(B289,""en"",""ca"")"),"Altitud")</f>
        <v>Altitud</v>
      </c>
      <c r="AM289" s="4" t="str">
        <f>IFERROR(__xludf.DUMMYFUNCTION("GOOGLETRANSLATE(B289,""en"",""nl"")"),"Hoogte")</f>
        <v>Hoogte</v>
      </c>
      <c r="AN289" s="4" t="str">
        <f>IFERROR(__xludf.DUMMYFUNCTION("GOOGLETRANSLATE(B289,""en"",""he"")"),"גוֹבַה")</f>
        <v>גוֹבַה</v>
      </c>
      <c r="AO289" s="4" t="str">
        <f>IFERROR(__xludf.DUMMYFUNCTION("GOOGLETRANSLATE(B289,""en"",""is"")"),"Hæð")</f>
        <v>Hæð</v>
      </c>
      <c r="AP289" s="4" t="str">
        <f>IFERROR(__xludf.DUMMYFUNCTION("GOOGLETRANSLATE(B289,""en"",""no"")"),"Høyde")</f>
        <v>Høyde</v>
      </c>
      <c r="AQ289" s="4" t="str">
        <f>IFERROR(__xludf.DUMMYFUNCTION("GOOGLETRANSLATE(B289,""en"",""fa"")"),"ارتفاع")</f>
        <v>ارتفاع</v>
      </c>
      <c r="AR289" s="4" t="str">
        <f>IFERROR(__xludf.DUMMYFUNCTION("GOOGLETRANSLATE(B289,""en"",""pl"")"),"Wysokość")</f>
        <v>Wysokość</v>
      </c>
      <c r="AS289" s="4" t="str">
        <f>IFERROR(__xludf.DUMMYFUNCTION("GOOGLETRANSLATE(B289,""en"",""sv"")"),"Höjd över havet")</f>
        <v>Höjd över havet</v>
      </c>
      <c r="AT289" s="4" t="str">
        <f>IFERROR(__xludf.DUMMYFUNCTION("GOOGLETRANSLATE(B289,""en"",""uk"")"),"Висота")</f>
        <v>Висота</v>
      </c>
      <c r="AU289" s="4" t="str">
        <f>IFERROR(__xludf.DUMMYFUNCTION("GOOGLETRANSLATE(B289,""en"",""zu"")"),"Ukuphakama")</f>
        <v>Ukuphakama</v>
      </c>
      <c r="AV289" s="4" t="str">
        <f>IFERROR(__xludf.DUMMYFUNCTION("GOOGLETRANSLATE(B289,""en"",""sr"")"),"Висина")</f>
        <v>Висина</v>
      </c>
    </row>
    <row r="290">
      <c r="A290" s="3" t="s">
        <v>593</v>
      </c>
      <c r="B290" s="3" t="s">
        <v>495</v>
      </c>
      <c r="C290" s="4" t="str">
        <f>IFERROR(__xludf.DUMMYFUNCTION("GOOGLETRANSLATE(B290,""en"",""ta"")"),"தூரம்")</f>
        <v>தூரம்</v>
      </c>
      <c r="D290" s="4" t="str">
        <f>IFERROR(__xludf.DUMMYFUNCTION("GOOGLETRANSLATE(B290,""en"",""hi"")"),"दूरी")</f>
        <v>दूरी</v>
      </c>
      <c r="E290" s="4" t="str">
        <f>IFERROR(__xludf.DUMMYFUNCTION("GOOGLETRANSLATE(B290,""en"",""id"")"),"Jarak")</f>
        <v>Jarak</v>
      </c>
      <c r="F290" s="4" t="str">
        <f>IFERROR(__xludf.DUMMYFUNCTION("GOOGLETRANSLATE(B290,""en"",""ms"")"),"Jarak")</f>
        <v>Jarak</v>
      </c>
      <c r="G290" s="4" t="str">
        <f>IFERROR(__xludf.DUMMYFUNCTION("GOOGLETRANSLATE(B290,""en"",""de"")"),"Distanz")</f>
        <v>Distanz</v>
      </c>
      <c r="H290" s="4" t="str">
        <f>IFERROR(__xludf.DUMMYFUNCTION("GOOGLETRANSLATE(B290,""en"",""es"")"),"Distancia")</f>
        <v>Distancia</v>
      </c>
      <c r="I290" s="4" t="str">
        <f>IFERROR(__xludf.DUMMYFUNCTION("GOOGLETRANSLATE(B290,""en"",""fr"")"),"Distance")</f>
        <v>Distance</v>
      </c>
      <c r="J290" s="4" t="str">
        <f>IFERROR(__xludf.DUMMYFUNCTION("GOOGLETRANSLATE(B290,""en"",""it"")"),"Distanza")</f>
        <v>Distanza</v>
      </c>
      <c r="K290" s="4" t="str">
        <f>IFERROR(__xludf.DUMMYFUNCTION("GOOGLETRANSLATE(B290,""en"",""pt"")"),"Distância")</f>
        <v>Distância</v>
      </c>
      <c r="L290" s="4" t="str">
        <f>IFERROR(__xludf.DUMMYFUNCTION("GOOGLETRANSLATE(B290,""en"",""ro"")"),"Distanţă")</f>
        <v>Distanţă</v>
      </c>
      <c r="M290" s="4" t="str">
        <f>IFERROR(__xludf.DUMMYFUNCTION("GOOGLETRANSLATE(B290,""en"",""vi"")"),"Khoảng cách")</f>
        <v>Khoảng cách</v>
      </c>
      <c r="N290" s="4" t="str">
        <f>IFERROR(__xludf.DUMMYFUNCTION("GOOGLETRANSLATE(B290,""en"",""ru"")"),"Расстояние")</f>
        <v>Расстояние</v>
      </c>
      <c r="O290" s="4" t="str">
        <f>IFERROR(__xludf.DUMMYFUNCTION("GOOGLETRANSLATE(B290,""en"",""tr"")"),"Mesafe")</f>
        <v>Mesafe</v>
      </c>
      <c r="P290" s="4" t="str">
        <f>IFERROR(__xludf.DUMMYFUNCTION("GOOGLETRANSLATE(B290,""en"",""ar"")"),"مسافة")</f>
        <v>مسافة</v>
      </c>
      <c r="Q290" s="4" t="str">
        <f>IFERROR(__xludf.DUMMYFUNCTION("GOOGLETRANSLATE(B290,""en"",""mr"")"),"अंतर")</f>
        <v>अंतर</v>
      </c>
      <c r="R290" s="4" t="str">
        <f>IFERROR(__xludf.DUMMYFUNCTION("GOOGLETRANSLATE(B290,""en"",""gu"")"),"અંતર")</f>
        <v>અંતર</v>
      </c>
      <c r="S290" s="4" t="str">
        <f>IFERROR(__xludf.DUMMYFUNCTION("GOOGLETRANSLATE(B290,""en"",""bn"")"),"দূরত্ব")</f>
        <v>দূরত্ব</v>
      </c>
      <c r="T290" s="4" t="str">
        <f>IFERROR(__xludf.DUMMYFUNCTION("GOOGLETRANSLATE(B290,""en"",""pa"")"),"ਦੂਰੀ")</f>
        <v>ਦੂਰੀ</v>
      </c>
      <c r="U290" s="4" t="str">
        <f>IFERROR(__xludf.DUMMYFUNCTION("GOOGLETRANSLATE(B290,""en"",""te"")"),"దూరం")</f>
        <v>దూరం</v>
      </c>
      <c r="V290" s="4" t="str">
        <f>IFERROR(__xludf.DUMMYFUNCTION("GOOGLETRANSLATE(B290,""en"",""kn"")"),"ದೂರ")</f>
        <v>ದೂರ</v>
      </c>
      <c r="W290" s="4" t="str">
        <f>IFERROR(__xludf.DUMMYFUNCTION("GOOGLETRANSLATE(B290,""en"",""ml"")"),"ദൂരം")</f>
        <v>ദൂരം</v>
      </c>
      <c r="X290" s="4" t="str">
        <f>IFERROR(__xludf.DUMMYFUNCTION("GOOGLETRANSLATE(B290,""en"",""th"")"),"ระยะทาง")</f>
        <v>ระยะทาง</v>
      </c>
      <c r="Y290" s="4" t="str">
        <f>IFERROR(__xludf.DUMMYFUNCTION("GOOGLETRANSLATE(B290,""en"",""ko"")"),"거리")</f>
        <v>거리</v>
      </c>
      <c r="Z290" s="4" t="str">
        <f>IFERROR(__xludf.DUMMYFUNCTION("GOOGLETRANSLATE(B290,""en"",""zh"")"),"距离")</f>
        <v>距离</v>
      </c>
      <c r="AA290" s="4" t="str">
        <f>IFERROR(__xludf.DUMMYFUNCTION("GOOGLETRANSLATE(B290,""en"",""zh-TW"")"),"距離")</f>
        <v>距離</v>
      </c>
      <c r="AB290" s="4" t="str">
        <f>IFERROR(__xludf.DUMMYFUNCTION("GOOGLETRANSLATE(B290,""en"",""ja"")"),"距離")</f>
        <v>距離</v>
      </c>
      <c r="AC290" s="4" t="str">
        <f>IFERROR(__xludf.DUMMYFUNCTION("GOOGLETRANSLATE(B290,""en"",""bg"")"),"Разстояние")</f>
        <v>Разстояние</v>
      </c>
      <c r="AD290" s="4" t="str">
        <f>IFERROR(__xludf.DUMMYFUNCTION("GOOGLETRANSLATE(B290,""en"",""cs"")"),"Vzdálenost")</f>
        <v>Vzdálenost</v>
      </c>
      <c r="AE290" s="4" t="str">
        <f>IFERROR(__xludf.DUMMYFUNCTION("GOOGLETRANSLATE(B290,""en"",""da"")"),"Afstand")</f>
        <v>Afstand</v>
      </c>
      <c r="AF290" s="4" t="str">
        <f>IFERROR(__xludf.DUMMYFUNCTION("GOOGLETRANSLATE(B290,""en"",""el"")"),"Απόσταση")</f>
        <v>Απόσταση</v>
      </c>
      <c r="AG290" s="4" t="str">
        <f>IFERROR(__xludf.DUMMYFUNCTION("GOOGLETRANSLATE(B290,""en"",""et"")"),"Kaugus")</f>
        <v>Kaugus</v>
      </c>
      <c r="AH290" s="4" t="str">
        <f>IFERROR(__xludf.DUMMYFUNCTION("GOOGLETRANSLATE(B290,""en"",""fi"")"),"Etäisyys")</f>
        <v>Etäisyys</v>
      </c>
      <c r="AI290" s="4" t="str">
        <f>IFERROR(__xludf.DUMMYFUNCTION("GOOGLETRANSLATE(B290,""en"",""hr"")"),"Udaljenost")</f>
        <v>Udaljenost</v>
      </c>
      <c r="AJ290" s="4" t="str">
        <f>IFERROR(__xludf.DUMMYFUNCTION("GOOGLETRANSLATE(B290,""en"",""hu"")"),"Távolság")</f>
        <v>Távolság</v>
      </c>
      <c r="AK290" s="4" t="str">
        <f>IFERROR(__xludf.DUMMYFUNCTION("GOOGLETRANSLATE(B290,""en"",""hy"")"),"Հեռավորությունը")</f>
        <v>Հեռավորությունը</v>
      </c>
      <c r="AL290" s="4" t="str">
        <f>IFERROR(__xludf.DUMMYFUNCTION("GOOGLETRANSLATE(B290,""en"",""ca"")"),"Distància")</f>
        <v>Distància</v>
      </c>
      <c r="AM290" s="4" t="str">
        <f>IFERROR(__xludf.DUMMYFUNCTION("GOOGLETRANSLATE(B290,""en"",""nl"")"),"Afstand")</f>
        <v>Afstand</v>
      </c>
      <c r="AN290" s="4" t="str">
        <f>IFERROR(__xludf.DUMMYFUNCTION("GOOGLETRANSLATE(B290,""en"",""he"")"),"מֶרְחָק")</f>
        <v>מֶרְחָק</v>
      </c>
      <c r="AO290" s="4" t="str">
        <f>IFERROR(__xludf.DUMMYFUNCTION("GOOGLETRANSLATE(B290,""en"",""is"")"),"Fjarlægð")</f>
        <v>Fjarlægð</v>
      </c>
      <c r="AP290" s="4" t="str">
        <f>IFERROR(__xludf.DUMMYFUNCTION("GOOGLETRANSLATE(B290,""en"",""no"")"),"Avstand")</f>
        <v>Avstand</v>
      </c>
      <c r="AQ290" s="4" t="str">
        <f>IFERROR(__xludf.DUMMYFUNCTION("GOOGLETRANSLATE(B290,""en"",""fa"")"),"فاصله")</f>
        <v>فاصله</v>
      </c>
      <c r="AR290" s="4" t="str">
        <f>IFERROR(__xludf.DUMMYFUNCTION("GOOGLETRANSLATE(B290,""en"",""pl"")"),"Dystans")</f>
        <v>Dystans</v>
      </c>
      <c r="AS290" s="4" t="str">
        <f>IFERROR(__xludf.DUMMYFUNCTION("GOOGLETRANSLATE(B290,""en"",""sv"")"),"Avstånd")</f>
        <v>Avstånd</v>
      </c>
      <c r="AT290" s="4" t="str">
        <f>IFERROR(__xludf.DUMMYFUNCTION("GOOGLETRANSLATE(B290,""en"",""uk"")"),"Відстань")</f>
        <v>Відстань</v>
      </c>
      <c r="AU290" s="4" t="str">
        <f>IFERROR(__xludf.DUMMYFUNCTION("GOOGLETRANSLATE(B290,""en"",""zu"")"),"Ibanga")</f>
        <v>Ibanga</v>
      </c>
      <c r="AV290" s="4" t="str">
        <f>IFERROR(__xludf.DUMMYFUNCTION("GOOGLETRANSLATE(B290,""en"",""sr"")"),"Удаљеност")</f>
        <v>Удаљеност</v>
      </c>
    </row>
    <row r="291">
      <c r="A291" s="3" t="s">
        <v>594</v>
      </c>
      <c r="B291" s="3" t="s">
        <v>534</v>
      </c>
      <c r="C291" s="4" t="str">
        <f>IFERROR(__xludf.DUMMYFUNCTION("GOOGLETRANSLATE(B291,""en"",""ta"")"),"படிகள்")</f>
        <v>படிகள்</v>
      </c>
      <c r="D291" s="4" t="str">
        <f>IFERROR(__xludf.DUMMYFUNCTION("GOOGLETRANSLATE(B291,""en"",""hi"")"),"कदम")</f>
        <v>कदम</v>
      </c>
      <c r="E291" s="4" t="str">
        <f>IFERROR(__xludf.DUMMYFUNCTION("GOOGLETRANSLATE(B291,""en"",""id"")"),"Tangga")</f>
        <v>Tangga</v>
      </c>
      <c r="F291" s="4" t="str">
        <f>IFERROR(__xludf.DUMMYFUNCTION("GOOGLETRANSLATE(B291,""en"",""ms"")"),"Langkah")</f>
        <v>Langkah</v>
      </c>
      <c r="G291" s="4" t="str">
        <f>IFERROR(__xludf.DUMMYFUNCTION("GOOGLETRANSLATE(B291,""en"",""de"")"),"Schritte")</f>
        <v>Schritte</v>
      </c>
      <c r="H291" s="4" t="str">
        <f>IFERROR(__xludf.DUMMYFUNCTION("GOOGLETRANSLATE(B291,""en"",""es"")"),"Pasos")</f>
        <v>Pasos</v>
      </c>
      <c r="I291" s="4" t="str">
        <f>IFERROR(__xludf.DUMMYFUNCTION("GOOGLETRANSLATE(B291,""en"",""fr"")"),"Mesures")</f>
        <v>Mesures</v>
      </c>
      <c r="J291" s="4" t="str">
        <f>IFERROR(__xludf.DUMMYFUNCTION("GOOGLETRANSLATE(B291,""en"",""it"")"),"Passi")</f>
        <v>Passi</v>
      </c>
      <c r="K291" s="4" t="str">
        <f>IFERROR(__xludf.DUMMYFUNCTION("GOOGLETRANSLATE(B291,""en"",""pt"")"),"Passos")</f>
        <v>Passos</v>
      </c>
      <c r="L291" s="4" t="str">
        <f>IFERROR(__xludf.DUMMYFUNCTION("GOOGLETRANSLATE(B291,""en"",""ro"")"),"Pași")</f>
        <v>Pași</v>
      </c>
      <c r="M291" s="4" t="str">
        <f>IFERROR(__xludf.DUMMYFUNCTION("GOOGLETRANSLATE(B291,""en"",""vi"")"),"Các bước")</f>
        <v>Các bước</v>
      </c>
      <c r="N291" s="4" t="str">
        <f>IFERROR(__xludf.DUMMYFUNCTION("GOOGLETRANSLATE(B291,""en"",""ru"")"),"Шаги")</f>
        <v>Шаги</v>
      </c>
      <c r="O291" s="4" t="str">
        <f>IFERROR(__xludf.DUMMYFUNCTION("GOOGLETRANSLATE(B291,""en"",""tr"")"),"Adımlar")</f>
        <v>Adımlar</v>
      </c>
      <c r="P291" s="4" t="str">
        <f>IFERROR(__xludf.DUMMYFUNCTION("GOOGLETRANSLATE(B291,""en"",""ar"")"),"خطوات")</f>
        <v>خطوات</v>
      </c>
      <c r="Q291" s="4" t="str">
        <f>IFERROR(__xludf.DUMMYFUNCTION("GOOGLETRANSLATE(B291,""en"",""mr"")"),"पायऱ्या")</f>
        <v>पायऱ्या</v>
      </c>
      <c r="R291" s="4" t="str">
        <f>IFERROR(__xludf.DUMMYFUNCTION("GOOGLETRANSLATE(B291,""en"",""gu"")"),"પગલાં")</f>
        <v>પગલાં</v>
      </c>
      <c r="S291" s="4" t="str">
        <f>IFERROR(__xludf.DUMMYFUNCTION("GOOGLETRANSLATE(B291,""en"",""bn"")"),"ধাপ")</f>
        <v>ধাপ</v>
      </c>
      <c r="T291" s="4" t="str">
        <f>IFERROR(__xludf.DUMMYFUNCTION("GOOGLETRANSLATE(B291,""en"",""pa"")"),"ਕਦਮ")</f>
        <v>ਕਦਮ</v>
      </c>
      <c r="U291" s="4" t="str">
        <f>IFERROR(__xludf.DUMMYFUNCTION("GOOGLETRANSLATE(B291,""en"",""te"")"),"దశలు")</f>
        <v>దశలు</v>
      </c>
      <c r="V291" s="4" t="str">
        <f>IFERROR(__xludf.DUMMYFUNCTION("GOOGLETRANSLATE(B291,""en"",""kn"")"),"ಹಂತಗಳು")</f>
        <v>ಹಂತಗಳು</v>
      </c>
      <c r="W291" s="4" t="str">
        <f>IFERROR(__xludf.DUMMYFUNCTION("GOOGLETRANSLATE(B291,""en"",""ml"")"),"പടികൾ")</f>
        <v>പടികൾ</v>
      </c>
      <c r="X291" s="4" t="str">
        <f>IFERROR(__xludf.DUMMYFUNCTION("GOOGLETRANSLATE(B291,""en"",""th"")"),"ขั้นตอน")</f>
        <v>ขั้นตอน</v>
      </c>
      <c r="Y291" s="4" t="str">
        <f>IFERROR(__xludf.DUMMYFUNCTION("GOOGLETRANSLATE(B291,""en"",""ko"")"),"단계")</f>
        <v>단계</v>
      </c>
      <c r="Z291" s="4" t="str">
        <f>IFERROR(__xludf.DUMMYFUNCTION("GOOGLETRANSLATE(B291,""en"",""zh"")"),"步骤")</f>
        <v>步骤</v>
      </c>
      <c r="AA291" s="4" t="str">
        <f>IFERROR(__xludf.DUMMYFUNCTION("GOOGLETRANSLATE(B291,""en"",""zh-TW"")"),"步驟")</f>
        <v>步驟</v>
      </c>
      <c r="AB291" s="4" t="str">
        <f>IFERROR(__xludf.DUMMYFUNCTION("GOOGLETRANSLATE(B291,""en"",""ja"")"),"手順")</f>
        <v>手順</v>
      </c>
      <c r="AC291" s="4" t="str">
        <f>IFERROR(__xludf.DUMMYFUNCTION("GOOGLETRANSLATE(B291,""en"",""bg"")"),"стъпки")</f>
        <v>стъпки</v>
      </c>
      <c r="AD291" s="4" t="str">
        <f>IFERROR(__xludf.DUMMYFUNCTION("GOOGLETRANSLATE(B291,""en"",""cs"")"),"Kroky")</f>
        <v>Kroky</v>
      </c>
      <c r="AE291" s="4" t="str">
        <f>IFERROR(__xludf.DUMMYFUNCTION("GOOGLETRANSLATE(B291,""en"",""da"")"),"Trin")</f>
        <v>Trin</v>
      </c>
      <c r="AF291" s="4" t="str">
        <f>IFERROR(__xludf.DUMMYFUNCTION("GOOGLETRANSLATE(B291,""en"",""el"")"),"Βήματα")</f>
        <v>Βήματα</v>
      </c>
      <c r="AG291" s="4" t="str">
        <f>IFERROR(__xludf.DUMMYFUNCTION("GOOGLETRANSLATE(B291,""en"",""et"")"),"Sammud")</f>
        <v>Sammud</v>
      </c>
      <c r="AH291" s="4" t="str">
        <f>IFERROR(__xludf.DUMMYFUNCTION("GOOGLETRANSLATE(B291,""en"",""fi"")"),"Vaiheet")</f>
        <v>Vaiheet</v>
      </c>
      <c r="AI291" s="4" t="str">
        <f>IFERROR(__xludf.DUMMYFUNCTION("GOOGLETRANSLATE(B291,""en"",""hr"")"),"Koraci")</f>
        <v>Koraci</v>
      </c>
      <c r="AJ291" s="4" t="str">
        <f>IFERROR(__xludf.DUMMYFUNCTION("GOOGLETRANSLATE(B291,""en"",""hu"")"),"Lépések")</f>
        <v>Lépések</v>
      </c>
      <c r="AK291" s="4" t="str">
        <f>IFERROR(__xludf.DUMMYFUNCTION("GOOGLETRANSLATE(B291,""en"",""hy"")"),"Քայլեր")</f>
        <v>Քայլեր</v>
      </c>
      <c r="AL291" s="4" t="str">
        <f>IFERROR(__xludf.DUMMYFUNCTION("GOOGLETRANSLATE(B291,""en"",""ca"")"),"Passos")</f>
        <v>Passos</v>
      </c>
      <c r="AM291" s="4" t="str">
        <f>IFERROR(__xludf.DUMMYFUNCTION("GOOGLETRANSLATE(B291,""en"",""nl"")"),"Stappen")</f>
        <v>Stappen</v>
      </c>
      <c r="AN291" s="4" t="str">
        <f>IFERROR(__xludf.DUMMYFUNCTION("GOOGLETRANSLATE(B291,""en"",""he"")"),"שלבים")</f>
        <v>שלבים</v>
      </c>
      <c r="AO291" s="4" t="str">
        <f>IFERROR(__xludf.DUMMYFUNCTION("GOOGLETRANSLATE(B291,""en"",""is"")"),"Skref")</f>
        <v>Skref</v>
      </c>
      <c r="AP291" s="4" t="str">
        <f>IFERROR(__xludf.DUMMYFUNCTION("GOOGLETRANSLATE(B291,""en"",""no"")"),"Trinn")</f>
        <v>Trinn</v>
      </c>
      <c r="AQ291" s="4" t="str">
        <f>IFERROR(__xludf.DUMMYFUNCTION("GOOGLETRANSLATE(B291,""en"",""fa"")"),"مراحل")</f>
        <v>مراحل</v>
      </c>
      <c r="AR291" s="4" t="str">
        <f>IFERROR(__xludf.DUMMYFUNCTION("GOOGLETRANSLATE(B291,""en"",""pl"")"),"Kroki")</f>
        <v>Kroki</v>
      </c>
      <c r="AS291" s="4" t="str">
        <f>IFERROR(__xludf.DUMMYFUNCTION("GOOGLETRANSLATE(B291,""en"",""sv"")"),"Steg")</f>
        <v>Steg</v>
      </c>
      <c r="AT291" s="4" t="str">
        <f>IFERROR(__xludf.DUMMYFUNCTION("GOOGLETRANSLATE(B291,""en"",""uk"")"),"кроки")</f>
        <v>кроки</v>
      </c>
      <c r="AU291" s="4" t="str">
        <f>IFERROR(__xludf.DUMMYFUNCTION("GOOGLETRANSLATE(B291,""en"",""zu"")"),"Izinyathelo")</f>
        <v>Izinyathelo</v>
      </c>
      <c r="AV291" s="4" t="str">
        <f>IFERROR(__xludf.DUMMYFUNCTION("GOOGLETRANSLATE(B291,""en"",""sr"")"),"Степс")</f>
        <v>Степс</v>
      </c>
    </row>
    <row r="292">
      <c r="A292" s="3" t="s">
        <v>595</v>
      </c>
      <c r="B292" s="3" t="s">
        <v>596</v>
      </c>
      <c r="C292" s="4" t="str">
        <f>IFERROR(__xludf.DUMMYFUNCTION("GOOGLETRANSLATE(B292,""en"",""ta"")"),"கால அளவு")</f>
        <v>கால அளவு</v>
      </c>
      <c r="D292" s="4" t="str">
        <f>IFERROR(__xludf.DUMMYFUNCTION("GOOGLETRANSLATE(B292,""en"",""hi"")"),"अवधि")</f>
        <v>अवधि</v>
      </c>
      <c r="E292" s="4" t="str">
        <f>IFERROR(__xludf.DUMMYFUNCTION("GOOGLETRANSLATE(B292,""en"",""id"")"),"Lamanya")</f>
        <v>Lamanya</v>
      </c>
      <c r="F292" s="4" t="str">
        <f>IFERROR(__xludf.DUMMYFUNCTION("GOOGLETRANSLATE(B292,""en"",""ms"")"),"Tempoh")</f>
        <v>Tempoh</v>
      </c>
      <c r="G292" s="4" t="str">
        <f>IFERROR(__xludf.DUMMYFUNCTION("GOOGLETRANSLATE(B292,""en"",""de"")"),"Dauer")</f>
        <v>Dauer</v>
      </c>
      <c r="H292" s="4" t="str">
        <f>IFERROR(__xludf.DUMMYFUNCTION("GOOGLETRANSLATE(B292,""en"",""es"")"),"Duración")</f>
        <v>Duración</v>
      </c>
      <c r="I292" s="4" t="str">
        <f>IFERROR(__xludf.DUMMYFUNCTION("GOOGLETRANSLATE(B292,""en"",""fr"")"),"Durée")</f>
        <v>Durée</v>
      </c>
      <c r="J292" s="4" t="str">
        <f>IFERROR(__xludf.DUMMYFUNCTION("GOOGLETRANSLATE(B292,""en"",""it"")"),"Durata")</f>
        <v>Durata</v>
      </c>
      <c r="K292" s="4" t="str">
        <f>IFERROR(__xludf.DUMMYFUNCTION("GOOGLETRANSLATE(B292,""en"",""pt"")"),"Duração")</f>
        <v>Duração</v>
      </c>
      <c r="L292" s="4" t="str">
        <f>IFERROR(__xludf.DUMMYFUNCTION("GOOGLETRANSLATE(B292,""en"",""ro"")"),"Durată")</f>
        <v>Durată</v>
      </c>
      <c r="M292" s="4" t="str">
        <f>IFERROR(__xludf.DUMMYFUNCTION("GOOGLETRANSLATE(B292,""en"",""vi"")"),"Khoảng thời gian")</f>
        <v>Khoảng thời gian</v>
      </c>
      <c r="N292" s="4" t="str">
        <f>IFERROR(__xludf.DUMMYFUNCTION("GOOGLETRANSLATE(B292,""en"",""ru"")"),"Продолжительность")</f>
        <v>Продолжительность</v>
      </c>
      <c r="O292" s="4" t="str">
        <f>IFERROR(__xludf.DUMMYFUNCTION("GOOGLETRANSLATE(B292,""en"",""tr"")"),"Süre")</f>
        <v>Süre</v>
      </c>
      <c r="P292" s="4" t="str">
        <f>IFERROR(__xludf.DUMMYFUNCTION("GOOGLETRANSLATE(B292,""en"",""ar"")"),"مدة")</f>
        <v>مدة</v>
      </c>
      <c r="Q292" s="4" t="str">
        <f>IFERROR(__xludf.DUMMYFUNCTION("GOOGLETRANSLATE(B292,""en"",""mr"")"),"कालावधी")</f>
        <v>कालावधी</v>
      </c>
      <c r="R292" s="4" t="str">
        <f>IFERROR(__xludf.DUMMYFUNCTION("GOOGLETRANSLATE(B292,""en"",""gu"")"),"અવધિ")</f>
        <v>અવધિ</v>
      </c>
      <c r="S292" s="4" t="str">
        <f>IFERROR(__xludf.DUMMYFUNCTION("GOOGLETRANSLATE(B292,""en"",""bn"")"),"সময়কাল")</f>
        <v>সময়কাল</v>
      </c>
      <c r="T292" s="4" t="str">
        <f>IFERROR(__xludf.DUMMYFUNCTION("GOOGLETRANSLATE(B292,""en"",""pa"")"),"ਮਿਆਦ")</f>
        <v>ਮਿਆਦ</v>
      </c>
      <c r="U292" s="4" t="str">
        <f>IFERROR(__xludf.DUMMYFUNCTION("GOOGLETRANSLATE(B292,""en"",""te"")"),"వ్యవధి")</f>
        <v>వ్యవధి</v>
      </c>
      <c r="V292" s="4" t="str">
        <f>IFERROR(__xludf.DUMMYFUNCTION("GOOGLETRANSLATE(B292,""en"",""kn"")"),"ಅವಧಿ")</f>
        <v>ಅವಧಿ</v>
      </c>
      <c r="W292" s="4" t="str">
        <f>IFERROR(__xludf.DUMMYFUNCTION("GOOGLETRANSLATE(B292,""en"",""ml"")"),"ദൈർഘ്യം")</f>
        <v>ദൈർഘ്യം</v>
      </c>
      <c r="X292" s="4" t="str">
        <f>IFERROR(__xludf.DUMMYFUNCTION("GOOGLETRANSLATE(B292,""en"",""th"")"),"ระยะเวลา")</f>
        <v>ระยะเวลา</v>
      </c>
      <c r="Y292" s="4" t="str">
        <f>IFERROR(__xludf.DUMMYFUNCTION("GOOGLETRANSLATE(B292,""en"",""ko"")"),"지속")</f>
        <v>지속</v>
      </c>
      <c r="Z292" s="4" t="str">
        <f>IFERROR(__xludf.DUMMYFUNCTION("GOOGLETRANSLATE(B292,""en"",""zh"")"),"期间")</f>
        <v>期间</v>
      </c>
      <c r="AA292" s="4" t="str">
        <f>IFERROR(__xludf.DUMMYFUNCTION("GOOGLETRANSLATE(B292,""en"",""zh-TW"")"),"期間")</f>
        <v>期間</v>
      </c>
      <c r="AB292" s="4" t="str">
        <f>IFERROR(__xludf.DUMMYFUNCTION("GOOGLETRANSLATE(B292,""en"",""ja"")"),"間隔")</f>
        <v>間隔</v>
      </c>
      <c r="AC292" s="4" t="str">
        <f>IFERROR(__xludf.DUMMYFUNCTION("GOOGLETRANSLATE(B292,""en"",""bg"")"),"Продължителност")</f>
        <v>Продължителност</v>
      </c>
      <c r="AD292" s="4" t="str">
        <f>IFERROR(__xludf.DUMMYFUNCTION("GOOGLETRANSLATE(B292,""en"",""cs"")"),"Trvání")</f>
        <v>Trvání</v>
      </c>
      <c r="AE292" s="4" t="str">
        <f>IFERROR(__xludf.DUMMYFUNCTION("GOOGLETRANSLATE(B292,""en"",""da"")"),"Varighed")</f>
        <v>Varighed</v>
      </c>
      <c r="AF292" s="4" t="str">
        <f>IFERROR(__xludf.DUMMYFUNCTION("GOOGLETRANSLATE(B292,""en"",""el"")"),"Διάρκεια")</f>
        <v>Διάρκεια</v>
      </c>
      <c r="AG292" s="4" t="str">
        <f>IFERROR(__xludf.DUMMYFUNCTION("GOOGLETRANSLATE(B292,""en"",""et"")"),"Kestus")</f>
        <v>Kestus</v>
      </c>
      <c r="AH292" s="4" t="str">
        <f>IFERROR(__xludf.DUMMYFUNCTION("GOOGLETRANSLATE(B292,""en"",""fi"")"),"Kesto")</f>
        <v>Kesto</v>
      </c>
      <c r="AI292" s="4" t="str">
        <f>IFERROR(__xludf.DUMMYFUNCTION("GOOGLETRANSLATE(B292,""en"",""hr"")"),"Trajanje")</f>
        <v>Trajanje</v>
      </c>
      <c r="AJ292" s="4" t="str">
        <f>IFERROR(__xludf.DUMMYFUNCTION("GOOGLETRANSLATE(B292,""en"",""hu"")"),"Időtartam")</f>
        <v>Időtartam</v>
      </c>
      <c r="AK292" s="4" t="str">
        <f>IFERROR(__xludf.DUMMYFUNCTION("GOOGLETRANSLATE(B292,""en"",""hy"")"),"Տևողությունը")</f>
        <v>Տևողությունը</v>
      </c>
      <c r="AL292" s="4" t="str">
        <f>IFERROR(__xludf.DUMMYFUNCTION("GOOGLETRANSLATE(B292,""en"",""ca"")"),"Durada")</f>
        <v>Durada</v>
      </c>
      <c r="AM292" s="4" t="str">
        <f>IFERROR(__xludf.DUMMYFUNCTION("GOOGLETRANSLATE(B292,""en"",""nl"")"),"Duur")</f>
        <v>Duur</v>
      </c>
      <c r="AN292" s="4" t="str">
        <f>IFERROR(__xludf.DUMMYFUNCTION("GOOGLETRANSLATE(B292,""en"",""he"")"),"מֶשֶׁך")</f>
        <v>מֶשֶׁך</v>
      </c>
      <c r="AO292" s="4" t="str">
        <f>IFERROR(__xludf.DUMMYFUNCTION("GOOGLETRANSLATE(B292,""en"",""is"")"),"Lengd")</f>
        <v>Lengd</v>
      </c>
      <c r="AP292" s="4" t="str">
        <f>IFERROR(__xludf.DUMMYFUNCTION("GOOGLETRANSLATE(B292,""en"",""no"")"),"Varighet")</f>
        <v>Varighet</v>
      </c>
      <c r="AQ292" s="4" t="str">
        <f>IFERROR(__xludf.DUMMYFUNCTION("GOOGLETRANSLATE(B292,""en"",""fa"")"),"مدت زمان")</f>
        <v>مدت زمان</v>
      </c>
      <c r="AR292" s="4" t="str">
        <f>IFERROR(__xludf.DUMMYFUNCTION("GOOGLETRANSLATE(B292,""en"",""pl"")"),"Czas trwania")</f>
        <v>Czas trwania</v>
      </c>
      <c r="AS292" s="4" t="str">
        <f>IFERROR(__xludf.DUMMYFUNCTION("GOOGLETRANSLATE(B292,""en"",""sv"")"),"Varaktighet")</f>
        <v>Varaktighet</v>
      </c>
      <c r="AT292" s="4" t="str">
        <f>IFERROR(__xludf.DUMMYFUNCTION("GOOGLETRANSLATE(B292,""en"",""uk"")"),"Тривалість")</f>
        <v>Тривалість</v>
      </c>
      <c r="AU292" s="4" t="str">
        <f>IFERROR(__xludf.DUMMYFUNCTION("GOOGLETRANSLATE(B292,""en"",""zu"")"),"Ubude besikhathi")</f>
        <v>Ubude besikhathi</v>
      </c>
      <c r="AV292" s="4" t="str">
        <f>IFERROR(__xludf.DUMMYFUNCTION("GOOGLETRANSLATE(B292,""en"",""sr"")"),"Трајање")</f>
        <v>Трајање</v>
      </c>
    </row>
    <row r="293">
      <c r="A293" s="3" t="s">
        <v>597</v>
      </c>
      <c r="B293" s="3" t="s">
        <v>191</v>
      </c>
      <c r="C293" s="4" t="str">
        <f>IFERROR(__xludf.DUMMYFUNCTION("GOOGLETRANSLATE(B293,""en"",""ta"")"),"வானிலை")</f>
        <v>வானிலை</v>
      </c>
      <c r="D293" s="4" t="str">
        <f>IFERROR(__xludf.DUMMYFUNCTION("GOOGLETRANSLATE(B293,""en"",""hi"")"),"मौसम")</f>
        <v>मौसम</v>
      </c>
      <c r="E293" s="4" t="str">
        <f>IFERROR(__xludf.DUMMYFUNCTION("GOOGLETRANSLATE(B293,""en"",""id"")"),"Cuaca")</f>
        <v>Cuaca</v>
      </c>
      <c r="F293" s="4" t="str">
        <f>IFERROR(__xludf.DUMMYFUNCTION("GOOGLETRANSLATE(B293,""en"",""ms"")"),"Cuaca")</f>
        <v>Cuaca</v>
      </c>
      <c r="G293" s="4" t="str">
        <f>IFERROR(__xludf.DUMMYFUNCTION("GOOGLETRANSLATE(B293,""en"",""de"")"),"Wetter")</f>
        <v>Wetter</v>
      </c>
      <c r="H293" s="4" t="str">
        <f>IFERROR(__xludf.DUMMYFUNCTION("GOOGLETRANSLATE(B293,""en"",""es"")"),"Clima")</f>
        <v>Clima</v>
      </c>
      <c r="I293" s="4" t="str">
        <f>IFERROR(__xludf.DUMMYFUNCTION("GOOGLETRANSLATE(B293,""en"",""fr"")"),"Météo")</f>
        <v>Météo</v>
      </c>
      <c r="J293" s="4" t="str">
        <f>IFERROR(__xludf.DUMMYFUNCTION("GOOGLETRANSLATE(B293,""en"",""it"")"),"Tempo atmosferico")</f>
        <v>Tempo atmosferico</v>
      </c>
      <c r="K293" s="4" t="str">
        <f>IFERROR(__xludf.DUMMYFUNCTION("GOOGLETRANSLATE(B293,""en"",""pt"")"),"Clima")</f>
        <v>Clima</v>
      </c>
      <c r="L293" s="4" t="str">
        <f>IFERROR(__xludf.DUMMYFUNCTION("GOOGLETRANSLATE(B293,""en"",""ro"")"),"Vreme")</f>
        <v>Vreme</v>
      </c>
      <c r="M293" s="4" t="str">
        <f>IFERROR(__xludf.DUMMYFUNCTION("GOOGLETRANSLATE(B293,""en"",""vi"")"),"Thời tiết")</f>
        <v>Thời tiết</v>
      </c>
      <c r="N293" s="4" t="str">
        <f>IFERROR(__xludf.DUMMYFUNCTION("GOOGLETRANSLATE(B293,""en"",""ru"")"),"Погода")</f>
        <v>Погода</v>
      </c>
      <c r="O293" s="4" t="str">
        <f>IFERROR(__xludf.DUMMYFUNCTION("GOOGLETRANSLATE(B293,""en"",""tr"")"),"Hava durumu")</f>
        <v>Hava durumu</v>
      </c>
      <c r="P293" s="4" t="str">
        <f>IFERROR(__xludf.DUMMYFUNCTION("GOOGLETRANSLATE(B293,""en"",""ar"")"),"طقس")</f>
        <v>طقس</v>
      </c>
      <c r="Q293" s="4" t="str">
        <f>IFERROR(__xludf.DUMMYFUNCTION("GOOGLETRANSLATE(B293,""en"",""mr"")"),"हवामान")</f>
        <v>हवामान</v>
      </c>
      <c r="R293" s="4" t="str">
        <f>IFERROR(__xludf.DUMMYFUNCTION("GOOGLETRANSLATE(B293,""en"",""gu"")"),"હવામાન")</f>
        <v>હવામાન</v>
      </c>
      <c r="S293" s="4" t="str">
        <f>IFERROR(__xludf.DUMMYFUNCTION("GOOGLETRANSLATE(B293,""en"",""bn"")"),"আবহাওয়া")</f>
        <v>আবহাওয়া</v>
      </c>
      <c r="T293" s="4" t="str">
        <f>IFERROR(__xludf.DUMMYFUNCTION("GOOGLETRANSLATE(B293,""en"",""pa"")"),"ਮੌਸਮ")</f>
        <v>ਮੌਸਮ</v>
      </c>
      <c r="U293" s="4" t="str">
        <f>IFERROR(__xludf.DUMMYFUNCTION("GOOGLETRANSLATE(B293,""en"",""te"")"),"వాతావరణం")</f>
        <v>వాతావరణం</v>
      </c>
      <c r="V293" s="4" t="str">
        <f>IFERROR(__xludf.DUMMYFUNCTION("GOOGLETRANSLATE(B293,""en"",""kn"")"),"ಹವಾಮಾನ")</f>
        <v>ಹವಾಮಾನ</v>
      </c>
      <c r="W293" s="4" t="str">
        <f>IFERROR(__xludf.DUMMYFUNCTION("GOOGLETRANSLATE(B293,""en"",""ml"")"),"കാലാവസ്ഥ")</f>
        <v>കാലാവസ്ഥ</v>
      </c>
      <c r="X293" s="4" t="str">
        <f>IFERROR(__xludf.DUMMYFUNCTION("GOOGLETRANSLATE(B293,""en"",""th"")"),"สภาพอากาศ")</f>
        <v>สภาพอากาศ</v>
      </c>
      <c r="Y293" s="4" t="str">
        <f>IFERROR(__xludf.DUMMYFUNCTION("GOOGLETRANSLATE(B293,""en"",""ko"")"),"날씨")</f>
        <v>날씨</v>
      </c>
      <c r="Z293" s="4" t="str">
        <f>IFERROR(__xludf.DUMMYFUNCTION("GOOGLETRANSLATE(B293,""en"",""zh"")"),"天气")</f>
        <v>天气</v>
      </c>
      <c r="AA293" s="4" t="str">
        <f>IFERROR(__xludf.DUMMYFUNCTION("GOOGLETRANSLATE(B293,""en"",""zh-TW"")"),"天氣")</f>
        <v>天氣</v>
      </c>
      <c r="AB293" s="4" t="str">
        <f>IFERROR(__xludf.DUMMYFUNCTION("GOOGLETRANSLATE(B293,""en"",""ja"")"),"天気")</f>
        <v>天気</v>
      </c>
      <c r="AC293" s="4" t="str">
        <f>IFERROR(__xludf.DUMMYFUNCTION("GOOGLETRANSLATE(B293,""en"",""bg"")"),"Времето")</f>
        <v>Времето</v>
      </c>
      <c r="AD293" s="4" t="str">
        <f>IFERROR(__xludf.DUMMYFUNCTION("GOOGLETRANSLATE(B293,""en"",""cs"")"),"Počasí")</f>
        <v>Počasí</v>
      </c>
      <c r="AE293" s="4" t="str">
        <f>IFERROR(__xludf.DUMMYFUNCTION("GOOGLETRANSLATE(B293,""en"",""da"")"),"Vejr")</f>
        <v>Vejr</v>
      </c>
      <c r="AF293" s="4" t="str">
        <f>IFERROR(__xludf.DUMMYFUNCTION("GOOGLETRANSLATE(B293,""en"",""el"")"),"Καιρός")</f>
        <v>Καιρός</v>
      </c>
      <c r="AG293" s="4" t="str">
        <f>IFERROR(__xludf.DUMMYFUNCTION("GOOGLETRANSLATE(B293,""en"",""et"")"),"Ilm")</f>
        <v>Ilm</v>
      </c>
      <c r="AH293" s="4" t="str">
        <f>IFERROR(__xludf.DUMMYFUNCTION("GOOGLETRANSLATE(B293,""en"",""fi"")"),"Sää")</f>
        <v>Sää</v>
      </c>
      <c r="AI293" s="4" t="str">
        <f>IFERROR(__xludf.DUMMYFUNCTION("GOOGLETRANSLATE(B293,""en"",""hr"")"),"Vrijeme")</f>
        <v>Vrijeme</v>
      </c>
      <c r="AJ293" s="4" t="str">
        <f>IFERROR(__xludf.DUMMYFUNCTION("GOOGLETRANSLATE(B293,""en"",""hu"")"),"Időjárás")</f>
        <v>Időjárás</v>
      </c>
      <c r="AK293" s="4" t="str">
        <f>IFERROR(__xludf.DUMMYFUNCTION("GOOGLETRANSLATE(B293,""en"",""hy"")"),"Եղանակ")</f>
        <v>Եղանակ</v>
      </c>
      <c r="AL293" s="4" t="str">
        <f>IFERROR(__xludf.DUMMYFUNCTION("GOOGLETRANSLATE(B293,""en"",""ca"")"),"El temps")</f>
        <v>El temps</v>
      </c>
      <c r="AM293" s="4" t="str">
        <f>IFERROR(__xludf.DUMMYFUNCTION("GOOGLETRANSLATE(B293,""en"",""nl"")"),"Weer")</f>
        <v>Weer</v>
      </c>
      <c r="AN293" s="4" t="str">
        <f>IFERROR(__xludf.DUMMYFUNCTION("GOOGLETRANSLATE(B293,""en"",""he"")"),"מֶזֶג אֲוִיר")</f>
        <v>מֶזֶג אֲוִיר</v>
      </c>
      <c r="AO293" s="4" t="str">
        <f>IFERROR(__xludf.DUMMYFUNCTION("GOOGLETRANSLATE(B293,""en"",""is"")"),"Veður")</f>
        <v>Veður</v>
      </c>
      <c r="AP293" s="4" t="str">
        <f>IFERROR(__xludf.DUMMYFUNCTION("GOOGLETRANSLATE(B293,""en"",""no"")"),"Vær")</f>
        <v>Vær</v>
      </c>
      <c r="AQ293" s="4" t="str">
        <f>IFERROR(__xludf.DUMMYFUNCTION("GOOGLETRANSLATE(B293,""en"",""fa"")"),"آب و هوا")</f>
        <v>آب و هوا</v>
      </c>
      <c r="AR293" s="4" t="str">
        <f>IFERROR(__xludf.DUMMYFUNCTION("GOOGLETRANSLATE(B293,""en"",""pl"")"),"Pogoda")</f>
        <v>Pogoda</v>
      </c>
      <c r="AS293" s="4" t="str">
        <f>IFERROR(__xludf.DUMMYFUNCTION("GOOGLETRANSLATE(B293,""en"",""sv"")"),"Väder")</f>
        <v>Väder</v>
      </c>
      <c r="AT293" s="4" t="str">
        <f>IFERROR(__xludf.DUMMYFUNCTION("GOOGLETRANSLATE(B293,""en"",""uk"")"),"Погода")</f>
        <v>Погода</v>
      </c>
      <c r="AU293" s="4" t="str">
        <f>IFERROR(__xludf.DUMMYFUNCTION("GOOGLETRANSLATE(B293,""en"",""zu"")"),"Isimo sezulu")</f>
        <v>Isimo sezulu</v>
      </c>
      <c r="AV293" s="4" t="str">
        <f>IFERROR(__xludf.DUMMYFUNCTION("GOOGLETRANSLATE(B293,""en"",""sr"")"),"Време")</f>
        <v>Време</v>
      </c>
    </row>
    <row r="294">
      <c r="A294" s="3" t="s">
        <v>598</v>
      </c>
      <c r="B294" s="3" t="s">
        <v>599</v>
      </c>
      <c r="C294" s="4" t="str">
        <f>IFERROR(__xludf.DUMMYFUNCTION("GOOGLETRANSLATE(B294,""en"",""ta"")"),"வெப்பநிலை")</f>
        <v>வெப்பநிலை</v>
      </c>
      <c r="D294" s="4" t="str">
        <f>IFERROR(__xludf.DUMMYFUNCTION("GOOGLETRANSLATE(B294,""en"",""hi"")"),"तापमान")</f>
        <v>तापमान</v>
      </c>
      <c r="E294" s="4" t="str">
        <f>IFERROR(__xludf.DUMMYFUNCTION("GOOGLETRANSLATE(B294,""en"",""id"")"),"Suhu")</f>
        <v>Suhu</v>
      </c>
      <c r="F294" s="4" t="str">
        <f>IFERROR(__xludf.DUMMYFUNCTION("GOOGLETRANSLATE(B294,""en"",""ms"")"),"Suhu")</f>
        <v>Suhu</v>
      </c>
      <c r="G294" s="4" t="str">
        <f>IFERROR(__xludf.DUMMYFUNCTION("GOOGLETRANSLATE(B294,""en"",""de"")"),"Temperatur")</f>
        <v>Temperatur</v>
      </c>
      <c r="H294" s="4" t="str">
        <f>IFERROR(__xludf.DUMMYFUNCTION("GOOGLETRANSLATE(B294,""en"",""es"")"),"Temperatura")</f>
        <v>Temperatura</v>
      </c>
      <c r="I294" s="4" t="str">
        <f>IFERROR(__xludf.DUMMYFUNCTION("GOOGLETRANSLATE(B294,""en"",""fr"")"),"Température")</f>
        <v>Température</v>
      </c>
      <c r="J294" s="4" t="str">
        <f>IFERROR(__xludf.DUMMYFUNCTION("GOOGLETRANSLATE(B294,""en"",""it"")"),"Temperatura")</f>
        <v>Temperatura</v>
      </c>
      <c r="K294" s="4" t="str">
        <f>IFERROR(__xludf.DUMMYFUNCTION("GOOGLETRANSLATE(B294,""en"",""pt"")"),"Temperatura")</f>
        <v>Temperatura</v>
      </c>
      <c r="L294" s="4" t="str">
        <f>IFERROR(__xludf.DUMMYFUNCTION("GOOGLETRANSLATE(B294,""en"",""ro"")"),"Temperatură")</f>
        <v>Temperatură</v>
      </c>
      <c r="M294" s="4" t="str">
        <f>IFERROR(__xludf.DUMMYFUNCTION("GOOGLETRANSLATE(B294,""en"",""vi"")"),"Nhiệt độ")</f>
        <v>Nhiệt độ</v>
      </c>
      <c r="N294" s="4" t="str">
        <f>IFERROR(__xludf.DUMMYFUNCTION("GOOGLETRANSLATE(B294,""en"",""ru"")"),"Температура")</f>
        <v>Температура</v>
      </c>
      <c r="O294" s="4" t="str">
        <f>IFERROR(__xludf.DUMMYFUNCTION("GOOGLETRANSLATE(B294,""en"",""tr"")"),"Sıcaklık")</f>
        <v>Sıcaklık</v>
      </c>
      <c r="P294" s="4" t="str">
        <f>IFERROR(__xludf.DUMMYFUNCTION("GOOGLETRANSLATE(B294,""en"",""ar"")"),"درجة حرارة")</f>
        <v>درجة حرارة</v>
      </c>
      <c r="Q294" s="4" t="str">
        <f>IFERROR(__xludf.DUMMYFUNCTION("GOOGLETRANSLATE(B294,""en"",""mr"")"),"तापमान")</f>
        <v>तापमान</v>
      </c>
      <c r="R294" s="4" t="str">
        <f>IFERROR(__xludf.DUMMYFUNCTION("GOOGLETRANSLATE(B294,""en"",""gu"")"),"તાપમાન")</f>
        <v>તાપમાન</v>
      </c>
      <c r="S294" s="4" t="str">
        <f>IFERROR(__xludf.DUMMYFUNCTION("GOOGLETRANSLATE(B294,""en"",""bn"")"),"তাপমাত্রা")</f>
        <v>তাপমাত্রা</v>
      </c>
      <c r="T294" s="4" t="str">
        <f>IFERROR(__xludf.DUMMYFUNCTION("GOOGLETRANSLATE(B294,""en"",""pa"")"),"ਤਾਪਮਾਨ")</f>
        <v>ਤਾਪਮਾਨ</v>
      </c>
      <c r="U294" s="4" t="str">
        <f>IFERROR(__xludf.DUMMYFUNCTION("GOOGLETRANSLATE(B294,""en"",""te"")"),"ఉష్ణోగ్రత")</f>
        <v>ఉష్ణోగ్రత</v>
      </c>
      <c r="V294" s="4" t="str">
        <f>IFERROR(__xludf.DUMMYFUNCTION("GOOGLETRANSLATE(B294,""en"",""kn"")"),"ತಾಪಮಾನ")</f>
        <v>ತಾಪಮಾನ</v>
      </c>
      <c r="W294" s="4" t="str">
        <f>IFERROR(__xludf.DUMMYFUNCTION("GOOGLETRANSLATE(B294,""en"",""ml"")"),"താപനില")</f>
        <v>താപനില</v>
      </c>
      <c r="X294" s="4" t="str">
        <f>IFERROR(__xludf.DUMMYFUNCTION("GOOGLETRANSLATE(B294,""en"",""th"")"),"อุณหภูมิ")</f>
        <v>อุณหภูมิ</v>
      </c>
      <c r="Y294" s="4" t="str">
        <f>IFERROR(__xludf.DUMMYFUNCTION("GOOGLETRANSLATE(B294,""en"",""ko"")"),"온도")</f>
        <v>온도</v>
      </c>
      <c r="Z294" s="4" t="str">
        <f>IFERROR(__xludf.DUMMYFUNCTION("GOOGLETRANSLATE(B294,""en"",""zh"")"),"温度")</f>
        <v>温度</v>
      </c>
      <c r="AA294" s="4" t="str">
        <f>IFERROR(__xludf.DUMMYFUNCTION("GOOGLETRANSLATE(B294,""en"",""zh-TW"")"),"溫度")</f>
        <v>溫度</v>
      </c>
      <c r="AB294" s="4" t="str">
        <f>IFERROR(__xludf.DUMMYFUNCTION("GOOGLETRANSLATE(B294,""en"",""ja"")"),"温度")</f>
        <v>温度</v>
      </c>
      <c r="AC294" s="4" t="str">
        <f>IFERROR(__xludf.DUMMYFUNCTION("GOOGLETRANSLATE(B294,""en"",""bg"")"),"температура")</f>
        <v>температура</v>
      </c>
      <c r="AD294" s="4" t="str">
        <f>IFERROR(__xludf.DUMMYFUNCTION("GOOGLETRANSLATE(B294,""en"",""cs"")"),"Teplota")</f>
        <v>Teplota</v>
      </c>
      <c r="AE294" s="4" t="str">
        <f>IFERROR(__xludf.DUMMYFUNCTION("GOOGLETRANSLATE(B294,""en"",""da"")"),"Temperatur")</f>
        <v>Temperatur</v>
      </c>
      <c r="AF294" s="4" t="str">
        <f>IFERROR(__xludf.DUMMYFUNCTION("GOOGLETRANSLATE(B294,""en"",""el"")"),"Θερμοκρασία")</f>
        <v>Θερμοκρασία</v>
      </c>
      <c r="AG294" s="4" t="str">
        <f>IFERROR(__xludf.DUMMYFUNCTION("GOOGLETRANSLATE(B294,""en"",""et"")"),"Temperatuur")</f>
        <v>Temperatuur</v>
      </c>
      <c r="AH294" s="4" t="str">
        <f>IFERROR(__xludf.DUMMYFUNCTION("GOOGLETRANSLATE(B294,""en"",""fi"")"),"Lämpötila")</f>
        <v>Lämpötila</v>
      </c>
      <c r="AI294" s="4" t="str">
        <f>IFERROR(__xludf.DUMMYFUNCTION("GOOGLETRANSLATE(B294,""en"",""hr"")"),"Temperatura")</f>
        <v>Temperatura</v>
      </c>
      <c r="AJ294" s="4" t="str">
        <f>IFERROR(__xludf.DUMMYFUNCTION("GOOGLETRANSLATE(B294,""en"",""hu"")"),"Hőmérséklet")</f>
        <v>Hőmérséklet</v>
      </c>
      <c r="AK294" s="4" t="str">
        <f>IFERROR(__xludf.DUMMYFUNCTION("GOOGLETRANSLATE(B294,""en"",""hy"")"),"Ջերմաստիճանը")</f>
        <v>Ջերմաստիճանը</v>
      </c>
      <c r="AL294" s="4" t="str">
        <f>IFERROR(__xludf.DUMMYFUNCTION("GOOGLETRANSLATE(B294,""en"",""ca"")"),"Temperatura")</f>
        <v>Temperatura</v>
      </c>
      <c r="AM294" s="4" t="str">
        <f>IFERROR(__xludf.DUMMYFUNCTION("GOOGLETRANSLATE(B294,""en"",""nl"")"),"Temperatuur")</f>
        <v>Temperatuur</v>
      </c>
      <c r="AN294" s="4" t="str">
        <f>IFERROR(__xludf.DUMMYFUNCTION("GOOGLETRANSLATE(B294,""en"",""he"")"),"טֶמפֶּרָטוּרָה")</f>
        <v>טֶמפֶּרָטוּרָה</v>
      </c>
      <c r="AO294" s="4" t="str">
        <f>IFERROR(__xludf.DUMMYFUNCTION("GOOGLETRANSLATE(B294,""en"",""is"")"),"Hitastig")</f>
        <v>Hitastig</v>
      </c>
      <c r="AP294" s="4" t="str">
        <f>IFERROR(__xludf.DUMMYFUNCTION("GOOGLETRANSLATE(B294,""en"",""no"")"),"Temperatur")</f>
        <v>Temperatur</v>
      </c>
      <c r="AQ294" s="4" t="str">
        <f>IFERROR(__xludf.DUMMYFUNCTION("GOOGLETRANSLATE(B294,""en"",""fa"")"),"دما")</f>
        <v>دما</v>
      </c>
      <c r="AR294" s="4" t="str">
        <f>IFERROR(__xludf.DUMMYFUNCTION("GOOGLETRANSLATE(B294,""en"",""pl"")"),"Temperatura")</f>
        <v>Temperatura</v>
      </c>
      <c r="AS294" s="4" t="str">
        <f>IFERROR(__xludf.DUMMYFUNCTION("GOOGLETRANSLATE(B294,""en"",""sv"")"),"Temperatur")</f>
        <v>Temperatur</v>
      </c>
      <c r="AT294" s="4" t="str">
        <f>IFERROR(__xludf.DUMMYFUNCTION("GOOGLETRANSLATE(B294,""en"",""uk"")"),"температура")</f>
        <v>температура</v>
      </c>
      <c r="AU294" s="4" t="str">
        <f>IFERROR(__xludf.DUMMYFUNCTION("GOOGLETRANSLATE(B294,""en"",""zu"")"),"Izinga lokushisa")</f>
        <v>Izinga lokushisa</v>
      </c>
      <c r="AV294" s="4" t="str">
        <f>IFERROR(__xludf.DUMMYFUNCTION("GOOGLETRANSLATE(B294,""en"",""sr"")"),"Температура")</f>
        <v>Температура</v>
      </c>
    </row>
    <row r="295">
      <c r="A295" s="3" t="s">
        <v>600</v>
      </c>
      <c r="B295" s="3" t="s">
        <v>601</v>
      </c>
      <c r="C295" s="4" t="str">
        <f>IFERROR(__xludf.DUMMYFUNCTION("GOOGLETRANSLATE(B295,""en"",""ta"")"),"ஈரப்பதம்")</f>
        <v>ஈரப்பதம்</v>
      </c>
      <c r="D295" s="4" t="str">
        <f>IFERROR(__xludf.DUMMYFUNCTION("GOOGLETRANSLATE(B295,""en"",""hi"")"),"नमी")</f>
        <v>नमी</v>
      </c>
      <c r="E295" s="4" t="str">
        <f>IFERROR(__xludf.DUMMYFUNCTION("GOOGLETRANSLATE(B295,""en"",""id"")"),"Kelembaban")</f>
        <v>Kelembaban</v>
      </c>
      <c r="F295" s="4" t="str">
        <f>IFERROR(__xludf.DUMMYFUNCTION("GOOGLETRANSLATE(B295,""en"",""ms"")"),"Kelembapan")</f>
        <v>Kelembapan</v>
      </c>
      <c r="G295" s="4" t="str">
        <f>IFERROR(__xludf.DUMMYFUNCTION("GOOGLETRANSLATE(B295,""en"",""de"")"),"Luftfeuchtigkeit")</f>
        <v>Luftfeuchtigkeit</v>
      </c>
      <c r="H295" s="4" t="str">
        <f>IFERROR(__xludf.DUMMYFUNCTION("GOOGLETRANSLATE(B295,""en"",""es"")"),"Humedad")</f>
        <v>Humedad</v>
      </c>
      <c r="I295" s="4" t="str">
        <f>IFERROR(__xludf.DUMMYFUNCTION("GOOGLETRANSLATE(B295,""en"",""fr"")"),"Humidité")</f>
        <v>Humidité</v>
      </c>
      <c r="J295" s="4" t="str">
        <f>IFERROR(__xludf.DUMMYFUNCTION("GOOGLETRANSLATE(B295,""en"",""it"")"),"Umidità")</f>
        <v>Umidità</v>
      </c>
      <c r="K295" s="4" t="str">
        <f>IFERROR(__xludf.DUMMYFUNCTION("GOOGLETRANSLATE(B295,""en"",""pt"")"),"Umidade")</f>
        <v>Umidade</v>
      </c>
      <c r="L295" s="4" t="str">
        <f>IFERROR(__xludf.DUMMYFUNCTION("GOOGLETRANSLATE(B295,""en"",""ro"")"),"Umiditate")</f>
        <v>Umiditate</v>
      </c>
      <c r="M295" s="4" t="str">
        <f>IFERROR(__xludf.DUMMYFUNCTION("GOOGLETRANSLATE(B295,""en"",""vi"")"),"Độ ẩm")</f>
        <v>Độ ẩm</v>
      </c>
      <c r="N295" s="4" t="str">
        <f>IFERROR(__xludf.DUMMYFUNCTION("GOOGLETRANSLATE(B295,""en"",""ru"")"),"Влажность")</f>
        <v>Влажность</v>
      </c>
      <c r="O295" s="4" t="str">
        <f>IFERROR(__xludf.DUMMYFUNCTION("GOOGLETRANSLATE(B295,""en"",""tr"")"),"Nem")</f>
        <v>Nem</v>
      </c>
      <c r="P295" s="4" t="str">
        <f>IFERROR(__xludf.DUMMYFUNCTION("GOOGLETRANSLATE(B295,""en"",""ar"")"),"رطوبة")</f>
        <v>رطوبة</v>
      </c>
      <c r="Q295" s="4" t="str">
        <f>IFERROR(__xludf.DUMMYFUNCTION("GOOGLETRANSLATE(B295,""en"",""mr"")"),"आर्द्रता")</f>
        <v>आर्द्रता</v>
      </c>
      <c r="R295" s="4" t="str">
        <f>IFERROR(__xludf.DUMMYFUNCTION("GOOGLETRANSLATE(B295,""en"",""gu"")"),"ભેજ")</f>
        <v>ભેજ</v>
      </c>
      <c r="S295" s="4" t="str">
        <f>IFERROR(__xludf.DUMMYFUNCTION("GOOGLETRANSLATE(B295,""en"",""bn"")"),"আর্দ্রতা")</f>
        <v>আর্দ্রতা</v>
      </c>
      <c r="T295" s="4" t="str">
        <f>IFERROR(__xludf.DUMMYFUNCTION("GOOGLETRANSLATE(B295,""en"",""pa"")"),"ਨਮੀ")</f>
        <v>ਨਮੀ</v>
      </c>
      <c r="U295" s="4" t="str">
        <f>IFERROR(__xludf.DUMMYFUNCTION("GOOGLETRANSLATE(B295,""en"",""te"")"),"తేమ")</f>
        <v>తేమ</v>
      </c>
      <c r="V295" s="4" t="str">
        <f>IFERROR(__xludf.DUMMYFUNCTION("GOOGLETRANSLATE(B295,""en"",""kn"")"),"ಆರ್ದ್ರತೆ")</f>
        <v>ಆರ್ದ್ರತೆ</v>
      </c>
      <c r="W295" s="4" t="str">
        <f>IFERROR(__xludf.DUMMYFUNCTION("GOOGLETRANSLATE(B295,""en"",""ml"")"),"ഈർപ്പം")</f>
        <v>ഈർപ്പം</v>
      </c>
      <c r="X295" s="4" t="str">
        <f>IFERROR(__xludf.DUMMYFUNCTION("GOOGLETRANSLATE(B295,""en"",""th"")"),"ความชื้น")</f>
        <v>ความชื้น</v>
      </c>
      <c r="Y295" s="4" t="str">
        <f>IFERROR(__xludf.DUMMYFUNCTION("GOOGLETRANSLATE(B295,""en"",""ko"")"),"습기")</f>
        <v>습기</v>
      </c>
      <c r="Z295" s="4" t="str">
        <f>IFERROR(__xludf.DUMMYFUNCTION("GOOGLETRANSLATE(B295,""en"",""zh"")"),"湿度")</f>
        <v>湿度</v>
      </c>
      <c r="AA295" s="4" t="str">
        <f>IFERROR(__xludf.DUMMYFUNCTION("GOOGLETRANSLATE(B295,""en"",""zh-TW"")"),"濕度")</f>
        <v>濕度</v>
      </c>
      <c r="AB295" s="4" t="str">
        <f>IFERROR(__xludf.DUMMYFUNCTION("GOOGLETRANSLATE(B295,""en"",""ja"")"),"湿度")</f>
        <v>湿度</v>
      </c>
      <c r="AC295" s="4" t="str">
        <f>IFERROR(__xludf.DUMMYFUNCTION("GOOGLETRANSLATE(B295,""en"",""bg"")"),"Влажност")</f>
        <v>Влажност</v>
      </c>
      <c r="AD295" s="4" t="str">
        <f>IFERROR(__xludf.DUMMYFUNCTION("GOOGLETRANSLATE(B295,""en"",""cs"")"),"Vlhkost")</f>
        <v>Vlhkost</v>
      </c>
      <c r="AE295" s="4" t="str">
        <f>IFERROR(__xludf.DUMMYFUNCTION("GOOGLETRANSLATE(B295,""en"",""da"")"),"Fugtighed")</f>
        <v>Fugtighed</v>
      </c>
      <c r="AF295" s="4" t="str">
        <f>IFERROR(__xludf.DUMMYFUNCTION("GOOGLETRANSLATE(B295,""en"",""el"")"),"Υγρασία")</f>
        <v>Υγρασία</v>
      </c>
      <c r="AG295" s="4" t="str">
        <f>IFERROR(__xludf.DUMMYFUNCTION("GOOGLETRANSLATE(B295,""en"",""et"")"),"Niiskus")</f>
        <v>Niiskus</v>
      </c>
      <c r="AH295" s="4" t="str">
        <f>IFERROR(__xludf.DUMMYFUNCTION("GOOGLETRANSLATE(B295,""en"",""fi"")"),"Kosteus")</f>
        <v>Kosteus</v>
      </c>
      <c r="AI295" s="4" t="str">
        <f>IFERROR(__xludf.DUMMYFUNCTION("GOOGLETRANSLATE(B295,""en"",""hr"")"),"Vlažnost")</f>
        <v>Vlažnost</v>
      </c>
      <c r="AJ295" s="4" t="str">
        <f>IFERROR(__xludf.DUMMYFUNCTION("GOOGLETRANSLATE(B295,""en"",""hu"")"),"Nedvesség")</f>
        <v>Nedvesség</v>
      </c>
      <c r="AK295" s="4" t="str">
        <f>IFERROR(__xludf.DUMMYFUNCTION("GOOGLETRANSLATE(B295,""en"",""hy"")"),"Խոնավություն")</f>
        <v>Խոնավություն</v>
      </c>
      <c r="AL295" s="4" t="str">
        <f>IFERROR(__xludf.DUMMYFUNCTION("GOOGLETRANSLATE(B295,""en"",""ca"")"),"Humitat")</f>
        <v>Humitat</v>
      </c>
      <c r="AM295" s="4" t="str">
        <f>IFERROR(__xludf.DUMMYFUNCTION("GOOGLETRANSLATE(B295,""en"",""nl"")"),"Vochtigheid")</f>
        <v>Vochtigheid</v>
      </c>
      <c r="AN295" s="4" t="str">
        <f>IFERROR(__xludf.DUMMYFUNCTION("GOOGLETRANSLATE(B295,""en"",""he"")"),"לַחוּת")</f>
        <v>לַחוּת</v>
      </c>
      <c r="AO295" s="4" t="str">
        <f>IFERROR(__xludf.DUMMYFUNCTION("GOOGLETRANSLATE(B295,""en"",""is"")"),"Raki")</f>
        <v>Raki</v>
      </c>
      <c r="AP295" s="4" t="str">
        <f>IFERROR(__xludf.DUMMYFUNCTION("GOOGLETRANSLATE(B295,""en"",""no"")"),"Fuktighet")</f>
        <v>Fuktighet</v>
      </c>
      <c r="AQ295" s="4" t="str">
        <f>IFERROR(__xludf.DUMMYFUNCTION("GOOGLETRANSLATE(B295,""en"",""fa"")"),"رطوبت")</f>
        <v>رطوبت</v>
      </c>
      <c r="AR295" s="4" t="str">
        <f>IFERROR(__xludf.DUMMYFUNCTION("GOOGLETRANSLATE(B295,""en"",""pl"")"),"Wilgotność")</f>
        <v>Wilgotność</v>
      </c>
      <c r="AS295" s="4" t="str">
        <f>IFERROR(__xludf.DUMMYFUNCTION("GOOGLETRANSLATE(B295,""en"",""sv"")"),"Fuktighet")</f>
        <v>Fuktighet</v>
      </c>
      <c r="AT295" s="4" t="str">
        <f>IFERROR(__xludf.DUMMYFUNCTION("GOOGLETRANSLATE(B295,""en"",""uk"")"),"Вологість")</f>
        <v>Вологість</v>
      </c>
      <c r="AU295" s="4" t="str">
        <f>IFERROR(__xludf.DUMMYFUNCTION("GOOGLETRANSLATE(B295,""en"",""zu"")"),"Umswakama")</f>
        <v>Umswakama</v>
      </c>
      <c r="AV295" s="4" t="str">
        <f>IFERROR(__xludf.DUMMYFUNCTION("GOOGLETRANSLATE(B295,""en"",""sr"")"),"Влажност")</f>
        <v>Влажност</v>
      </c>
    </row>
    <row r="296">
      <c r="A296" s="3" t="s">
        <v>602</v>
      </c>
      <c r="B296" s="3" t="s">
        <v>603</v>
      </c>
      <c r="C296" s="4" t="str">
        <f>IFERROR(__xludf.DUMMYFUNCTION("GOOGLETRANSLATE(B296,""en"",""ta"")"),"காற்றின் வேகம்")</f>
        <v>காற்றின் வேகம்</v>
      </c>
      <c r="D296" s="4" t="str">
        <f>IFERROR(__xludf.DUMMYFUNCTION("GOOGLETRANSLATE(B296,""en"",""hi"")"),"हवा की गति")</f>
        <v>हवा की गति</v>
      </c>
      <c r="E296" s="4" t="str">
        <f>IFERROR(__xludf.DUMMYFUNCTION("GOOGLETRANSLATE(B296,""en"",""id"")"),"Kecepatan Angin")</f>
        <v>Kecepatan Angin</v>
      </c>
      <c r="F296" s="4" t="str">
        <f>IFERROR(__xludf.DUMMYFUNCTION("GOOGLETRANSLATE(B296,""en"",""ms"")"),"Kelajuan Angin")</f>
        <v>Kelajuan Angin</v>
      </c>
      <c r="G296" s="4" t="str">
        <f>IFERROR(__xludf.DUMMYFUNCTION("GOOGLETRANSLATE(B296,""en"",""de"")"),"Windgeschwindigkeit")</f>
        <v>Windgeschwindigkeit</v>
      </c>
      <c r="H296" s="4" t="str">
        <f>IFERROR(__xludf.DUMMYFUNCTION("GOOGLETRANSLATE(B296,""en"",""es"")"),"Velocidad del viento")</f>
        <v>Velocidad del viento</v>
      </c>
      <c r="I296" s="4" t="str">
        <f>IFERROR(__xludf.DUMMYFUNCTION("GOOGLETRANSLATE(B296,""en"",""fr"")"),"Vitesse du vent")</f>
        <v>Vitesse du vent</v>
      </c>
      <c r="J296" s="4" t="str">
        <f>IFERROR(__xludf.DUMMYFUNCTION("GOOGLETRANSLATE(B296,""en"",""it"")"),"Velocità del vento")</f>
        <v>Velocità del vento</v>
      </c>
      <c r="K296" s="4" t="str">
        <f>IFERROR(__xludf.DUMMYFUNCTION("GOOGLETRANSLATE(B296,""en"",""pt"")"),"Velocidade do vento")</f>
        <v>Velocidade do vento</v>
      </c>
      <c r="L296" s="4" t="str">
        <f>IFERROR(__xludf.DUMMYFUNCTION("GOOGLETRANSLATE(B296,""en"",""ro"")"),"Viteza vântului")</f>
        <v>Viteza vântului</v>
      </c>
      <c r="M296" s="4" t="str">
        <f>IFERROR(__xludf.DUMMYFUNCTION("GOOGLETRANSLATE(B296,""en"",""vi"")"),"Tốc độ gió")</f>
        <v>Tốc độ gió</v>
      </c>
      <c r="N296" s="4" t="str">
        <f>IFERROR(__xludf.DUMMYFUNCTION("GOOGLETRANSLATE(B296,""en"",""ru"")"),"Скорость ветра")</f>
        <v>Скорость ветра</v>
      </c>
      <c r="O296" s="4" t="str">
        <f>IFERROR(__xludf.DUMMYFUNCTION("GOOGLETRANSLATE(B296,""en"",""tr"")"),"Rüzgar Hızı")</f>
        <v>Rüzgar Hızı</v>
      </c>
      <c r="P296" s="4" t="str">
        <f>IFERROR(__xludf.DUMMYFUNCTION("GOOGLETRANSLATE(B296,""en"",""ar"")"),"سرعة الرياح")</f>
        <v>سرعة الرياح</v>
      </c>
      <c r="Q296" s="4" t="str">
        <f>IFERROR(__xludf.DUMMYFUNCTION("GOOGLETRANSLATE(B296,""en"",""mr"")"),"वाऱ्याचा वेग")</f>
        <v>वाऱ्याचा वेग</v>
      </c>
      <c r="R296" s="4" t="str">
        <f>IFERROR(__xludf.DUMMYFUNCTION("GOOGLETRANSLATE(B296,""en"",""gu"")"),"પવનની ઝડપ")</f>
        <v>પવનની ઝડપ</v>
      </c>
      <c r="S296" s="4" t="str">
        <f>IFERROR(__xludf.DUMMYFUNCTION("GOOGLETRANSLATE(B296,""en"",""bn"")"),"বাতাসের গতি")</f>
        <v>বাতাসের গতি</v>
      </c>
      <c r="T296" s="4" t="str">
        <f>IFERROR(__xludf.DUMMYFUNCTION("GOOGLETRANSLATE(B296,""en"",""pa"")"),"ਹਵਾ ਦੀ ਗਤੀ")</f>
        <v>ਹਵਾ ਦੀ ਗਤੀ</v>
      </c>
      <c r="U296" s="4" t="str">
        <f>IFERROR(__xludf.DUMMYFUNCTION("GOOGLETRANSLATE(B296,""en"",""te"")"),"గాలి వేగం")</f>
        <v>గాలి వేగం</v>
      </c>
      <c r="V296" s="4" t="str">
        <f>IFERROR(__xludf.DUMMYFUNCTION("GOOGLETRANSLATE(B296,""en"",""kn"")"),"ಗಾಳಿಯ ವೇಗ")</f>
        <v>ಗಾಳಿಯ ವೇಗ</v>
      </c>
      <c r="W296" s="4" t="str">
        <f>IFERROR(__xludf.DUMMYFUNCTION("GOOGLETRANSLATE(B296,""en"",""ml"")"),"കാറ്റിൻ്റെ വേഗത")</f>
        <v>കാറ്റിൻ്റെ വേഗത</v>
      </c>
      <c r="X296" s="4" t="str">
        <f>IFERROR(__xludf.DUMMYFUNCTION("GOOGLETRANSLATE(B296,""en"",""th"")"),"ความเร็วลม")</f>
        <v>ความเร็วลม</v>
      </c>
      <c r="Y296" s="4" t="str">
        <f>IFERROR(__xludf.DUMMYFUNCTION("GOOGLETRANSLATE(B296,""en"",""ko"")"),"풍속")</f>
        <v>풍속</v>
      </c>
      <c r="Z296" s="4" t="str">
        <f>IFERROR(__xludf.DUMMYFUNCTION("GOOGLETRANSLATE(B296,""en"",""zh"")"),"风速")</f>
        <v>风速</v>
      </c>
      <c r="AA296" s="4" t="str">
        <f>IFERROR(__xludf.DUMMYFUNCTION("GOOGLETRANSLATE(B296,""en"",""zh-TW"")"),"風速")</f>
        <v>風速</v>
      </c>
      <c r="AB296" s="4" t="str">
        <f>IFERROR(__xludf.DUMMYFUNCTION("GOOGLETRANSLATE(B296,""en"",""ja"")"),"風速")</f>
        <v>風速</v>
      </c>
      <c r="AC296" s="4" t="str">
        <f>IFERROR(__xludf.DUMMYFUNCTION("GOOGLETRANSLATE(B296,""en"",""bg"")"),"Скорост на вятъра")</f>
        <v>Скорост на вятъра</v>
      </c>
      <c r="AD296" s="4" t="str">
        <f>IFERROR(__xludf.DUMMYFUNCTION("GOOGLETRANSLATE(B296,""en"",""cs"")"),"Rychlost větru")</f>
        <v>Rychlost větru</v>
      </c>
      <c r="AE296" s="4" t="str">
        <f>IFERROR(__xludf.DUMMYFUNCTION("GOOGLETRANSLATE(B296,""en"",""da"")"),"Vindhastighed")</f>
        <v>Vindhastighed</v>
      </c>
      <c r="AF296" s="4" t="str">
        <f>IFERROR(__xludf.DUMMYFUNCTION("GOOGLETRANSLATE(B296,""en"",""el"")"),"Ταχύτητα ανέμου")</f>
        <v>Ταχύτητα ανέμου</v>
      </c>
      <c r="AG296" s="4" t="str">
        <f>IFERROR(__xludf.DUMMYFUNCTION("GOOGLETRANSLATE(B296,""en"",""et"")"),"Tuule kiirus")</f>
        <v>Tuule kiirus</v>
      </c>
      <c r="AH296" s="4" t="str">
        <f>IFERROR(__xludf.DUMMYFUNCTION("GOOGLETRANSLATE(B296,""en"",""fi"")"),"Tuulen nopeus")</f>
        <v>Tuulen nopeus</v>
      </c>
      <c r="AI296" s="4" t="str">
        <f>IFERROR(__xludf.DUMMYFUNCTION("GOOGLETRANSLATE(B296,""en"",""hr"")"),"Brzina vjetra")</f>
        <v>Brzina vjetra</v>
      </c>
      <c r="AJ296" s="4" t="str">
        <f>IFERROR(__xludf.DUMMYFUNCTION("GOOGLETRANSLATE(B296,""en"",""hu"")"),"Szélsebesség")</f>
        <v>Szélsebesség</v>
      </c>
      <c r="AK296" s="4" t="str">
        <f>IFERROR(__xludf.DUMMYFUNCTION("GOOGLETRANSLATE(B296,""en"",""hy"")"),"Քամու արագություն")</f>
        <v>Քամու արագություն</v>
      </c>
      <c r="AL296" s="4" t="str">
        <f>IFERROR(__xludf.DUMMYFUNCTION("GOOGLETRANSLATE(B296,""en"",""ca"")"),"Velocitat del vent")</f>
        <v>Velocitat del vent</v>
      </c>
      <c r="AM296" s="4" t="str">
        <f>IFERROR(__xludf.DUMMYFUNCTION("GOOGLETRANSLATE(B296,""en"",""nl"")"),"Windsnelheid")</f>
        <v>Windsnelheid</v>
      </c>
      <c r="AN296" s="4" t="str">
        <f>IFERROR(__xludf.DUMMYFUNCTION("GOOGLETRANSLATE(B296,""en"",""he"")"),"מהירות הרוח")</f>
        <v>מהירות הרוח</v>
      </c>
      <c r="AO296" s="4" t="str">
        <f>IFERROR(__xludf.DUMMYFUNCTION("GOOGLETRANSLATE(B296,""en"",""is"")"),"Vindhraði")</f>
        <v>Vindhraði</v>
      </c>
      <c r="AP296" s="4" t="str">
        <f>IFERROR(__xludf.DUMMYFUNCTION("GOOGLETRANSLATE(B296,""en"",""no"")"),"Vindhastighet")</f>
        <v>Vindhastighet</v>
      </c>
      <c r="AQ296" s="4" t="str">
        <f>IFERROR(__xludf.DUMMYFUNCTION("GOOGLETRANSLATE(B296,""en"",""fa"")"),"سرعت باد")</f>
        <v>سرعت باد</v>
      </c>
      <c r="AR296" s="4" t="str">
        <f>IFERROR(__xludf.DUMMYFUNCTION("GOOGLETRANSLATE(B296,""en"",""pl"")"),"Prędkość wiatru")</f>
        <v>Prędkość wiatru</v>
      </c>
      <c r="AS296" s="4" t="str">
        <f>IFERROR(__xludf.DUMMYFUNCTION("GOOGLETRANSLATE(B296,""en"",""sv"")"),"Vindhastighet")</f>
        <v>Vindhastighet</v>
      </c>
      <c r="AT296" s="4" t="str">
        <f>IFERROR(__xludf.DUMMYFUNCTION("GOOGLETRANSLATE(B296,""en"",""uk"")"),"Швидкість вітру")</f>
        <v>Швидкість вітру</v>
      </c>
      <c r="AU296" s="4" t="str">
        <f>IFERROR(__xludf.DUMMYFUNCTION("GOOGLETRANSLATE(B296,""en"",""zu"")"),"Isivinini Somoya")</f>
        <v>Isivinini Somoya</v>
      </c>
      <c r="AV296" s="4" t="str">
        <f>IFERROR(__xludf.DUMMYFUNCTION("GOOGLETRANSLATE(B296,""en"",""sr"")"),"Брзина ветра")</f>
        <v>Брзина ветра</v>
      </c>
    </row>
    <row r="297">
      <c r="A297" s="3" t="s">
        <v>604</v>
      </c>
      <c r="B297" s="3" t="s">
        <v>605</v>
      </c>
      <c r="C297" s="4" t="str">
        <f>IFERROR(__xludf.DUMMYFUNCTION("GOOGLETRANSLATE(B297,""en"",""ta"")"),"காற்றின் திசை")</f>
        <v>காற்றின் திசை</v>
      </c>
      <c r="D297" s="4" t="str">
        <f>IFERROR(__xludf.DUMMYFUNCTION("GOOGLETRANSLATE(B297,""en"",""hi"")"),"हवा की दिशा")</f>
        <v>हवा की दिशा</v>
      </c>
      <c r="E297" s="4" t="str">
        <f>IFERROR(__xludf.DUMMYFUNCTION("GOOGLETRANSLATE(B297,""en"",""id"")"),"Arah Angin")</f>
        <v>Arah Angin</v>
      </c>
      <c r="F297" s="4" t="str">
        <f>IFERROR(__xludf.DUMMYFUNCTION("GOOGLETRANSLATE(B297,""en"",""ms"")"),"Arah Angin")</f>
        <v>Arah Angin</v>
      </c>
      <c r="G297" s="4" t="str">
        <f>IFERROR(__xludf.DUMMYFUNCTION("GOOGLETRANSLATE(B297,""en"",""de"")"),"Windrichtung")</f>
        <v>Windrichtung</v>
      </c>
      <c r="H297" s="4" t="str">
        <f>IFERROR(__xludf.DUMMYFUNCTION("GOOGLETRANSLATE(B297,""en"",""es"")"),"Dirección del viento")</f>
        <v>Dirección del viento</v>
      </c>
      <c r="I297" s="4" t="str">
        <f>IFERROR(__xludf.DUMMYFUNCTION("GOOGLETRANSLATE(B297,""en"",""fr"")"),"Direction du vent")</f>
        <v>Direction du vent</v>
      </c>
      <c r="J297" s="4" t="str">
        <f>IFERROR(__xludf.DUMMYFUNCTION("GOOGLETRANSLATE(B297,""en"",""it"")"),"Direzione del vento")</f>
        <v>Direzione del vento</v>
      </c>
      <c r="K297" s="4" t="str">
        <f>IFERROR(__xludf.DUMMYFUNCTION("GOOGLETRANSLATE(B297,""en"",""pt"")"),"Direção do vento")</f>
        <v>Direção do vento</v>
      </c>
      <c r="L297" s="4" t="str">
        <f>IFERROR(__xludf.DUMMYFUNCTION("GOOGLETRANSLATE(B297,""en"",""ro"")"),"Direcția vântului")</f>
        <v>Direcția vântului</v>
      </c>
      <c r="M297" s="4" t="str">
        <f>IFERROR(__xludf.DUMMYFUNCTION("GOOGLETRANSLATE(B297,""en"",""vi"")"),"Hướng gió")</f>
        <v>Hướng gió</v>
      </c>
      <c r="N297" s="4" t="str">
        <f>IFERROR(__xludf.DUMMYFUNCTION("GOOGLETRANSLATE(B297,""en"",""ru"")"),"Направление ветра")</f>
        <v>Направление ветра</v>
      </c>
      <c r="O297" s="4" t="str">
        <f>IFERROR(__xludf.DUMMYFUNCTION("GOOGLETRANSLATE(B297,""en"",""tr"")"),"Rüzgar Yönü")</f>
        <v>Rüzgar Yönü</v>
      </c>
      <c r="P297" s="4" t="str">
        <f>IFERROR(__xludf.DUMMYFUNCTION("GOOGLETRANSLATE(B297,""en"",""ar"")"),"اتجاه الرياح")</f>
        <v>اتجاه الرياح</v>
      </c>
      <c r="Q297" s="4" t="str">
        <f>IFERROR(__xludf.DUMMYFUNCTION("GOOGLETRANSLATE(B297,""en"",""mr"")"),"वाऱ्याची दिशा")</f>
        <v>वाऱ्याची दिशा</v>
      </c>
      <c r="R297" s="4" t="str">
        <f>IFERROR(__xludf.DUMMYFUNCTION("GOOGLETRANSLATE(B297,""en"",""gu"")"),"પવનની દિશા")</f>
        <v>પવનની દિશા</v>
      </c>
      <c r="S297" s="4" t="str">
        <f>IFERROR(__xludf.DUMMYFUNCTION("GOOGLETRANSLATE(B297,""en"",""bn"")"),"বাতাসের দিক")</f>
        <v>বাতাসের দিক</v>
      </c>
      <c r="T297" s="4" t="str">
        <f>IFERROR(__xludf.DUMMYFUNCTION("GOOGLETRANSLATE(B297,""en"",""pa"")"),"ਹਵਾ ਦੀ ਦਿਸ਼ਾ")</f>
        <v>ਹਵਾ ਦੀ ਦਿਸ਼ਾ</v>
      </c>
      <c r="U297" s="4" t="str">
        <f>IFERROR(__xludf.DUMMYFUNCTION("GOOGLETRANSLATE(B297,""en"",""te"")"),"గాలి దిశ")</f>
        <v>గాలి దిశ</v>
      </c>
      <c r="V297" s="4" t="str">
        <f>IFERROR(__xludf.DUMMYFUNCTION("GOOGLETRANSLATE(B297,""en"",""kn"")"),"ಗಾಳಿಯ ದಿಕ್ಕು")</f>
        <v>ಗಾಳಿಯ ದಿಕ್ಕು</v>
      </c>
      <c r="W297" s="4" t="str">
        <f>IFERROR(__xludf.DUMMYFUNCTION("GOOGLETRANSLATE(B297,""en"",""ml"")"),"കാറ്റിൻ്റെ ദിശ")</f>
        <v>കാറ്റിൻ്റെ ദിശ</v>
      </c>
      <c r="X297" s="4" t="str">
        <f>IFERROR(__xludf.DUMMYFUNCTION("GOOGLETRANSLATE(B297,""en"",""th"")"),"ทิศทางลม")</f>
        <v>ทิศทางลม</v>
      </c>
      <c r="Y297" s="4" t="str">
        <f>IFERROR(__xludf.DUMMYFUNCTION("GOOGLETRANSLATE(B297,""en"",""ko"")"),"풍향")</f>
        <v>풍향</v>
      </c>
      <c r="Z297" s="4" t="str">
        <f>IFERROR(__xludf.DUMMYFUNCTION("GOOGLETRANSLATE(B297,""en"",""zh"")"),"风向")</f>
        <v>风向</v>
      </c>
      <c r="AA297" s="4" t="str">
        <f>IFERROR(__xludf.DUMMYFUNCTION("GOOGLETRANSLATE(B297,""en"",""zh-TW"")"),"風向")</f>
        <v>風向</v>
      </c>
      <c r="AB297" s="4" t="str">
        <f>IFERROR(__xludf.DUMMYFUNCTION("GOOGLETRANSLATE(B297,""en"",""ja"")"),"風向")</f>
        <v>風向</v>
      </c>
      <c r="AC297" s="4" t="str">
        <f>IFERROR(__xludf.DUMMYFUNCTION("GOOGLETRANSLATE(B297,""en"",""bg"")"),"Посока на вятъра")</f>
        <v>Посока на вятъра</v>
      </c>
      <c r="AD297" s="4" t="str">
        <f>IFERROR(__xludf.DUMMYFUNCTION("GOOGLETRANSLATE(B297,""en"",""cs"")"),"Směr větru")</f>
        <v>Směr větru</v>
      </c>
      <c r="AE297" s="4" t="str">
        <f>IFERROR(__xludf.DUMMYFUNCTION("GOOGLETRANSLATE(B297,""en"",""da"")"),"Vindretning")</f>
        <v>Vindretning</v>
      </c>
      <c r="AF297" s="4" t="str">
        <f>IFERROR(__xludf.DUMMYFUNCTION("GOOGLETRANSLATE(B297,""en"",""el"")"),"Κατεύθυνση ανέμου")</f>
        <v>Κατεύθυνση ανέμου</v>
      </c>
      <c r="AG297" s="4" t="str">
        <f>IFERROR(__xludf.DUMMYFUNCTION("GOOGLETRANSLATE(B297,""en"",""et"")"),"Tuule suund")</f>
        <v>Tuule suund</v>
      </c>
      <c r="AH297" s="4" t="str">
        <f>IFERROR(__xludf.DUMMYFUNCTION("GOOGLETRANSLATE(B297,""en"",""fi"")"),"Tuulen suunta")</f>
        <v>Tuulen suunta</v>
      </c>
      <c r="AI297" s="4" t="str">
        <f>IFERROR(__xludf.DUMMYFUNCTION("GOOGLETRANSLATE(B297,""en"",""hr"")"),"Smjer vjetra")</f>
        <v>Smjer vjetra</v>
      </c>
      <c r="AJ297" s="4" t="str">
        <f>IFERROR(__xludf.DUMMYFUNCTION("GOOGLETRANSLATE(B297,""en"",""hu"")"),"szélirány")</f>
        <v>szélirány</v>
      </c>
      <c r="AK297" s="4" t="str">
        <f>IFERROR(__xludf.DUMMYFUNCTION("GOOGLETRANSLATE(B297,""en"",""hy"")"),"Քամու ուղղությունը")</f>
        <v>Քամու ուղղությունը</v>
      </c>
      <c r="AL297" s="4" t="str">
        <f>IFERROR(__xludf.DUMMYFUNCTION("GOOGLETRANSLATE(B297,""en"",""ca"")"),"Direcció del vent")</f>
        <v>Direcció del vent</v>
      </c>
      <c r="AM297" s="4" t="str">
        <f>IFERROR(__xludf.DUMMYFUNCTION("GOOGLETRANSLATE(B297,""en"",""nl"")"),"Windrichting")</f>
        <v>Windrichting</v>
      </c>
      <c r="AN297" s="4" t="str">
        <f>IFERROR(__xludf.DUMMYFUNCTION("GOOGLETRANSLATE(B297,""en"",""he"")"),"כיוון הרוח")</f>
        <v>כיוון הרוח</v>
      </c>
      <c r="AO297" s="4" t="str">
        <f>IFERROR(__xludf.DUMMYFUNCTION("GOOGLETRANSLATE(B297,""en"",""is"")"),"Vindátt")</f>
        <v>Vindátt</v>
      </c>
      <c r="AP297" s="4" t="str">
        <f>IFERROR(__xludf.DUMMYFUNCTION("GOOGLETRANSLATE(B297,""en"",""no"")"),"Vindretning")</f>
        <v>Vindretning</v>
      </c>
      <c r="AQ297" s="4" t="str">
        <f>IFERROR(__xludf.DUMMYFUNCTION("GOOGLETRANSLATE(B297,""en"",""fa"")"),"جهت باد")</f>
        <v>جهت باد</v>
      </c>
      <c r="AR297" s="4" t="str">
        <f>IFERROR(__xludf.DUMMYFUNCTION("GOOGLETRANSLATE(B297,""en"",""pl"")"),"Kierunek wiatru")</f>
        <v>Kierunek wiatru</v>
      </c>
      <c r="AS297" s="4" t="str">
        <f>IFERROR(__xludf.DUMMYFUNCTION("GOOGLETRANSLATE(B297,""en"",""sv"")"),"Vindriktning")</f>
        <v>Vindriktning</v>
      </c>
      <c r="AT297" s="4" t="str">
        <f>IFERROR(__xludf.DUMMYFUNCTION("GOOGLETRANSLATE(B297,""en"",""uk"")"),"Напрямок вітру")</f>
        <v>Напрямок вітру</v>
      </c>
      <c r="AU297" s="4" t="str">
        <f>IFERROR(__xludf.DUMMYFUNCTION("GOOGLETRANSLATE(B297,""en"",""zu"")"),"Isiqondiso Somoya")</f>
        <v>Isiqondiso Somoya</v>
      </c>
      <c r="AV297" s="4" t="str">
        <f>IFERROR(__xludf.DUMMYFUNCTION("GOOGLETRANSLATE(B297,""en"",""sr"")"),"Винд Дирецтион")</f>
        <v>Винд Дирецтион</v>
      </c>
    </row>
    <row r="298">
      <c r="A298" s="3" t="s">
        <v>606</v>
      </c>
      <c r="B298" s="3" t="s">
        <v>607</v>
      </c>
      <c r="C298" s="4" t="str">
        <f>IFERROR(__xludf.DUMMYFUNCTION("GOOGLETRANSLATE(B298,""en"",""ta"")"),"அழுத்தம்")</f>
        <v>அழுத்தம்</v>
      </c>
      <c r="D298" s="4" t="str">
        <f>IFERROR(__xludf.DUMMYFUNCTION("GOOGLETRANSLATE(B298,""en"",""hi"")"),"दबाव")</f>
        <v>दबाव</v>
      </c>
      <c r="E298" s="4" t="str">
        <f>IFERROR(__xludf.DUMMYFUNCTION("GOOGLETRANSLATE(B298,""en"",""id"")"),"Tekanan")</f>
        <v>Tekanan</v>
      </c>
      <c r="F298" s="4" t="str">
        <f>IFERROR(__xludf.DUMMYFUNCTION("GOOGLETRANSLATE(B298,""en"",""ms"")"),"Tekanan")</f>
        <v>Tekanan</v>
      </c>
      <c r="G298" s="4" t="str">
        <f>IFERROR(__xludf.DUMMYFUNCTION("GOOGLETRANSLATE(B298,""en"",""de"")"),"Druck")</f>
        <v>Druck</v>
      </c>
      <c r="H298" s="4" t="str">
        <f>IFERROR(__xludf.DUMMYFUNCTION("GOOGLETRANSLATE(B298,""en"",""es"")"),"Presión")</f>
        <v>Presión</v>
      </c>
      <c r="I298" s="4" t="str">
        <f>IFERROR(__xludf.DUMMYFUNCTION("GOOGLETRANSLATE(B298,""en"",""fr"")"),"Pression")</f>
        <v>Pression</v>
      </c>
      <c r="J298" s="4" t="str">
        <f>IFERROR(__xludf.DUMMYFUNCTION("GOOGLETRANSLATE(B298,""en"",""it"")"),"Pressione")</f>
        <v>Pressione</v>
      </c>
      <c r="K298" s="4" t="str">
        <f>IFERROR(__xludf.DUMMYFUNCTION("GOOGLETRANSLATE(B298,""en"",""pt"")"),"Pressão")</f>
        <v>Pressão</v>
      </c>
      <c r="L298" s="4" t="str">
        <f>IFERROR(__xludf.DUMMYFUNCTION("GOOGLETRANSLATE(B298,""en"",""ro"")"),"Presiune")</f>
        <v>Presiune</v>
      </c>
      <c r="M298" s="4" t="str">
        <f>IFERROR(__xludf.DUMMYFUNCTION("GOOGLETRANSLATE(B298,""en"",""vi"")"),"Áp lực")</f>
        <v>Áp lực</v>
      </c>
      <c r="N298" s="4" t="str">
        <f>IFERROR(__xludf.DUMMYFUNCTION("GOOGLETRANSLATE(B298,""en"",""ru"")"),"Давление")</f>
        <v>Давление</v>
      </c>
      <c r="O298" s="4" t="str">
        <f>IFERROR(__xludf.DUMMYFUNCTION("GOOGLETRANSLATE(B298,""en"",""tr"")"),"Basınç")</f>
        <v>Basınç</v>
      </c>
      <c r="P298" s="4" t="str">
        <f>IFERROR(__xludf.DUMMYFUNCTION("GOOGLETRANSLATE(B298,""en"",""ar"")"),"ضغط")</f>
        <v>ضغط</v>
      </c>
      <c r="Q298" s="4" t="str">
        <f>IFERROR(__xludf.DUMMYFUNCTION("GOOGLETRANSLATE(B298,""en"",""mr"")"),"दाब")</f>
        <v>दाब</v>
      </c>
      <c r="R298" s="4" t="str">
        <f>IFERROR(__xludf.DUMMYFUNCTION("GOOGLETRANSLATE(B298,""en"",""gu"")"),"દબાણ")</f>
        <v>દબાણ</v>
      </c>
      <c r="S298" s="4" t="str">
        <f>IFERROR(__xludf.DUMMYFUNCTION("GOOGLETRANSLATE(B298,""en"",""bn"")"),"চাপ")</f>
        <v>চাপ</v>
      </c>
      <c r="T298" s="4" t="str">
        <f>IFERROR(__xludf.DUMMYFUNCTION("GOOGLETRANSLATE(B298,""en"",""pa"")"),"ਦਬਾਅ")</f>
        <v>ਦਬਾਅ</v>
      </c>
      <c r="U298" s="4" t="str">
        <f>IFERROR(__xludf.DUMMYFUNCTION("GOOGLETRANSLATE(B298,""en"",""te"")"),"ఒత్తిడి")</f>
        <v>ఒత్తిడి</v>
      </c>
      <c r="V298" s="4" t="str">
        <f>IFERROR(__xludf.DUMMYFUNCTION("GOOGLETRANSLATE(B298,""en"",""kn"")"),"ಒತ್ತಡ")</f>
        <v>ಒತ್ತಡ</v>
      </c>
      <c r="W298" s="4" t="str">
        <f>IFERROR(__xludf.DUMMYFUNCTION("GOOGLETRANSLATE(B298,""en"",""ml"")"),"സമ്മർദ്ദം")</f>
        <v>സമ്മർദ്ദം</v>
      </c>
      <c r="X298" s="4" t="str">
        <f>IFERROR(__xludf.DUMMYFUNCTION("GOOGLETRANSLATE(B298,""en"",""th"")"),"ความดัน")</f>
        <v>ความดัน</v>
      </c>
      <c r="Y298" s="4" t="str">
        <f>IFERROR(__xludf.DUMMYFUNCTION("GOOGLETRANSLATE(B298,""en"",""ko"")"),"압력")</f>
        <v>압력</v>
      </c>
      <c r="Z298" s="4" t="str">
        <f>IFERROR(__xludf.DUMMYFUNCTION("GOOGLETRANSLATE(B298,""en"",""zh"")"),"压力")</f>
        <v>压力</v>
      </c>
      <c r="AA298" s="4" t="str">
        <f>IFERROR(__xludf.DUMMYFUNCTION("GOOGLETRANSLATE(B298,""en"",""zh-TW"")"),"壓力")</f>
        <v>壓力</v>
      </c>
      <c r="AB298" s="4" t="str">
        <f>IFERROR(__xludf.DUMMYFUNCTION("GOOGLETRANSLATE(B298,""en"",""ja"")"),"プレッシャー")</f>
        <v>プレッシャー</v>
      </c>
      <c r="AC298" s="4" t="str">
        <f>IFERROR(__xludf.DUMMYFUNCTION("GOOGLETRANSLATE(B298,""en"",""bg"")"),"налягане")</f>
        <v>налягане</v>
      </c>
      <c r="AD298" s="4" t="str">
        <f>IFERROR(__xludf.DUMMYFUNCTION("GOOGLETRANSLATE(B298,""en"",""cs"")"),"Tlak")</f>
        <v>Tlak</v>
      </c>
      <c r="AE298" s="4" t="str">
        <f>IFERROR(__xludf.DUMMYFUNCTION("GOOGLETRANSLATE(B298,""en"",""da"")"),"Tryk")</f>
        <v>Tryk</v>
      </c>
      <c r="AF298" s="4" t="str">
        <f>IFERROR(__xludf.DUMMYFUNCTION("GOOGLETRANSLATE(B298,""en"",""el"")"),"Πίεση")</f>
        <v>Πίεση</v>
      </c>
      <c r="AG298" s="4" t="str">
        <f>IFERROR(__xludf.DUMMYFUNCTION("GOOGLETRANSLATE(B298,""en"",""et"")"),"Surve")</f>
        <v>Surve</v>
      </c>
      <c r="AH298" s="4" t="str">
        <f>IFERROR(__xludf.DUMMYFUNCTION("GOOGLETRANSLATE(B298,""en"",""fi"")"),"Paine")</f>
        <v>Paine</v>
      </c>
      <c r="AI298" s="4" t="str">
        <f>IFERROR(__xludf.DUMMYFUNCTION("GOOGLETRANSLATE(B298,""en"",""hr"")"),"Pritisak")</f>
        <v>Pritisak</v>
      </c>
      <c r="AJ298" s="4" t="str">
        <f>IFERROR(__xludf.DUMMYFUNCTION("GOOGLETRANSLATE(B298,""en"",""hu"")"),"Nyomás")</f>
        <v>Nyomás</v>
      </c>
      <c r="AK298" s="4" t="str">
        <f>IFERROR(__xludf.DUMMYFUNCTION("GOOGLETRANSLATE(B298,""en"",""hy"")"),"Ճնշում")</f>
        <v>Ճնշում</v>
      </c>
      <c r="AL298" s="4" t="str">
        <f>IFERROR(__xludf.DUMMYFUNCTION("GOOGLETRANSLATE(B298,""en"",""ca"")"),"Pressió")</f>
        <v>Pressió</v>
      </c>
      <c r="AM298" s="4" t="str">
        <f>IFERROR(__xludf.DUMMYFUNCTION("GOOGLETRANSLATE(B298,""en"",""nl"")"),"Druk")</f>
        <v>Druk</v>
      </c>
      <c r="AN298" s="4" t="str">
        <f>IFERROR(__xludf.DUMMYFUNCTION("GOOGLETRANSLATE(B298,""en"",""he"")"),"לַחַץ")</f>
        <v>לַחַץ</v>
      </c>
      <c r="AO298" s="4" t="str">
        <f>IFERROR(__xludf.DUMMYFUNCTION("GOOGLETRANSLATE(B298,""en"",""is"")"),"Þrýstingur")</f>
        <v>Þrýstingur</v>
      </c>
      <c r="AP298" s="4" t="str">
        <f>IFERROR(__xludf.DUMMYFUNCTION("GOOGLETRANSLATE(B298,""en"",""no"")"),"Trykk")</f>
        <v>Trykk</v>
      </c>
      <c r="AQ298" s="4" t="str">
        <f>IFERROR(__xludf.DUMMYFUNCTION("GOOGLETRANSLATE(B298,""en"",""fa"")"),"فشار")</f>
        <v>فشار</v>
      </c>
      <c r="AR298" s="4" t="str">
        <f>IFERROR(__xludf.DUMMYFUNCTION("GOOGLETRANSLATE(B298,""en"",""pl"")"),"Ciśnienie")</f>
        <v>Ciśnienie</v>
      </c>
      <c r="AS298" s="4" t="str">
        <f>IFERROR(__xludf.DUMMYFUNCTION("GOOGLETRANSLATE(B298,""en"",""sv"")"),"Tryck")</f>
        <v>Tryck</v>
      </c>
      <c r="AT298" s="4" t="str">
        <f>IFERROR(__xludf.DUMMYFUNCTION("GOOGLETRANSLATE(B298,""en"",""uk"")"),"Тиск")</f>
        <v>Тиск</v>
      </c>
      <c r="AU298" s="4" t="str">
        <f>IFERROR(__xludf.DUMMYFUNCTION("GOOGLETRANSLATE(B298,""en"",""zu"")"),"Ingcindezi")</f>
        <v>Ingcindezi</v>
      </c>
      <c r="AV298" s="4" t="str">
        <f>IFERROR(__xludf.DUMMYFUNCTION("GOOGLETRANSLATE(B298,""en"",""sr"")"),"Притисак")</f>
        <v>Притисак</v>
      </c>
    </row>
    <row r="299">
      <c r="A299" s="3" t="s">
        <v>608</v>
      </c>
      <c r="B299" s="3" t="s">
        <v>609</v>
      </c>
      <c r="C299" s="4" t="str">
        <f>IFERROR(__xludf.DUMMYFUNCTION("GOOGLETRANSLATE(B299,""en"",""ta"")"),"தெரிவுநிலை")</f>
        <v>தெரிவுநிலை</v>
      </c>
      <c r="D299" s="4" t="str">
        <f>IFERROR(__xludf.DUMMYFUNCTION("GOOGLETRANSLATE(B299,""en"",""hi"")"),"दृश्यता")</f>
        <v>दृश्यता</v>
      </c>
      <c r="E299" s="4" t="str">
        <f>IFERROR(__xludf.DUMMYFUNCTION("GOOGLETRANSLATE(B299,""en"",""id"")"),"Visibilitas")</f>
        <v>Visibilitas</v>
      </c>
      <c r="F299" s="4" t="str">
        <f>IFERROR(__xludf.DUMMYFUNCTION("GOOGLETRANSLATE(B299,""en"",""ms"")"),"Keterlihatan")</f>
        <v>Keterlihatan</v>
      </c>
      <c r="G299" s="4" t="str">
        <f>IFERROR(__xludf.DUMMYFUNCTION("GOOGLETRANSLATE(B299,""en"",""de"")"),"Sichtweite")</f>
        <v>Sichtweite</v>
      </c>
      <c r="H299" s="4" t="str">
        <f>IFERROR(__xludf.DUMMYFUNCTION("GOOGLETRANSLATE(B299,""en"",""es"")"),"Visibilidad")</f>
        <v>Visibilidad</v>
      </c>
      <c r="I299" s="4" t="str">
        <f>IFERROR(__xludf.DUMMYFUNCTION("GOOGLETRANSLATE(B299,""en"",""fr"")"),"Visibilité")</f>
        <v>Visibilité</v>
      </c>
      <c r="J299" s="4" t="str">
        <f>IFERROR(__xludf.DUMMYFUNCTION("GOOGLETRANSLATE(B299,""en"",""it"")"),"Visibilità")</f>
        <v>Visibilità</v>
      </c>
      <c r="K299" s="4" t="str">
        <f>IFERROR(__xludf.DUMMYFUNCTION("GOOGLETRANSLATE(B299,""en"",""pt"")"),"Visibilidade")</f>
        <v>Visibilidade</v>
      </c>
      <c r="L299" s="4" t="str">
        <f>IFERROR(__xludf.DUMMYFUNCTION("GOOGLETRANSLATE(B299,""en"",""ro"")"),"Vizibilitate")</f>
        <v>Vizibilitate</v>
      </c>
      <c r="M299" s="4" t="str">
        <f>IFERROR(__xludf.DUMMYFUNCTION("GOOGLETRANSLATE(B299,""en"",""vi"")"),"Khả năng hiển thị")</f>
        <v>Khả năng hiển thị</v>
      </c>
      <c r="N299" s="4" t="str">
        <f>IFERROR(__xludf.DUMMYFUNCTION("GOOGLETRANSLATE(B299,""en"",""ru"")"),"Видимость")</f>
        <v>Видимость</v>
      </c>
      <c r="O299" s="4" t="str">
        <f>IFERROR(__xludf.DUMMYFUNCTION("GOOGLETRANSLATE(B299,""en"",""tr"")"),"Görünürlük")</f>
        <v>Görünürlük</v>
      </c>
      <c r="P299" s="4" t="str">
        <f>IFERROR(__xludf.DUMMYFUNCTION("GOOGLETRANSLATE(B299,""en"",""ar"")"),"الرؤية")</f>
        <v>الرؤية</v>
      </c>
      <c r="Q299" s="4" t="str">
        <f>IFERROR(__xludf.DUMMYFUNCTION("GOOGLETRANSLATE(B299,""en"",""mr"")"),"दृश्यमानता")</f>
        <v>दृश्यमानता</v>
      </c>
      <c r="R299" s="4" t="str">
        <f>IFERROR(__xludf.DUMMYFUNCTION("GOOGLETRANSLATE(B299,""en"",""gu"")"),"દૃશ્યતા")</f>
        <v>દૃશ્યતા</v>
      </c>
      <c r="S299" s="4" t="str">
        <f>IFERROR(__xludf.DUMMYFUNCTION("GOOGLETRANSLATE(B299,""en"",""bn"")"),"দৃশ্যমানতা")</f>
        <v>দৃশ্যমানতা</v>
      </c>
      <c r="T299" s="4" t="str">
        <f>IFERROR(__xludf.DUMMYFUNCTION("GOOGLETRANSLATE(B299,""en"",""pa"")"),"ਦਿੱਖ")</f>
        <v>ਦਿੱਖ</v>
      </c>
      <c r="U299" s="4" t="str">
        <f>IFERROR(__xludf.DUMMYFUNCTION("GOOGLETRANSLATE(B299,""en"",""te"")"),"దృశ్యమానత")</f>
        <v>దృశ్యమానత</v>
      </c>
      <c r="V299" s="4" t="str">
        <f>IFERROR(__xludf.DUMMYFUNCTION("GOOGLETRANSLATE(B299,""en"",""kn"")"),"ಗೋಚರತೆ")</f>
        <v>ಗೋಚರತೆ</v>
      </c>
      <c r="W299" s="4" t="str">
        <f>IFERROR(__xludf.DUMMYFUNCTION("GOOGLETRANSLATE(B299,""en"",""ml"")"),"ദൃശ്യപരത")</f>
        <v>ദൃശ്യപരത</v>
      </c>
      <c r="X299" s="4" t="str">
        <f>IFERROR(__xludf.DUMMYFUNCTION("GOOGLETRANSLATE(B299,""en"",""th"")"),"การมองเห็น")</f>
        <v>การมองเห็น</v>
      </c>
      <c r="Y299" s="4" t="str">
        <f>IFERROR(__xludf.DUMMYFUNCTION("GOOGLETRANSLATE(B299,""en"",""ko"")"),"시계")</f>
        <v>시계</v>
      </c>
      <c r="Z299" s="4" t="str">
        <f>IFERROR(__xludf.DUMMYFUNCTION("GOOGLETRANSLATE(B299,""en"",""zh"")"),"能见度")</f>
        <v>能见度</v>
      </c>
      <c r="AA299" s="4" t="str">
        <f>IFERROR(__xludf.DUMMYFUNCTION("GOOGLETRANSLATE(B299,""en"",""zh-TW"")"),"能見度")</f>
        <v>能見度</v>
      </c>
      <c r="AB299" s="4" t="str">
        <f>IFERROR(__xludf.DUMMYFUNCTION("GOOGLETRANSLATE(B299,""en"",""ja"")"),"可視性")</f>
        <v>可視性</v>
      </c>
      <c r="AC299" s="4" t="str">
        <f>IFERROR(__xludf.DUMMYFUNCTION("GOOGLETRANSLATE(B299,""en"",""bg"")"),"Видимост")</f>
        <v>Видимост</v>
      </c>
      <c r="AD299" s="4" t="str">
        <f>IFERROR(__xludf.DUMMYFUNCTION("GOOGLETRANSLATE(B299,""en"",""cs"")"),"Viditelnost")</f>
        <v>Viditelnost</v>
      </c>
      <c r="AE299" s="4" t="str">
        <f>IFERROR(__xludf.DUMMYFUNCTION("GOOGLETRANSLATE(B299,""en"",""da"")"),"Sigtbarhed")</f>
        <v>Sigtbarhed</v>
      </c>
      <c r="AF299" s="4" t="str">
        <f>IFERROR(__xludf.DUMMYFUNCTION("GOOGLETRANSLATE(B299,""en"",""el"")"),"Ορατότητα")</f>
        <v>Ορατότητα</v>
      </c>
      <c r="AG299" s="4" t="str">
        <f>IFERROR(__xludf.DUMMYFUNCTION("GOOGLETRANSLATE(B299,""en"",""et"")"),"Nähtavus")</f>
        <v>Nähtavus</v>
      </c>
      <c r="AH299" s="4" t="str">
        <f>IFERROR(__xludf.DUMMYFUNCTION("GOOGLETRANSLATE(B299,""en"",""fi"")"),"Näkyvyys")</f>
        <v>Näkyvyys</v>
      </c>
      <c r="AI299" s="4" t="str">
        <f>IFERROR(__xludf.DUMMYFUNCTION("GOOGLETRANSLATE(B299,""en"",""hr"")"),"Vidljivost")</f>
        <v>Vidljivost</v>
      </c>
      <c r="AJ299" s="4" t="str">
        <f>IFERROR(__xludf.DUMMYFUNCTION("GOOGLETRANSLATE(B299,""en"",""hu"")"),"Láthatóság")</f>
        <v>Láthatóság</v>
      </c>
      <c r="AK299" s="4" t="str">
        <f>IFERROR(__xludf.DUMMYFUNCTION("GOOGLETRANSLATE(B299,""en"",""hy"")"),"Տեսանելիություն")</f>
        <v>Տեսանելիություն</v>
      </c>
      <c r="AL299" s="4" t="str">
        <f>IFERROR(__xludf.DUMMYFUNCTION("GOOGLETRANSLATE(B299,""en"",""ca"")"),"Visibilitat")</f>
        <v>Visibilitat</v>
      </c>
      <c r="AM299" s="4" t="str">
        <f>IFERROR(__xludf.DUMMYFUNCTION("GOOGLETRANSLATE(B299,""en"",""nl"")"),"Zichtbaarheid")</f>
        <v>Zichtbaarheid</v>
      </c>
      <c r="AN299" s="4" t="str">
        <f>IFERROR(__xludf.DUMMYFUNCTION("GOOGLETRANSLATE(B299,""en"",""he"")"),"רְאוּת")</f>
        <v>רְאוּת</v>
      </c>
      <c r="AO299" s="4" t="str">
        <f>IFERROR(__xludf.DUMMYFUNCTION("GOOGLETRANSLATE(B299,""en"",""is"")"),"Skyggni")</f>
        <v>Skyggni</v>
      </c>
      <c r="AP299" s="4" t="str">
        <f>IFERROR(__xludf.DUMMYFUNCTION("GOOGLETRANSLATE(B299,""en"",""no"")"),"Synlighet")</f>
        <v>Synlighet</v>
      </c>
      <c r="AQ299" s="4" t="str">
        <f>IFERROR(__xludf.DUMMYFUNCTION("GOOGLETRANSLATE(B299,""en"",""fa"")"),"دید")</f>
        <v>دید</v>
      </c>
      <c r="AR299" s="4" t="str">
        <f>IFERROR(__xludf.DUMMYFUNCTION("GOOGLETRANSLATE(B299,""en"",""pl"")"),"Widoczność")</f>
        <v>Widoczność</v>
      </c>
      <c r="AS299" s="4" t="str">
        <f>IFERROR(__xludf.DUMMYFUNCTION("GOOGLETRANSLATE(B299,""en"",""sv"")"),"Synlighet")</f>
        <v>Synlighet</v>
      </c>
      <c r="AT299" s="4" t="str">
        <f>IFERROR(__xludf.DUMMYFUNCTION("GOOGLETRANSLATE(B299,""en"",""uk"")"),"Видимість")</f>
        <v>Видимість</v>
      </c>
      <c r="AU299" s="4" t="str">
        <f>IFERROR(__xludf.DUMMYFUNCTION("GOOGLETRANSLATE(B299,""en"",""zu"")"),"Ukubonakala")</f>
        <v>Ukubonakala</v>
      </c>
      <c r="AV299" s="4" t="str">
        <f>IFERROR(__xludf.DUMMYFUNCTION("GOOGLETRANSLATE(B299,""en"",""sr"")"),"Видљивост")</f>
        <v>Видљивост</v>
      </c>
    </row>
    <row r="300">
      <c r="A300" s="3" t="s">
        <v>610</v>
      </c>
      <c r="B300" s="3" t="s">
        <v>611</v>
      </c>
      <c r="C300" s="4" t="str">
        <f>IFERROR(__xludf.DUMMYFUNCTION("GOOGLETRANSLATE(B300,""en"",""ta"")"),"மேகங்கள்")</f>
        <v>மேகங்கள்</v>
      </c>
      <c r="D300" s="4" t="str">
        <f>IFERROR(__xludf.DUMMYFUNCTION("GOOGLETRANSLATE(B300,""en"",""hi"")"),"बादलों")</f>
        <v>बादलों</v>
      </c>
      <c r="E300" s="4" t="str">
        <f>IFERROR(__xludf.DUMMYFUNCTION("GOOGLETRANSLATE(B300,""en"",""id"")"),"Awan")</f>
        <v>Awan</v>
      </c>
      <c r="F300" s="4" t="str">
        <f>IFERROR(__xludf.DUMMYFUNCTION("GOOGLETRANSLATE(B300,""en"",""ms"")"),"awan")</f>
        <v>awan</v>
      </c>
      <c r="G300" s="4" t="str">
        <f>IFERROR(__xludf.DUMMYFUNCTION("GOOGLETRANSLATE(B300,""en"",""de"")"),"Wolken")</f>
        <v>Wolken</v>
      </c>
      <c r="H300" s="4" t="str">
        <f>IFERROR(__xludf.DUMMYFUNCTION("GOOGLETRANSLATE(B300,""en"",""es"")"),"Nubes")</f>
        <v>Nubes</v>
      </c>
      <c r="I300" s="4" t="str">
        <f>IFERROR(__xludf.DUMMYFUNCTION("GOOGLETRANSLATE(B300,""en"",""fr"")"),"Nuages")</f>
        <v>Nuages</v>
      </c>
      <c r="J300" s="4" t="str">
        <f>IFERROR(__xludf.DUMMYFUNCTION("GOOGLETRANSLATE(B300,""en"",""it"")"),"Nuvole")</f>
        <v>Nuvole</v>
      </c>
      <c r="K300" s="4" t="str">
        <f>IFERROR(__xludf.DUMMYFUNCTION("GOOGLETRANSLATE(B300,""en"",""pt"")"),"Nuvens")</f>
        <v>Nuvens</v>
      </c>
      <c r="L300" s="4" t="str">
        <f>IFERROR(__xludf.DUMMYFUNCTION("GOOGLETRANSLATE(B300,""en"",""ro"")"),"nori")</f>
        <v>nori</v>
      </c>
      <c r="M300" s="4" t="str">
        <f>IFERROR(__xludf.DUMMYFUNCTION("GOOGLETRANSLATE(B300,""en"",""vi"")"),"Mây")</f>
        <v>Mây</v>
      </c>
      <c r="N300" s="4" t="str">
        <f>IFERROR(__xludf.DUMMYFUNCTION("GOOGLETRANSLATE(B300,""en"",""ru"")"),"Облака")</f>
        <v>Облака</v>
      </c>
      <c r="O300" s="4" t="str">
        <f>IFERROR(__xludf.DUMMYFUNCTION("GOOGLETRANSLATE(B300,""en"",""tr"")"),"Bulutlar")</f>
        <v>Bulutlar</v>
      </c>
      <c r="P300" s="4" t="str">
        <f>IFERROR(__xludf.DUMMYFUNCTION("GOOGLETRANSLATE(B300,""en"",""ar"")"),"السحب")</f>
        <v>السحب</v>
      </c>
      <c r="Q300" s="4" t="str">
        <f>IFERROR(__xludf.DUMMYFUNCTION("GOOGLETRANSLATE(B300,""en"",""mr"")"),"ढग")</f>
        <v>ढग</v>
      </c>
      <c r="R300" s="4" t="str">
        <f>IFERROR(__xludf.DUMMYFUNCTION("GOOGLETRANSLATE(B300,""en"",""gu"")"),"વાદળો")</f>
        <v>વાદળો</v>
      </c>
      <c r="S300" s="4" t="str">
        <f>IFERROR(__xludf.DUMMYFUNCTION("GOOGLETRANSLATE(B300,""en"",""bn"")"),"মেঘ")</f>
        <v>মেঘ</v>
      </c>
      <c r="T300" s="4" t="str">
        <f>IFERROR(__xludf.DUMMYFUNCTION("GOOGLETRANSLATE(B300,""en"",""pa"")"),"ਬੱਦਲ")</f>
        <v>ਬੱਦਲ</v>
      </c>
      <c r="U300" s="4" t="str">
        <f>IFERROR(__xludf.DUMMYFUNCTION("GOOGLETRANSLATE(B300,""en"",""te"")"),"మేఘాలు")</f>
        <v>మేఘాలు</v>
      </c>
      <c r="V300" s="4" t="str">
        <f>IFERROR(__xludf.DUMMYFUNCTION("GOOGLETRANSLATE(B300,""en"",""kn"")"),"ಮೋಡಗಳು")</f>
        <v>ಮೋಡಗಳು</v>
      </c>
      <c r="W300" s="4" t="str">
        <f>IFERROR(__xludf.DUMMYFUNCTION("GOOGLETRANSLATE(B300,""en"",""ml"")"),"മേഘങ്ങൾ")</f>
        <v>മേഘങ്ങൾ</v>
      </c>
      <c r="X300" s="4" t="str">
        <f>IFERROR(__xludf.DUMMYFUNCTION("GOOGLETRANSLATE(B300,""en"",""th"")"),"เมฆ")</f>
        <v>เมฆ</v>
      </c>
      <c r="Y300" s="4" t="str">
        <f>IFERROR(__xludf.DUMMYFUNCTION("GOOGLETRANSLATE(B300,""en"",""ko"")"),"구름")</f>
        <v>구름</v>
      </c>
      <c r="Z300" s="4" t="str">
        <f>IFERROR(__xludf.DUMMYFUNCTION("GOOGLETRANSLATE(B300,""en"",""zh"")"),"云")</f>
        <v>云</v>
      </c>
      <c r="AA300" s="4" t="str">
        <f>IFERROR(__xludf.DUMMYFUNCTION("GOOGLETRANSLATE(B300,""en"",""zh-TW"")"),"雲")</f>
        <v>雲</v>
      </c>
      <c r="AB300" s="4" t="str">
        <f>IFERROR(__xludf.DUMMYFUNCTION("GOOGLETRANSLATE(B300,""en"",""ja"")"),"雲")</f>
        <v>雲</v>
      </c>
      <c r="AC300" s="4" t="str">
        <f>IFERROR(__xludf.DUMMYFUNCTION("GOOGLETRANSLATE(B300,""en"",""bg"")"),"Облаци")</f>
        <v>Облаци</v>
      </c>
      <c r="AD300" s="4" t="str">
        <f>IFERROR(__xludf.DUMMYFUNCTION("GOOGLETRANSLATE(B300,""en"",""cs"")"),"Mraky")</f>
        <v>Mraky</v>
      </c>
      <c r="AE300" s="4" t="str">
        <f>IFERROR(__xludf.DUMMYFUNCTION("GOOGLETRANSLATE(B300,""en"",""da"")"),"Skyer")</f>
        <v>Skyer</v>
      </c>
      <c r="AF300" s="4" t="str">
        <f>IFERROR(__xludf.DUMMYFUNCTION("GOOGLETRANSLATE(B300,""en"",""el"")"),"σύννεφα")</f>
        <v>σύννεφα</v>
      </c>
      <c r="AG300" s="4" t="str">
        <f>IFERROR(__xludf.DUMMYFUNCTION("GOOGLETRANSLATE(B300,""en"",""et"")"),"Pilved")</f>
        <v>Pilved</v>
      </c>
      <c r="AH300" s="4" t="str">
        <f>IFERROR(__xludf.DUMMYFUNCTION("GOOGLETRANSLATE(B300,""en"",""fi"")"),"Pilviä")</f>
        <v>Pilviä</v>
      </c>
      <c r="AI300" s="4" t="str">
        <f>IFERROR(__xludf.DUMMYFUNCTION("GOOGLETRANSLATE(B300,""en"",""hr"")"),"Oblaci")</f>
        <v>Oblaci</v>
      </c>
      <c r="AJ300" s="4" t="str">
        <f>IFERROR(__xludf.DUMMYFUNCTION("GOOGLETRANSLATE(B300,""en"",""hu"")"),"Felhők")</f>
        <v>Felhők</v>
      </c>
      <c r="AK300" s="4" t="str">
        <f>IFERROR(__xludf.DUMMYFUNCTION("GOOGLETRANSLATE(B300,""en"",""hy"")"),"Ամպեր")</f>
        <v>Ամպեր</v>
      </c>
      <c r="AL300" s="4" t="str">
        <f>IFERROR(__xludf.DUMMYFUNCTION("GOOGLETRANSLATE(B300,""en"",""ca"")"),"Núvols")</f>
        <v>Núvols</v>
      </c>
      <c r="AM300" s="4" t="str">
        <f>IFERROR(__xludf.DUMMYFUNCTION("GOOGLETRANSLATE(B300,""en"",""nl"")"),"Wolken")</f>
        <v>Wolken</v>
      </c>
      <c r="AN300" s="4" t="str">
        <f>IFERROR(__xludf.DUMMYFUNCTION("GOOGLETRANSLATE(B300,""en"",""he"")"),"עננים")</f>
        <v>עננים</v>
      </c>
      <c r="AO300" s="4" t="str">
        <f>IFERROR(__xludf.DUMMYFUNCTION("GOOGLETRANSLATE(B300,""en"",""is"")"),"Ský")</f>
        <v>Ský</v>
      </c>
      <c r="AP300" s="4" t="str">
        <f>IFERROR(__xludf.DUMMYFUNCTION("GOOGLETRANSLATE(B300,""en"",""no"")"),"Skyer")</f>
        <v>Skyer</v>
      </c>
      <c r="AQ300" s="4" t="str">
        <f>IFERROR(__xludf.DUMMYFUNCTION("GOOGLETRANSLATE(B300,""en"",""fa"")"),"ابرها")</f>
        <v>ابرها</v>
      </c>
      <c r="AR300" s="4" t="str">
        <f>IFERROR(__xludf.DUMMYFUNCTION("GOOGLETRANSLATE(B300,""en"",""pl"")"),"Chmury")</f>
        <v>Chmury</v>
      </c>
      <c r="AS300" s="4" t="str">
        <f>IFERROR(__xludf.DUMMYFUNCTION("GOOGLETRANSLATE(B300,""en"",""sv"")"),"Moln")</f>
        <v>Moln</v>
      </c>
      <c r="AT300" s="4" t="str">
        <f>IFERROR(__xludf.DUMMYFUNCTION("GOOGLETRANSLATE(B300,""en"",""uk"")"),"Хмари")</f>
        <v>Хмари</v>
      </c>
      <c r="AU300" s="4" t="str">
        <f>IFERROR(__xludf.DUMMYFUNCTION("GOOGLETRANSLATE(B300,""en"",""zu"")"),"Amafu")</f>
        <v>Amafu</v>
      </c>
      <c r="AV300" s="4" t="str">
        <f>IFERROR(__xludf.DUMMYFUNCTION("GOOGLETRANSLATE(B300,""en"",""sr"")"),"Облаци")</f>
        <v>Облаци</v>
      </c>
    </row>
    <row r="301">
      <c r="A301" s="3" t="s">
        <v>612</v>
      </c>
      <c r="B301" s="3" t="s">
        <v>613</v>
      </c>
      <c r="C301" s="4" t="str">
        <f>IFERROR(__xludf.DUMMYFUNCTION("GOOGLETRANSLATE(B301,""en"",""ta"")"),"மழை")</f>
        <v>மழை</v>
      </c>
      <c r="D301" s="4" t="str">
        <f>IFERROR(__xludf.DUMMYFUNCTION("GOOGLETRANSLATE(B301,""en"",""hi"")"),"बारिश")</f>
        <v>बारिश</v>
      </c>
      <c r="E301" s="4" t="str">
        <f>IFERROR(__xludf.DUMMYFUNCTION("GOOGLETRANSLATE(B301,""en"",""id"")"),"Hujan")</f>
        <v>Hujan</v>
      </c>
      <c r="F301" s="4" t="str">
        <f>IFERROR(__xludf.DUMMYFUNCTION("GOOGLETRANSLATE(B301,""en"",""ms"")"),"hujan")</f>
        <v>hujan</v>
      </c>
      <c r="G301" s="4" t="str">
        <f>IFERROR(__xludf.DUMMYFUNCTION("GOOGLETRANSLATE(B301,""en"",""de"")"),"Regen")</f>
        <v>Regen</v>
      </c>
      <c r="H301" s="4" t="str">
        <f>IFERROR(__xludf.DUMMYFUNCTION("GOOGLETRANSLATE(B301,""en"",""es"")"),"Lluvia")</f>
        <v>Lluvia</v>
      </c>
      <c r="I301" s="4" t="str">
        <f>IFERROR(__xludf.DUMMYFUNCTION("GOOGLETRANSLATE(B301,""en"",""fr"")"),"Pluie")</f>
        <v>Pluie</v>
      </c>
      <c r="J301" s="4" t="str">
        <f>IFERROR(__xludf.DUMMYFUNCTION("GOOGLETRANSLATE(B301,""en"",""it"")"),"Piovere")</f>
        <v>Piovere</v>
      </c>
      <c r="K301" s="4" t="str">
        <f>IFERROR(__xludf.DUMMYFUNCTION("GOOGLETRANSLATE(B301,""en"",""pt"")"),"Chuva")</f>
        <v>Chuva</v>
      </c>
      <c r="L301" s="4" t="str">
        <f>IFERROR(__xludf.DUMMYFUNCTION("GOOGLETRANSLATE(B301,""en"",""ro"")"),"Ploaie")</f>
        <v>Ploaie</v>
      </c>
      <c r="M301" s="4" t="str">
        <f>IFERROR(__xludf.DUMMYFUNCTION("GOOGLETRANSLATE(B301,""en"",""vi"")"),"Cơn mưa")</f>
        <v>Cơn mưa</v>
      </c>
      <c r="N301" s="4" t="str">
        <f>IFERROR(__xludf.DUMMYFUNCTION("GOOGLETRANSLATE(B301,""en"",""ru"")"),"Дождь")</f>
        <v>Дождь</v>
      </c>
      <c r="O301" s="4" t="str">
        <f>IFERROR(__xludf.DUMMYFUNCTION("GOOGLETRANSLATE(B301,""en"",""tr"")"),"Yağmur")</f>
        <v>Yağmur</v>
      </c>
      <c r="P301" s="4" t="str">
        <f>IFERROR(__xludf.DUMMYFUNCTION("GOOGLETRANSLATE(B301,""en"",""ar"")"),"مطر")</f>
        <v>مطر</v>
      </c>
      <c r="Q301" s="4" t="str">
        <f>IFERROR(__xludf.DUMMYFUNCTION("GOOGLETRANSLATE(B301,""en"",""mr"")"),"पाऊस")</f>
        <v>पाऊस</v>
      </c>
      <c r="R301" s="4" t="str">
        <f>IFERROR(__xludf.DUMMYFUNCTION("GOOGLETRANSLATE(B301,""en"",""gu"")"),"વરસાદ")</f>
        <v>વરસાદ</v>
      </c>
      <c r="S301" s="4" t="str">
        <f>IFERROR(__xludf.DUMMYFUNCTION("GOOGLETRANSLATE(B301,""en"",""bn"")"),"বৃষ্টি")</f>
        <v>বৃষ্টি</v>
      </c>
      <c r="T301" s="4" t="str">
        <f>IFERROR(__xludf.DUMMYFUNCTION("GOOGLETRANSLATE(B301,""en"",""pa"")"),"ਮੀਂਹ")</f>
        <v>ਮੀਂਹ</v>
      </c>
      <c r="U301" s="4" t="str">
        <f>IFERROR(__xludf.DUMMYFUNCTION("GOOGLETRANSLATE(B301,""en"",""te"")"),"వర్షం")</f>
        <v>వర్షం</v>
      </c>
      <c r="V301" s="4" t="str">
        <f>IFERROR(__xludf.DUMMYFUNCTION("GOOGLETRANSLATE(B301,""en"",""kn"")"),"ಮಳೆ")</f>
        <v>ಮಳೆ</v>
      </c>
      <c r="W301" s="4" t="str">
        <f>IFERROR(__xludf.DUMMYFUNCTION("GOOGLETRANSLATE(B301,""en"",""ml"")"),"മഴ")</f>
        <v>മഴ</v>
      </c>
      <c r="X301" s="4" t="str">
        <f>IFERROR(__xludf.DUMMYFUNCTION("GOOGLETRANSLATE(B301,""en"",""th"")"),"ฝน")</f>
        <v>ฝน</v>
      </c>
      <c r="Y301" s="4" t="str">
        <f>IFERROR(__xludf.DUMMYFUNCTION("GOOGLETRANSLATE(B301,""en"",""ko"")"),"비")</f>
        <v>비</v>
      </c>
      <c r="Z301" s="4" t="str">
        <f>IFERROR(__xludf.DUMMYFUNCTION("GOOGLETRANSLATE(B301,""en"",""zh"")"),"雨")</f>
        <v>雨</v>
      </c>
      <c r="AA301" s="4" t="str">
        <f>IFERROR(__xludf.DUMMYFUNCTION("GOOGLETRANSLATE(B301,""en"",""zh-TW"")"),"雨")</f>
        <v>雨</v>
      </c>
      <c r="AB301" s="4" t="str">
        <f>IFERROR(__xludf.DUMMYFUNCTION("GOOGLETRANSLATE(B301,""en"",""ja"")"),"雨")</f>
        <v>雨</v>
      </c>
      <c r="AC301" s="4" t="str">
        <f>IFERROR(__xludf.DUMMYFUNCTION("GOOGLETRANSLATE(B301,""en"",""bg"")"),"дъжд")</f>
        <v>дъжд</v>
      </c>
      <c r="AD301" s="4" t="str">
        <f>IFERROR(__xludf.DUMMYFUNCTION("GOOGLETRANSLATE(B301,""en"",""cs"")"),"Déšť")</f>
        <v>Déšť</v>
      </c>
      <c r="AE301" s="4" t="str">
        <f>IFERROR(__xludf.DUMMYFUNCTION("GOOGLETRANSLATE(B301,""en"",""da"")"),"Regn")</f>
        <v>Regn</v>
      </c>
      <c r="AF301" s="4" t="str">
        <f>IFERROR(__xludf.DUMMYFUNCTION("GOOGLETRANSLATE(B301,""en"",""el"")"),"Βροχή")</f>
        <v>Βροχή</v>
      </c>
      <c r="AG301" s="4" t="str">
        <f>IFERROR(__xludf.DUMMYFUNCTION("GOOGLETRANSLATE(B301,""en"",""et"")"),"Vihma")</f>
        <v>Vihma</v>
      </c>
      <c r="AH301" s="4" t="str">
        <f>IFERROR(__xludf.DUMMYFUNCTION("GOOGLETRANSLATE(B301,""en"",""fi"")"),"Sade")</f>
        <v>Sade</v>
      </c>
      <c r="AI301" s="4" t="str">
        <f>IFERROR(__xludf.DUMMYFUNCTION("GOOGLETRANSLATE(B301,""en"",""hr"")"),"Kiša")</f>
        <v>Kiša</v>
      </c>
      <c r="AJ301" s="4" t="str">
        <f>IFERROR(__xludf.DUMMYFUNCTION("GOOGLETRANSLATE(B301,""en"",""hu"")"),"Eső")</f>
        <v>Eső</v>
      </c>
      <c r="AK301" s="4" t="str">
        <f>IFERROR(__xludf.DUMMYFUNCTION("GOOGLETRANSLATE(B301,""en"",""hy"")"),"Անձրև")</f>
        <v>Անձրև</v>
      </c>
      <c r="AL301" s="4" t="str">
        <f>IFERROR(__xludf.DUMMYFUNCTION("GOOGLETRANSLATE(B301,""en"",""ca"")"),"Pluja")</f>
        <v>Pluja</v>
      </c>
      <c r="AM301" s="4" t="str">
        <f>IFERROR(__xludf.DUMMYFUNCTION("GOOGLETRANSLATE(B301,""en"",""nl"")"),"Regen")</f>
        <v>Regen</v>
      </c>
      <c r="AN301" s="4" t="str">
        <f>IFERROR(__xludf.DUMMYFUNCTION("GOOGLETRANSLATE(B301,""en"",""he"")"),"גֶשֶׁם")</f>
        <v>גֶשֶׁם</v>
      </c>
      <c r="AO301" s="4" t="str">
        <f>IFERROR(__xludf.DUMMYFUNCTION("GOOGLETRANSLATE(B301,""en"",""is"")"),"Rigning")</f>
        <v>Rigning</v>
      </c>
      <c r="AP301" s="4" t="str">
        <f>IFERROR(__xludf.DUMMYFUNCTION("GOOGLETRANSLATE(B301,""en"",""no"")"),"Regn")</f>
        <v>Regn</v>
      </c>
      <c r="AQ301" s="4" t="str">
        <f>IFERROR(__xludf.DUMMYFUNCTION("GOOGLETRANSLATE(B301,""en"",""fa"")"),"باران")</f>
        <v>باران</v>
      </c>
      <c r="AR301" s="4" t="str">
        <f>IFERROR(__xludf.DUMMYFUNCTION("GOOGLETRANSLATE(B301,""en"",""pl"")"),"Deszcz")</f>
        <v>Deszcz</v>
      </c>
      <c r="AS301" s="4" t="str">
        <f>IFERROR(__xludf.DUMMYFUNCTION("GOOGLETRANSLATE(B301,""en"",""sv"")"),"Regn")</f>
        <v>Regn</v>
      </c>
      <c r="AT301" s="4" t="str">
        <f>IFERROR(__xludf.DUMMYFUNCTION("GOOGLETRANSLATE(B301,""en"",""uk"")"),"Дощ")</f>
        <v>Дощ</v>
      </c>
      <c r="AU301" s="4" t="str">
        <f>IFERROR(__xludf.DUMMYFUNCTION("GOOGLETRANSLATE(B301,""en"",""zu"")"),"Imvula")</f>
        <v>Imvula</v>
      </c>
      <c r="AV301" s="4" t="str">
        <f>IFERROR(__xludf.DUMMYFUNCTION("GOOGLETRANSLATE(B301,""en"",""sr"")"),"Киша")</f>
        <v>Киша</v>
      </c>
    </row>
    <row r="302">
      <c r="A302" s="3" t="s">
        <v>614</v>
      </c>
      <c r="B302" s="3" t="s">
        <v>615</v>
      </c>
      <c r="C302" s="4" t="str">
        <f>IFERROR(__xludf.DUMMYFUNCTION("GOOGLETRANSLATE(B302,""en"",""ta"")"),"பனி")</f>
        <v>பனி</v>
      </c>
      <c r="D302" s="4" t="str">
        <f>IFERROR(__xludf.DUMMYFUNCTION("GOOGLETRANSLATE(B302,""en"",""hi"")"),"बर्फ")</f>
        <v>बर्फ</v>
      </c>
      <c r="E302" s="4" t="str">
        <f>IFERROR(__xludf.DUMMYFUNCTION("GOOGLETRANSLATE(B302,""en"",""id"")"),"Salju")</f>
        <v>Salju</v>
      </c>
      <c r="F302" s="4" t="str">
        <f>IFERROR(__xludf.DUMMYFUNCTION("GOOGLETRANSLATE(B302,""en"",""ms"")"),"salji")</f>
        <v>salji</v>
      </c>
      <c r="G302" s="4" t="str">
        <f>IFERROR(__xludf.DUMMYFUNCTION("GOOGLETRANSLATE(B302,""en"",""de"")"),"Schnee")</f>
        <v>Schnee</v>
      </c>
      <c r="H302" s="4" t="str">
        <f>IFERROR(__xludf.DUMMYFUNCTION("GOOGLETRANSLATE(B302,""en"",""es"")"),"Nieve")</f>
        <v>Nieve</v>
      </c>
      <c r="I302" s="4" t="str">
        <f>IFERROR(__xludf.DUMMYFUNCTION("GOOGLETRANSLATE(B302,""en"",""fr"")"),"Neige")</f>
        <v>Neige</v>
      </c>
      <c r="J302" s="4" t="str">
        <f>IFERROR(__xludf.DUMMYFUNCTION("GOOGLETRANSLATE(B302,""en"",""it"")"),"Nevicare")</f>
        <v>Nevicare</v>
      </c>
      <c r="K302" s="4" t="str">
        <f>IFERROR(__xludf.DUMMYFUNCTION("GOOGLETRANSLATE(B302,""en"",""pt"")"),"Neve")</f>
        <v>Neve</v>
      </c>
      <c r="L302" s="4" t="str">
        <f>IFERROR(__xludf.DUMMYFUNCTION("GOOGLETRANSLATE(B302,""en"",""ro"")"),"Zăpadă")</f>
        <v>Zăpadă</v>
      </c>
      <c r="M302" s="4" t="str">
        <f>IFERROR(__xludf.DUMMYFUNCTION("GOOGLETRANSLATE(B302,""en"",""vi"")"),"Tuyết")</f>
        <v>Tuyết</v>
      </c>
      <c r="N302" s="4" t="str">
        <f>IFERROR(__xludf.DUMMYFUNCTION("GOOGLETRANSLATE(B302,""en"",""ru"")"),"Снег")</f>
        <v>Снег</v>
      </c>
      <c r="O302" s="4" t="str">
        <f>IFERROR(__xludf.DUMMYFUNCTION("GOOGLETRANSLATE(B302,""en"",""tr"")"),"Kar")</f>
        <v>Kar</v>
      </c>
      <c r="P302" s="4" t="str">
        <f>IFERROR(__xludf.DUMMYFUNCTION("GOOGLETRANSLATE(B302,""en"",""ar"")"),"الثلج")</f>
        <v>الثلج</v>
      </c>
      <c r="Q302" s="4" t="str">
        <f>IFERROR(__xludf.DUMMYFUNCTION("GOOGLETRANSLATE(B302,""en"",""mr"")"),"बर्फ")</f>
        <v>बर्फ</v>
      </c>
      <c r="R302" s="4" t="str">
        <f>IFERROR(__xludf.DUMMYFUNCTION("GOOGLETRANSLATE(B302,""en"",""gu"")"),"સ્નો")</f>
        <v>સ્નો</v>
      </c>
      <c r="S302" s="4" t="str">
        <f>IFERROR(__xludf.DUMMYFUNCTION("GOOGLETRANSLATE(B302,""en"",""bn"")"),"তুষার")</f>
        <v>তুষার</v>
      </c>
      <c r="T302" s="4" t="str">
        <f>IFERROR(__xludf.DUMMYFUNCTION("GOOGLETRANSLATE(B302,""en"",""pa"")"),"ਬਰਫ਼")</f>
        <v>ਬਰਫ਼</v>
      </c>
      <c r="U302" s="4" t="str">
        <f>IFERROR(__xludf.DUMMYFUNCTION("GOOGLETRANSLATE(B302,""en"",""te"")"),"మంచు")</f>
        <v>మంచు</v>
      </c>
      <c r="V302" s="4" t="str">
        <f>IFERROR(__xludf.DUMMYFUNCTION("GOOGLETRANSLATE(B302,""en"",""kn"")"),"ಹಿಮ")</f>
        <v>ಹಿಮ</v>
      </c>
      <c r="W302" s="4" t="str">
        <f>IFERROR(__xludf.DUMMYFUNCTION("GOOGLETRANSLATE(B302,""en"",""ml"")"),"മഞ്ഞ്")</f>
        <v>മഞ്ഞ്</v>
      </c>
      <c r="X302" s="4" t="str">
        <f>IFERROR(__xludf.DUMMYFUNCTION("GOOGLETRANSLATE(B302,""en"",""th"")"),"หิมะ")</f>
        <v>หิมะ</v>
      </c>
      <c r="Y302" s="4" t="str">
        <f>IFERROR(__xludf.DUMMYFUNCTION("GOOGLETRANSLATE(B302,""en"",""ko"")"),"눈")</f>
        <v>눈</v>
      </c>
      <c r="Z302" s="4" t="str">
        <f>IFERROR(__xludf.DUMMYFUNCTION("GOOGLETRANSLATE(B302,""en"",""zh"")"),"雪")</f>
        <v>雪</v>
      </c>
      <c r="AA302" s="4" t="str">
        <f>IFERROR(__xludf.DUMMYFUNCTION("GOOGLETRANSLATE(B302,""en"",""zh-TW"")"),"雪")</f>
        <v>雪</v>
      </c>
      <c r="AB302" s="4" t="str">
        <f>IFERROR(__xludf.DUMMYFUNCTION("GOOGLETRANSLATE(B302,""en"",""ja"")"),"雪")</f>
        <v>雪</v>
      </c>
      <c r="AC302" s="4" t="str">
        <f>IFERROR(__xludf.DUMMYFUNCTION("GOOGLETRANSLATE(B302,""en"",""bg"")"),"сняг")</f>
        <v>сняг</v>
      </c>
      <c r="AD302" s="4" t="str">
        <f>IFERROR(__xludf.DUMMYFUNCTION("GOOGLETRANSLATE(B302,""en"",""cs"")"),"Sněžení")</f>
        <v>Sněžení</v>
      </c>
      <c r="AE302" s="4" t="str">
        <f>IFERROR(__xludf.DUMMYFUNCTION("GOOGLETRANSLATE(B302,""en"",""da"")"),"Sne")</f>
        <v>Sne</v>
      </c>
      <c r="AF302" s="4" t="str">
        <f>IFERROR(__xludf.DUMMYFUNCTION("GOOGLETRANSLATE(B302,""en"",""el"")"),"Χιόνι")</f>
        <v>Χιόνι</v>
      </c>
      <c r="AG302" s="4" t="str">
        <f>IFERROR(__xludf.DUMMYFUNCTION("GOOGLETRANSLATE(B302,""en"",""et"")"),"Lumi")</f>
        <v>Lumi</v>
      </c>
      <c r="AH302" s="4" t="str">
        <f>IFERROR(__xludf.DUMMYFUNCTION("GOOGLETRANSLATE(B302,""en"",""fi"")"),"Lumi")</f>
        <v>Lumi</v>
      </c>
      <c r="AI302" s="4" t="str">
        <f>IFERROR(__xludf.DUMMYFUNCTION("GOOGLETRANSLATE(B302,""en"",""hr"")"),"Snijeg")</f>
        <v>Snijeg</v>
      </c>
      <c r="AJ302" s="4" t="str">
        <f>IFERROR(__xludf.DUMMYFUNCTION("GOOGLETRANSLATE(B302,""en"",""hu"")"),"Hó")</f>
        <v>Hó</v>
      </c>
      <c r="AK302" s="4" t="str">
        <f>IFERROR(__xludf.DUMMYFUNCTION("GOOGLETRANSLATE(B302,""en"",""hy"")"),"Ձյուն")</f>
        <v>Ձյուն</v>
      </c>
      <c r="AL302" s="4" t="str">
        <f>IFERROR(__xludf.DUMMYFUNCTION("GOOGLETRANSLATE(B302,""en"",""ca"")"),"Neu")</f>
        <v>Neu</v>
      </c>
      <c r="AM302" s="4" t="str">
        <f>IFERROR(__xludf.DUMMYFUNCTION("GOOGLETRANSLATE(B302,""en"",""nl"")"),"Sneeuw")</f>
        <v>Sneeuw</v>
      </c>
      <c r="AN302" s="4" t="str">
        <f>IFERROR(__xludf.DUMMYFUNCTION("GOOGLETRANSLATE(B302,""en"",""he"")"),"שֶׁלֶג")</f>
        <v>שֶׁלֶג</v>
      </c>
      <c r="AO302" s="4" t="str">
        <f>IFERROR(__xludf.DUMMYFUNCTION("GOOGLETRANSLATE(B302,""en"",""is"")"),"Snjór")</f>
        <v>Snjór</v>
      </c>
      <c r="AP302" s="4" t="str">
        <f>IFERROR(__xludf.DUMMYFUNCTION("GOOGLETRANSLATE(B302,""en"",""no"")"),"Snø")</f>
        <v>Snø</v>
      </c>
      <c r="AQ302" s="4" t="str">
        <f>IFERROR(__xludf.DUMMYFUNCTION("GOOGLETRANSLATE(B302,""en"",""fa"")"),"برف")</f>
        <v>برف</v>
      </c>
      <c r="AR302" s="4" t="str">
        <f>IFERROR(__xludf.DUMMYFUNCTION("GOOGLETRANSLATE(B302,""en"",""pl"")"),"Śnieg")</f>
        <v>Śnieg</v>
      </c>
      <c r="AS302" s="4" t="str">
        <f>IFERROR(__xludf.DUMMYFUNCTION("GOOGLETRANSLATE(B302,""en"",""sv"")"),"Snö")</f>
        <v>Snö</v>
      </c>
      <c r="AT302" s="4" t="str">
        <f>IFERROR(__xludf.DUMMYFUNCTION("GOOGLETRANSLATE(B302,""en"",""uk"")"),"сніг")</f>
        <v>сніг</v>
      </c>
      <c r="AU302" s="4" t="str">
        <f>IFERROR(__xludf.DUMMYFUNCTION("GOOGLETRANSLATE(B302,""en"",""zu"")"),"Isithwathwa")</f>
        <v>Isithwathwa</v>
      </c>
      <c r="AV302" s="4" t="str">
        <f>IFERROR(__xludf.DUMMYFUNCTION("GOOGLETRANSLATE(B302,""en"",""sr"")"),"Снег")</f>
        <v>Снег</v>
      </c>
    </row>
    <row r="303">
      <c r="A303" s="3" t="s">
        <v>616</v>
      </c>
      <c r="B303" s="3" t="s">
        <v>119</v>
      </c>
      <c r="C303" s="4" t="str">
        <f>IFERROR(__xludf.DUMMYFUNCTION("GOOGLETRANSLATE(B303,""en"",""ta"")"),"UV குறியீடு")</f>
        <v>UV குறியீடு</v>
      </c>
      <c r="D303" s="4" t="str">
        <f>IFERROR(__xludf.DUMMYFUNCTION("GOOGLETRANSLATE(B303,""en"",""hi"")"),"यूवी सूचकांक")</f>
        <v>यूवी सूचकांक</v>
      </c>
      <c r="E303" s="4" t="str">
        <f>IFERROR(__xludf.DUMMYFUNCTION("GOOGLETRANSLATE(B303,""en"",""id"")"),"Indeks UV")</f>
        <v>Indeks UV</v>
      </c>
      <c r="F303" s="4" t="str">
        <f>IFERROR(__xludf.DUMMYFUNCTION("GOOGLETRANSLATE(B303,""en"",""ms"")"),"Indeks UV")</f>
        <v>Indeks UV</v>
      </c>
      <c r="G303" s="4" t="str">
        <f>IFERROR(__xludf.DUMMYFUNCTION("GOOGLETRANSLATE(B303,""en"",""de"")"),"UV-Index")</f>
        <v>UV-Index</v>
      </c>
      <c r="H303" s="4" t="str">
        <f>IFERROR(__xludf.DUMMYFUNCTION("GOOGLETRANSLATE(B303,""en"",""es"")"),"Índice UV")</f>
        <v>Índice UV</v>
      </c>
      <c r="I303" s="4" t="str">
        <f>IFERROR(__xludf.DUMMYFUNCTION("GOOGLETRANSLATE(B303,""en"",""fr"")"),"Indice UV")</f>
        <v>Indice UV</v>
      </c>
      <c r="J303" s="4" t="str">
        <f>IFERROR(__xludf.DUMMYFUNCTION("GOOGLETRANSLATE(B303,""en"",""it"")"),"Indice UV")</f>
        <v>Indice UV</v>
      </c>
      <c r="K303" s="4" t="str">
        <f>IFERROR(__xludf.DUMMYFUNCTION("GOOGLETRANSLATE(B303,""en"",""pt"")"),"Índice UV")</f>
        <v>Índice UV</v>
      </c>
      <c r="L303" s="4" t="str">
        <f>IFERROR(__xludf.DUMMYFUNCTION("GOOGLETRANSLATE(B303,""en"",""ro"")"),"Index UV")</f>
        <v>Index UV</v>
      </c>
      <c r="M303" s="4" t="str">
        <f>IFERROR(__xludf.DUMMYFUNCTION("GOOGLETRANSLATE(B303,""en"",""vi"")"),"Chỉ số UV")</f>
        <v>Chỉ số UV</v>
      </c>
      <c r="N303" s="4" t="str">
        <f>IFERROR(__xludf.DUMMYFUNCTION("GOOGLETRANSLATE(B303,""en"",""ru"")"),"УФ-индекс")</f>
        <v>УФ-индекс</v>
      </c>
      <c r="O303" s="4" t="str">
        <f>IFERROR(__xludf.DUMMYFUNCTION("GOOGLETRANSLATE(B303,""en"",""tr"")"),"UV İndeksi")</f>
        <v>UV İndeksi</v>
      </c>
      <c r="P303" s="4" t="str">
        <f>IFERROR(__xludf.DUMMYFUNCTION("GOOGLETRANSLATE(B303,""en"",""ar"")"),"مؤشر الأشعة فوق البنفسجية")</f>
        <v>مؤشر الأشعة فوق البنفسجية</v>
      </c>
      <c r="Q303" s="4" t="str">
        <f>IFERROR(__xludf.DUMMYFUNCTION("GOOGLETRANSLATE(B303,""en"",""mr"")"),"अतिनील निर्देशांक")</f>
        <v>अतिनील निर्देशांक</v>
      </c>
      <c r="R303" s="4" t="str">
        <f>IFERROR(__xludf.DUMMYFUNCTION("GOOGLETRANSLATE(B303,""en"",""gu"")"),"યુવી ઇન્ડેક્સ")</f>
        <v>યુવી ઇન્ડેક્સ</v>
      </c>
      <c r="S303" s="4" t="str">
        <f>IFERROR(__xludf.DUMMYFUNCTION("GOOGLETRANSLATE(B303,""en"",""bn"")"),"UV সূচক")</f>
        <v>UV সূচক</v>
      </c>
      <c r="T303" s="4" t="str">
        <f>IFERROR(__xludf.DUMMYFUNCTION("GOOGLETRANSLATE(B303,""en"",""pa"")"),"ਯੂਵੀ ਇੰਡੈਕਸ")</f>
        <v>ਯੂਵੀ ਇੰਡੈਕਸ</v>
      </c>
      <c r="U303" s="4" t="str">
        <f>IFERROR(__xludf.DUMMYFUNCTION("GOOGLETRANSLATE(B303,""en"",""te"")"),"UV సూచిక")</f>
        <v>UV సూచిక</v>
      </c>
      <c r="V303" s="4" t="str">
        <f>IFERROR(__xludf.DUMMYFUNCTION("GOOGLETRANSLATE(B303,""en"",""kn"")"),"ಯುವಿ ಸೂಚ್ಯಂಕ")</f>
        <v>ಯುವಿ ಸೂಚ್ಯಂಕ</v>
      </c>
      <c r="W303" s="4" t="str">
        <f>IFERROR(__xludf.DUMMYFUNCTION("GOOGLETRANSLATE(B303,""en"",""ml"")"),"യുവി സൂചിക")</f>
        <v>യുവി സൂചിക</v>
      </c>
      <c r="X303" s="4" t="str">
        <f>IFERROR(__xludf.DUMMYFUNCTION("GOOGLETRANSLATE(B303,""en"",""th"")"),"ดัชนี UV")</f>
        <v>ดัชนี UV</v>
      </c>
      <c r="Y303" s="4" t="str">
        <f>IFERROR(__xludf.DUMMYFUNCTION("GOOGLETRANSLATE(B303,""en"",""ko"")"),"자외선 지수")</f>
        <v>자외선 지수</v>
      </c>
      <c r="Z303" s="4" t="str">
        <f>IFERROR(__xludf.DUMMYFUNCTION("GOOGLETRANSLATE(B303,""en"",""zh"")"),"紫外线指数")</f>
        <v>紫外线指数</v>
      </c>
      <c r="AA303" s="4" t="str">
        <f>IFERROR(__xludf.DUMMYFUNCTION("GOOGLETRANSLATE(B303,""en"",""zh-TW"")"),"紫外線指數")</f>
        <v>紫外線指數</v>
      </c>
      <c r="AB303" s="4" t="str">
        <f>IFERROR(__xludf.DUMMYFUNCTION("GOOGLETRANSLATE(B303,""en"",""ja"")"),"UVインデックス")</f>
        <v>UVインデックス</v>
      </c>
      <c r="AC303" s="4" t="str">
        <f>IFERROR(__xludf.DUMMYFUNCTION("GOOGLETRANSLATE(B303,""en"",""bg"")"),"UV индекс")</f>
        <v>UV индекс</v>
      </c>
      <c r="AD303" s="4" t="str">
        <f>IFERROR(__xludf.DUMMYFUNCTION("GOOGLETRANSLATE(B303,""en"",""cs"")"),"UV index")</f>
        <v>UV index</v>
      </c>
      <c r="AE303" s="4" t="str">
        <f>IFERROR(__xludf.DUMMYFUNCTION("GOOGLETRANSLATE(B303,""en"",""da"")"),"UV-indeks")</f>
        <v>UV-indeks</v>
      </c>
      <c r="AF303" s="4" t="str">
        <f>IFERROR(__xludf.DUMMYFUNCTION("GOOGLETRANSLATE(B303,""en"",""el"")"),"Δείκτης UV")</f>
        <v>Δείκτης UV</v>
      </c>
      <c r="AG303" s="4" t="str">
        <f>IFERROR(__xludf.DUMMYFUNCTION("GOOGLETRANSLATE(B303,""en"",""et"")"),"UV-indeks")</f>
        <v>UV-indeks</v>
      </c>
      <c r="AH303" s="4" t="str">
        <f>IFERROR(__xludf.DUMMYFUNCTION("GOOGLETRANSLATE(B303,""en"",""fi"")"),"UV-indeksi")</f>
        <v>UV-indeksi</v>
      </c>
      <c r="AI303" s="4" t="str">
        <f>IFERROR(__xludf.DUMMYFUNCTION("GOOGLETRANSLATE(B303,""en"",""hr"")"),"UV indeks")</f>
        <v>UV indeks</v>
      </c>
      <c r="AJ303" s="4" t="str">
        <f>IFERROR(__xludf.DUMMYFUNCTION("GOOGLETRANSLATE(B303,""en"",""hu"")"),"UV-index")</f>
        <v>UV-index</v>
      </c>
      <c r="AK303" s="4" t="str">
        <f>IFERROR(__xludf.DUMMYFUNCTION("GOOGLETRANSLATE(B303,""en"",""hy"")"),"Ուլտրամանուշակագույն ինդեքս")</f>
        <v>Ուլտրամանուշակագույն ինդեքս</v>
      </c>
      <c r="AL303" s="4" t="str">
        <f>IFERROR(__xludf.DUMMYFUNCTION("GOOGLETRANSLATE(B303,""en"",""ca"")"),"Índex UV")</f>
        <v>Índex UV</v>
      </c>
      <c r="AM303" s="4" t="str">
        <f>IFERROR(__xludf.DUMMYFUNCTION("GOOGLETRANSLATE(B303,""en"",""nl"")"),"UV-index")</f>
        <v>UV-index</v>
      </c>
      <c r="AN303" s="4" t="str">
        <f>IFERROR(__xludf.DUMMYFUNCTION("GOOGLETRANSLATE(B303,""en"",""he"")"),"אינדקס UV")</f>
        <v>אינדקס UV</v>
      </c>
      <c r="AO303" s="4" t="str">
        <f>IFERROR(__xludf.DUMMYFUNCTION("GOOGLETRANSLATE(B303,""en"",""is"")"),"UV vísitala")</f>
        <v>UV vísitala</v>
      </c>
      <c r="AP303" s="4" t="str">
        <f>IFERROR(__xludf.DUMMYFUNCTION("GOOGLETRANSLATE(B303,""en"",""no"")"),"UV-indeks")</f>
        <v>UV-indeks</v>
      </c>
      <c r="AQ303" s="4" t="str">
        <f>IFERROR(__xludf.DUMMYFUNCTION("GOOGLETRANSLATE(B303,""en"",""fa"")"),"شاخص UV")</f>
        <v>شاخص UV</v>
      </c>
      <c r="AR303" s="4" t="str">
        <f>IFERROR(__xludf.DUMMYFUNCTION("GOOGLETRANSLATE(B303,""en"",""pl"")"),"Indeks UV")</f>
        <v>Indeks UV</v>
      </c>
      <c r="AS303" s="4" t="str">
        <f>IFERROR(__xludf.DUMMYFUNCTION("GOOGLETRANSLATE(B303,""en"",""sv"")"),"UV-index")</f>
        <v>UV-index</v>
      </c>
      <c r="AT303" s="4" t="str">
        <f>IFERROR(__xludf.DUMMYFUNCTION("GOOGLETRANSLATE(B303,""en"",""uk"")"),"УФ-індекс")</f>
        <v>УФ-індекс</v>
      </c>
      <c r="AU303" s="4" t="str">
        <f>IFERROR(__xludf.DUMMYFUNCTION("GOOGLETRANSLATE(B303,""en"",""zu"")"),"I-UV Index")</f>
        <v>I-UV Index</v>
      </c>
      <c r="AV303" s="4" t="str">
        <f>IFERROR(__xludf.DUMMYFUNCTION("GOOGLETRANSLATE(B303,""en"",""sr"")"),"УВ индекс")</f>
        <v>УВ индекс</v>
      </c>
    </row>
    <row r="304">
      <c r="A304" s="3" t="s">
        <v>617</v>
      </c>
      <c r="B304" s="3" t="s">
        <v>618</v>
      </c>
      <c r="C304" s="4" t="str">
        <f>IFERROR(__xludf.DUMMYFUNCTION("GOOGLETRANSLATE(B304,""en"",""ta"")"),"காற்றின் தரம்")</f>
        <v>காற்றின் தரம்</v>
      </c>
      <c r="D304" s="4" t="str">
        <f>IFERROR(__xludf.DUMMYFUNCTION("GOOGLETRANSLATE(B304,""en"",""hi"")"),"वायु गुणवत्ता")</f>
        <v>वायु गुणवत्ता</v>
      </c>
      <c r="E304" s="4" t="str">
        <f>IFERROR(__xludf.DUMMYFUNCTION("GOOGLETRANSLATE(B304,""en"",""id"")"),"Kualitas Udara")</f>
        <v>Kualitas Udara</v>
      </c>
      <c r="F304" s="4" t="str">
        <f>IFERROR(__xludf.DUMMYFUNCTION("GOOGLETRANSLATE(B304,""en"",""ms"")"),"Kualiti Udara")</f>
        <v>Kualiti Udara</v>
      </c>
      <c r="G304" s="4" t="str">
        <f>IFERROR(__xludf.DUMMYFUNCTION("GOOGLETRANSLATE(B304,""en"",""de"")"),"Luftqualität")</f>
        <v>Luftqualität</v>
      </c>
      <c r="H304" s="4" t="str">
        <f>IFERROR(__xludf.DUMMYFUNCTION("GOOGLETRANSLATE(B304,""en"",""es"")"),"Calidad del aire")</f>
        <v>Calidad del aire</v>
      </c>
      <c r="I304" s="4" t="str">
        <f>IFERROR(__xludf.DUMMYFUNCTION("GOOGLETRANSLATE(B304,""en"",""fr"")"),"Qualité de l'air")</f>
        <v>Qualité de l'air</v>
      </c>
      <c r="J304" s="4" t="str">
        <f>IFERROR(__xludf.DUMMYFUNCTION("GOOGLETRANSLATE(B304,""en"",""it"")"),"Qualità dell'aria")</f>
        <v>Qualità dell'aria</v>
      </c>
      <c r="K304" s="4" t="str">
        <f>IFERROR(__xludf.DUMMYFUNCTION("GOOGLETRANSLATE(B304,""en"",""pt"")"),"Qualidade do ar")</f>
        <v>Qualidade do ar</v>
      </c>
      <c r="L304" s="4" t="str">
        <f>IFERROR(__xludf.DUMMYFUNCTION("GOOGLETRANSLATE(B304,""en"",""ro"")"),"Calitatea aerului")</f>
        <v>Calitatea aerului</v>
      </c>
      <c r="M304" s="4" t="str">
        <f>IFERROR(__xludf.DUMMYFUNCTION("GOOGLETRANSLATE(B304,""en"",""vi"")"),"Chất lượng không khí")</f>
        <v>Chất lượng không khí</v>
      </c>
      <c r="N304" s="4" t="str">
        <f>IFERROR(__xludf.DUMMYFUNCTION("GOOGLETRANSLATE(B304,""en"",""ru"")"),"Качество воздуха")</f>
        <v>Качество воздуха</v>
      </c>
      <c r="O304" s="4" t="str">
        <f>IFERROR(__xludf.DUMMYFUNCTION("GOOGLETRANSLATE(B304,""en"",""tr"")"),"Hava Kalitesi")</f>
        <v>Hava Kalitesi</v>
      </c>
      <c r="P304" s="4" t="str">
        <f>IFERROR(__xludf.DUMMYFUNCTION("GOOGLETRANSLATE(B304,""en"",""ar"")"),"جودة الهواء")</f>
        <v>جودة الهواء</v>
      </c>
      <c r="Q304" s="4" t="str">
        <f>IFERROR(__xludf.DUMMYFUNCTION("GOOGLETRANSLATE(B304,""en"",""mr"")"),"हवेची गुणवत्ता")</f>
        <v>हवेची गुणवत्ता</v>
      </c>
      <c r="R304" s="4" t="str">
        <f>IFERROR(__xludf.DUMMYFUNCTION("GOOGLETRANSLATE(B304,""en"",""gu"")"),"હવાની ગુણવત્તા")</f>
        <v>હવાની ગુણવત્તા</v>
      </c>
      <c r="S304" s="4" t="str">
        <f>IFERROR(__xludf.DUMMYFUNCTION("GOOGLETRANSLATE(B304,""en"",""bn"")"),"বায়ুর গুণমান")</f>
        <v>বায়ুর গুণমান</v>
      </c>
      <c r="T304" s="4" t="str">
        <f>IFERROR(__xludf.DUMMYFUNCTION("GOOGLETRANSLATE(B304,""en"",""pa"")"),"ਹਵਾ ਦੀ ਗੁਣਵੱਤਾ")</f>
        <v>ਹਵਾ ਦੀ ਗੁਣਵੱਤਾ</v>
      </c>
      <c r="U304" s="4" t="str">
        <f>IFERROR(__xludf.DUMMYFUNCTION("GOOGLETRANSLATE(B304,""en"",""te"")"),"గాలి నాణ్యత")</f>
        <v>గాలి నాణ్యత</v>
      </c>
      <c r="V304" s="4" t="str">
        <f>IFERROR(__xludf.DUMMYFUNCTION("GOOGLETRANSLATE(B304,""en"",""kn"")"),"ವಾಯು ಗುಣಮಟ್ಟ")</f>
        <v>ವಾಯು ಗುಣಮಟ್ಟ</v>
      </c>
      <c r="W304" s="4" t="str">
        <f>IFERROR(__xludf.DUMMYFUNCTION("GOOGLETRANSLATE(B304,""en"",""ml"")"),"എയർ ക്വാളിറ്റി")</f>
        <v>എയർ ക്വാളിറ്റി</v>
      </c>
      <c r="X304" s="4" t="str">
        <f>IFERROR(__xludf.DUMMYFUNCTION("GOOGLETRANSLATE(B304,""en"",""th"")"),"คุณภาพอากาศ")</f>
        <v>คุณภาพอากาศ</v>
      </c>
      <c r="Y304" s="4" t="str">
        <f>IFERROR(__xludf.DUMMYFUNCTION("GOOGLETRANSLATE(B304,""en"",""ko"")"),"대기 질")</f>
        <v>대기 질</v>
      </c>
      <c r="Z304" s="4" t="str">
        <f>IFERROR(__xludf.DUMMYFUNCTION("GOOGLETRANSLATE(B304,""en"",""zh"")"),"空气质量")</f>
        <v>空气质量</v>
      </c>
      <c r="AA304" s="4" t="str">
        <f>IFERROR(__xludf.DUMMYFUNCTION("GOOGLETRANSLATE(B304,""en"",""zh-TW"")"),"空氣品質")</f>
        <v>空氣品質</v>
      </c>
      <c r="AB304" s="4" t="str">
        <f>IFERROR(__xludf.DUMMYFUNCTION("GOOGLETRANSLATE(B304,""en"",""ja"")"),"空気の質")</f>
        <v>空気の質</v>
      </c>
      <c r="AC304" s="4" t="str">
        <f>IFERROR(__xludf.DUMMYFUNCTION("GOOGLETRANSLATE(B304,""en"",""bg"")"),"Качество на въздуха")</f>
        <v>Качество на въздуха</v>
      </c>
      <c r="AD304" s="4" t="str">
        <f>IFERROR(__xludf.DUMMYFUNCTION("GOOGLETRANSLATE(B304,""en"",""cs"")"),"Kvalita vzduchu")</f>
        <v>Kvalita vzduchu</v>
      </c>
      <c r="AE304" s="4" t="str">
        <f>IFERROR(__xludf.DUMMYFUNCTION("GOOGLETRANSLATE(B304,""en"",""da"")"),"Luftkvalitet")</f>
        <v>Luftkvalitet</v>
      </c>
      <c r="AF304" s="4" t="str">
        <f>IFERROR(__xludf.DUMMYFUNCTION("GOOGLETRANSLATE(B304,""en"",""el"")"),"Ποιότητα Αέρα")</f>
        <v>Ποιότητα Αέρα</v>
      </c>
      <c r="AG304" s="4" t="str">
        <f>IFERROR(__xludf.DUMMYFUNCTION("GOOGLETRANSLATE(B304,""en"",""et"")"),"Õhu kvaliteet")</f>
        <v>Õhu kvaliteet</v>
      </c>
      <c r="AH304" s="4" t="str">
        <f>IFERROR(__xludf.DUMMYFUNCTION("GOOGLETRANSLATE(B304,""en"",""fi"")"),"Ilmanlaatu")</f>
        <v>Ilmanlaatu</v>
      </c>
      <c r="AI304" s="4" t="str">
        <f>IFERROR(__xludf.DUMMYFUNCTION("GOOGLETRANSLATE(B304,""en"",""hr"")"),"Kvaliteta zraka")</f>
        <v>Kvaliteta zraka</v>
      </c>
      <c r="AJ304" s="4" t="str">
        <f>IFERROR(__xludf.DUMMYFUNCTION("GOOGLETRANSLATE(B304,""en"",""hu"")"),"Levegőminőség")</f>
        <v>Levegőminőség</v>
      </c>
      <c r="AK304" s="4" t="str">
        <f>IFERROR(__xludf.DUMMYFUNCTION("GOOGLETRANSLATE(B304,""en"",""hy"")"),"Օդի որակ")</f>
        <v>Օդի որակ</v>
      </c>
      <c r="AL304" s="4" t="str">
        <f>IFERROR(__xludf.DUMMYFUNCTION("GOOGLETRANSLATE(B304,""en"",""ca"")"),"Qualitat de l'aire")</f>
        <v>Qualitat de l'aire</v>
      </c>
      <c r="AM304" s="4" t="str">
        <f>IFERROR(__xludf.DUMMYFUNCTION("GOOGLETRANSLATE(B304,""en"",""nl"")"),"Luchtkwaliteit")</f>
        <v>Luchtkwaliteit</v>
      </c>
      <c r="AN304" s="4" t="str">
        <f>IFERROR(__xludf.DUMMYFUNCTION("GOOGLETRANSLATE(B304,""en"",""he"")"),"איכות אוויר")</f>
        <v>איכות אוויר</v>
      </c>
      <c r="AO304" s="4" t="str">
        <f>IFERROR(__xludf.DUMMYFUNCTION("GOOGLETRANSLATE(B304,""en"",""is"")"),"Loftgæði")</f>
        <v>Loftgæði</v>
      </c>
      <c r="AP304" s="4" t="str">
        <f>IFERROR(__xludf.DUMMYFUNCTION("GOOGLETRANSLATE(B304,""en"",""no"")"),"Luftkvalitet")</f>
        <v>Luftkvalitet</v>
      </c>
      <c r="AQ304" s="4" t="str">
        <f>IFERROR(__xludf.DUMMYFUNCTION("GOOGLETRANSLATE(B304,""en"",""fa"")"),"کیفیت هوا")</f>
        <v>کیفیت هوا</v>
      </c>
      <c r="AR304" s="4" t="str">
        <f>IFERROR(__xludf.DUMMYFUNCTION("GOOGLETRANSLATE(B304,""en"",""pl"")"),"Jakość powietrza")</f>
        <v>Jakość powietrza</v>
      </c>
      <c r="AS304" s="4" t="str">
        <f>IFERROR(__xludf.DUMMYFUNCTION("GOOGLETRANSLATE(B304,""en"",""sv"")"),"Luftkvalitet")</f>
        <v>Luftkvalitet</v>
      </c>
      <c r="AT304" s="4" t="str">
        <f>IFERROR(__xludf.DUMMYFUNCTION("GOOGLETRANSLATE(B304,""en"",""uk"")"),"Якість повітря")</f>
        <v>Якість повітря</v>
      </c>
      <c r="AU304" s="4" t="str">
        <f>IFERROR(__xludf.DUMMYFUNCTION("GOOGLETRANSLATE(B304,""en"",""zu"")"),"Ikhwalithi Yomoya")</f>
        <v>Ikhwalithi Yomoya</v>
      </c>
      <c r="AV304" s="4" t="str">
        <f>IFERROR(__xludf.DUMMYFUNCTION("GOOGLETRANSLATE(B304,""en"",""sr"")"),"Квалитет ваздуха")</f>
        <v>Квалитет ваздуха</v>
      </c>
    </row>
    <row r="305">
      <c r="A305" s="3" t="s">
        <v>619</v>
      </c>
      <c r="B305" s="3" t="s">
        <v>620</v>
      </c>
      <c r="C305" s="4" t="str">
        <f>IFERROR(__xludf.DUMMYFUNCTION("GOOGLETRANSLATE(B305,""en"",""ta"")"),"மாசுபாடு")</f>
        <v>மாசுபாடு</v>
      </c>
      <c r="D305" s="4" t="str">
        <f>IFERROR(__xludf.DUMMYFUNCTION("GOOGLETRANSLATE(B305,""en"",""hi"")"),"प्रदूषण")</f>
        <v>प्रदूषण</v>
      </c>
      <c r="E305" s="4" t="str">
        <f>IFERROR(__xludf.DUMMYFUNCTION("GOOGLETRANSLATE(B305,""en"",""id"")"),"Polusi")</f>
        <v>Polusi</v>
      </c>
      <c r="F305" s="4" t="str">
        <f>IFERROR(__xludf.DUMMYFUNCTION("GOOGLETRANSLATE(B305,""en"",""ms"")"),"Pencemaran")</f>
        <v>Pencemaran</v>
      </c>
      <c r="G305" s="4" t="str">
        <f>IFERROR(__xludf.DUMMYFUNCTION("GOOGLETRANSLATE(B305,""en"",""de"")"),"Verschmutzung")</f>
        <v>Verschmutzung</v>
      </c>
      <c r="H305" s="4" t="str">
        <f>IFERROR(__xludf.DUMMYFUNCTION("GOOGLETRANSLATE(B305,""en"",""es"")"),"Contaminación")</f>
        <v>Contaminación</v>
      </c>
      <c r="I305" s="4" t="str">
        <f>IFERROR(__xludf.DUMMYFUNCTION("GOOGLETRANSLATE(B305,""en"",""fr"")"),"Pollution")</f>
        <v>Pollution</v>
      </c>
      <c r="J305" s="4" t="str">
        <f>IFERROR(__xludf.DUMMYFUNCTION("GOOGLETRANSLATE(B305,""en"",""it"")"),"Inquinamento")</f>
        <v>Inquinamento</v>
      </c>
      <c r="K305" s="4" t="str">
        <f>IFERROR(__xludf.DUMMYFUNCTION("GOOGLETRANSLATE(B305,""en"",""pt"")"),"Poluição")</f>
        <v>Poluição</v>
      </c>
      <c r="L305" s="4" t="str">
        <f>IFERROR(__xludf.DUMMYFUNCTION("GOOGLETRANSLATE(B305,""en"",""ro"")"),"Poluare")</f>
        <v>Poluare</v>
      </c>
      <c r="M305" s="4" t="str">
        <f>IFERROR(__xludf.DUMMYFUNCTION("GOOGLETRANSLATE(B305,""en"",""vi"")"),"Sự ô nhiễm")</f>
        <v>Sự ô nhiễm</v>
      </c>
      <c r="N305" s="4" t="str">
        <f>IFERROR(__xludf.DUMMYFUNCTION("GOOGLETRANSLATE(B305,""en"",""ru"")"),"Загрязнение")</f>
        <v>Загрязнение</v>
      </c>
      <c r="O305" s="4" t="str">
        <f>IFERROR(__xludf.DUMMYFUNCTION("GOOGLETRANSLATE(B305,""en"",""tr"")"),"Kirlilik")</f>
        <v>Kirlilik</v>
      </c>
      <c r="P305" s="4" t="str">
        <f>IFERROR(__xludf.DUMMYFUNCTION("GOOGLETRANSLATE(B305,""en"",""ar"")"),"تلوث")</f>
        <v>تلوث</v>
      </c>
      <c r="Q305" s="4" t="str">
        <f>IFERROR(__xludf.DUMMYFUNCTION("GOOGLETRANSLATE(B305,""en"",""mr"")"),"प्रदूषण")</f>
        <v>प्रदूषण</v>
      </c>
      <c r="R305" s="4" t="str">
        <f>IFERROR(__xludf.DUMMYFUNCTION("GOOGLETRANSLATE(B305,""en"",""gu"")"),"પ્રદૂષણ")</f>
        <v>પ્રદૂષણ</v>
      </c>
      <c r="S305" s="4" t="str">
        <f>IFERROR(__xludf.DUMMYFUNCTION("GOOGLETRANSLATE(B305,""en"",""bn"")"),"দূষণ")</f>
        <v>দূষণ</v>
      </c>
      <c r="T305" s="4" t="str">
        <f>IFERROR(__xludf.DUMMYFUNCTION("GOOGLETRANSLATE(B305,""en"",""pa"")"),"ਪ੍ਰਦੂਸ਼ਣ")</f>
        <v>ਪ੍ਰਦੂਸ਼ਣ</v>
      </c>
      <c r="U305" s="4" t="str">
        <f>IFERROR(__xludf.DUMMYFUNCTION("GOOGLETRANSLATE(B305,""en"",""te"")"),"కాలుష్యం")</f>
        <v>కాలుష్యం</v>
      </c>
      <c r="V305" s="4" t="str">
        <f>IFERROR(__xludf.DUMMYFUNCTION("GOOGLETRANSLATE(B305,""en"",""kn"")"),"ಮಾಲಿನ್ಯ")</f>
        <v>ಮಾಲಿನ್ಯ</v>
      </c>
      <c r="W305" s="4" t="str">
        <f>IFERROR(__xludf.DUMMYFUNCTION("GOOGLETRANSLATE(B305,""en"",""ml"")"),"മലിനീകരണം")</f>
        <v>മലിനീകരണം</v>
      </c>
      <c r="X305" s="4" t="str">
        <f>IFERROR(__xludf.DUMMYFUNCTION("GOOGLETRANSLATE(B305,""en"",""th"")"),"มลพิษ")</f>
        <v>มลพิษ</v>
      </c>
      <c r="Y305" s="4" t="str">
        <f>IFERROR(__xludf.DUMMYFUNCTION("GOOGLETRANSLATE(B305,""en"",""ko"")"),"오염")</f>
        <v>오염</v>
      </c>
      <c r="Z305" s="4" t="str">
        <f>IFERROR(__xludf.DUMMYFUNCTION("GOOGLETRANSLATE(B305,""en"",""zh"")"),"污染")</f>
        <v>污染</v>
      </c>
      <c r="AA305" s="4" t="str">
        <f>IFERROR(__xludf.DUMMYFUNCTION("GOOGLETRANSLATE(B305,""en"",""zh-TW"")"),"污染")</f>
        <v>污染</v>
      </c>
      <c r="AB305" s="4" t="str">
        <f>IFERROR(__xludf.DUMMYFUNCTION("GOOGLETRANSLATE(B305,""en"",""ja"")"),"汚染")</f>
        <v>汚染</v>
      </c>
      <c r="AC305" s="4" t="str">
        <f>IFERROR(__xludf.DUMMYFUNCTION("GOOGLETRANSLATE(B305,""en"",""bg"")"),"Замърсяване")</f>
        <v>Замърсяване</v>
      </c>
      <c r="AD305" s="4" t="str">
        <f>IFERROR(__xludf.DUMMYFUNCTION("GOOGLETRANSLATE(B305,""en"",""cs"")"),"Znečištění")</f>
        <v>Znečištění</v>
      </c>
      <c r="AE305" s="4" t="str">
        <f>IFERROR(__xludf.DUMMYFUNCTION("GOOGLETRANSLATE(B305,""en"",""da"")"),"Forurening")</f>
        <v>Forurening</v>
      </c>
      <c r="AF305" s="4" t="str">
        <f>IFERROR(__xludf.DUMMYFUNCTION("GOOGLETRANSLATE(B305,""en"",""el"")"),"Ρύπανση")</f>
        <v>Ρύπανση</v>
      </c>
      <c r="AG305" s="4" t="str">
        <f>IFERROR(__xludf.DUMMYFUNCTION("GOOGLETRANSLATE(B305,""en"",""et"")"),"Reostus")</f>
        <v>Reostus</v>
      </c>
      <c r="AH305" s="4" t="str">
        <f>IFERROR(__xludf.DUMMYFUNCTION("GOOGLETRANSLATE(B305,""en"",""fi"")"),"Saastuminen")</f>
        <v>Saastuminen</v>
      </c>
      <c r="AI305" s="4" t="str">
        <f>IFERROR(__xludf.DUMMYFUNCTION("GOOGLETRANSLATE(B305,""en"",""hr"")"),"Onečišćenje")</f>
        <v>Onečišćenje</v>
      </c>
      <c r="AJ305" s="4" t="str">
        <f>IFERROR(__xludf.DUMMYFUNCTION("GOOGLETRANSLATE(B305,""en"",""hu"")"),"Környezetszennyezés")</f>
        <v>Környezetszennyezés</v>
      </c>
      <c r="AK305" s="4" t="str">
        <f>IFERROR(__xludf.DUMMYFUNCTION("GOOGLETRANSLATE(B305,""en"",""hy"")"),"Աղտոտվածություն")</f>
        <v>Աղտոտվածություն</v>
      </c>
      <c r="AL305" s="4" t="str">
        <f>IFERROR(__xludf.DUMMYFUNCTION("GOOGLETRANSLATE(B305,""en"",""ca"")"),"Contaminació")</f>
        <v>Contaminació</v>
      </c>
      <c r="AM305" s="4" t="str">
        <f>IFERROR(__xludf.DUMMYFUNCTION("GOOGLETRANSLATE(B305,""en"",""nl"")"),"Vervuiling")</f>
        <v>Vervuiling</v>
      </c>
      <c r="AN305" s="4" t="str">
        <f>IFERROR(__xludf.DUMMYFUNCTION("GOOGLETRANSLATE(B305,""en"",""he"")"),"זיהום")</f>
        <v>זיהום</v>
      </c>
      <c r="AO305" s="4" t="str">
        <f>IFERROR(__xludf.DUMMYFUNCTION("GOOGLETRANSLATE(B305,""en"",""is"")"),"Mengun")</f>
        <v>Mengun</v>
      </c>
      <c r="AP305" s="4" t="str">
        <f>IFERROR(__xludf.DUMMYFUNCTION("GOOGLETRANSLATE(B305,""en"",""no"")"),"Forurensing")</f>
        <v>Forurensing</v>
      </c>
      <c r="AQ305" s="4" t="str">
        <f>IFERROR(__xludf.DUMMYFUNCTION("GOOGLETRANSLATE(B305,""en"",""fa"")"),"آلودگی")</f>
        <v>آلودگی</v>
      </c>
      <c r="AR305" s="4" t="str">
        <f>IFERROR(__xludf.DUMMYFUNCTION("GOOGLETRANSLATE(B305,""en"",""pl"")"),"Zanieczyszczenie")</f>
        <v>Zanieczyszczenie</v>
      </c>
      <c r="AS305" s="4" t="str">
        <f>IFERROR(__xludf.DUMMYFUNCTION("GOOGLETRANSLATE(B305,""en"",""sv"")"),"Föroreningar")</f>
        <v>Föroreningar</v>
      </c>
      <c r="AT305" s="4" t="str">
        <f>IFERROR(__xludf.DUMMYFUNCTION("GOOGLETRANSLATE(B305,""en"",""uk"")"),"забруднення")</f>
        <v>забруднення</v>
      </c>
      <c r="AU305" s="4" t="str">
        <f>IFERROR(__xludf.DUMMYFUNCTION("GOOGLETRANSLATE(B305,""en"",""zu"")"),"Ukungcola")</f>
        <v>Ukungcola</v>
      </c>
      <c r="AV305" s="4" t="str">
        <f>IFERROR(__xludf.DUMMYFUNCTION("GOOGLETRANSLATE(B305,""en"",""sr"")"),"Загађење")</f>
        <v>Загађење</v>
      </c>
    </row>
    <row r="306">
      <c r="A306" s="3" t="s">
        <v>621</v>
      </c>
      <c r="B306" s="3" t="s">
        <v>622</v>
      </c>
      <c r="C306" s="4" t="str">
        <f>IFERROR(__xludf.DUMMYFUNCTION("GOOGLETRANSLATE(B306,""en"",""ta"")"),"மகரந்தம்")</f>
        <v>மகரந்தம்</v>
      </c>
      <c r="D306" s="4" t="str">
        <f>IFERROR(__xludf.DUMMYFUNCTION("GOOGLETRANSLATE(B306,""en"",""hi"")"),"पराग")</f>
        <v>पराग</v>
      </c>
      <c r="E306" s="4" t="str">
        <f>IFERROR(__xludf.DUMMYFUNCTION("GOOGLETRANSLATE(B306,""en"",""id"")"),"Serbuk sari")</f>
        <v>Serbuk sari</v>
      </c>
      <c r="F306" s="4" t="str">
        <f>IFERROR(__xludf.DUMMYFUNCTION("GOOGLETRANSLATE(B306,""en"",""ms"")"),"Debunga")</f>
        <v>Debunga</v>
      </c>
      <c r="G306" s="4" t="str">
        <f>IFERROR(__xludf.DUMMYFUNCTION("GOOGLETRANSLATE(B306,""en"",""de"")"),"Pollen")</f>
        <v>Pollen</v>
      </c>
      <c r="H306" s="4" t="str">
        <f>IFERROR(__xludf.DUMMYFUNCTION("GOOGLETRANSLATE(B306,""en"",""es"")"),"Polen")</f>
        <v>Polen</v>
      </c>
      <c r="I306" s="4" t="str">
        <f>IFERROR(__xludf.DUMMYFUNCTION("GOOGLETRANSLATE(B306,""en"",""fr"")"),"Pollen")</f>
        <v>Pollen</v>
      </c>
      <c r="J306" s="4" t="str">
        <f>IFERROR(__xludf.DUMMYFUNCTION("GOOGLETRANSLATE(B306,""en"",""it"")"),"Polline")</f>
        <v>Polline</v>
      </c>
      <c r="K306" s="4" t="str">
        <f>IFERROR(__xludf.DUMMYFUNCTION("GOOGLETRANSLATE(B306,""en"",""pt"")"),"Pólen")</f>
        <v>Pólen</v>
      </c>
      <c r="L306" s="4" t="str">
        <f>IFERROR(__xludf.DUMMYFUNCTION("GOOGLETRANSLATE(B306,""en"",""ro"")"),"Polen")</f>
        <v>Polen</v>
      </c>
      <c r="M306" s="4" t="str">
        <f>IFERROR(__xludf.DUMMYFUNCTION("GOOGLETRANSLATE(B306,""en"",""vi"")"),"Phấn hoa")</f>
        <v>Phấn hoa</v>
      </c>
      <c r="N306" s="4" t="str">
        <f>IFERROR(__xludf.DUMMYFUNCTION("GOOGLETRANSLATE(B306,""en"",""ru"")"),"Пыльца")</f>
        <v>Пыльца</v>
      </c>
      <c r="O306" s="4" t="str">
        <f>IFERROR(__xludf.DUMMYFUNCTION("GOOGLETRANSLATE(B306,""en"",""tr"")"),"Polen")</f>
        <v>Polen</v>
      </c>
      <c r="P306" s="4" t="str">
        <f>IFERROR(__xludf.DUMMYFUNCTION("GOOGLETRANSLATE(B306,""en"",""ar"")"),"حبوب اللقاح")</f>
        <v>حبوب اللقاح</v>
      </c>
      <c r="Q306" s="4" t="str">
        <f>IFERROR(__xludf.DUMMYFUNCTION("GOOGLETRANSLATE(B306,""en"",""mr"")"),"परागकण")</f>
        <v>परागकण</v>
      </c>
      <c r="R306" s="4" t="str">
        <f>IFERROR(__xludf.DUMMYFUNCTION("GOOGLETRANSLATE(B306,""en"",""gu"")"),"પરાગ")</f>
        <v>પરાગ</v>
      </c>
      <c r="S306" s="4" t="str">
        <f>IFERROR(__xludf.DUMMYFUNCTION("GOOGLETRANSLATE(B306,""en"",""bn"")"),"পরাগ")</f>
        <v>পরাগ</v>
      </c>
      <c r="T306" s="4" t="str">
        <f>IFERROR(__xludf.DUMMYFUNCTION("GOOGLETRANSLATE(B306,""en"",""pa"")"),"ਪਰਾਗ")</f>
        <v>ਪਰਾਗ</v>
      </c>
      <c r="U306" s="4" t="str">
        <f>IFERROR(__xludf.DUMMYFUNCTION("GOOGLETRANSLATE(B306,""en"",""te"")"),"పుప్పొడి")</f>
        <v>పుప్పొడి</v>
      </c>
      <c r="V306" s="4" t="str">
        <f>IFERROR(__xludf.DUMMYFUNCTION("GOOGLETRANSLATE(B306,""en"",""kn"")"),"ಪರಾಗ")</f>
        <v>ಪರಾಗ</v>
      </c>
      <c r="W306" s="4" t="str">
        <f>IFERROR(__xludf.DUMMYFUNCTION("GOOGLETRANSLATE(B306,""en"",""ml"")"),"പൂമ്പൊടി")</f>
        <v>പൂമ്പൊടി</v>
      </c>
      <c r="X306" s="4" t="str">
        <f>IFERROR(__xludf.DUMMYFUNCTION("GOOGLETRANSLATE(B306,""en"",""th"")"),"เรณู")</f>
        <v>เรณู</v>
      </c>
      <c r="Y306" s="4" t="str">
        <f>IFERROR(__xludf.DUMMYFUNCTION("GOOGLETRANSLATE(B306,""en"",""ko"")"),"화분")</f>
        <v>화분</v>
      </c>
      <c r="Z306" s="4" t="str">
        <f>IFERROR(__xludf.DUMMYFUNCTION("GOOGLETRANSLATE(B306,""en"",""zh"")"),"花粉")</f>
        <v>花粉</v>
      </c>
      <c r="AA306" s="4" t="str">
        <f>IFERROR(__xludf.DUMMYFUNCTION("GOOGLETRANSLATE(B306,""en"",""zh-TW"")"),"花粉")</f>
        <v>花粉</v>
      </c>
      <c r="AB306" s="4" t="str">
        <f>IFERROR(__xludf.DUMMYFUNCTION("GOOGLETRANSLATE(B306,""en"",""ja"")"),"花粉")</f>
        <v>花粉</v>
      </c>
      <c r="AC306" s="4" t="str">
        <f>IFERROR(__xludf.DUMMYFUNCTION("GOOGLETRANSLATE(B306,""en"",""bg"")"),"прашец")</f>
        <v>прашец</v>
      </c>
      <c r="AD306" s="4" t="str">
        <f>IFERROR(__xludf.DUMMYFUNCTION("GOOGLETRANSLATE(B306,""en"",""cs"")"),"Pyl")</f>
        <v>Pyl</v>
      </c>
      <c r="AE306" s="4" t="str">
        <f>IFERROR(__xludf.DUMMYFUNCTION("GOOGLETRANSLATE(B306,""en"",""da"")"),"Pollen")</f>
        <v>Pollen</v>
      </c>
      <c r="AF306" s="4" t="str">
        <f>IFERROR(__xludf.DUMMYFUNCTION("GOOGLETRANSLATE(B306,""en"",""el"")"),"Γύρη")</f>
        <v>Γύρη</v>
      </c>
      <c r="AG306" s="4" t="str">
        <f>IFERROR(__xludf.DUMMYFUNCTION("GOOGLETRANSLATE(B306,""en"",""et"")"),"õietolm")</f>
        <v>õietolm</v>
      </c>
      <c r="AH306" s="4" t="str">
        <f>IFERROR(__xludf.DUMMYFUNCTION("GOOGLETRANSLATE(B306,""en"",""fi"")"),"Siitepöly")</f>
        <v>Siitepöly</v>
      </c>
      <c r="AI306" s="4" t="str">
        <f>IFERROR(__xludf.DUMMYFUNCTION("GOOGLETRANSLATE(B306,""en"",""hr"")"),"Pelud")</f>
        <v>Pelud</v>
      </c>
      <c r="AJ306" s="4" t="str">
        <f>IFERROR(__xludf.DUMMYFUNCTION("GOOGLETRANSLATE(B306,""en"",""hu"")"),"Pollen")</f>
        <v>Pollen</v>
      </c>
      <c r="AK306" s="4" t="str">
        <f>IFERROR(__xludf.DUMMYFUNCTION("GOOGLETRANSLATE(B306,""en"",""hy"")"),"Pollen")</f>
        <v>Pollen</v>
      </c>
      <c r="AL306" s="4" t="str">
        <f>IFERROR(__xludf.DUMMYFUNCTION("GOOGLETRANSLATE(B306,""en"",""ca"")"),"Pol·len")</f>
        <v>Pol·len</v>
      </c>
      <c r="AM306" s="4" t="str">
        <f>IFERROR(__xludf.DUMMYFUNCTION("GOOGLETRANSLATE(B306,""en"",""nl"")"),"Stuifmeel")</f>
        <v>Stuifmeel</v>
      </c>
      <c r="AN306" s="4" t="str">
        <f>IFERROR(__xludf.DUMMYFUNCTION("GOOGLETRANSLATE(B306,""en"",""he"")"),"אֲבָקָה")</f>
        <v>אֲבָקָה</v>
      </c>
      <c r="AO306" s="4" t="str">
        <f>IFERROR(__xludf.DUMMYFUNCTION("GOOGLETRANSLATE(B306,""en"",""is"")"),"Frjókorn")</f>
        <v>Frjókorn</v>
      </c>
      <c r="AP306" s="4" t="str">
        <f>IFERROR(__xludf.DUMMYFUNCTION("GOOGLETRANSLATE(B306,""en"",""no"")"),"Pollen")</f>
        <v>Pollen</v>
      </c>
      <c r="AQ306" s="4" t="str">
        <f>IFERROR(__xludf.DUMMYFUNCTION("GOOGLETRANSLATE(B306,""en"",""fa"")"),"گرده")</f>
        <v>گرده</v>
      </c>
      <c r="AR306" s="4" t="str">
        <f>IFERROR(__xludf.DUMMYFUNCTION("GOOGLETRANSLATE(B306,""en"",""pl"")"),"Pyłek kwiatowy")</f>
        <v>Pyłek kwiatowy</v>
      </c>
      <c r="AS306" s="4" t="str">
        <f>IFERROR(__xludf.DUMMYFUNCTION("GOOGLETRANSLATE(B306,""en"",""sv"")"),"Pollen")</f>
        <v>Pollen</v>
      </c>
      <c r="AT306" s="4" t="str">
        <f>IFERROR(__xludf.DUMMYFUNCTION("GOOGLETRANSLATE(B306,""en"",""uk"")"),"Пилок")</f>
        <v>Пилок</v>
      </c>
      <c r="AU306" s="4" t="str">
        <f>IFERROR(__xludf.DUMMYFUNCTION("GOOGLETRANSLATE(B306,""en"",""zu"")"),"Impova")</f>
        <v>Impova</v>
      </c>
      <c r="AV306" s="4" t="str">
        <f>IFERROR(__xludf.DUMMYFUNCTION("GOOGLETRANSLATE(B306,""en"",""sr"")"),"Полен")</f>
        <v>Полен</v>
      </c>
    </row>
    <row r="307">
      <c r="A307" s="3" t="s">
        <v>623</v>
      </c>
      <c r="B307" s="3" t="s">
        <v>624</v>
      </c>
      <c r="C307" s="4" t="str">
        <f>IFERROR(__xludf.DUMMYFUNCTION("GOOGLETRANSLATE(B307,""en"",""ta"")"),"எச்சரிக்கைகள்")</f>
        <v>எச்சரிக்கைகள்</v>
      </c>
      <c r="D307" s="4" t="str">
        <f>IFERROR(__xludf.DUMMYFUNCTION("GOOGLETRANSLATE(B307,""en"",""hi"")"),"अलर्ट")</f>
        <v>अलर्ट</v>
      </c>
      <c r="E307" s="4" t="str">
        <f>IFERROR(__xludf.DUMMYFUNCTION("GOOGLETRANSLATE(B307,""en"",""id"")"),"Peringatan")</f>
        <v>Peringatan</v>
      </c>
      <c r="F307" s="4" t="str">
        <f>IFERROR(__xludf.DUMMYFUNCTION("GOOGLETRANSLATE(B307,""en"",""ms"")"),"Makluman")</f>
        <v>Makluman</v>
      </c>
      <c r="G307" s="4" t="str">
        <f>IFERROR(__xludf.DUMMYFUNCTION("GOOGLETRANSLATE(B307,""en"",""de"")"),"Warnungen")</f>
        <v>Warnungen</v>
      </c>
      <c r="H307" s="4" t="str">
        <f>IFERROR(__xludf.DUMMYFUNCTION("GOOGLETRANSLATE(B307,""en"",""es"")"),"Alertas")</f>
        <v>Alertas</v>
      </c>
      <c r="I307" s="4" t="str">
        <f>IFERROR(__xludf.DUMMYFUNCTION("GOOGLETRANSLATE(B307,""en"",""fr"")"),"Alertes")</f>
        <v>Alertes</v>
      </c>
      <c r="J307" s="4" t="str">
        <f>IFERROR(__xludf.DUMMYFUNCTION("GOOGLETRANSLATE(B307,""en"",""it"")"),"Avvisi")</f>
        <v>Avvisi</v>
      </c>
      <c r="K307" s="4" t="str">
        <f>IFERROR(__xludf.DUMMYFUNCTION("GOOGLETRANSLATE(B307,""en"",""pt"")"),"Alertas")</f>
        <v>Alertas</v>
      </c>
      <c r="L307" s="4" t="str">
        <f>IFERROR(__xludf.DUMMYFUNCTION("GOOGLETRANSLATE(B307,""en"",""ro"")"),"Alerte")</f>
        <v>Alerte</v>
      </c>
      <c r="M307" s="4" t="str">
        <f>IFERROR(__xludf.DUMMYFUNCTION("GOOGLETRANSLATE(B307,""en"",""vi"")"),"Cảnh báo")</f>
        <v>Cảnh báo</v>
      </c>
      <c r="N307" s="4" t="str">
        <f>IFERROR(__xludf.DUMMYFUNCTION("GOOGLETRANSLATE(B307,""en"",""ru"")"),"Оповещения")</f>
        <v>Оповещения</v>
      </c>
      <c r="O307" s="4" t="str">
        <f>IFERROR(__xludf.DUMMYFUNCTION("GOOGLETRANSLATE(B307,""en"",""tr"")"),"Uyarılar")</f>
        <v>Uyarılar</v>
      </c>
      <c r="P307" s="4" t="str">
        <f>IFERROR(__xludf.DUMMYFUNCTION("GOOGLETRANSLATE(B307,""en"",""ar"")"),"التنبيهات")</f>
        <v>التنبيهات</v>
      </c>
      <c r="Q307" s="4" t="str">
        <f>IFERROR(__xludf.DUMMYFUNCTION("GOOGLETRANSLATE(B307,""en"",""mr"")"),"इशारे")</f>
        <v>इशारे</v>
      </c>
      <c r="R307" s="4" t="str">
        <f>IFERROR(__xludf.DUMMYFUNCTION("GOOGLETRANSLATE(B307,""en"",""gu"")"),"ચેતવણીઓ")</f>
        <v>ચેતવણીઓ</v>
      </c>
      <c r="S307" s="4" t="str">
        <f>IFERROR(__xludf.DUMMYFUNCTION("GOOGLETRANSLATE(B307,""en"",""bn"")"),"সতর্কতা")</f>
        <v>সতর্কতা</v>
      </c>
      <c r="T307" s="4" t="str">
        <f>IFERROR(__xludf.DUMMYFUNCTION("GOOGLETRANSLATE(B307,""en"",""pa"")"),"ਚੇਤਾਵਨੀਆਂ")</f>
        <v>ਚੇਤਾਵਨੀਆਂ</v>
      </c>
      <c r="U307" s="4" t="str">
        <f>IFERROR(__xludf.DUMMYFUNCTION("GOOGLETRANSLATE(B307,""en"",""te"")"),"హెచ్చరికలు")</f>
        <v>హెచ్చరికలు</v>
      </c>
      <c r="V307" s="4" t="str">
        <f>IFERROR(__xludf.DUMMYFUNCTION("GOOGLETRANSLATE(B307,""en"",""kn"")"),"ಎಚ್ಚರಿಕೆಗಳು")</f>
        <v>ಎಚ್ಚರಿಕೆಗಳು</v>
      </c>
      <c r="W307" s="4" t="str">
        <f>IFERROR(__xludf.DUMMYFUNCTION("GOOGLETRANSLATE(B307,""en"",""ml"")"),"അലേർട്ടുകൾ")</f>
        <v>അലേർട്ടുകൾ</v>
      </c>
      <c r="X307" s="4" t="str">
        <f>IFERROR(__xludf.DUMMYFUNCTION("GOOGLETRANSLATE(B307,""en"",""th"")"),"การแจ้งเตือน")</f>
        <v>การแจ้งเตือน</v>
      </c>
      <c r="Y307" s="4" t="str">
        <f>IFERROR(__xludf.DUMMYFUNCTION("GOOGLETRANSLATE(B307,""en"",""ko"")"),"알림")</f>
        <v>알림</v>
      </c>
      <c r="Z307" s="4" t="str">
        <f>IFERROR(__xludf.DUMMYFUNCTION("GOOGLETRANSLATE(B307,""en"",""zh"")"),"警报")</f>
        <v>警报</v>
      </c>
      <c r="AA307" s="4" t="str">
        <f>IFERROR(__xludf.DUMMYFUNCTION("GOOGLETRANSLATE(B307,""en"",""zh-TW"")"),"警報")</f>
        <v>警報</v>
      </c>
      <c r="AB307" s="4" t="str">
        <f>IFERROR(__xludf.DUMMYFUNCTION("GOOGLETRANSLATE(B307,""en"",""ja"")"),"アラート")</f>
        <v>アラート</v>
      </c>
      <c r="AC307" s="4" t="str">
        <f>IFERROR(__xludf.DUMMYFUNCTION("GOOGLETRANSLATE(B307,""en"",""bg"")"),"Сигнали")</f>
        <v>Сигнали</v>
      </c>
      <c r="AD307" s="4" t="str">
        <f>IFERROR(__xludf.DUMMYFUNCTION("GOOGLETRANSLATE(B307,""en"",""cs"")"),"Upozornění")</f>
        <v>Upozornění</v>
      </c>
      <c r="AE307" s="4" t="str">
        <f>IFERROR(__xludf.DUMMYFUNCTION("GOOGLETRANSLATE(B307,""en"",""da"")"),"Advarsler")</f>
        <v>Advarsler</v>
      </c>
      <c r="AF307" s="4" t="str">
        <f>IFERROR(__xludf.DUMMYFUNCTION("GOOGLETRANSLATE(B307,""en"",""el"")"),"Ειδοποιήσεις")</f>
        <v>Ειδοποιήσεις</v>
      </c>
      <c r="AG307" s="4" t="str">
        <f>IFERROR(__xludf.DUMMYFUNCTION("GOOGLETRANSLATE(B307,""en"",""et"")"),"Märguanded")</f>
        <v>Märguanded</v>
      </c>
      <c r="AH307" s="4" t="str">
        <f>IFERROR(__xludf.DUMMYFUNCTION("GOOGLETRANSLATE(B307,""en"",""fi"")"),"Hälytykset")</f>
        <v>Hälytykset</v>
      </c>
      <c r="AI307" s="4" t="str">
        <f>IFERROR(__xludf.DUMMYFUNCTION("GOOGLETRANSLATE(B307,""en"",""hr"")"),"upozorenja")</f>
        <v>upozorenja</v>
      </c>
      <c r="AJ307" s="4" t="str">
        <f>IFERROR(__xludf.DUMMYFUNCTION("GOOGLETRANSLATE(B307,""en"",""hu"")"),"Figyelmeztetések")</f>
        <v>Figyelmeztetések</v>
      </c>
      <c r="AK307" s="4" t="str">
        <f>IFERROR(__xludf.DUMMYFUNCTION("GOOGLETRANSLATE(B307,""en"",""hy"")"),"Ահազանգեր")</f>
        <v>Ահազանգեր</v>
      </c>
      <c r="AL307" s="4" t="str">
        <f>IFERROR(__xludf.DUMMYFUNCTION("GOOGLETRANSLATE(B307,""en"",""ca"")"),"Alertes")</f>
        <v>Alertes</v>
      </c>
      <c r="AM307" s="4" t="str">
        <f>IFERROR(__xludf.DUMMYFUNCTION("GOOGLETRANSLATE(B307,""en"",""nl"")"),"Waarschuwingen")</f>
        <v>Waarschuwingen</v>
      </c>
      <c r="AN307" s="4" t="str">
        <f>IFERROR(__xludf.DUMMYFUNCTION("GOOGLETRANSLATE(B307,""en"",""he"")"),"התראות")</f>
        <v>התראות</v>
      </c>
      <c r="AO307" s="4" t="str">
        <f>IFERROR(__xludf.DUMMYFUNCTION("GOOGLETRANSLATE(B307,""en"",""is"")"),"Viðvaranir")</f>
        <v>Viðvaranir</v>
      </c>
      <c r="AP307" s="4" t="str">
        <f>IFERROR(__xludf.DUMMYFUNCTION("GOOGLETRANSLATE(B307,""en"",""no"")"),"Varsler")</f>
        <v>Varsler</v>
      </c>
      <c r="AQ307" s="4" t="str">
        <f>IFERROR(__xludf.DUMMYFUNCTION("GOOGLETRANSLATE(B307,""en"",""fa"")"),"هشدارها")</f>
        <v>هشدارها</v>
      </c>
      <c r="AR307" s="4" t="str">
        <f>IFERROR(__xludf.DUMMYFUNCTION("GOOGLETRANSLATE(B307,""en"",""pl"")"),"Alerty")</f>
        <v>Alerty</v>
      </c>
      <c r="AS307" s="4" t="str">
        <f>IFERROR(__xludf.DUMMYFUNCTION("GOOGLETRANSLATE(B307,""en"",""sv"")"),"Varningar")</f>
        <v>Varningar</v>
      </c>
      <c r="AT307" s="4" t="str">
        <f>IFERROR(__xludf.DUMMYFUNCTION("GOOGLETRANSLATE(B307,""en"",""uk"")"),"Оповіщення")</f>
        <v>Оповіщення</v>
      </c>
      <c r="AU307" s="4" t="str">
        <f>IFERROR(__xludf.DUMMYFUNCTION("GOOGLETRANSLATE(B307,""en"",""zu"")"),"Izexwayiso")</f>
        <v>Izexwayiso</v>
      </c>
      <c r="AV307" s="4" t="str">
        <f>IFERROR(__xludf.DUMMYFUNCTION("GOOGLETRANSLATE(B307,""en"",""sr"")"),"Упозорења")</f>
        <v>Упозорења</v>
      </c>
    </row>
    <row r="308">
      <c r="A308" s="3" t="s">
        <v>625</v>
      </c>
      <c r="B308" s="3" t="s">
        <v>626</v>
      </c>
      <c r="C308" s="4" t="str">
        <f>IFERROR(__xludf.DUMMYFUNCTION("GOOGLETRANSLATE(B308,""en"",""ta"")"),"எச்சரிக்கைகள்")</f>
        <v>எச்சரிக்கைகள்</v>
      </c>
      <c r="D308" s="4" t="str">
        <f>IFERROR(__xludf.DUMMYFUNCTION("GOOGLETRANSLATE(B308,""en"",""hi"")"),"चेतावनियाँ")</f>
        <v>चेतावनियाँ</v>
      </c>
      <c r="E308" s="4" t="str">
        <f>IFERROR(__xludf.DUMMYFUNCTION("GOOGLETRANSLATE(B308,""en"",""id"")"),"Peringatan")</f>
        <v>Peringatan</v>
      </c>
      <c r="F308" s="4" t="str">
        <f>IFERROR(__xludf.DUMMYFUNCTION("GOOGLETRANSLATE(B308,""en"",""ms"")"),"Amaran")</f>
        <v>Amaran</v>
      </c>
      <c r="G308" s="4" t="str">
        <f>IFERROR(__xludf.DUMMYFUNCTION("GOOGLETRANSLATE(B308,""en"",""de"")"),"Warnhinweise")</f>
        <v>Warnhinweise</v>
      </c>
      <c r="H308" s="4" t="str">
        <f>IFERROR(__xludf.DUMMYFUNCTION("GOOGLETRANSLATE(B308,""en"",""es"")"),"Advertencias")</f>
        <v>Advertencias</v>
      </c>
      <c r="I308" s="4" t="str">
        <f>IFERROR(__xludf.DUMMYFUNCTION("GOOGLETRANSLATE(B308,""en"",""fr"")"),"Avertissements")</f>
        <v>Avertissements</v>
      </c>
      <c r="J308" s="4" t="str">
        <f>IFERROR(__xludf.DUMMYFUNCTION("GOOGLETRANSLATE(B308,""en"",""it"")"),"Avvertenze")</f>
        <v>Avvertenze</v>
      </c>
      <c r="K308" s="4" t="str">
        <f>IFERROR(__xludf.DUMMYFUNCTION("GOOGLETRANSLATE(B308,""en"",""pt"")"),"Avisos")</f>
        <v>Avisos</v>
      </c>
      <c r="L308" s="4" t="str">
        <f>IFERROR(__xludf.DUMMYFUNCTION("GOOGLETRANSLATE(B308,""en"",""ro"")"),"Avertismente")</f>
        <v>Avertismente</v>
      </c>
      <c r="M308" s="4" t="str">
        <f>IFERROR(__xludf.DUMMYFUNCTION("GOOGLETRANSLATE(B308,""en"",""vi"")"),"Cảnh báo")</f>
        <v>Cảnh báo</v>
      </c>
      <c r="N308" s="4" t="str">
        <f>IFERROR(__xludf.DUMMYFUNCTION("GOOGLETRANSLATE(B308,""en"",""ru"")"),"Предупреждения")</f>
        <v>Предупреждения</v>
      </c>
      <c r="O308" s="4" t="str">
        <f>IFERROR(__xludf.DUMMYFUNCTION("GOOGLETRANSLATE(B308,""en"",""tr"")"),"Uyarılar")</f>
        <v>Uyarılar</v>
      </c>
      <c r="P308" s="4" t="str">
        <f>IFERROR(__xludf.DUMMYFUNCTION("GOOGLETRANSLATE(B308,""en"",""ar"")"),"تحذيرات")</f>
        <v>تحذيرات</v>
      </c>
      <c r="Q308" s="4" t="str">
        <f>IFERROR(__xludf.DUMMYFUNCTION("GOOGLETRANSLATE(B308,""en"",""mr"")"),"इशारे")</f>
        <v>इशारे</v>
      </c>
      <c r="R308" s="4" t="str">
        <f>IFERROR(__xludf.DUMMYFUNCTION("GOOGLETRANSLATE(B308,""en"",""gu"")"),"ચેતવણીઓ")</f>
        <v>ચેતવણીઓ</v>
      </c>
      <c r="S308" s="4" t="str">
        <f>IFERROR(__xludf.DUMMYFUNCTION("GOOGLETRANSLATE(B308,""en"",""bn"")"),"সতর্কতা")</f>
        <v>সতর্কতা</v>
      </c>
      <c r="T308" s="4" t="str">
        <f>IFERROR(__xludf.DUMMYFUNCTION("GOOGLETRANSLATE(B308,""en"",""pa"")"),"ਚੇਤਾਵਨੀਆਂ")</f>
        <v>ਚੇਤਾਵਨੀਆਂ</v>
      </c>
      <c r="U308" s="4" t="str">
        <f>IFERROR(__xludf.DUMMYFUNCTION("GOOGLETRANSLATE(B308,""en"",""te"")"),"హెచ్చరికలు")</f>
        <v>హెచ్చరికలు</v>
      </c>
      <c r="V308" s="4" t="str">
        <f>IFERROR(__xludf.DUMMYFUNCTION("GOOGLETRANSLATE(B308,""en"",""kn"")"),"ಎಚ್ಚರಿಕೆಗಳು")</f>
        <v>ಎಚ್ಚರಿಕೆಗಳು</v>
      </c>
      <c r="W308" s="4" t="str">
        <f>IFERROR(__xludf.DUMMYFUNCTION("GOOGLETRANSLATE(B308,""en"",""ml"")"),"മുന്നറിയിപ്പുകൾ")</f>
        <v>മുന്നറിയിപ്പുകൾ</v>
      </c>
      <c r="X308" s="4" t="str">
        <f>IFERROR(__xludf.DUMMYFUNCTION("GOOGLETRANSLATE(B308,""en"",""th"")"),"คำเตือน")</f>
        <v>คำเตือน</v>
      </c>
      <c r="Y308" s="4" t="str">
        <f>IFERROR(__xludf.DUMMYFUNCTION("GOOGLETRANSLATE(B308,""en"",""ko"")"),"경고")</f>
        <v>경고</v>
      </c>
      <c r="Z308" s="4" t="str">
        <f>IFERROR(__xludf.DUMMYFUNCTION("GOOGLETRANSLATE(B308,""en"",""zh"")"),"警告")</f>
        <v>警告</v>
      </c>
      <c r="AA308" s="4" t="str">
        <f>IFERROR(__xludf.DUMMYFUNCTION("GOOGLETRANSLATE(B308,""en"",""zh-TW"")"),"警告")</f>
        <v>警告</v>
      </c>
      <c r="AB308" s="4" t="str">
        <f>IFERROR(__xludf.DUMMYFUNCTION("GOOGLETRANSLATE(B308,""en"",""ja"")"),"警告")</f>
        <v>警告</v>
      </c>
      <c r="AC308" s="4" t="str">
        <f>IFERROR(__xludf.DUMMYFUNCTION("GOOGLETRANSLATE(B308,""en"",""bg"")"),"Предупреждения")</f>
        <v>Предупреждения</v>
      </c>
      <c r="AD308" s="4" t="str">
        <f>IFERROR(__xludf.DUMMYFUNCTION("GOOGLETRANSLATE(B308,""en"",""cs"")"),"Varování")</f>
        <v>Varování</v>
      </c>
      <c r="AE308" s="4" t="str">
        <f>IFERROR(__xludf.DUMMYFUNCTION("GOOGLETRANSLATE(B308,""en"",""da"")"),"Advarsler")</f>
        <v>Advarsler</v>
      </c>
      <c r="AF308" s="4" t="str">
        <f>IFERROR(__xludf.DUMMYFUNCTION("GOOGLETRANSLATE(B308,""en"",""el"")"),"Προειδοποιήσεις")</f>
        <v>Προειδοποιήσεις</v>
      </c>
      <c r="AG308" s="4" t="str">
        <f>IFERROR(__xludf.DUMMYFUNCTION("GOOGLETRANSLATE(B308,""en"",""et"")"),"Hoiatused")</f>
        <v>Hoiatused</v>
      </c>
      <c r="AH308" s="4" t="str">
        <f>IFERROR(__xludf.DUMMYFUNCTION("GOOGLETRANSLATE(B308,""en"",""fi"")"),"Varoitukset")</f>
        <v>Varoitukset</v>
      </c>
      <c r="AI308" s="4" t="str">
        <f>IFERROR(__xludf.DUMMYFUNCTION("GOOGLETRANSLATE(B308,""en"",""hr"")"),"Upozorenja")</f>
        <v>Upozorenja</v>
      </c>
      <c r="AJ308" s="4" t="str">
        <f>IFERROR(__xludf.DUMMYFUNCTION("GOOGLETRANSLATE(B308,""en"",""hu"")"),"Figyelmeztetések")</f>
        <v>Figyelmeztetések</v>
      </c>
      <c r="AK308" s="4" t="str">
        <f>IFERROR(__xludf.DUMMYFUNCTION("GOOGLETRANSLATE(B308,""en"",""hy"")"),"Զգուշացումներ")</f>
        <v>Զգուշացումներ</v>
      </c>
      <c r="AL308" s="4" t="str">
        <f>IFERROR(__xludf.DUMMYFUNCTION("GOOGLETRANSLATE(B308,""en"",""ca"")"),"Avisos")</f>
        <v>Avisos</v>
      </c>
      <c r="AM308" s="4" t="str">
        <f>IFERROR(__xludf.DUMMYFUNCTION("GOOGLETRANSLATE(B308,""en"",""nl"")"),"Waarschuwingen")</f>
        <v>Waarschuwingen</v>
      </c>
      <c r="AN308" s="4" t="str">
        <f>IFERROR(__xludf.DUMMYFUNCTION("GOOGLETRANSLATE(B308,""en"",""he"")"),"אזהרות")</f>
        <v>אזהרות</v>
      </c>
      <c r="AO308" s="4" t="str">
        <f>IFERROR(__xludf.DUMMYFUNCTION("GOOGLETRANSLATE(B308,""en"",""is"")"),"Viðvaranir")</f>
        <v>Viðvaranir</v>
      </c>
      <c r="AP308" s="4" t="str">
        <f>IFERROR(__xludf.DUMMYFUNCTION("GOOGLETRANSLATE(B308,""en"",""no"")"),"Advarsler")</f>
        <v>Advarsler</v>
      </c>
      <c r="AQ308" s="4" t="str">
        <f>IFERROR(__xludf.DUMMYFUNCTION("GOOGLETRANSLATE(B308,""en"",""fa"")"),"هشدارها")</f>
        <v>هشدارها</v>
      </c>
      <c r="AR308" s="4" t="str">
        <f>IFERROR(__xludf.DUMMYFUNCTION("GOOGLETRANSLATE(B308,""en"",""pl"")"),"Ostrzeżenia")</f>
        <v>Ostrzeżenia</v>
      </c>
      <c r="AS308" s="4" t="str">
        <f>IFERROR(__xludf.DUMMYFUNCTION("GOOGLETRANSLATE(B308,""en"",""sv"")"),"Varningar")</f>
        <v>Varningar</v>
      </c>
      <c r="AT308" s="4" t="str">
        <f>IFERROR(__xludf.DUMMYFUNCTION("GOOGLETRANSLATE(B308,""en"",""uk"")"),"Попередження")</f>
        <v>Попередження</v>
      </c>
      <c r="AU308" s="4" t="str">
        <f>IFERROR(__xludf.DUMMYFUNCTION("GOOGLETRANSLATE(B308,""en"",""zu"")"),"Izixwayiso")</f>
        <v>Izixwayiso</v>
      </c>
      <c r="AV308" s="4" t="str">
        <f>IFERROR(__xludf.DUMMYFUNCTION("GOOGLETRANSLATE(B308,""en"",""sr"")"),"Упозорења")</f>
        <v>Упозорења</v>
      </c>
    </row>
    <row r="309">
      <c r="A309" s="3" t="s">
        <v>627</v>
      </c>
      <c r="B309" s="3" t="s">
        <v>628</v>
      </c>
      <c r="C309" s="4" t="str">
        <f>IFERROR(__xludf.DUMMYFUNCTION("GOOGLETRANSLATE(B309,""en"",""ta"")"),"ஆலோசனைகள்")</f>
        <v>ஆலோசனைகள்</v>
      </c>
      <c r="D309" s="4" t="str">
        <f>IFERROR(__xludf.DUMMYFUNCTION("GOOGLETRANSLATE(B309,""en"",""hi"")"),"परामर्श")</f>
        <v>परामर्श</v>
      </c>
      <c r="E309" s="4" t="str">
        <f>IFERROR(__xludf.DUMMYFUNCTION("GOOGLETRANSLATE(B309,""en"",""id"")"),"Peringatan")</f>
        <v>Peringatan</v>
      </c>
      <c r="F309" s="4" t="str">
        <f>IFERROR(__xludf.DUMMYFUNCTION("GOOGLETRANSLATE(B309,""en"",""ms"")"),"Nasihat")</f>
        <v>Nasihat</v>
      </c>
      <c r="G309" s="4" t="str">
        <f>IFERROR(__xludf.DUMMYFUNCTION("GOOGLETRANSLATE(B309,""en"",""de"")"),"Hinweise")</f>
        <v>Hinweise</v>
      </c>
      <c r="H309" s="4" t="str">
        <f>IFERROR(__xludf.DUMMYFUNCTION("GOOGLETRANSLATE(B309,""en"",""es"")"),"Avisos")</f>
        <v>Avisos</v>
      </c>
      <c r="I309" s="4" t="str">
        <f>IFERROR(__xludf.DUMMYFUNCTION("GOOGLETRANSLATE(B309,""en"",""fr"")"),"Avis")</f>
        <v>Avis</v>
      </c>
      <c r="J309" s="4" t="str">
        <f>IFERROR(__xludf.DUMMYFUNCTION("GOOGLETRANSLATE(B309,""en"",""it"")"),"Avvisi")</f>
        <v>Avvisi</v>
      </c>
      <c r="K309" s="4" t="str">
        <f>IFERROR(__xludf.DUMMYFUNCTION("GOOGLETRANSLATE(B309,""en"",""pt"")"),"Avisos")</f>
        <v>Avisos</v>
      </c>
      <c r="L309" s="4" t="str">
        <f>IFERROR(__xludf.DUMMYFUNCTION("GOOGLETRANSLATE(B309,""en"",""ro"")"),"Avizele")</f>
        <v>Avizele</v>
      </c>
      <c r="M309" s="4" t="str">
        <f>IFERROR(__xludf.DUMMYFUNCTION("GOOGLETRANSLATE(B309,""en"",""vi"")"),"Tư vấn")</f>
        <v>Tư vấn</v>
      </c>
      <c r="N309" s="4" t="str">
        <f>IFERROR(__xludf.DUMMYFUNCTION("GOOGLETRANSLATE(B309,""en"",""ru"")"),"Консультации")</f>
        <v>Консультации</v>
      </c>
      <c r="O309" s="4" t="str">
        <f>IFERROR(__xludf.DUMMYFUNCTION("GOOGLETRANSLATE(B309,""en"",""tr"")"),"Tavsiyeler")</f>
        <v>Tavsiyeler</v>
      </c>
      <c r="P309" s="4" t="str">
        <f>IFERROR(__xludf.DUMMYFUNCTION("GOOGLETRANSLATE(B309,""en"",""ar"")"),"التحذيرات")</f>
        <v>التحذيرات</v>
      </c>
      <c r="Q309" s="4" t="str">
        <f>IFERROR(__xludf.DUMMYFUNCTION("GOOGLETRANSLATE(B309,""en"",""mr"")"),"सल्ले")</f>
        <v>सल्ले</v>
      </c>
      <c r="R309" s="4" t="str">
        <f>IFERROR(__xludf.DUMMYFUNCTION("GOOGLETRANSLATE(B309,""en"",""gu"")"),"સલાહ")</f>
        <v>સલાહ</v>
      </c>
      <c r="S309" s="4" t="str">
        <f>IFERROR(__xludf.DUMMYFUNCTION("GOOGLETRANSLATE(B309,""en"",""bn"")"),"পরামর্শ")</f>
        <v>পরামর্শ</v>
      </c>
      <c r="T309" s="4" t="str">
        <f>IFERROR(__xludf.DUMMYFUNCTION("GOOGLETRANSLATE(B309,""en"",""pa"")"),"ਸਲਾਹਾਂ")</f>
        <v>ਸਲਾਹਾਂ</v>
      </c>
      <c r="U309" s="4" t="str">
        <f>IFERROR(__xludf.DUMMYFUNCTION("GOOGLETRANSLATE(B309,""en"",""te"")"),"సలహాలు")</f>
        <v>సలహాలు</v>
      </c>
      <c r="V309" s="4" t="str">
        <f>IFERROR(__xludf.DUMMYFUNCTION("GOOGLETRANSLATE(B309,""en"",""kn"")"),"ಸಲಹೆಗಳು")</f>
        <v>ಸಲಹೆಗಳು</v>
      </c>
      <c r="W309" s="4" t="str">
        <f>IFERROR(__xludf.DUMMYFUNCTION("GOOGLETRANSLATE(B309,""en"",""ml"")"),"ഉപദേശങ്ങൾ")</f>
        <v>ഉപദേശങ്ങൾ</v>
      </c>
      <c r="X309" s="4" t="str">
        <f>IFERROR(__xludf.DUMMYFUNCTION("GOOGLETRANSLATE(B309,""en"",""th"")"),"คำแนะนำ")</f>
        <v>คำแนะนำ</v>
      </c>
      <c r="Y309" s="4" t="str">
        <f>IFERROR(__xludf.DUMMYFUNCTION("GOOGLETRANSLATE(B309,""en"",""ko"")"),"권고사항")</f>
        <v>권고사항</v>
      </c>
      <c r="Z309" s="4" t="str">
        <f>IFERROR(__xludf.DUMMYFUNCTION("GOOGLETRANSLATE(B309,""en"",""zh"")"),"公告")</f>
        <v>公告</v>
      </c>
      <c r="AA309" s="4" t="str">
        <f>IFERROR(__xludf.DUMMYFUNCTION("GOOGLETRANSLATE(B309,""en"",""zh-TW"")"),"公告")</f>
        <v>公告</v>
      </c>
      <c r="AB309" s="4" t="str">
        <f>IFERROR(__xludf.DUMMYFUNCTION("GOOGLETRANSLATE(B309,""en"",""ja"")"),"勧告")</f>
        <v>勧告</v>
      </c>
      <c r="AC309" s="4" t="str">
        <f>IFERROR(__xludf.DUMMYFUNCTION("GOOGLETRANSLATE(B309,""en"",""bg"")"),"Съвети")</f>
        <v>Съвети</v>
      </c>
      <c r="AD309" s="4" t="str">
        <f>IFERROR(__xludf.DUMMYFUNCTION("GOOGLETRANSLATE(B309,""en"",""cs"")"),"Poradenství")</f>
        <v>Poradenství</v>
      </c>
      <c r="AE309" s="4" t="str">
        <f>IFERROR(__xludf.DUMMYFUNCTION("GOOGLETRANSLATE(B309,""en"",""da"")"),"Rådgivning")</f>
        <v>Rådgivning</v>
      </c>
      <c r="AF309" s="4" t="str">
        <f>IFERROR(__xludf.DUMMYFUNCTION("GOOGLETRANSLATE(B309,""en"",""el"")"),"Συμβουλές")</f>
        <v>Συμβουλές</v>
      </c>
      <c r="AG309" s="4" t="str">
        <f>IFERROR(__xludf.DUMMYFUNCTION("GOOGLETRANSLATE(B309,""en"",""et"")"),"Nõuanded")</f>
        <v>Nõuanded</v>
      </c>
      <c r="AH309" s="4" t="str">
        <f>IFERROR(__xludf.DUMMYFUNCTION("GOOGLETRANSLATE(B309,""en"",""fi"")"),"neuvoja")</f>
        <v>neuvoja</v>
      </c>
      <c r="AI309" s="4" t="str">
        <f>IFERROR(__xludf.DUMMYFUNCTION("GOOGLETRANSLATE(B309,""en"",""hr"")"),"Savjeti")</f>
        <v>Savjeti</v>
      </c>
      <c r="AJ309" s="4" t="str">
        <f>IFERROR(__xludf.DUMMYFUNCTION("GOOGLETRANSLATE(B309,""en"",""hu"")"),"Tanácsok")</f>
        <v>Tanácsok</v>
      </c>
      <c r="AK309" s="4" t="str">
        <f>IFERROR(__xludf.DUMMYFUNCTION("GOOGLETRANSLATE(B309,""en"",""hy"")"),"Խորհրդատվություններ")</f>
        <v>Խորհրդատվություններ</v>
      </c>
      <c r="AL309" s="4" t="str">
        <f>IFERROR(__xludf.DUMMYFUNCTION("GOOGLETRANSLATE(B309,""en"",""ca"")"),"Assessoraments")</f>
        <v>Assessoraments</v>
      </c>
      <c r="AM309" s="4" t="str">
        <f>IFERROR(__xludf.DUMMYFUNCTION("GOOGLETRANSLATE(B309,""en"",""nl"")"),"Adviezen")</f>
        <v>Adviezen</v>
      </c>
      <c r="AN309" s="4" t="str">
        <f>IFERROR(__xludf.DUMMYFUNCTION("GOOGLETRANSLATE(B309,""en"",""he"")"),"ייעוץ")</f>
        <v>ייעוץ</v>
      </c>
      <c r="AO309" s="4" t="str">
        <f>IFERROR(__xludf.DUMMYFUNCTION("GOOGLETRANSLATE(B309,""en"",""is"")"),"Ráðgjafar")</f>
        <v>Ráðgjafar</v>
      </c>
      <c r="AP309" s="4" t="str">
        <f>IFERROR(__xludf.DUMMYFUNCTION("GOOGLETRANSLATE(B309,""en"",""no"")"),"Rådgivning")</f>
        <v>Rådgivning</v>
      </c>
      <c r="AQ309" s="4" t="str">
        <f>IFERROR(__xludf.DUMMYFUNCTION("GOOGLETRANSLATE(B309,""en"",""fa"")"),"مشاوره ها")</f>
        <v>مشاوره ها</v>
      </c>
      <c r="AR309" s="4" t="str">
        <f>IFERROR(__xludf.DUMMYFUNCTION("GOOGLETRANSLATE(B309,""en"",""pl"")"),"Ostrzeżenia")</f>
        <v>Ostrzeżenia</v>
      </c>
      <c r="AS309" s="4" t="str">
        <f>IFERROR(__xludf.DUMMYFUNCTION("GOOGLETRANSLATE(B309,""en"",""sv"")"),"Rådgivning")</f>
        <v>Rådgivning</v>
      </c>
      <c r="AT309" s="4" t="str">
        <f>IFERROR(__xludf.DUMMYFUNCTION("GOOGLETRANSLATE(B309,""en"",""uk"")"),"Консультації")</f>
        <v>Консультації</v>
      </c>
      <c r="AU309" s="4" t="str">
        <f>IFERROR(__xludf.DUMMYFUNCTION("GOOGLETRANSLATE(B309,""en"",""zu"")"),"Izeluleko")</f>
        <v>Izeluleko</v>
      </c>
      <c r="AV309" s="4" t="str">
        <f>IFERROR(__xludf.DUMMYFUNCTION("GOOGLETRANSLATE(B309,""en"",""sr"")"),"Савети")</f>
        <v>Савети</v>
      </c>
    </row>
    <row r="310">
      <c r="A310" s="3" t="s">
        <v>629</v>
      </c>
      <c r="B310" s="3" t="s">
        <v>630</v>
      </c>
      <c r="C310" s="4" t="str">
        <f>IFERROR(__xludf.DUMMYFUNCTION("GOOGLETRANSLATE(B310,""en"",""ta"")"),"முன்னறிவிப்பு")</f>
        <v>முன்னறிவிப்பு</v>
      </c>
      <c r="D310" s="4" t="str">
        <f>IFERROR(__xludf.DUMMYFUNCTION("GOOGLETRANSLATE(B310,""en"",""hi"")"),"पूर्वानुमान")</f>
        <v>पूर्वानुमान</v>
      </c>
      <c r="E310" s="4" t="str">
        <f>IFERROR(__xludf.DUMMYFUNCTION("GOOGLETRANSLATE(B310,""en"",""id"")"),"Ramalan")</f>
        <v>Ramalan</v>
      </c>
      <c r="F310" s="4" t="str">
        <f>IFERROR(__xludf.DUMMYFUNCTION("GOOGLETRANSLATE(B310,""en"",""ms"")"),"Ramalan")</f>
        <v>Ramalan</v>
      </c>
      <c r="G310" s="4" t="str">
        <f>IFERROR(__xludf.DUMMYFUNCTION("GOOGLETRANSLATE(B310,""en"",""de"")"),"Vorhersage")</f>
        <v>Vorhersage</v>
      </c>
      <c r="H310" s="4" t="str">
        <f>IFERROR(__xludf.DUMMYFUNCTION("GOOGLETRANSLATE(B310,""en"",""es"")"),"Pronóstico")</f>
        <v>Pronóstico</v>
      </c>
      <c r="I310" s="4" t="str">
        <f>IFERROR(__xludf.DUMMYFUNCTION("GOOGLETRANSLATE(B310,""en"",""fr"")"),"Prévision")</f>
        <v>Prévision</v>
      </c>
      <c r="J310" s="4" t="str">
        <f>IFERROR(__xludf.DUMMYFUNCTION("GOOGLETRANSLATE(B310,""en"",""it"")"),"Previsione")</f>
        <v>Previsione</v>
      </c>
      <c r="K310" s="4" t="str">
        <f>IFERROR(__xludf.DUMMYFUNCTION("GOOGLETRANSLATE(B310,""en"",""pt"")"),"Previsão")</f>
        <v>Previsão</v>
      </c>
      <c r="L310" s="4" t="str">
        <f>IFERROR(__xludf.DUMMYFUNCTION("GOOGLETRANSLATE(B310,""en"",""ro"")"),"Prognoza")</f>
        <v>Prognoza</v>
      </c>
      <c r="M310" s="4" t="str">
        <f>IFERROR(__xludf.DUMMYFUNCTION("GOOGLETRANSLATE(B310,""en"",""vi"")"),"Dự báo")</f>
        <v>Dự báo</v>
      </c>
      <c r="N310" s="4" t="str">
        <f>IFERROR(__xludf.DUMMYFUNCTION("GOOGLETRANSLATE(B310,""en"",""ru"")"),"Прогноз")</f>
        <v>Прогноз</v>
      </c>
      <c r="O310" s="4" t="str">
        <f>IFERROR(__xludf.DUMMYFUNCTION("GOOGLETRANSLATE(B310,""en"",""tr"")"),"Tahmin etmek")</f>
        <v>Tahmin etmek</v>
      </c>
      <c r="P310" s="4" t="str">
        <f>IFERROR(__xludf.DUMMYFUNCTION("GOOGLETRANSLATE(B310,""en"",""ar"")"),"تنبؤ بالمناخ")</f>
        <v>تنبؤ بالمناخ</v>
      </c>
      <c r="Q310" s="4" t="str">
        <f>IFERROR(__xludf.DUMMYFUNCTION("GOOGLETRANSLATE(B310,""en"",""mr"")"),"अंदाज")</f>
        <v>अंदाज</v>
      </c>
      <c r="R310" s="4" t="str">
        <f>IFERROR(__xludf.DUMMYFUNCTION("GOOGLETRANSLATE(B310,""en"",""gu"")"),"આગાહી")</f>
        <v>આગાહી</v>
      </c>
      <c r="S310" s="4" t="str">
        <f>IFERROR(__xludf.DUMMYFUNCTION("GOOGLETRANSLATE(B310,""en"",""bn"")"),"পূর্বাভাস")</f>
        <v>পূর্বাভাস</v>
      </c>
      <c r="T310" s="4" t="str">
        <f>IFERROR(__xludf.DUMMYFUNCTION("GOOGLETRANSLATE(B310,""en"",""pa"")"),"ਪੂਰਵ ਅਨੁਮਾਨ")</f>
        <v>ਪੂਰਵ ਅਨੁਮਾਨ</v>
      </c>
      <c r="U310" s="4" t="str">
        <f>IFERROR(__xludf.DUMMYFUNCTION("GOOGLETRANSLATE(B310,""en"",""te"")"),"సూచన")</f>
        <v>సూచన</v>
      </c>
      <c r="V310" s="4" t="str">
        <f>IFERROR(__xludf.DUMMYFUNCTION("GOOGLETRANSLATE(B310,""en"",""kn"")"),"ಮುನ್ಸೂಚನೆ")</f>
        <v>ಮುನ್ಸೂಚನೆ</v>
      </c>
      <c r="W310" s="4" t="str">
        <f>IFERROR(__xludf.DUMMYFUNCTION("GOOGLETRANSLATE(B310,""en"",""ml"")"),"പ്രവചനം")</f>
        <v>പ്രവചനം</v>
      </c>
      <c r="X310" s="4" t="str">
        <f>IFERROR(__xludf.DUMMYFUNCTION("GOOGLETRANSLATE(B310,""en"",""th"")"),"พยากรณ์")</f>
        <v>พยากรณ์</v>
      </c>
      <c r="Y310" s="4" t="str">
        <f>IFERROR(__xludf.DUMMYFUNCTION("GOOGLETRANSLATE(B310,""en"",""ko"")"),"예측")</f>
        <v>예측</v>
      </c>
      <c r="Z310" s="4" t="str">
        <f>IFERROR(__xludf.DUMMYFUNCTION("GOOGLETRANSLATE(B310,""en"",""zh"")"),"预报")</f>
        <v>预报</v>
      </c>
      <c r="AA310" s="4" t="str">
        <f>IFERROR(__xludf.DUMMYFUNCTION("GOOGLETRANSLATE(B310,""en"",""zh-TW"")"),"預報")</f>
        <v>預報</v>
      </c>
      <c r="AB310" s="4" t="str">
        <f>IFERROR(__xludf.DUMMYFUNCTION("GOOGLETRANSLATE(B310,""en"",""ja"")"),"予報")</f>
        <v>予報</v>
      </c>
      <c r="AC310" s="4" t="str">
        <f>IFERROR(__xludf.DUMMYFUNCTION("GOOGLETRANSLATE(B310,""en"",""bg"")"),"Прогноза")</f>
        <v>Прогноза</v>
      </c>
      <c r="AD310" s="4" t="str">
        <f>IFERROR(__xludf.DUMMYFUNCTION("GOOGLETRANSLATE(B310,""en"",""cs"")"),"Předpověď")</f>
        <v>Předpověď</v>
      </c>
      <c r="AE310" s="4" t="str">
        <f>IFERROR(__xludf.DUMMYFUNCTION("GOOGLETRANSLATE(B310,""en"",""da"")"),"Vejrudsigt")</f>
        <v>Vejrudsigt</v>
      </c>
      <c r="AF310" s="4" t="str">
        <f>IFERROR(__xludf.DUMMYFUNCTION("GOOGLETRANSLATE(B310,""en"",""el"")"),"Πρόβλεψη")</f>
        <v>Πρόβλεψη</v>
      </c>
      <c r="AG310" s="4" t="str">
        <f>IFERROR(__xludf.DUMMYFUNCTION("GOOGLETRANSLATE(B310,""en"",""et"")"),"Prognoos")</f>
        <v>Prognoos</v>
      </c>
      <c r="AH310" s="4" t="str">
        <f>IFERROR(__xludf.DUMMYFUNCTION("GOOGLETRANSLATE(B310,""en"",""fi"")"),"Ennuste")</f>
        <v>Ennuste</v>
      </c>
      <c r="AI310" s="4" t="str">
        <f>IFERROR(__xludf.DUMMYFUNCTION("GOOGLETRANSLATE(B310,""en"",""hr"")"),"Prognoza")</f>
        <v>Prognoza</v>
      </c>
      <c r="AJ310" s="4" t="str">
        <f>IFERROR(__xludf.DUMMYFUNCTION("GOOGLETRANSLATE(B310,""en"",""hu"")"),"Előrejelzés")</f>
        <v>Előrejelzés</v>
      </c>
      <c r="AK310" s="4" t="str">
        <f>IFERROR(__xludf.DUMMYFUNCTION("GOOGLETRANSLATE(B310,""en"",""hy"")"),"Կանխատեսում")</f>
        <v>Կանխատեսում</v>
      </c>
      <c r="AL310" s="4" t="str">
        <f>IFERROR(__xludf.DUMMYFUNCTION("GOOGLETRANSLATE(B310,""en"",""ca"")"),"Previsió")</f>
        <v>Previsió</v>
      </c>
      <c r="AM310" s="4" t="str">
        <f>IFERROR(__xludf.DUMMYFUNCTION("GOOGLETRANSLATE(B310,""en"",""nl"")"),"Voorspelling")</f>
        <v>Voorspelling</v>
      </c>
      <c r="AN310" s="4" t="str">
        <f>IFERROR(__xludf.DUMMYFUNCTION("GOOGLETRANSLATE(B310,""en"",""he"")"),"תַחֲזִית")</f>
        <v>תַחֲזִית</v>
      </c>
      <c r="AO310" s="4" t="str">
        <f>IFERROR(__xludf.DUMMYFUNCTION("GOOGLETRANSLATE(B310,""en"",""is"")"),"Spá")</f>
        <v>Spá</v>
      </c>
      <c r="AP310" s="4" t="str">
        <f>IFERROR(__xludf.DUMMYFUNCTION("GOOGLETRANSLATE(B310,""en"",""no"")"),"Prognose")</f>
        <v>Prognose</v>
      </c>
      <c r="AQ310" s="4" t="str">
        <f>IFERROR(__xludf.DUMMYFUNCTION("GOOGLETRANSLATE(B310,""en"",""fa"")"),"پیش بینی")</f>
        <v>پیش بینی</v>
      </c>
      <c r="AR310" s="4" t="str">
        <f>IFERROR(__xludf.DUMMYFUNCTION("GOOGLETRANSLATE(B310,""en"",""pl"")"),"Prognoza")</f>
        <v>Prognoza</v>
      </c>
      <c r="AS310" s="4" t="str">
        <f>IFERROR(__xludf.DUMMYFUNCTION("GOOGLETRANSLATE(B310,""en"",""sv"")"),"Prognos")</f>
        <v>Prognos</v>
      </c>
      <c r="AT310" s="4" t="str">
        <f>IFERROR(__xludf.DUMMYFUNCTION("GOOGLETRANSLATE(B310,""en"",""uk"")"),"Прогноз")</f>
        <v>Прогноз</v>
      </c>
      <c r="AU310" s="4" t="str">
        <f>IFERROR(__xludf.DUMMYFUNCTION("GOOGLETRANSLATE(B310,""en"",""zu"")"),"Isibikezelo")</f>
        <v>Isibikezelo</v>
      </c>
      <c r="AV310" s="4" t="str">
        <f>IFERROR(__xludf.DUMMYFUNCTION("GOOGLETRANSLATE(B310,""en"",""sr"")"),"Прогноза")</f>
        <v>Прогноза</v>
      </c>
    </row>
    <row r="311">
      <c r="A311" s="3" t="s">
        <v>631</v>
      </c>
      <c r="B311" s="3" t="s">
        <v>632</v>
      </c>
      <c r="C311" s="4" t="str">
        <f>IFERROR(__xludf.DUMMYFUNCTION("GOOGLETRANSLATE(B311,""en"",""ta"")"),"மணிநேரம்")</f>
        <v>மணிநேரம்</v>
      </c>
      <c r="D311" s="4" t="str">
        <f>IFERROR(__xludf.DUMMYFUNCTION("GOOGLETRANSLATE(B311,""en"",""hi"")"),"प्रति घंटा")</f>
        <v>प्रति घंटा</v>
      </c>
      <c r="E311" s="4" t="str">
        <f>IFERROR(__xludf.DUMMYFUNCTION("GOOGLETRANSLATE(B311,""en"",""id"")"),"Per jam")</f>
        <v>Per jam</v>
      </c>
      <c r="F311" s="4" t="str">
        <f>IFERROR(__xludf.DUMMYFUNCTION("GOOGLETRANSLATE(B311,""en"",""ms"")"),"setiap jam")</f>
        <v>setiap jam</v>
      </c>
      <c r="G311" s="4" t="str">
        <f>IFERROR(__xludf.DUMMYFUNCTION("GOOGLETRANSLATE(B311,""en"",""de"")"),"Stündlich")</f>
        <v>Stündlich</v>
      </c>
      <c r="H311" s="4" t="str">
        <f>IFERROR(__xludf.DUMMYFUNCTION("GOOGLETRANSLATE(B311,""en"",""es"")"),"Cada hora")</f>
        <v>Cada hora</v>
      </c>
      <c r="I311" s="4" t="str">
        <f>IFERROR(__xludf.DUMMYFUNCTION("GOOGLETRANSLATE(B311,""en"",""fr"")"),"Toutes les heures")</f>
        <v>Toutes les heures</v>
      </c>
      <c r="J311" s="4" t="str">
        <f>IFERROR(__xludf.DUMMYFUNCTION("GOOGLETRANSLATE(B311,""en"",""it"")"),"Ogni ora")</f>
        <v>Ogni ora</v>
      </c>
      <c r="K311" s="4" t="str">
        <f>IFERROR(__xludf.DUMMYFUNCTION("GOOGLETRANSLATE(B311,""en"",""pt"")"),"De hora em hora")</f>
        <v>De hora em hora</v>
      </c>
      <c r="L311" s="4" t="str">
        <f>IFERROR(__xludf.DUMMYFUNCTION("GOOGLETRANSLATE(B311,""en"",""ro"")"),"Orar")</f>
        <v>Orar</v>
      </c>
      <c r="M311" s="4" t="str">
        <f>IFERROR(__xludf.DUMMYFUNCTION("GOOGLETRANSLATE(B311,""en"",""vi"")"),"Hàng giờ")</f>
        <v>Hàng giờ</v>
      </c>
      <c r="N311" s="4" t="str">
        <f>IFERROR(__xludf.DUMMYFUNCTION("GOOGLETRANSLATE(B311,""en"",""ru"")"),"Почасовой")</f>
        <v>Почасовой</v>
      </c>
      <c r="O311" s="4" t="str">
        <f>IFERROR(__xludf.DUMMYFUNCTION("GOOGLETRANSLATE(B311,""en"",""tr"")"),"Saatlik")</f>
        <v>Saatlik</v>
      </c>
      <c r="P311" s="4" t="str">
        <f>IFERROR(__xludf.DUMMYFUNCTION("GOOGLETRANSLATE(B311,""en"",""ar"")"),"كل ساعة")</f>
        <v>كل ساعة</v>
      </c>
      <c r="Q311" s="4" t="str">
        <f>IFERROR(__xludf.DUMMYFUNCTION("GOOGLETRANSLATE(B311,""en"",""mr"")"),"प्रति तास")</f>
        <v>प्रति तास</v>
      </c>
      <c r="R311" s="4" t="str">
        <f>IFERROR(__xludf.DUMMYFUNCTION("GOOGLETRANSLATE(B311,""en"",""gu"")"),"કલાકદીઠ")</f>
        <v>કલાકદીઠ</v>
      </c>
      <c r="S311" s="4" t="str">
        <f>IFERROR(__xludf.DUMMYFUNCTION("GOOGLETRANSLATE(B311,""en"",""bn"")"),"ঘণ্টায়")</f>
        <v>ঘণ্টায়</v>
      </c>
      <c r="T311" s="4" t="str">
        <f>IFERROR(__xludf.DUMMYFUNCTION("GOOGLETRANSLATE(B311,""en"",""pa"")"),"ਘੰਟਾ")</f>
        <v>ਘੰਟਾ</v>
      </c>
      <c r="U311" s="4" t="str">
        <f>IFERROR(__xludf.DUMMYFUNCTION("GOOGLETRANSLATE(B311,""en"",""te"")"),"గంటకోసారి")</f>
        <v>గంటకోసారి</v>
      </c>
      <c r="V311" s="4" t="str">
        <f>IFERROR(__xludf.DUMMYFUNCTION("GOOGLETRANSLATE(B311,""en"",""kn"")"),"ಗಂಟೆಗೊಮ್ಮೆ")</f>
        <v>ಗಂಟೆಗೊಮ್ಮೆ</v>
      </c>
      <c r="W311" s="4" t="str">
        <f>IFERROR(__xludf.DUMMYFUNCTION("GOOGLETRANSLATE(B311,""en"",""ml"")"),"മണിക്കൂറിൽ")</f>
        <v>മണിക്കൂറിൽ</v>
      </c>
      <c r="X311" s="4" t="str">
        <f>IFERROR(__xludf.DUMMYFUNCTION("GOOGLETRANSLATE(B311,""en"",""th"")"),"รายชั่วโมง")</f>
        <v>รายชั่วโมง</v>
      </c>
      <c r="Y311" s="4" t="str">
        <f>IFERROR(__xludf.DUMMYFUNCTION("GOOGLETRANSLATE(B311,""en"",""ko"")"),"시간당")</f>
        <v>시간당</v>
      </c>
      <c r="Z311" s="4" t="str">
        <f>IFERROR(__xludf.DUMMYFUNCTION("GOOGLETRANSLATE(B311,""en"",""zh"")"),"每小时")</f>
        <v>每小时</v>
      </c>
      <c r="AA311" s="4" t="str">
        <f>IFERROR(__xludf.DUMMYFUNCTION("GOOGLETRANSLATE(B311,""en"",""zh-TW"")"),"每小時")</f>
        <v>每小時</v>
      </c>
      <c r="AB311" s="4" t="str">
        <f>IFERROR(__xludf.DUMMYFUNCTION("GOOGLETRANSLATE(B311,""en"",""ja"")"),"時間単位")</f>
        <v>時間単位</v>
      </c>
      <c r="AC311" s="4" t="str">
        <f>IFERROR(__xludf.DUMMYFUNCTION("GOOGLETRANSLATE(B311,""en"",""bg"")"),"Почасово")</f>
        <v>Почасово</v>
      </c>
      <c r="AD311" s="4" t="str">
        <f>IFERROR(__xludf.DUMMYFUNCTION("GOOGLETRANSLATE(B311,""en"",""cs"")"),"Hodinově")</f>
        <v>Hodinově</v>
      </c>
      <c r="AE311" s="4" t="str">
        <f>IFERROR(__xludf.DUMMYFUNCTION("GOOGLETRANSLATE(B311,""en"",""da"")"),"Hver time")</f>
        <v>Hver time</v>
      </c>
      <c r="AF311" s="4" t="str">
        <f>IFERROR(__xludf.DUMMYFUNCTION("GOOGLETRANSLATE(B311,""en"",""el"")"),"Ωριαίος")</f>
        <v>Ωριαίος</v>
      </c>
      <c r="AG311" s="4" t="str">
        <f>IFERROR(__xludf.DUMMYFUNCTION("GOOGLETRANSLATE(B311,""en"",""et"")"),"Tunni kaupa")</f>
        <v>Tunni kaupa</v>
      </c>
      <c r="AH311" s="4" t="str">
        <f>IFERROR(__xludf.DUMMYFUNCTION("GOOGLETRANSLATE(B311,""en"",""fi"")"),"Tunneittain")</f>
        <v>Tunneittain</v>
      </c>
      <c r="AI311" s="4" t="str">
        <f>IFERROR(__xludf.DUMMYFUNCTION("GOOGLETRANSLATE(B311,""en"",""hr"")"),"Svaki sat")</f>
        <v>Svaki sat</v>
      </c>
      <c r="AJ311" s="4" t="str">
        <f>IFERROR(__xludf.DUMMYFUNCTION("GOOGLETRANSLATE(B311,""en"",""hu"")"),"Óránkénti")</f>
        <v>Óránkénti</v>
      </c>
      <c r="AK311" s="4" t="str">
        <f>IFERROR(__xludf.DUMMYFUNCTION("GOOGLETRANSLATE(B311,""en"",""hy"")"),"Ժամային")</f>
        <v>Ժամային</v>
      </c>
      <c r="AL311" s="4" t="str">
        <f>IFERROR(__xludf.DUMMYFUNCTION("GOOGLETRANSLATE(B311,""en"",""ca"")"),"Cada hora")</f>
        <v>Cada hora</v>
      </c>
      <c r="AM311" s="4" t="str">
        <f>IFERROR(__xludf.DUMMYFUNCTION("GOOGLETRANSLATE(B311,""en"",""nl"")"),"Per uur")</f>
        <v>Per uur</v>
      </c>
      <c r="AN311" s="4" t="str">
        <f>IFERROR(__xludf.DUMMYFUNCTION("GOOGLETRANSLATE(B311,""en"",""he"")"),"מדי שעה")</f>
        <v>מדי שעה</v>
      </c>
      <c r="AO311" s="4" t="str">
        <f>IFERROR(__xludf.DUMMYFUNCTION("GOOGLETRANSLATE(B311,""en"",""is"")"),"Á klukkutíma fresti")</f>
        <v>Á klukkutíma fresti</v>
      </c>
      <c r="AP311" s="4" t="str">
        <f>IFERROR(__xludf.DUMMYFUNCTION("GOOGLETRANSLATE(B311,""en"",""no"")"),"Hver time")</f>
        <v>Hver time</v>
      </c>
      <c r="AQ311" s="4" t="str">
        <f>IFERROR(__xludf.DUMMYFUNCTION("GOOGLETRANSLATE(B311,""en"",""fa"")"),"ساعتی")</f>
        <v>ساعتی</v>
      </c>
      <c r="AR311" s="4" t="str">
        <f>IFERROR(__xludf.DUMMYFUNCTION("GOOGLETRANSLATE(B311,""en"",""pl"")"),"Cogodzinny")</f>
        <v>Cogodzinny</v>
      </c>
      <c r="AS311" s="4" t="str">
        <f>IFERROR(__xludf.DUMMYFUNCTION("GOOGLETRANSLATE(B311,""en"",""sv"")"),"Varje timme")</f>
        <v>Varje timme</v>
      </c>
      <c r="AT311" s="4" t="str">
        <f>IFERROR(__xludf.DUMMYFUNCTION("GOOGLETRANSLATE(B311,""en"",""uk"")"),"щогодини")</f>
        <v>щогодини</v>
      </c>
      <c r="AU311" s="4" t="str">
        <f>IFERROR(__xludf.DUMMYFUNCTION("GOOGLETRANSLATE(B311,""en"",""zu"")"),"Ngehora")</f>
        <v>Ngehora</v>
      </c>
      <c r="AV311" s="4" t="str">
        <f>IFERROR(__xludf.DUMMYFUNCTION("GOOGLETRANSLATE(B311,""en"",""sr"")"),"По сату")</f>
        <v>По сату</v>
      </c>
    </row>
    <row r="312">
      <c r="A312" s="3" t="s">
        <v>633</v>
      </c>
      <c r="B312" s="3" t="s">
        <v>634</v>
      </c>
      <c r="C312" s="4" t="str">
        <f>IFERROR(__xludf.DUMMYFUNCTION("GOOGLETRANSLATE(B312,""en"",""ta"")"),"தினசரி")</f>
        <v>தினசரி</v>
      </c>
      <c r="D312" s="4" t="str">
        <f>IFERROR(__xludf.DUMMYFUNCTION("GOOGLETRANSLATE(B312,""en"",""hi"")"),"दैनिक")</f>
        <v>दैनिक</v>
      </c>
      <c r="E312" s="4" t="str">
        <f>IFERROR(__xludf.DUMMYFUNCTION("GOOGLETRANSLATE(B312,""en"",""id"")"),"Sehari-hari")</f>
        <v>Sehari-hari</v>
      </c>
      <c r="F312" s="4" t="str">
        <f>IFERROR(__xludf.DUMMYFUNCTION("GOOGLETRANSLATE(B312,""en"",""ms"")"),"Setiap hari")</f>
        <v>Setiap hari</v>
      </c>
      <c r="G312" s="4" t="str">
        <f>IFERROR(__xludf.DUMMYFUNCTION("GOOGLETRANSLATE(B312,""en"",""de"")"),"Täglich")</f>
        <v>Täglich</v>
      </c>
      <c r="H312" s="4" t="str">
        <f>IFERROR(__xludf.DUMMYFUNCTION("GOOGLETRANSLATE(B312,""en"",""es"")"),"A diario")</f>
        <v>A diario</v>
      </c>
      <c r="I312" s="4" t="str">
        <f>IFERROR(__xludf.DUMMYFUNCTION("GOOGLETRANSLATE(B312,""en"",""fr"")"),"Tous les jours")</f>
        <v>Tous les jours</v>
      </c>
      <c r="J312" s="4" t="str">
        <f>IFERROR(__xludf.DUMMYFUNCTION("GOOGLETRANSLATE(B312,""en"",""it"")"),"Quotidiano")</f>
        <v>Quotidiano</v>
      </c>
      <c r="K312" s="4" t="str">
        <f>IFERROR(__xludf.DUMMYFUNCTION("GOOGLETRANSLATE(B312,""en"",""pt"")"),"Diário")</f>
        <v>Diário</v>
      </c>
      <c r="L312" s="4" t="str">
        <f>IFERROR(__xludf.DUMMYFUNCTION("GOOGLETRANSLATE(B312,""en"",""ro"")"),"Zilnic")</f>
        <v>Zilnic</v>
      </c>
      <c r="M312" s="4" t="str">
        <f>IFERROR(__xludf.DUMMYFUNCTION("GOOGLETRANSLATE(B312,""en"",""vi"")"),"Hằng ngày")</f>
        <v>Hằng ngày</v>
      </c>
      <c r="N312" s="4" t="str">
        <f>IFERROR(__xludf.DUMMYFUNCTION("GOOGLETRANSLATE(B312,""en"",""ru"")"),"Ежедневно")</f>
        <v>Ежедневно</v>
      </c>
      <c r="O312" s="4" t="str">
        <f>IFERROR(__xludf.DUMMYFUNCTION("GOOGLETRANSLATE(B312,""en"",""tr"")"),"Günlük")</f>
        <v>Günlük</v>
      </c>
      <c r="P312" s="4" t="str">
        <f>IFERROR(__xludf.DUMMYFUNCTION("GOOGLETRANSLATE(B312,""en"",""ar"")"),"يوميًا")</f>
        <v>يوميًا</v>
      </c>
      <c r="Q312" s="4" t="str">
        <f>IFERROR(__xludf.DUMMYFUNCTION("GOOGLETRANSLATE(B312,""en"",""mr"")"),"रोज")</f>
        <v>रोज</v>
      </c>
      <c r="R312" s="4" t="str">
        <f>IFERROR(__xludf.DUMMYFUNCTION("GOOGLETRANSLATE(B312,""en"",""gu"")"),"દૈનિક")</f>
        <v>દૈનિક</v>
      </c>
      <c r="S312" s="4" t="str">
        <f>IFERROR(__xludf.DUMMYFUNCTION("GOOGLETRANSLATE(B312,""en"",""bn"")"),"দৈনিক")</f>
        <v>দৈনিক</v>
      </c>
      <c r="T312" s="4" t="str">
        <f>IFERROR(__xludf.DUMMYFUNCTION("GOOGLETRANSLATE(B312,""en"",""pa"")"),"ਰੋਜ਼ਾਨਾ")</f>
        <v>ਰੋਜ਼ਾਨਾ</v>
      </c>
      <c r="U312" s="4" t="str">
        <f>IFERROR(__xludf.DUMMYFUNCTION("GOOGLETRANSLATE(B312,""en"",""te"")"),"రోజువారీ")</f>
        <v>రోజువారీ</v>
      </c>
      <c r="V312" s="4" t="str">
        <f>IFERROR(__xludf.DUMMYFUNCTION("GOOGLETRANSLATE(B312,""en"",""kn"")"),"ಪ್ರತಿದಿನ")</f>
        <v>ಪ್ರತಿದಿನ</v>
      </c>
      <c r="W312" s="4" t="str">
        <f>IFERROR(__xludf.DUMMYFUNCTION("GOOGLETRANSLATE(B312,""en"",""ml"")"),"ദിവസേന")</f>
        <v>ദിവസേന</v>
      </c>
      <c r="X312" s="4" t="str">
        <f>IFERROR(__xludf.DUMMYFUNCTION("GOOGLETRANSLATE(B312,""en"",""th"")"),"รายวัน")</f>
        <v>รายวัน</v>
      </c>
      <c r="Y312" s="4" t="str">
        <f>IFERROR(__xludf.DUMMYFUNCTION("GOOGLETRANSLATE(B312,""en"",""ko"")"),"일일")</f>
        <v>일일</v>
      </c>
      <c r="Z312" s="4" t="str">
        <f>IFERROR(__xludf.DUMMYFUNCTION("GOOGLETRANSLATE(B312,""en"",""zh"")"),"日常的")</f>
        <v>日常的</v>
      </c>
      <c r="AA312" s="4" t="str">
        <f>IFERROR(__xludf.DUMMYFUNCTION("GOOGLETRANSLATE(B312,""en"",""zh-TW"")"),"日常的")</f>
        <v>日常的</v>
      </c>
      <c r="AB312" s="4" t="str">
        <f>IFERROR(__xludf.DUMMYFUNCTION("GOOGLETRANSLATE(B312,""en"",""ja"")"),"毎日")</f>
        <v>毎日</v>
      </c>
      <c r="AC312" s="4" t="str">
        <f>IFERROR(__xludf.DUMMYFUNCTION("GOOGLETRANSLATE(B312,""en"",""bg"")"),"Ежедневно")</f>
        <v>Ежедневно</v>
      </c>
      <c r="AD312" s="4" t="str">
        <f>IFERROR(__xludf.DUMMYFUNCTION("GOOGLETRANSLATE(B312,""en"",""cs"")"),"Denní")</f>
        <v>Denní</v>
      </c>
      <c r="AE312" s="4" t="str">
        <f>IFERROR(__xludf.DUMMYFUNCTION("GOOGLETRANSLATE(B312,""en"",""da"")"),"Daglig")</f>
        <v>Daglig</v>
      </c>
      <c r="AF312" s="4" t="str">
        <f>IFERROR(__xludf.DUMMYFUNCTION("GOOGLETRANSLATE(B312,""en"",""el"")"),"Καθημερινά")</f>
        <v>Καθημερινά</v>
      </c>
      <c r="AG312" s="4" t="str">
        <f>IFERROR(__xludf.DUMMYFUNCTION("GOOGLETRANSLATE(B312,""en"",""et"")"),"Igapäevane")</f>
        <v>Igapäevane</v>
      </c>
      <c r="AH312" s="4" t="str">
        <f>IFERROR(__xludf.DUMMYFUNCTION("GOOGLETRANSLATE(B312,""en"",""fi"")"),"Päivittäin")</f>
        <v>Päivittäin</v>
      </c>
      <c r="AI312" s="4" t="str">
        <f>IFERROR(__xludf.DUMMYFUNCTION("GOOGLETRANSLATE(B312,""en"",""hr"")"),"Dnevno")</f>
        <v>Dnevno</v>
      </c>
      <c r="AJ312" s="4" t="str">
        <f>IFERROR(__xludf.DUMMYFUNCTION("GOOGLETRANSLATE(B312,""en"",""hu"")"),"Napi")</f>
        <v>Napi</v>
      </c>
      <c r="AK312" s="4" t="str">
        <f>IFERROR(__xludf.DUMMYFUNCTION("GOOGLETRANSLATE(B312,""en"",""hy"")"),"Ամենօրյա")</f>
        <v>Ամենօրյա</v>
      </c>
      <c r="AL312" s="4" t="str">
        <f>IFERROR(__xludf.DUMMYFUNCTION("GOOGLETRANSLATE(B312,""en"",""ca"")"),"Diàriament")</f>
        <v>Diàriament</v>
      </c>
      <c r="AM312" s="4" t="str">
        <f>IFERROR(__xludf.DUMMYFUNCTION("GOOGLETRANSLATE(B312,""en"",""nl"")"),"Dagelijks")</f>
        <v>Dagelijks</v>
      </c>
      <c r="AN312" s="4" t="str">
        <f>IFERROR(__xludf.DUMMYFUNCTION("GOOGLETRANSLATE(B312,""en"",""he"")"),"יוֹמִי")</f>
        <v>יוֹמִי</v>
      </c>
      <c r="AO312" s="4" t="str">
        <f>IFERROR(__xludf.DUMMYFUNCTION("GOOGLETRANSLATE(B312,""en"",""is"")"),"Daglega")</f>
        <v>Daglega</v>
      </c>
      <c r="AP312" s="4" t="str">
        <f>IFERROR(__xludf.DUMMYFUNCTION("GOOGLETRANSLATE(B312,""en"",""no"")"),"Daglig")</f>
        <v>Daglig</v>
      </c>
      <c r="AQ312" s="4" t="str">
        <f>IFERROR(__xludf.DUMMYFUNCTION("GOOGLETRANSLATE(B312,""en"",""fa"")"),"روزانه")</f>
        <v>روزانه</v>
      </c>
      <c r="AR312" s="4" t="str">
        <f>IFERROR(__xludf.DUMMYFUNCTION("GOOGLETRANSLATE(B312,""en"",""pl"")"),"Codziennie")</f>
        <v>Codziennie</v>
      </c>
      <c r="AS312" s="4" t="str">
        <f>IFERROR(__xludf.DUMMYFUNCTION("GOOGLETRANSLATE(B312,""en"",""sv"")"),"Dagligen")</f>
        <v>Dagligen</v>
      </c>
      <c r="AT312" s="4" t="str">
        <f>IFERROR(__xludf.DUMMYFUNCTION("GOOGLETRANSLATE(B312,""en"",""uk"")"),"Щодня")</f>
        <v>Щодня</v>
      </c>
      <c r="AU312" s="4" t="str">
        <f>IFERROR(__xludf.DUMMYFUNCTION("GOOGLETRANSLATE(B312,""en"",""zu"")"),"Nsuku zonke")</f>
        <v>Nsuku zonke</v>
      </c>
      <c r="AV312" s="4" t="str">
        <f>IFERROR(__xludf.DUMMYFUNCTION("GOOGLETRANSLATE(B312,""en"",""sr"")"),"Даили")</f>
        <v>Даили</v>
      </c>
    </row>
    <row r="313">
      <c r="A313" s="3" t="s">
        <v>635</v>
      </c>
      <c r="B313" s="3" t="s">
        <v>636</v>
      </c>
      <c r="C313" s="4" t="str">
        <f>IFERROR(__xludf.DUMMYFUNCTION("GOOGLETRANSLATE(B313,""en"",""ta"")"),"வாரந்தோறும்")</f>
        <v>வாரந்தோறும்</v>
      </c>
      <c r="D313" s="4" t="str">
        <f>IFERROR(__xludf.DUMMYFUNCTION("GOOGLETRANSLATE(B313,""en"",""hi"")"),"साप्ताहिक")</f>
        <v>साप्ताहिक</v>
      </c>
      <c r="E313" s="4" t="str">
        <f>IFERROR(__xludf.DUMMYFUNCTION("GOOGLETRANSLATE(B313,""en"",""id"")"),"Mingguan")</f>
        <v>Mingguan</v>
      </c>
      <c r="F313" s="4" t="str">
        <f>IFERROR(__xludf.DUMMYFUNCTION("GOOGLETRANSLATE(B313,""en"",""ms"")"),"Mingguan")</f>
        <v>Mingguan</v>
      </c>
      <c r="G313" s="4" t="str">
        <f>IFERROR(__xludf.DUMMYFUNCTION("GOOGLETRANSLATE(B313,""en"",""de"")"),"Wöchentlich")</f>
        <v>Wöchentlich</v>
      </c>
      <c r="H313" s="4" t="str">
        <f>IFERROR(__xludf.DUMMYFUNCTION("GOOGLETRANSLATE(B313,""en"",""es"")"),"Semanalmente")</f>
        <v>Semanalmente</v>
      </c>
      <c r="I313" s="4" t="str">
        <f>IFERROR(__xludf.DUMMYFUNCTION("GOOGLETRANSLATE(B313,""en"",""fr"")"),"Hebdomadaire")</f>
        <v>Hebdomadaire</v>
      </c>
      <c r="J313" s="4" t="str">
        <f>IFERROR(__xludf.DUMMYFUNCTION("GOOGLETRANSLATE(B313,""en"",""it"")"),"Settimanale")</f>
        <v>Settimanale</v>
      </c>
      <c r="K313" s="4" t="str">
        <f>IFERROR(__xludf.DUMMYFUNCTION("GOOGLETRANSLATE(B313,""en"",""pt"")"),"Semanalmente")</f>
        <v>Semanalmente</v>
      </c>
      <c r="L313" s="4" t="str">
        <f>IFERROR(__xludf.DUMMYFUNCTION("GOOGLETRANSLATE(B313,""en"",""ro"")"),"Săptămânal")</f>
        <v>Săptămânal</v>
      </c>
      <c r="M313" s="4" t="str">
        <f>IFERROR(__xludf.DUMMYFUNCTION("GOOGLETRANSLATE(B313,""en"",""vi"")"),"Hàng tuần")</f>
        <v>Hàng tuần</v>
      </c>
      <c r="N313" s="4" t="str">
        <f>IFERROR(__xludf.DUMMYFUNCTION("GOOGLETRANSLATE(B313,""en"",""ru"")"),"Еженедельно")</f>
        <v>Еженедельно</v>
      </c>
      <c r="O313" s="4" t="str">
        <f>IFERROR(__xludf.DUMMYFUNCTION("GOOGLETRANSLATE(B313,""en"",""tr"")"),"Haftalık")</f>
        <v>Haftalık</v>
      </c>
      <c r="P313" s="4" t="str">
        <f>IFERROR(__xludf.DUMMYFUNCTION("GOOGLETRANSLATE(B313,""en"",""ar"")"),"أسبوعي")</f>
        <v>أسبوعي</v>
      </c>
      <c r="Q313" s="4" t="str">
        <f>IFERROR(__xludf.DUMMYFUNCTION("GOOGLETRANSLATE(B313,""en"",""mr"")"),"साप्ताहिक")</f>
        <v>साप्ताहिक</v>
      </c>
      <c r="R313" s="4" t="str">
        <f>IFERROR(__xludf.DUMMYFUNCTION("GOOGLETRANSLATE(B313,""en"",""gu"")"),"સાપ્તાહિક")</f>
        <v>સાપ્તાહિક</v>
      </c>
      <c r="S313" s="4" t="str">
        <f>IFERROR(__xludf.DUMMYFUNCTION("GOOGLETRANSLATE(B313,""en"",""bn"")"),"সাপ্তাহিক")</f>
        <v>সাপ্তাহিক</v>
      </c>
      <c r="T313" s="4" t="str">
        <f>IFERROR(__xludf.DUMMYFUNCTION("GOOGLETRANSLATE(B313,""en"",""pa"")"),"ਹਫਤਾਵਾਰੀ")</f>
        <v>ਹਫਤਾਵਾਰੀ</v>
      </c>
      <c r="U313" s="4" t="str">
        <f>IFERROR(__xludf.DUMMYFUNCTION("GOOGLETRANSLATE(B313,""en"",""te"")"),"వారానికోసారి")</f>
        <v>వారానికోసారి</v>
      </c>
      <c r="V313" s="4" t="str">
        <f>IFERROR(__xludf.DUMMYFUNCTION("GOOGLETRANSLATE(B313,""en"",""kn"")"),"ಸಾಪ್ತಾಹಿಕ")</f>
        <v>ಸಾಪ್ತಾಹಿಕ</v>
      </c>
      <c r="W313" s="4" t="str">
        <f>IFERROR(__xludf.DUMMYFUNCTION("GOOGLETRANSLATE(B313,""en"",""ml"")"),"പ്രതിവാരം")</f>
        <v>പ്രതിവാരം</v>
      </c>
      <c r="X313" s="4" t="str">
        <f>IFERROR(__xludf.DUMMYFUNCTION("GOOGLETRANSLATE(B313,""en"",""th"")"),"รายสัปดาห์")</f>
        <v>รายสัปดาห์</v>
      </c>
      <c r="Y313" s="4" t="str">
        <f>IFERROR(__xludf.DUMMYFUNCTION("GOOGLETRANSLATE(B313,""en"",""ko"")"),"주간")</f>
        <v>주간</v>
      </c>
      <c r="Z313" s="4" t="str">
        <f>IFERROR(__xludf.DUMMYFUNCTION("GOOGLETRANSLATE(B313,""en"",""zh"")"),"每周")</f>
        <v>每周</v>
      </c>
      <c r="AA313" s="4" t="str">
        <f>IFERROR(__xludf.DUMMYFUNCTION("GOOGLETRANSLATE(B313,""en"",""zh-TW"")"),"每週")</f>
        <v>每週</v>
      </c>
      <c r="AB313" s="4" t="str">
        <f>IFERROR(__xludf.DUMMYFUNCTION("GOOGLETRANSLATE(B313,""en"",""ja"")"),"週刊")</f>
        <v>週刊</v>
      </c>
      <c r="AC313" s="4" t="str">
        <f>IFERROR(__xludf.DUMMYFUNCTION("GOOGLETRANSLATE(B313,""en"",""bg"")"),"Ежеседмично")</f>
        <v>Ежеседмично</v>
      </c>
      <c r="AD313" s="4" t="str">
        <f>IFERROR(__xludf.DUMMYFUNCTION("GOOGLETRANSLATE(B313,""en"",""cs"")"),"Týdně")</f>
        <v>Týdně</v>
      </c>
      <c r="AE313" s="4" t="str">
        <f>IFERROR(__xludf.DUMMYFUNCTION("GOOGLETRANSLATE(B313,""en"",""da"")"),"Ugentlig")</f>
        <v>Ugentlig</v>
      </c>
      <c r="AF313" s="4" t="str">
        <f>IFERROR(__xludf.DUMMYFUNCTION("GOOGLETRANSLATE(B313,""en"",""el"")"),"Εβδομαδιαίος")</f>
        <v>Εβδομαδιαίος</v>
      </c>
      <c r="AG313" s="4" t="str">
        <f>IFERROR(__xludf.DUMMYFUNCTION("GOOGLETRANSLATE(B313,""en"",""et"")"),"Iganädalane")</f>
        <v>Iganädalane</v>
      </c>
      <c r="AH313" s="4" t="str">
        <f>IFERROR(__xludf.DUMMYFUNCTION("GOOGLETRANSLATE(B313,""en"",""fi"")"),"Viikoittain")</f>
        <v>Viikoittain</v>
      </c>
      <c r="AI313" s="4" t="str">
        <f>IFERROR(__xludf.DUMMYFUNCTION("GOOGLETRANSLATE(B313,""en"",""hr"")"),"Tjedni")</f>
        <v>Tjedni</v>
      </c>
      <c r="AJ313" s="4" t="str">
        <f>IFERROR(__xludf.DUMMYFUNCTION("GOOGLETRANSLATE(B313,""en"",""hu"")"),"Heti")</f>
        <v>Heti</v>
      </c>
      <c r="AK313" s="4" t="str">
        <f>IFERROR(__xludf.DUMMYFUNCTION("GOOGLETRANSLATE(B313,""en"",""hy"")"),"Շաբաթական")</f>
        <v>Շաբաթական</v>
      </c>
      <c r="AL313" s="4" t="str">
        <f>IFERROR(__xludf.DUMMYFUNCTION("GOOGLETRANSLATE(B313,""en"",""ca"")"),"Setmanalment")</f>
        <v>Setmanalment</v>
      </c>
      <c r="AM313" s="4" t="str">
        <f>IFERROR(__xludf.DUMMYFUNCTION("GOOGLETRANSLATE(B313,""en"",""nl"")"),"Wekelijks")</f>
        <v>Wekelijks</v>
      </c>
      <c r="AN313" s="4" t="str">
        <f>IFERROR(__xludf.DUMMYFUNCTION("GOOGLETRANSLATE(B313,""en"",""he"")"),"שְׁבוּעִי")</f>
        <v>שְׁבוּעִי</v>
      </c>
      <c r="AO313" s="4" t="str">
        <f>IFERROR(__xludf.DUMMYFUNCTION("GOOGLETRANSLATE(B313,""en"",""is"")"),"Vikulega")</f>
        <v>Vikulega</v>
      </c>
      <c r="AP313" s="4" t="str">
        <f>IFERROR(__xludf.DUMMYFUNCTION("GOOGLETRANSLATE(B313,""en"",""no"")"),"Ukentlig")</f>
        <v>Ukentlig</v>
      </c>
      <c r="AQ313" s="4" t="str">
        <f>IFERROR(__xludf.DUMMYFUNCTION("GOOGLETRANSLATE(B313,""en"",""fa"")"),"هفتگی")</f>
        <v>هفتگی</v>
      </c>
      <c r="AR313" s="4" t="str">
        <f>IFERROR(__xludf.DUMMYFUNCTION("GOOGLETRANSLATE(B313,""en"",""pl"")"),"Tygodnik")</f>
        <v>Tygodnik</v>
      </c>
      <c r="AS313" s="4" t="str">
        <f>IFERROR(__xludf.DUMMYFUNCTION("GOOGLETRANSLATE(B313,""en"",""sv"")"),"Varje vecka")</f>
        <v>Varje vecka</v>
      </c>
      <c r="AT313" s="4" t="str">
        <f>IFERROR(__xludf.DUMMYFUNCTION("GOOGLETRANSLATE(B313,""en"",""uk"")"),"Щотижня")</f>
        <v>Щотижня</v>
      </c>
      <c r="AU313" s="4" t="str">
        <f>IFERROR(__xludf.DUMMYFUNCTION("GOOGLETRANSLATE(B313,""en"",""zu"")"),"Maviki onke")</f>
        <v>Maviki onke</v>
      </c>
      <c r="AV313" s="4" t="str">
        <f>IFERROR(__xludf.DUMMYFUNCTION("GOOGLETRANSLATE(B313,""en"",""sr"")"),"Недељно")</f>
        <v>Недељно</v>
      </c>
    </row>
    <row r="314">
      <c r="A314" s="3" t="s">
        <v>637</v>
      </c>
      <c r="B314" s="3" t="s">
        <v>492</v>
      </c>
      <c r="C314" s="4" t="str">
        <f>IFERROR(__xludf.DUMMYFUNCTION("GOOGLETRANSLATE(B314,""en"",""ta"")"),"உயரம்")</f>
        <v>உயரம்</v>
      </c>
      <c r="D314" s="4" t="str">
        <f>IFERROR(__xludf.DUMMYFUNCTION("GOOGLETRANSLATE(B314,""en"",""hi"")"),"ऊंचाई")</f>
        <v>ऊंचाई</v>
      </c>
      <c r="E314" s="4" t="str">
        <f>IFERROR(__xludf.DUMMYFUNCTION("GOOGLETRANSLATE(B314,""en"",""id"")"),"Ketinggian")</f>
        <v>Ketinggian</v>
      </c>
      <c r="F314" s="4" t="str">
        <f>IFERROR(__xludf.DUMMYFUNCTION("GOOGLETRANSLATE(B314,""en"",""ms"")"),"Ketinggian")</f>
        <v>Ketinggian</v>
      </c>
      <c r="G314" s="4" t="str">
        <f>IFERROR(__xludf.DUMMYFUNCTION("GOOGLETRANSLATE(B314,""en"",""de"")"),"Höhe")</f>
        <v>Höhe</v>
      </c>
      <c r="H314" s="4" t="str">
        <f>IFERROR(__xludf.DUMMYFUNCTION("GOOGLETRANSLATE(B314,""en"",""es"")"),"Altitud")</f>
        <v>Altitud</v>
      </c>
      <c r="I314" s="4" t="str">
        <f>IFERROR(__xludf.DUMMYFUNCTION("GOOGLETRANSLATE(B314,""en"",""fr"")"),"Altitude")</f>
        <v>Altitude</v>
      </c>
      <c r="J314" s="4" t="str">
        <f>IFERROR(__xludf.DUMMYFUNCTION("GOOGLETRANSLATE(B314,""en"",""it"")"),"Altitudine")</f>
        <v>Altitudine</v>
      </c>
      <c r="K314" s="4" t="str">
        <f>IFERROR(__xludf.DUMMYFUNCTION("GOOGLETRANSLATE(B314,""en"",""pt"")"),"Altitude")</f>
        <v>Altitude</v>
      </c>
      <c r="L314" s="4" t="str">
        <f>IFERROR(__xludf.DUMMYFUNCTION("GOOGLETRANSLATE(B314,""en"",""ro"")"),"Altitudine")</f>
        <v>Altitudine</v>
      </c>
      <c r="M314" s="4" t="str">
        <f>IFERROR(__xludf.DUMMYFUNCTION("GOOGLETRANSLATE(B314,""en"",""vi"")"),"Độ cao")</f>
        <v>Độ cao</v>
      </c>
      <c r="N314" s="4" t="str">
        <f>IFERROR(__xludf.DUMMYFUNCTION("GOOGLETRANSLATE(B314,""en"",""ru"")"),"Высота")</f>
        <v>Высота</v>
      </c>
      <c r="O314" s="4" t="str">
        <f>IFERROR(__xludf.DUMMYFUNCTION("GOOGLETRANSLATE(B314,""en"",""tr"")"),"Yükseklik")</f>
        <v>Yükseklik</v>
      </c>
      <c r="P314" s="4" t="str">
        <f>IFERROR(__xludf.DUMMYFUNCTION("GOOGLETRANSLATE(B314,""en"",""ar"")"),"ارتفاع")</f>
        <v>ارتفاع</v>
      </c>
      <c r="Q314" s="4" t="str">
        <f>IFERROR(__xludf.DUMMYFUNCTION("GOOGLETRANSLATE(B314,""en"",""mr"")"),"उंची")</f>
        <v>उंची</v>
      </c>
      <c r="R314" s="4" t="str">
        <f>IFERROR(__xludf.DUMMYFUNCTION("GOOGLETRANSLATE(B314,""en"",""gu"")"),"ઊંચાઈ")</f>
        <v>ઊંચાઈ</v>
      </c>
      <c r="S314" s="4" t="str">
        <f>IFERROR(__xludf.DUMMYFUNCTION("GOOGLETRANSLATE(B314,""en"",""bn"")"),"উচ্চতা")</f>
        <v>উচ্চতা</v>
      </c>
      <c r="T314" s="4" t="str">
        <f>IFERROR(__xludf.DUMMYFUNCTION("GOOGLETRANSLATE(B314,""en"",""pa"")"),"ਉਚਾਈ")</f>
        <v>ਉਚਾਈ</v>
      </c>
      <c r="U314" s="4" t="str">
        <f>IFERROR(__xludf.DUMMYFUNCTION("GOOGLETRANSLATE(B314,""en"",""te"")"),"ఎత్తు")</f>
        <v>ఎత్తు</v>
      </c>
      <c r="V314" s="4" t="str">
        <f>IFERROR(__xludf.DUMMYFUNCTION("GOOGLETRANSLATE(B314,""en"",""kn"")"),"ಎತ್ತರ")</f>
        <v>ಎತ್ತರ</v>
      </c>
      <c r="W314" s="4" t="str">
        <f>IFERROR(__xludf.DUMMYFUNCTION("GOOGLETRANSLATE(B314,""en"",""ml"")"),"ഉയരം")</f>
        <v>ഉയരം</v>
      </c>
      <c r="X314" s="4" t="str">
        <f>IFERROR(__xludf.DUMMYFUNCTION("GOOGLETRANSLATE(B314,""en"",""th"")"),"ระดับความสูง")</f>
        <v>ระดับความสูง</v>
      </c>
      <c r="Y314" s="4" t="str">
        <f>IFERROR(__xludf.DUMMYFUNCTION("GOOGLETRANSLATE(B314,""en"",""ko"")"),"고도")</f>
        <v>고도</v>
      </c>
      <c r="Z314" s="4" t="str">
        <f>IFERROR(__xludf.DUMMYFUNCTION("GOOGLETRANSLATE(B314,""en"",""zh"")"),"高度")</f>
        <v>高度</v>
      </c>
      <c r="AA314" s="4" t="str">
        <f>IFERROR(__xludf.DUMMYFUNCTION("GOOGLETRANSLATE(B314,""en"",""zh-TW"")"),"高度")</f>
        <v>高度</v>
      </c>
      <c r="AB314" s="4" t="str">
        <f>IFERROR(__xludf.DUMMYFUNCTION("GOOGLETRANSLATE(B314,""en"",""ja"")"),"高度")</f>
        <v>高度</v>
      </c>
      <c r="AC314" s="4" t="str">
        <f>IFERROR(__xludf.DUMMYFUNCTION("GOOGLETRANSLATE(B314,""en"",""bg"")"),"Надморска височина")</f>
        <v>Надморска височина</v>
      </c>
      <c r="AD314" s="4" t="str">
        <f>IFERROR(__xludf.DUMMYFUNCTION("GOOGLETRANSLATE(B314,""en"",""cs"")"),"Nadmořská výška")</f>
        <v>Nadmořská výška</v>
      </c>
      <c r="AE314" s="4" t="str">
        <f>IFERROR(__xludf.DUMMYFUNCTION("GOOGLETRANSLATE(B314,""en"",""da"")"),"Højde")</f>
        <v>Højde</v>
      </c>
      <c r="AF314" s="4" t="str">
        <f>IFERROR(__xludf.DUMMYFUNCTION("GOOGLETRANSLATE(B314,""en"",""el"")"),"Υψόμετρο")</f>
        <v>Υψόμετρο</v>
      </c>
      <c r="AG314" s="4" t="str">
        <f>IFERROR(__xludf.DUMMYFUNCTION("GOOGLETRANSLATE(B314,""en"",""et"")"),"Kõrgus merepinnast")</f>
        <v>Kõrgus merepinnast</v>
      </c>
      <c r="AH314" s="4" t="str">
        <f>IFERROR(__xludf.DUMMYFUNCTION("GOOGLETRANSLATE(B314,""en"",""fi"")"),"Korkeus")</f>
        <v>Korkeus</v>
      </c>
      <c r="AI314" s="4" t="str">
        <f>IFERROR(__xludf.DUMMYFUNCTION("GOOGLETRANSLATE(B314,""en"",""hr"")"),"Nadmorska visina")</f>
        <v>Nadmorska visina</v>
      </c>
      <c r="AJ314" s="4" t="str">
        <f>IFERROR(__xludf.DUMMYFUNCTION("GOOGLETRANSLATE(B314,""en"",""hu"")"),"Magasság")</f>
        <v>Magasság</v>
      </c>
      <c r="AK314" s="4" t="str">
        <f>IFERROR(__xludf.DUMMYFUNCTION("GOOGLETRANSLATE(B314,""en"",""hy"")"),"Բարձրություն")</f>
        <v>Բարձրություն</v>
      </c>
      <c r="AL314" s="4" t="str">
        <f>IFERROR(__xludf.DUMMYFUNCTION("GOOGLETRANSLATE(B314,""en"",""ca"")"),"Altitud")</f>
        <v>Altitud</v>
      </c>
      <c r="AM314" s="4" t="str">
        <f>IFERROR(__xludf.DUMMYFUNCTION("GOOGLETRANSLATE(B314,""en"",""nl"")"),"Hoogte")</f>
        <v>Hoogte</v>
      </c>
      <c r="AN314" s="4" t="str">
        <f>IFERROR(__xludf.DUMMYFUNCTION("GOOGLETRANSLATE(B314,""en"",""he"")"),"גוֹבַה")</f>
        <v>גוֹבַה</v>
      </c>
      <c r="AO314" s="4" t="str">
        <f>IFERROR(__xludf.DUMMYFUNCTION("GOOGLETRANSLATE(B314,""en"",""is"")"),"Hæð")</f>
        <v>Hæð</v>
      </c>
      <c r="AP314" s="4" t="str">
        <f>IFERROR(__xludf.DUMMYFUNCTION("GOOGLETRANSLATE(B314,""en"",""no"")"),"Høyde")</f>
        <v>Høyde</v>
      </c>
      <c r="AQ314" s="4" t="str">
        <f>IFERROR(__xludf.DUMMYFUNCTION("GOOGLETRANSLATE(B314,""en"",""fa"")"),"ارتفاع")</f>
        <v>ارتفاع</v>
      </c>
      <c r="AR314" s="4" t="str">
        <f>IFERROR(__xludf.DUMMYFUNCTION("GOOGLETRANSLATE(B314,""en"",""pl"")"),"Wysokość")</f>
        <v>Wysokość</v>
      </c>
      <c r="AS314" s="4" t="str">
        <f>IFERROR(__xludf.DUMMYFUNCTION("GOOGLETRANSLATE(B314,""en"",""sv"")"),"Höjd över havet")</f>
        <v>Höjd över havet</v>
      </c>
      <c r="AT314" s="4" t="str">
        <f>IFERROR(__xludf.DUMMYFUNCTION("GOOGLETRANSLATE(B314,""en"",""uk"")"),"Висота")</f>
        <v>Висота</v>
      </c>
      <c r="AU314" s="4" t="str">
        <f>IFERROR(__xludf.DUMMYFUNCTION("GOOGLETRANSLATE(B314,""en"",""zu"")"),"Ukuphakama")</f>
        <v>Ukuphakama</v>
      </c>
      <c r="AV314" s="4" t="str">
        <f>IFERROR(__xludf.DUMMYFUNCTION("GOOGLETRANSLATE(B314,""en"",""sr"")"),"Висина")</f>
        <v>Висина</v>
      </c>
    </row>
    <row r="315">
      <c r="A315" s="3" t="s">
        <v>638</v>
      </c>
      <c r="B315" s="3" t="s">
        <v>639</v>
      </c>
      <c r="C315" s="4" t="str">
        <f>IFERROR(__xludf.DUMMYFUNCTION("GOOGLETRANSLATE(B315,""en"",""ta"")"),"அதிகபட்சம்")</f>
        <v>அதிகபட்சம்</v>
      </c>
      <c r="D315" s="4" t="str">
        <f>IFERROR(__xludf.DUMMYFUNCTION("GOOGLETRANSLATE(B315,""en"",""hi"")"),"अधिकतम")</f>
        <v>अधिकतम</v>
      </c>
      <c r="E315" s="4" t="str">
        <f>IFERROR(__xludf.DUMMYFUNCTION("GOOGLETRANSLATE(B315,""en"",""id"")"),"Maksimal")</f>
        <v>Maksimal</v>
      </c>
      <c r="F315" s="4" t="str">
        <f>IFERROR(__xludf.DUMMYFUNCTION("GOOGLETRANSLATE(B315,""en"",""ms"")"),"Maks")</f>
        <v>Maks</v>
      </c>
      <c r="G315" s="4" t="str">
        <f>IFERROR(__xludf.DUMMYFUNCTION("GOOGLETRANSLATE(B315,""en"",""de"")"),"Max")</f>
        <v>Max</v>
      </c>
      <c r="H315" s="4" t="str">
        <f>IFERROR(__xludf.DUMMYFUNCTION("GOOGLETRANSLATE(B315,""en"",""es"")"),"Máximo")</f>
        <v>Máximo</v>
      </c>
      <c r="I315" s="4" t="str">
        <f>IFERROR(__xludf.DUMMYFUNCTION("GOOGLETRANSLATE(B315,""en"",""fr"")"),"Max")</f>
        <v>Max</v>
      </c>
      <c r="J315" s="4" t="str">
        <f>IFERROR(__xludf.DUMMYFUNCTION("GOOGLETRANSLATE(B315,""en"",""it"")"),"Massimo")</f>
        <v>Massimo</v>
      </c>
      <c r="K315" s="4" t="str">
        <f>IFERROR(__xludf.DUMMYFUNCTION("GOOGLETRANSLATE(B315,""en"",""pt"")"),"Máx.")</f>
        <v>Máx.</v>
      </c>
      <c r="L315" s="4" t="str">
        <f>IFERROR(__xludf.DUMMYFUNCTION("GOOGLETRANSLATE(B315,""en"",""ro"")"),"Max")</f>
        <v>Max</v>
      </c>
      <c r="M315" s="4" t="str">
        <f>IFERROR(__xludf.DUMMYFUNCTION("GOOGLETRANSLATE(B315,""en"",""vi"")"),"Tối đa")</f>
        <v>Tối đa</v>
      </c>
      <c r="N315" s="4" t="str">
        <f>IFERROR(__xludf.DUMMYFUNCTION("GOOGLETRANSLATE(B315,""en"",""ru"")"),"Макс")</f>
        <v>Макс</v>
      </c>
      <c r="O315" s="4" t="str">
        <f>IFERROR(__xludf.DUMMYFUNCTION("GOOGLETRANSLATE(B315,""en"",""tr"")"),"Maksimum")</f>
        <v>Maksimum</v>
      </c>
      <c r="P315" s="4" t="str">
        <f>IFERROR(__xludf.DUMMYFUNCTION("GOOGLETRANSLATE(B315,""en"",""ar"")"),"الأعلى")</f>
        <v>الأعلى</v>
      </c>
      <c r="Q315" s="4" t="str">
        <f>IFERROR(__xludf.DUMMYFUNCTION("GOOGLETRANSLATE(B315,""en"",""mr"")"),"कमाल")</f>
        <v>कमाल</v>
      </c>
      <c r="R315" s="4" t="str">
        <f>IFERROR(__xludf.DUMMYFUNCTION("GOOGLETRANSLATE(B315,""en"",""gu"")"),"મહત્તમ")</f>
        <v>મહત્તમ</v>
      </c>
      <c r="S315" s="4" t="str">
        <f>IFERROR(__xludf.DUMMYFUNCTION("GOOGLETRANSLATE(B315,""en"",""bn"")"),"সর্বোচ্চ")</f>
        <v>সর্বোচ্চ</v>
      </c>
      <c r="T315" s="4" t="str">
        <f>IFERROR(__xludf.DUMMYFUNCTION("GOOGLETRANSLATE(B315,""en"",""pa"")"),"ਅਧਿਕਤਮ")</f>
        <v>ਅਧਿਕਤਮ</v>
      </c>
      <c r="U315" s="4" t="str">
        <f>IFERROR(__xludf.DUMMYFUNCTION("GOOGLETRANSLATE(B315,""en"",""te"")"),"గరిష్టంగా")</f>
        <v>గరిష్టంగా</v>
      </c>
      <c r="V315" s="4" t="str">
        <f>IFERROR(__xludf.DUMMYFUNCTION("GOOGLETRANSLATE(B315,""en"",""kn"")"),"ಗರಿಷ್ಠ")</f>
        <v>ಗರಿಷ್ಠ</v>
      </c>
      <c r="W315" s="4" t="str">
        <f>IFERROR(__xludf.DUMMYFUNCTION("GOOGLETRANSLATE(B315,""en"",""ml"")"),"പരമാവധി")</f>
        <v>പരമാവധി</v>
      </c>
      <c r="X315" s="4" t="str">
        <f>IFERROR(__xludf.DUMMYFUNCTION("GOOGLETRANSLATE(B315,""en"",""th"")"),"แม็กซ์")</f>
        <v>แม็กซ์</v>
      </c>
      <c r="Y315" s="4" t="str">
        <f>IFERROR(__xludf.DUMMYFUNCTION("GOOGLETRANSLATE(B315,""en"",""ko"")"),"맥스")</f>
        <v>맥스</v>
      </c>
      <c r="Z315" s="4" t="str">
        <f>IFERROR(__xludf.DUMMYFUNCTION("GOOGLETRANSLATE(B315,""en"",""zh"")"),"最大限度")</f>
        <v>最大限度</v>
      </c>
      <c r="AA315" s="4" t="str">
        <f>IFERROR(__xludf.DUMMYFUNCTION("GOOGLETRANSLATE(B315,""en"",""zh-TW"")"),"最大限度")</f>
        <v>最大限度</v>
      </c>
      <c r="AB315" s="4" t="str">
        <f>IFERROR(__xludf.DUMMYFUNCTION("GOOGLETRANSLATE(B315,""en"",""ja"")"),"マックス")</f>
        <v>マックス</v>
      </c>
      <c r="AC315" s="4" t="str">
        <f>IFERROR(__xludf.DUMMYFUNCTION("GOOGLETRANSLATE(B315,""en"",""bg"")"),"Макс")</f>
        <v>Макс</v>
      </c>
      <c r="AD315" s="4" t="str">
        <f>IFERROR(__xludf.DUMMYFUNCTION("GOOGLETRANSLATE(B315,""en"",""cs"")"),"Max")</f>
        <v>Max</v>
      </c>
      <c r="AE315" s="4" t="str">
        <f>IFERROR(__xludf.DUMMYFUNCTION("GOOGLETRANSLATE(B315,""en"",""da"")"),"Maks")</f>
        <v>Maks</v>
      </c>
      <c r="AF315" s="4" t="str">
        <f>IFERROR(__xludf.DUMMYFUNCTION("GOOGLETRANSLATE(B315,""en"",""el"")"),"Μέγ")</f>
        <v>Μέγ</v>
      </c>
      <c r="AG315" s="4" t="str">
        <f>IFERROR(__xludf.DUMMYFUNCTION("GOOGLETRANSLATE(B315,""en"",""et"")"),"Max")</f>
        <v>Max</v>
      </c>
      <c r="AH315" s="4" t="str">
        <f>IFERROR(__xludf.DUMMYFUNCTION("GOOGLETRANSLATE(B315,""en"",""fi"")"),"Max")</f>
        <v>Max</v>
      </c>
      <c r="AI315" s="4" t="str">
        <f>IFERROR(__xludf.DUMMYFUNCTION("GOOGLETRANSLATE(B315,""en"",""hr"")"),"Maks")</f>
        <v>Maks</v>
      </c>
      <c r="AJ315" s="4" t="str">
        <f>IFERROR(__xludf.DUMMYFUNCTION("GOOGLETRANSLATE(B315,""en"",""hu"")"),"Max")</f>
        <v>Max</v>
      </c>
      <c r="AK315" s="4" t="str">
        <f>IFERROR(__xludf.DUMMYFUNCTION("GOOGLETRANSLATE(B315,""en"",""hy"")"),"Մաքս")</f>
        <v>Մաքս</v>
      </c>
      <c r="AL315" s="4" t="str">
        <f>IFERROR(__xludf.DUMMYFUNCTION("GOOGLETRANSLATE(B315,""en"",""ca"")"),"Màx")</f>
        <v>Màx</v>
      </c>
      <c r="AM315" s="4" t="str">
        <f>IFERROR(__xludf.DUMMYFUNCTION("GOOGLETRANSLATE(B315,""en"",""nl"")"),"Maximaal")</f>
        <v>Maximaal</v>
      </c>
      <c r="AN315" s="4" t="str">
        <f>IFERROR(__xludf.DUMMYFUNCTION("GOOGLETRANSLATE(B315,""en"",""he"")"),"מקסימום")</f>
        <v>מקסימום</v>
      </c>
      <c r="AO315" s="4" t="str">
        <f>IFERROR(__xludf.DUMMYFUNCTION("GOOGLETRANSLATE(B315,""en"",""is"")"),"Hámark")</f>
        <v>Hámark</v>
      </c>
      <c r="AP315" s="4" t="str">
        <f>IFERROR(__xludf.DUMMYFUNCTION("GOOGLETRANSLATE(B315,""en"",""no"")"),"Maks")</f>
        <v>Maks</v>
      </c>
      <c r="AQ315" s="4" t="str">
        <f>IFERROR(__xludf.DUMMYFUNCTION("GOOGLETRANSLATE(B315,""en"",""fa"")"),"حداکثر")</f>
        <v>حداکثر</v>
      </c>
      <c r="AR315" s="4" t="str">
        <f>IFERROR(__xludf.DUMMYFUNCTION("GOOGLETRANSLATE(B315,""en"",""pl"")"),"Maksymalnie")</f>
        <v>Maksymalnie</v>
      </c>
      <c r="AS315" s="4" t="str">
        <f>IFERROR(__xludf.DUMMYFUNCTION("GOOGLETRANSLATE(B315,""en"",""sv"")"),"Max")</f>
        <v>Max</v>
      </c>
      <c r="AT315" s="4" t="str">
        <f>IFERROR(__xludf.DUMMYFUNCTION("GOOGLETRANSLATE(B315,""en"",""uk"")"),"Макс")</f>
        <v>Макс</v>
      </c>
      <c r="AU315" s="4" t="str">
        <f>IFERROR(__xludf.DUMMYFUNCTION("GOOGLETRANSLATE(B315,""en"",""zu"")"),"Ubukhulu")</f>
        <v>Ubukhulu</v>
      </c>
      <c r="AV315" s="4" t="str">
        <f>IFERROR(__xludf.DUMMYFUNCTION("GOOGLETRANSLATE(B315,""en"",""sr"")"),"Макс")</f>
        <v>Макс</v>
      </c>
    </row>
    <row r="316">
      <c r="A316" s="3" t="s">
        <v>640</v>
      </c>
      <c r="B316" s="3" t="s">
        <v>580</v>
      </c>
      <c r="C316" s="4" t="str">
        <f>IFERROR(__xludf.DUMMYFUNCTION("GOOGLETRANSLATE(B316,""en"",""ta"")"),"குறிப்பைச் சேர்க்கவும்")</f>
        <v>குறிப்பைச் சேர்க்கவும்</v>
      </c>
      <c r="D316" s="4" t="str">
        <f>IFERROR(__xludf.DUMMYFUNCTION("GOOGLETRANSLATE(B316,""en"",""hi"")"),"नोट जोड़े")</f>
        <v>नोट जोड़े</v>
      </c>
      <c r="E316" s="4" t="str">
        <f>IFERROR(__xludf.DUMMYFUNCTION("GOOGLETRANSLATE(B316,""en"",""id"")"),"Tambahkan Catatan")</f>
        <v>Tambahkan Catatan</v>
      </c>
      <c r="F316" s="4" t="str">
        <f>IFERROR(__xludf.DUMMYFUNCTION("GOOGLETRANSLATE(B316,""en"",""ms"")"),"Tambah Nota")</f>
        <v>Tambah Nota</v>
      </c>
      <c r="G316" s="4" t="str">
        <f>IFERROR(__xludf.DUMMYFUNCTION("GOOGLETRANSLATE(B316,""en"",""de"")"),"Notiz hinzufügen")</f>
        <v>Notiz hinzufügen</v>
      </c>
      <c r="H316" s="4" t="str">
        <f>IFERROR(__xludf.DUMMYFUNCTION("GOOGLETRANSLATE(B316,""en"",""es"")"),"Añadir nota")</f>
        <v>Añadir nota</v>
      </c>
      <c r="I316" s="4" t="str">
        <f>IFERROR(__xludf.DUMMYFUNCTION("GOOGLETRANSLATE(B316,""en"",""fr"")"),"Ajouter une note")</f>
        <v>Ajouter une note</v>
      </c>
      <c r="J316" s="4" t="str">
        <f>IFERROR(__xludf.DUMMYFUNCTION("GOOGLETRANSLATE(B316,""en"",""it"")"),"Aggiungi nota")</f>
        <v>Aggiungi nota</v>
      </c>
      <c r="K316" s="4" t="str">
        <f>IFERROR(__xludf.DUMMYFUNCTION("GOOGLETRANSLATE(B316,""en"",""pt"")"),"Adicionar nota")</f>
        <v>Adicionar nota</v>
      </c>
      <c r="L316" s="4" t="str">
        <f>IFERROR(__xludf.DUMMYFUNCTION("GOOGLETRANSLATE(B316,""en"",""ro"")"),"Adăugați o notă")</f>
        <v>Adăugați o notă</v>
      </c>
      <c r="M316" s="4" t="str">
        <f>IFERROR(__xludf.DUMMYFUNCTION("GOOGLETRANSLATE(B316,""en"",""vi"")"),"Thêm Ghi chú")</f>
        <v>Thêm Ghi chú</v>
      </c>
      <c r="N316" s="4" t="str">
        <f>IFERROR(__xludf.DUMMYFUNCTION("GOOGLETRANSLATE(B316,""en"",""ru"")"),"Добавить примечание")</f>
        <v>Добавить примечание</v>
      </c>
      <c r="O316" s="4" t="str">
        <f>IFERROR(__xludf.DUMMYFUNCTION("GOOGLETRANSLATE(B316,""en"",""tr"")"),"Not Ekle")</f>
        <v>Not Ekle</v>
      </c>
      <c r="P316" s="4" t="str">
        <f>IFERROR(__xludf.DUMMYFUNCTION("GOOGLETRANSLATE(B316,""en"",""ar"")"),"إضافة ملاحظة")</f>
        <v>إضافة ملاحظة</v>
      </c>
      <c r="Q316" s="4" t="str">
        <f>IFERROR(__xludf.DUMMYFUNCTION("GOOGLETRANSLATE(B316,""en"",""mr"")"),"टीप जोडा")</f>
        <v>टीप जोडा</v>
      </c>
      <c r="R316" s="4" t="str">
        <f>IFERROR(__xludf.DUMMYFUNCTION("GOOGLETRANSLATE(B316,""en"",""gu"")"),"નોંધ ઉમેરો")</f>
        <v>નોંધ ઉમેરો</v>
      </c>
      <c r="S316" s="4" t="str">
        <f>IFERROR(__xludf.DUMMYFUNCTION("GOOGLETRANSLATE(B316,""en"",""bn"")"),"নোট যোগ করুন")</f>
        <v>নোট যোগ করুন</v>
      </c>
      <c r="T316" s="4" t="str">
        <f>IFERROR(__xludf.DUMMYFUNCTION("GOOGLETRANSLATE(B316,""en"",""pa"")"),"ਨੋਟ ਸ਼ਾਮਲ ਕਰੋ")</f>
        <v>ਨੋਟ ਸ਼ਾਮਲ ਕਰੋ</v>
      </c>
      <c r="U316" s="4" t="str">
        <f>IFERROR(__xludf.DUMMYFUNCTION("GOOGLETRANSLATE(B316,""en"",""te"")"),"గమనికను జోడించండి")</f>
        <v>గమనికను జోడించండి</v>
      </c>
      <c r="V316" s="4" t="str">
        <f>IFERROR(__xludf.DUMMYFUNCTION("GOOGLETRANSLATE(B316,""en"",""kn"")"),"ಟಿಪ್ಪಣಿ ಸೇರಿಸಿ")</f>
        <v>ಟಿಪ್ಪಣಿ ಸೇರಿಸಿ</v>
      </c>
      <c r="W316" s="4" t="str">
        <f>IFERROR(__xludf.DUMMYFUNCTION("GOOGLETRANSLATE(B316,""en"",""ml"")"),"കുറിപ്പ് ചേർക്കുക")</f>
        <v>കുറിപ്പ് ചേർക്കുക</v>
      </c>
      <c r="X316" s="4" t="str">
        <f>IFERROR(__xludf.DUMMYFUNCTION("GOOGLETRANSLATE(B316,""en"",""th"")"),"เพิ่มหมายเหตุ")</f>
        <v>เพิ่มหมายเหตุ</v>
      </c>
      <c r="Y316" s="4" t="str">
        <f>IFERROR(__xludf.DUMMYFUNCTION("GOOGLETRANSLATE(B316,""en"",""ko"")"),"메모 추가")</f>
        <v>메모 추가</v>
      </c>
      <c r="Z316" s="4" t="str">
        <f>IFERROR(__xludf.DUMMYFUNCTION("GOOGLETRANSLATE(B316,""en"",""zh"")"),"添加注释")</f>
        <v>添加注释</v>
      </c>
      <c r="AA316" s="4" t="str">
        <f>IFERROR(__xludf.DUMMYFUNCTION("GOOGLETRANSLATE(B316,""en"",""zh-TW"")"),"新增註釋")</f>
        <v>新增註釋</v>
      </c>
      <c r="AB316" s="4" t="str">
        <f>IFERROR(__xludf.DUMMYFUNCTION("GOOGLETRANSLATE(B316,""en"",""ja"")"),"メモを追加")</f>
        <v>メモを追加</v>
      </c>
      <c r="AC316" s="4" t="str">
        <f>IFERROR(__xludf.DUMMYFUNCTION("GOOGLETRANSLATE(B316,""en"",""bg"")"),"Добавете бележка")</f>
        <v>Добавете бележка</v>
      </c>
      <c r="AD316" s="4" t="str">
        <f>IFERROR(__xludf.DUMMYFUNCTION("GOOGLETRANSLATE(B316,""en"",""cs"")"),"Přidat poznámku")</f>
        <v>Přidat poznámku</v>
      </c>
      <c r="AE316" s="4" t="str">
        <f>IFERROR(__xludf.DUMMYFUNCTION("GOOGLETRANSLATE(B316,""en"",""da"")"),"Tilføj note")</f>
        <v>Tilføj note</v>
      </c>
      <c r="AF316" s="4" t="str">
        <f>IFERROR(__xludf.DUMMYFUNCTION("GOOGLETRANSLATE(B316,""en"",""el"")"),"Προσθήκη Σημείωσης")</f>
        <v>Προσθήκη Σημείωσης</v>
      </c>
      <c r="AG316" s="4" t="str">
        <f>IFERROR(__xludf.DUMMYFUNCTION("GOOGLETRANSLATE(B316,""en"",""et"")"),"Lisa märkus")</f>
        <v>Lisa märkus</v>
      </c>
      <c r="AH316" s="4" t="str">
        <f>IFERROR(__xludf.DUMMYFUNCTION("GOOGLETRANSLATE(B316,""en"",""fi"")"),"Lisää huomautus")</f>
        <v>Lisää huomautus</v>
      </c>
      <c r="AI316" s="4" t="str">
        <f>IFERROR(__xludf.DUMMYFUNCTION("GOOGLETRANSLATE(B316,""en"",""hr"")"),"Dodaj bilješku")</f>
        <v>Dodaj bilješku</v>
      </c>
      <c r="AJ316" s="4" t="str">
        <f>IFERROR(__xludf.DUMMYFUNCTION("GOOGLETRANSLATE(B316,""en"",""hu"")"),"Megjegyzés hozzáadása")</f>
        <v>Megjegyzés hozzáadása</v>
      </c>
      <c r="AK316" s="4" t="str">
        <f>IFERROR(__xludf.DUMMYFUNCTION("GOOGLETRANSLATE(B316,""en"",""hy"")"),"Ավելացնել նշում")</f>
        <v>Ավելացնել նշում</v>
      </c>
      <c r="AL316" s="4" t="str">
        <f>IFERROR(__xludf.DUMMYFUNCTION("GOOGLETRANSLATE(B316,""en"",""ca"")"),"Afegeix una nota")</f>
        <v>Afegeix una nota</v>
      </c>
      <c r="AM316" s="4" t="str">
        <f>IFERROR(__xludf.DUMMYFUNCTION("GOOGLETRANSLATE(B316,""en"",""nl"")"),"Notitie toevoegen")</f>
        <v>Notitie toevoegen</v>
      </c>
      <c r="AN316" s="4" t="str">
        <f>IFERROR(__xludf.DUMMYFUNCTION("GOOGLETRANSLATE(B316,""en"",""he"")"),"הוסף הערה")</f>
        <v>הוסף הערה</v>
      </c>
      <c r="AO316" s="4" t="str">
        <f>IFERROR(__xludf.DUMMYFUNCTION("GOOGLETRANSLATE(B316,""en"",""is"")"),"Bæta við athugasemd")</f>
        <v>Bæta við athugasemd</v>
      </c>
      <c r="AP316" s="4" t="str">
        <f>IFERROR(__xludf.DUMMYFUNCTION("GOOGLETRANSLATE(B316,""en"",""no"")"),"Legg til notat")</f>
        <v>Legg til notat</v>
      </c>
      <c r="AQ316" s="4" t="str">
        <f>IFERROR(__xludf.DUMMYFUNCTION("GOOGLETRANSLATE(B316,""en"",""fa"")"),"اضافه کردن یادداشت")</f>
        <v>اضافه کردن یادداشت</v>
      </c>
      <c r="AR316" s="4" t="str">
        <f>IFERROR(__xludf.DUMMYFUNCTION("GOOGLETRANSLATE(B316,""en"",""pl"")"),"Dodaj notatkę")</f>
        <v>Dodaj notatkę</v>
      </c>
      <c r="AS316" s="4" t="str">
        <f>IFERROR(__xludf.DUMMYFUNCTION("GOOGLETRANSLATE(B316,""en"",""sv"")"),"Lägg till anteckning")</f>
        <v>Lägg till anteckning</v>
      </c>
      <c r="AT316" s="4" t="str">
        <f>IFERROR(__xludf.DUMMYFUNCTION("GOOGLETRANSLATE(B316,""en"",""uk"")"),"Додати примітку")</f>
        <v>Додати примітку</v>
      </c>
      <c r="AU316" s="4" t="str">
        <f>IFERROR(__xludf.DUMMYFUNCTION("GOOGLETRANSLATE(B316,""en"",""zu"")"),"Engeza Inothi")</f>
        <v>Engeza Inothi</v>
      </c>
      <c r="AV316" s="4" t="str">
        <f>IFERROR(__xludf.DUMMYFUNCTION("GOOGLETRANSLATE(B316,""en"",""sr"")"),"Додај напомену")</f>
        <v>Додај напомену</v>
      </c>
    </row>
    <row r="317">
      <c r="A317" s="3" t="s">
        <v>641</v>
      </c>
      <c r="B317" s="3" t="s">
        <v>642</v>
      </c>
      <c r="C317" s="4" t="str">
        <f>IFERROR(__xludf.DUMMYFUNCTION("GOOGLETRANSLATE(B317,""en"",""ta"")"),"மலையேற்றம் ஆரம்பம்")</f>
        <v>மலையேற்றம் ஆரம்பம்</v>
      </c>
      <c r="D317" s="4" t="str">
        <f>IFERROR(__xludf.DUMMYFUNCTION("GOOGLETRANSLATE(B317,""en"",""hi"")"),"ट्रेक प्रारंभ")</f>
        <v>ट्रेक प्रारंभ</v>
      </c>
      <c r="E317" s="4" t="str">
        <f>IFERROR(__xludf.DUMMYFUNCTION("GOOGLETRANSLATE(B317,""en"",""id"")"),"Awal Pendakian")</f>
        <v>Awal Pendakian</v>
      </c>
      <c r="F317" s="4" t="str">
        <f>IFERROR(__xludf.DUMMYFUNCTION("GOOGLETRANSLATE(B317,""en"",""ms"")"),"Mulakan Trek")</f>
        <v>Mulakan Trek</v>
      </c>
      <c r="G317" s="4" t="str">
        <f>IFERROR(__xludf.DUMMYFUNCTION("GOOGLETRANSLATE(B317,""en"",""de"")"),"Trekking-Start")</f>
        <v>Trekking-Start</v>
      </c>
      <c r="H317" s="4" t="str">
        <f>IFERROR(__xludf.DUMMYFUNCTION("GOOGLETRANSLATE(B317,""en"",""es"")"),"Inicio de la caminata")</f>
        <v>Inicio de la caminata</v>
      </c>
      <c r="I317" s="4" t="str">
        <f>IFERROR(__xludf.DUMMYFUNCTION("GOOGLETRANSLATE(B317,""en"",""fr"")"),"Début de la randonnée")</f>
        <v>Début de la randonnée</v>
      </c>
      <c r="J317" s="4" t="str">
        <f>IFERROR(__xludf.DUMMYFUNCTION("GOOGLETRANSLATE(B317,""en"",""it"")"),"Inizio del trekking")</f>
        <v>Inizio del trekking</v>
      </c>
      <c r="K317" s="4" t="str">
        <f>IFERROR(__xludf.DUMMYFUNCTION("GOOGLETRANSLATE(B317,""en"",""pt"")"),"Início da caminhada")</f>
        <v>Início da caminhada</v>
      </c>
      <c r="L317" s="4" t="str">
        <f>IFERROR(__xludf.DUMMYFUNCTION("GOOGLETRANSLATE(B317,""en"",""ro"")"),"Trek Start")</f>
        <v>Trek Start</v>
      </c>
      <c r="M317" s="4" t="str">
        <f>IFERROR(__xludf.DUMMYFUNCTION("GOOGLETRANSLATE(B317,""en"",""vi"")"),"Bắt đầu hành trình")</f>
        <v>Bắt đầu hành trình</v>
      </c>
      <c r="N317" s="4" t="str">
        <f>IFERROR(__xludf.DUMMYFUNCTION("GOOGLETRANSLATE(B317,""en"",""ru"")"),"Начало похода")</f>
        <v>Начало похода</v>
      </c>
      <c r="O317" s="4" t="str">
        <f>IFERROR(__xludf.DUMMYFUNCTION("GOOGLETRANSLATE(B317,""en"",""tr"")"),"Trek Başlangıç")</f>
        <v>Trek Başlangıç</v>
      </c>
      <c r="P317" s="4" t="str">
        <f>IFERROR(__xludf.DUMMYFUNCTION("GOOGLETRANSLATE(B317,""en"",""ar"")"),"بداية الرحلة")</f>
        <v>بداية الرحلة</v>
      </c>
      <c r="Q317" s="4" t="str">
        <f>IFERROR(__xludf.DUMMYFUNCTION("GOOGLETRANSLATE(B317,""en"",""mr"")"),"ट्रेक स्टार्ट")</f>
        <v>ट्रेक स्टार्ट</v>
      </c>
      <c r="R317" s="4" t="str">
        <f>IFERROR(__xludf.DUMMYFUNCTION("GOOGLETRANSLATE(B317,""en"",""gu"")"),"ટ્રેક સ્ટાર્ટ")</f>
        <v>ટ્રેક સ્ટાર્ટ</v>
      </c>
      <c r="S317" s="4" t="str">
        <f>IFERROR(__xludf.DUMMYFUNCTION("GOOGLETRANSLATE(B317,""en"",""bn"")"),"ট্রেক শুরু")</f>
        <v>ট্রেক শুরু</v>
      </c>
      <c r="T317" s="4" t="str">
        <f>IFERROR(__xludf.DUMMYFUNCTION("GOOGLETRANSLATE(B317,""en"",""pa"")"),"ਟ੍ਰੈਕ ਦੀ ਸ਼ੁਰੂਆਤ")</f>
        <v>ਟ੍ਰੈਕ ਦੀ ਸ਼ੁਰੂਆਤ</v>
      </c>
      <c r="U317" s="4" t="str">
        <f>IFERROR(__xludf.DUMMYFUNCTION("GOOGLETRANSLATE(B317,""en"",""te"")"),"ట్రెక్ ప్రారంభం")</f>
        <v>ట్రెక్ ప్రారంభం</v>
      </c>
      <c r="V317" s="4" t="str">
        <f>IFERROR(__xludf.DUMMYFUNCTION("GOOGLETRANSLATE(B317,""en"",""kn"")"),"ಟ್ರೆಕ್ ಪ್ರಾರಂಭ")</f>
        <v>ಟ್ರೆಕ್ ಪ್ರಾರಂಭ</v>
      </c>
      <c r="W317" s="4" t="str">
        <f>IFERROR(__xludf.DUMMYFUNCTION("GOOGLETRANSLATE(B317,""en"",""ml"")"),"ട്രെക്ക് ആരംഭം")</f>
        <v>ട്രെക്ക് ആരംഭം</v>
      </c>
      <c r="X317" s="4" t="str">
        <f>IFERROR(__xludf.DUMMYFUNCTION("GOOGLETRANSLATE(B317,""en"",""th"")"),"จุดเริ่มต้นการเดินป่า")</f>
        <v>จุดเริ่มต้นการเดินป่า</v>
      </c>
      <c r="Y317" s="4" t="str">
        <f>IFERROR(__xludf.DUMMYFUNCTION("GOOGLETRANSLATE(B317,""en"",""ko"")"),"트렉 스타트")</f>
        <v>트렉 스타트</v>
      </c>
      <c r="Z317" s="4" t="str">
        <f>IFERROR(__xludf.DUMMYFUNCTION("GOOGLETRANSLATE(B317,""en"",""zh"")"),"徒步开始")</f>
        <v>徒步开始</v>
      </c>
      <c r="AA317" s="4" t="str">
        <f>IFERROR(__xludf.DUMMYFUNCTION("GOOGLETRANSLATE(B317,""en"",""zh-TW"")"),"徒步開始")</f>
        <v>徒步開始</v>
      </c>
      <c r="AB317" s="4" t="str">
        <f>IFERROR(__xludf.DUMMYFUNCTION("GOOGLETRANSLATE(B317,""en"",""ja"")"),"トレッキングスタート")</f>
        <v>トレッキングスタート</v>
      </c>
      <c r="AC317" s="4" t="str">
        <f>IFERROR(__xludf.DUMMYFUNCTION("GOOGLETRANSLATE(B317,""en"",""bg"")"),"Трек Старт")</f>
        <v>Трек Старт</v>
      </c>
      <c r="AD317" s="4" t="str">
        <f>IFERROR(__xludf.DUMMYFUNCTION("GOOGLETRANSLATE(B317,""en"",""cs"")"),"Start treku")</f>
        <v>Start treku</v>
      </c>
      <c r="AE317" s="4" t="str">
        <f>IFERROR(__xludf.DUMMYFUNCTION("GOOGLETRANSLATE(B317,""en"",""da"")"),"Trek Start")</f>
        <v>Trek Start</v>
      </c>
      <c r="AF317" s="4" t="str">
        <f>IFERROR(__xludf.DUMMYFUNCTION("GOOGLETRANSLATE(B317,""en"",""el"")"),"Εκκίνηση οδοιπορικού")</f>
        <v>Εκκίνηση οδοιπορικού</v>
      </c>
      <c r="AG317" s="4" t="str">
        <f>IFERROR(__xludf.DUMMYFUNCTION("GOOGLETRANSLATE(B317,""en"",""et"")"),"Treki algus")</f>
        <v>Treki algus</v>
      </c>
      <c r="AH317" s="4" t="str">
        <f>IFERROR(__xludf.DUMMYFUNCTION("GOOGLETRANSLATE(B317,""en"",""fi"")"),"Trekin aloitus")</f>
        <v>Trekin aloitus</v>
      </c>
      <c r="AI317" s="4" t="str">
        <f>IFERROR(__xludf.DUMMYFUNCTION("GOOGLETRANSLATE(B317,""en"",""hr"")"),"Početak staze")</f>
        <v>Početak staze</v>
      </c>
      <c r="AJ317" s="4" t="str">
        <f>IFERROR(__xludf.DUMMYFUNCTION("GOOGLETRANSLATE(B317,""en"",""hu"")"),"Trek Start")</f>
        <v>Trek Start</v>
      </c>
      <c r="AK317" s="4" t="str">
        <f>IFERROR(__xludf.DUMMYFUNCTION("GOOGLETRANSLATE(B317,""en"",""hy"")"),"Trek Start")</f>
        <v>Trek Start</v>
      </c>
      <c r="AL317" s="4" t="str">
        <f>IFERROR(__xludf.DUMMYFUNCTION("GOOGLETRANSLATE(B317,""en"",""ca"")"),"Trek Start")</f>
        <v>Trek Start</v>
      </c>
      <c r="AM317" s="4" t="str">
        <f>IFERROR(__xludf.DUMMYFUNCTION("GOOGLETRANSLATE(B317,""en"",""nl"")"),"Trekstart")</f>
        <v>Trekstart</v>
      </c>
      <c r="AN317" s="4" t="str">
        <f>IFERROR(__xludf.DUMMYFUNCTION("GOOGLETRANSLATE(B317,""en"",""he"")"),"טרק התחל")</f>
        <v>טרק התחל</v>
      </c>
      <c r="AO317" s="4" t="str">
        <f>IFERROR(__xludf.DUMMYFUNCTION("GOOGLETRANSLATE(B317,""en"",""is"")"),"Trek Start")</f>
        <v>Trek Start</v>
      </c>
      <c r="AP317" s="4" t="str">
        <f>IFERROR(__xludf.DUMMYFUNCTION("GOOGLETRANSLATE(B317,""en"",""no"")"),"Trek Start")</f>
        <v>Trek Start</v>
      </c>
      <c r="AQ317" s="4" t="str">
        <f>IFERROR(__xludf.DUMMYFUNCTION("GOOGLETRANSLATE(B317,""en"",""fa"")"),"شروع سفر")</f>
        <v>شروع سفر</v>
      </c>
      <c r="AR317" s="4" t="str">
        <f>IFERROR(__xludf.DUMMYFUNCTION("GOOGLETRANSLATE(B317,""en"",""pl"")"),"Początek wędrówki")</f>
        <v>Początek wędrówki</v>
      </c>
      <c r="AS317" s="4" t="str">
        <f>IFERROR(__xludf.DUMMYFUNCTION("GOOGLETRANSLATE(B317,""en"",""sv"")"),"Trek Start")</f>
        <v>Trek Start</v>
      </c>
      <c r="AT317" s="4" t="str">
        <f>IFERROR(__xludf.DUMMYFUNCTION("GOOGLETRANSLATE(B317,""en"",""uk"")"),"Початок походу")</f>
        <v>Початок походу</v>
      </c>
      <c r="AU317" s="4" t="str">
        <f>IFERROR(__xludf.DUMMYFUNCTION("GOOGLETRANSLATE(B317,""en"",""zu"")"),"I-Trek Start")</f>
        <v>I-Trek Start</v>
      </c>
      <c r="AV317" s="4" t="str">
        <f>IFERROR(__xludf.DUMMYFUNCTION("GOOGLETRANSLATE(B317,""en"",""sr"")"),"Трек Старт")</f>
        <v>Трек Старт</v>
      </c>
    </row>
    <row r="318">
      <c r="A318" s="3" t="s">
        <v>643</v>
      </c>
      <c r="B318" s="3" t="s">
        <v>644</v>
      </c>
      <c r="C318" s="4" t="str">
        <f>IFERROR(__xludf.DUMMYFUNCTION("GOOGLETRANSLATE(B318,""en"",""ta"")"),"மலையேற்றம் முடிவு")</f>
        <v>மலையேற்றம் முடிவு</v>
      </c>
      <c r="D318" s="4" t="str">
        <f>IFERROR(__xludf.DUMMYFUNCTION("GOOGLETRANSLATE(B318,""en"",""hi"")"),"ट्रेक समाप्ति")</f>
        <v>ट्रेक समाप्ति</v>
      </c>
      <c r="E318" s="4" t="str">
        <f>IFERROR(__xludf.DUMMYFUNCTION("GOOGLETRANSLATE(B318,""en"",""id"")"),"Akhir Trek")</f>
        <v>Akhir Trek</v>
      </c>
      <c r="F318" s="4" t="str">
        <f>IFERROR(__xludf.DUMMYFUNCTION("GOOGLETRANSLATE(B318,""en"",""ms"")"),"Tamat Trek")</f>
        <v>Tamat Trek</v>
      </c>
      <c r="G318" s="4" t="str">
        <f>IFERROR(__xludf.DUMMYFUNCTION("GOOGLETRANSLATE(B318,""en"",""de"")"),"Trek-Ende")</f>
        <v>Trek-Ende</v>
      </c>
      <c r="H318" s="4" t="str">
        <f>IFERROR(__xludf.DUMMYFUNCTION("GOOGLETRANSLATE(B318,""en"",""es"")"),"Fin de la caminata")</f>
        <v>Fin de la caminata</v>
      </c>
      <c r="I318" s="4" t="str">
        <f>IFERROR(__xludf.DUMMYFUNCTION("GOOGLETRANSLATE(B318,""en"",""fr"")"),"Fin du trek")</f>
        <v>Fin du trek</v>
      </c>
      <c r="J318" s="4" t="str">
        <f>IFERROR(__xludf.DUMMYFUNCTION("GOOGLETRANSLATE(B318,""en"",""it"")"),"Fine del trekking")</f>
        <v>Fine del trekking</v>
      </c>
      <c r="K318" s="4" t="str">
        <f>IFERROR(__xludf.DUMMYFUNCTION("GOOGLETRANSLATE(B318,""en"",""pt"")"),"Fim da jornada")</f>
        <v>Fim da jornada</v>
      </c>
      <c r="L318" s="4" t="str">
        <f>IFERROR(__xludf.DUMMYFUNCTION("GOOGLETRANSLATE(B318,""en"",""ro"")"),"Sfârșitul drumului")</f>
        <v>Sfârșitul drumului</v>
      </c>
      <c r="M318" s="4" t="str">
        <f>IFERROR(__xludf.DUMMYFUNCTION("GOOGLETRANSLATE(B318,""en"",""vi"")"),"Kết thúc chuyến đi")</f>
        <v>Kết thúc chuyến đi</v>
      </c>
      <c r="N318" s="4" t="str">
        <f>IFERROR(__xludf.DUMMYFUNCTION("GOOGLETRANSLATE(B318,""en"",""ru"")"),"Конец похода")</f>
        <v>Конец похода</v>
      </c>
      <c r="O318" s="4" t="str">
        <f>IFERROR(__xludf.DUMMYFUNCTION("GOOGLETRANSLATE(B318,""en"",""tr"")"),"Trek Sonu")</f>
        <v>Trek Sonu</v>
      </c>
      <c r="P318" s="4" t="str">
        <f>IFERROR(__xludf.DUMMYFUNCTION("GOOGLETRANSLATE(B318,""en"",""ar"")"),"نهاية الرحلة")</f>
        <v>نهاية الرحلة</v>
      </c>
      <c r="Q318" s="4" t="str">
        <f>IFERROR(__xludf.DUMMYFUNCTION("GOOGLETRANSLATE(B318,""en"",""mr"")"),"ट्रेक एंड")</f>
        <v>ट्रेक एंड</v>
      </c>
      <c r="R318" s="4" t="str">
        <f>IFERROR(__xludf.DUMMYFUNCTION("GOOGLETRANSLATE(B318,""en"",""gu"")"),"ટ્રેક એન્ડ")</f>
        <v>ટ્રેક એન્ડ</v>
      </c>
      <c r="S318" s="4" t="str">
        <f>IFERROR(__xludf.DUMMYFUNCTION("GOOGLETRANSLATE(B318,""en"",""bn"")"),"ট্রেক শেষ")</f>
        <v>ট্রেক শেষ</v>
      </c>
      <c r="T318" s="4" t="str">
        <f>IFERROR(__xludf.DUMMYFUNCTION("GOOGLETRANSLATE(B318,""en"",""pa"")"),"ਟ੍ਰੈਕ ਦਾ ਅੰਤ")</f>
        <v>ਟ੍ਰੈਕ ਦਾ ਅੰਤ</v>
      </c>
      <c r="U318" s="4" t="str">
        <f>IFERROR(__xludf.DUMMYFUNCTION("GOOGLETRANSLATE(B318,""en"",""te"")"),"ట్రెక్ ముగింపు")</f>
        <v>ట్రెక్ ముగింపు</v>
      </c>
      <c r="V318" s="4" t="str">
        <f>IFERROR(__xludf.DUMMYFUNCTION("GOOGLETRANSLATE(B318,""en"",""kn"")"),"ಟ್ರೆಕ್ ಎಂಡ್")</f>
        <v>ಟ್ರೆಕ್ ಎಂಡ್</v>
      </c>
      <c r="W318" s="4" t="str">
        <f>IFERROR(__xludf.DUMMYFUNCTION("GOOGLETRANSLATE(B318,""en"",""ml"")"),"ട്രെക്ക് അവസാനം")</f>
        <v>ട്രെക്ക് അവസാനം</v>
      </c>
      <c r="X318" s="4" t="str">
        <f>IFERROR(__xludf.DUMMYFUNCTION("GOOGLETRANSLATE(B318,""en"",""th"")"),"จุดสิ้นสุดการเดินทาง")</f>
        <v>จุดสิ้นสุดการเดินทาง</v>
      </c>
      <c r="Y318" s="4" t="str">
        <f>IFERROR(__xludf.DUMMYFUNCTION("GOOGLETRANSLATE(B318,""en"",""ko"")"),"트렉 엔드")</f>
        <v>트렉 엔드</v>
      </c>
      <c r="Z318" s="4" t="str">
        <f>IFERROR(__xludf.DUMMYFUNCTION("GOOGLETRANSLATE(B318,""en"",""zh"")"),"跋涉结束")</f>
        <v>跋涉结束</v>
      </c>
      <c r="AA318" s="4" t="str">
        <f>IFERROR(__xludf.DUMMYFUNCTION("GOOGLETRANSLATE(B318,""en"",""zh-TW"")"),"跋涉結束")</f>
        <v>跋涉結束</v>
      </c>
      <c r="AB318" s="4" t="str">
        <f>IFERROR(__xludf.DUMMYFUNCTION("GOOGLETRANSLATE(B318,""en"",""ja"")"),"トレッキング終了")</f>
        <v>トレッキング終了</v>
      </c>
      <c r="AC318" s="4" t="str">
        <f>IFERROR(__xludf.DUMMYFUNCTION("GOOGLETRANSLATE(B318,""en"",""bg"")"),"Трек Енд")</f>
        <v>Трек Енд</v>
      </c>
      <c r="AD318" s="4" t="str">
        <f>IFERROR(__xludf.DUMMYFUNCTION("GOOGLETRANSLATE(B318,""en"",""cs"")"),"Konec treku")</f>
        <v>Konec treku</v>
      </c>
      <c r="AE318" s="4" t="str">
        <f>IFERROR(__xludf.DUMMYFUNCTION("GOOGLETRANSLATE(B318,""en"",""da"")"),"Trek End")</f>
        <v>Trek End</v>
      </c>
      <c r="AF318" s="4" t="str">
        <f>IFERROR(__xludf.DUMMYFUNCTION("GOOGLETRANSLATE(B318,""en"",""el"")"),"Τέλος οδοιπορίας")</f>
        <v>Τέλος οδοιπορίας</v>
      </c>
      <c r="AG318" s="4" t="str">
        <f>IFERROR(__xludf.DUMMYFUNCTION("GOOGLETRANSLATE(B318,""en"",""et"")"),"Treki lõpp")</f>
        <v>Treki lõpp</v>
      </c>
      <c r="AH318" s="4" t="str">
        <f>IFERROR(__xludf.DUMMYFUNCTION("GOOGLETRANSLATE(B318,""en"",""fi"")"),"Retken loppu")</f>
        <v>Retken loppu</v>
      </c>
      <c r="AI318" s="4" t="str">
        <f>IFERROR(__xludf.DUMMYFUNCTION("GOOGLETRANSLATE(B318,""en"",""hr"")"),"Trek End")</f>
        <v>Trek End</v>
      </c>
      <c r="AJ318" s="4" t="str">
        <f>IFERROR(__xludf.DUMMYFUNCTION("GOOGLETRANSLATE(B318,""en"",""hu"")"),"Trek End")</f>
        <v>Trek End</v>
      </c>
      <c r="AK318" s="4" t="str">
        <f>IFERROR(__xludf.DUMMYFUNCTION("GOOGLETRANSLATE(B318,""en"",""hy"")"),"Trek End")</f>
        <v>Trek End</v>
      </c>
      <c r="AL318" s="4" t="str">
        <f>IFERROR(__xludf.DUMMYFUNCTION("GOOGLETRANSLATE(B318,""en"",""ca"")"),"Fi de la caminada")</f>
        <v>Fi de la caminada</v>
      </c>
      <c r="AM318" s="4" t="str">
        <f>IFERROR(__xludf.DUMMYFUNCTION("GOOGLETRANSLATE(B318,""en"",""nl"")"),"Trek Einde")</f>
        <v>Trek Einde</v>
      </c>
      <c r="AN318" s="4" t="str">
        <f>IFERROR(__xludf.DUMMYFUNCTION("GOOGLETRANSLATE(B318,""en"",""he"")"),"טרק סוף")</f>
        <v>טרק סוף</v>
      </c>
      <c r="AO318" s="4" t="str">
        <f>IFERROR(__xludf.DUMMYFUNCTION("GOOGLETRANSLATE(B318,""en"",""is"")"),"Trek End")</f>
        <v>Trek End</v>
      </c>
      <c r="AP318" s="4" t="str">
        <f>IFERROR(__xludf.DUMMYFUNCTION("GOOGLETRANSLATE(B318,""en"",""no"")"),"Trek slutt")</f>
        <v>Trek slutt</v>
      </c>
      <c r="AQ318" s="4" t="str">
        <f>IFERROR(__xludf.DUMMYFUNCTION("GOOGLETRANSLATE(B318,""en"",""fa"")"),"پایان سفر")</f>
        <v>پایان سفر</v>
      </c>
      <c r="AR318" s="4" t="str">
        <f>IFERROR(__xludf.DUMMYFUNCTION("GOOGLETRANSLATE(B318,""en"",""pl"")"),"Koniec wędrówki")</f>
        <v>Koniec wędrówki</v>
      </c>
      <c r="AS318" s="4" t="str">
        <f>IFERROR(__xludf.DUMMYFUNCTION("GOOGLETRANSLATE(B318,""en"",""sv"")"),"Trek slut")</f>
        <v>Trek slut</v>
      </c>
      <c r="AT318" s="4" t="str">
        <f>IFERROR(__xludf.DUMMYFUNCTION("GOOGLETRANSLATE(B318,""en"",""uk"")"),"Трек Кінець")</f>
        <v>Трек Кінець</v>
      </c>
      <c r="AU318" s="4" t="str">
        <f>IFERROR(__xludf.DUMMYFUNCTION("GOOGLETRANSLATE(B318,""en"",""zu"")"),"Uhambo Lokuphela")</f>
        <v>Uhambo Lokuphela</v>
      </c>
      <c r="AV318" s="4" t="str">
        <f>IFERROR(__xludf.DUMMYFUNCTION("GOOGLETRANSLATE(B318,""en"",""sr"")"),"Трек Енд")</f>
        <v>Трек Енд</v>
      </c>
    </row>
    <row r="319">
      <c r="A319" s="3" t="s">
        <v>645</v>
      </c>
      <c r="B319" s="3" t="s">
        <v>524</v>
      </c>
      <c r="C319" s="4" t="str">
        <f>IFERROR(__xludf.DUMMYFUNCTION("GOOGLETRANSLATE(B319,""en"",""ta"")"),"ட்ரெக்கை சேமிக்கவும்")</f>
        <v>ட்ரெக்கை சேமிக்கவும்</v>
      </c>
      <c r="D319" s="4" t="str">
        <f>IFERROR(__xludf.DUMMYFUNCTION("GOOGLETRANSLATE(B319,""en"",""hi"")"),"ट्रेक बचाओ")</f>
        <v>ट्रेक बचाओ</v>
      </c>
      <c r="E319" s="4" t="str">
        <f>IFERROR(__xludf.DUMMYFUNCTION("GOOGLETRANSLATE(B319,""en"",""id"")"),"Simpan Trek")</f>
        <v>Simpan Trek</v>
      </c>
      <c r="F319" s="4" t="str">
        <f>IFERROR(__xludf.DUMMYFUNCTION("GOOGLETRANSLATE(B319,""en"",""ms"")"),"Simpan Trek")</f>
        <v>Simpan Trek</v>
      </c>
      <c r="G319" s="4" t="str">
        <f>IFERROR(__xludf.DUMMYFUNCTION("GOOGLETRANSLATE(B319,""en"",""de"")"),"Save Trek")</f>
        <v>Save Trek</v>
      </c>
      <c r="H319" s="4" t="str">
        <f>IFERROR(__xludf.DUMMYFUNCTION("GOOGLETRANSLATE(B319,""en"",""es"")"),"Salvar a Trek")</f>
        <v>Salvar a Trek</v>
      </c>
      <c r="I319" s="4" t="str">
        <f>IFERROR(__xludf.DUMMYFUNCTION("GOOGLETRANSLATE(B319,""en"",""fr"")"),"Sauver Trek")</f>
        <v>Sauver Trek</v>
      </c>
      <c r="J319" s="4" t="str">
        <f>IFERROR(__xludf.DUMMYFUNCTION("GOOGLETRANSLATE(B319,""en"",""it"")"),"Salva Trek")</f>
        <v>Salva Trek</v>
      </c>
      <c r="K319" s="4" t="str">
        <f>IFERROR(__xludf.DUMMYFUNCTION("GOOGLETRANSLATE(B319,""en"",""pt"")"),"Salvar Trek")</f>
        <v>Salvar Trek</v>
      </c>
      <c r="L319" s="4" t="str">
        <f>IFERROR(__xludf.DUMMYFUNCTION("GOOGLETRANSLATE(B319,""en"",""ro"")"),"Salvați Trek")</f>
        <v>Salvați Trek</v>
      </c>
      <c r="M319" s="4" t="str">
        <f>IFERROR(__xludf.DUMMYFUNCTION("GOOGLETRANSLATE(B319,""en"",""vi"")"),"Lưu Trek")</f>
        <v>Lưu Trek</v>
      </c>
      <c r="N319" s="4" t="str">
        <f>IFERROR(__xludf.DUMMYFUNCTION("GOOGLETRANSLATE(B319,""en"",""ru"")"),"Сохранить Трек")</f>
        <v>Сохранить Трек</v>
      </c>
      <c r="O319" s="4" t="str">
        <f>IFERROR(__xludf.DUMMYFUNCTION("GOOGLETRANSLATE(B319,""en"",""tr"")"),"Trek'i Kurtar")</f>
        <v>Trek'i Kurtar</v>
      </c>
      <c r="P319" s="4" t="str">
        <f>IFERROR(__xludf.DUMMYFUNCTION("GOOGLETRANSLATE(B319,""en"",""ar"")"),"احفظ الرحلة")</f>
        <v>احفظ الرحلة</v>
      </c>
      <c r="Q319" s="4" t="str">
        <f>IFERROR(__xludf.DUMMYFUNCTION("GOOGLETRANSLATE(B319,""en"",""mr"")"),"ट्रेक वाचवा")</f>
        <v>ट्रेक वाचवा</v>
      </c>
      <c r="R319" s="4" t="str">
        <f>IFERROR(__xludf.DUMMYFUNCTION("GOOGLETRANSLATE(B319,""en"",""gu"")"),"ટ્રેક સાચવો")</f>
        <v>ટ્રેક સાચવો</v>
      </c>
      <c r="S319" s="4" t="str">
        <f>IFERROR(__xludf.DUMMYFUNCTION("GOOGLETRANSLATE(B319,""en"",""bn"")"),"ট্রেক সংরক্ষণ করুন")</f>
        <v>ট্রেক সংরক্ষণ করুন</v>
      </c>
      <c r="T319" s="4" t="str">
        <f>IFERROR(__xludf.DUMMYFUNCTION("GOOGLETRANSLATE(B319,""en"",""pa"")"),"ਟ੍ਰੈਕ ਬਚਾਓ")</f>
        <v>ਟ੍ਰੈਕ ਬਚਾਓ</v>
      </c>
      <c r="U319" s="4" t="str">
        <f>IFERROR(__xludf.DUMMYFUNCTION("GOOGLETRANSLATE(B319,""en"",""te"")"),"ట్రెక్‌ను సేవ్ చేయండి")</f>
        <v>ట్రెక్‌ను సేవ్ చేయండి</v>
      </c>
      <c r="V319" s="4" t="str">
        <f>IFERROR(__xludf.DUMMYFUNCTION("GOOGLETRANSLATE(B319,""en"",""kn"")"),"ಟ್ರೆಕ್ ಉಳಿಸಿ")</f>
        <v>ಟ್ರೆಕ್ ಉಳಿಸಿ</v>
      </c>
      <c r="W319" s="4" t="str">
        <f>IFERROR(__xludf.DUMMYFUNCTION("GOOGLETRANSLATE(B319,""en"",""ml"")"),"ട്രെക്ക് സംരക്ഷിക്കുക")</f>
        <v>ട്രെക്ക് സംരക്ഷിക്കുക</v>
      </c>
      <c r="X319" s="4" t="str">
        <f>IFERROR(__xludf.DUMMYFUNCTION("GOOGLETRANSLATE(B319,""en"",""th"")"),"บันทึกการเดินทาง")</f>
        <v>บันทึกการเดินทาง</v>
      </c>
      <c r="Y319" s="4" t="str">
        <f>IFERROR(__xludf.DUMMYFUNCTION("GOOGLETRANSLATE(B319,""en"",""ko"")"),"트렉을 저장하세요")</f>
        <v>트렉을 저장하세요</v>
      </c>
      <c r="Z319" s="4" t="str">
        <f>IFERROR(__xludf.DUMMYFUNCTION("GOOGLETRANSLATE(B319,""en"",""zh"")"),"保存跋涉")</f>
        <v>保存跋涉</v>
      </c>
      <c r="AA319" s="4" t="str">
        <f>IFERROR(__xludf.DUMMYFUNCTION("GOOGLETRANSLATE(B319,""en"",""zh-TW"")"),"保存跋涉")</f>
        <v>保存跋涉</v>
      </c>
      <c r="AB319" s="4" t="str">
        <f>IFERROR(__xludf.DUMMYFUNCTION("GOOGLETRANSLATE(B319,""en"",""ja"")"),"トレックを保存")</f>
        <v>トレックを保存</v>
      </c>
      <c r="AC319" s="4" t="str">
        <f>IFERROR(__xludf.DUMMYFUNCTION("GOOGLETRANSLATE(B319,""en"",""bg"")"),"Запазете Трек")</f>
        <v>Запазете Трек</v>
      </c>
      <c r="AD319" s="4" t="str">
        <f>IFERROR(__xludf.DUMMYFUNCTION("GOOGLETRANSLATE(B319,""en"",""cs"")"),"Zachraňte Trek")</f>
        <v>Zachraňte Trek</v>
      </c>
      <c r="AE319" s="4" t="str">
        <f>IFERROR(__xludf.DUMMYFUNCTION("GOOGLETRANSLATE(B319,""en"",""da"")"),"Gem Trek")</f>
        <v>Gem Trek</v>
      </c>
      <c r="AF319" s="4" t="str">
        <f>IFERROR(__xludf.DUMMYFUNCTION("GOOGLETRANSLATE(B319,""en"",""el"")"),"Save Trek")</f>
        <v>Save Trek</v>
      </c>
      <c r="AG319" s="4" t="str">
        <f>IFERROR(__xludf.DUMMYFUNCTION("GOOGLETRANSLATE(B319,""en"",""et"")"),"Salvesta Trek")</f>
        <v>Salvesta Trek</v>
      </c>
      <c r="AH319" s="4" t="str">
        <f>IFERROR(__xludf.DUMMYFUNCTION("GOOGLETRANSLATE(B319,""en"",""fi"")"),"Tallenna Trek")</f>
        <v>Tallenna Trek</v>
      </c>
      <c r="AI319" s="4" t="str">
        <f>IFERROR(__xludf.DUMMYFUNCTION("GOOGLETRANSLATE(B319,""en"",""hr"")"),"Sačuvaj Trek")</f>
        <v>Sačuvaj Trek</v>
      </c>
      <c r="AJ319" s="4" t="str">
        <f>IFERROR(__xludf.DUMMYFUNCTION("GOOGLETRANSLATE(B319,""en"",""hu"")"),"Mentse a Treket")</f>
        <v>Mentse a Treket</v>
      </c>
      <c r="AK319" s="4" t="str">
        <f>IFERROR(__xludf.DUMMYFUNCTION("GOOGLETRANSLATE(B319,""en"",""hy"")"),"Save Trek-ը")</f>
        <v>Save Trek-ը</v>
      </c>
      <c r="AL319" s="4" t="str">
        <f>IFERROR(__xludf.DUMMYFUNCTION("GOOGLETRANSLATE(B319,""en"",""ca"")"),"Salva Trek")</f>
        <v>Salva Trek</v>
      </c>
      <c r="AM319" s="4" t="str">
        <f>IFERROR(__xludf.DUMMYFUNCTION("GOOGLETRANSLATE(B319,""en"",""nl"")"),"Trek opslaan")</f>
        <v>Trek opslaan</v>
      </c>
      <c r="AN319" s="4" t="str">
        <f>IFERROR(__xludf.DUMMYFUNCTION("GOOGLETRANSLATE(B319,""en"",""he"")"),"שמור טרק")</f>
        <v>שמור טרק</v>
      </c>
      <c r="AO319" s="4" t="str">
        <f>IFERROR(__xludf.DUMMYFUNCTION("GOOGLETRANSLATE(B319,""en"",""is"")"),"Vista Trek")</f>
        <v>Vista Trek</v>
      </c>
      <c r="AP319" s="4" t="str">
        <f>IFERROR(__xludf.DUMMYFUNCTION("GOOGLETRANSLATE(B319,""en"",""no"")"),"Lagre Trek")</f>
        <v>Lagre Trek</v>
      </c>
      <c r="AQ319" s="4" t="str">
        <f>IFERROR(__xludf.DUMMYFUNCTION("GOOGLETRANSLATE(B319,""en"",""fa"")"),"Save Trek")</f>
        <v>Save Trek</v>
      </c>
      <c r="AR319" s="4" t="str">
        <f>IFERROR(__xludf.DUMMYFUNCTION("GOOGLETRANSLATE(B319,""en"",""pl"")"),"Zapisz Trek")</f>
        <v>Zapisz Trek</v>
      </c>
      <c r="AS319" s="4" t="str">
        <f>IFERROR(__xludf.DUMMYFUNCTION("GOOGLETRANSLATE(B319,""en"",""sv"")"),"Rädda Trek")</f>
        <v>Rädda Trek</v>
      </c>
      <c r="AT319" s="4" t="str">
        <f>IFERROR(__xludf.DUMMYFUNCTION("GOOGLETRANSLATE(B319,""en"",""uk"")"),"Зберегти Трек")</f>
        <v>Зберегти Трек</v>
      </c>
      <c r="AU319" s="4" t="str">
        <f>IFERROR(__xludf.DUMMYFUNCTION("GOOGLETRANSLATE(B319,""en"",""zu"")"),"Londoloza i-Trek")</f>
        <v>Londoloza i-Trek</v>
      </c>
      <c r="AV319" s="4" t="str">
        <f>IFERROR(__xludf.DUMMYFUNCTION("GOOGLETRANSLATE(B319,""en"",""sr"")"),"Саве Трек")</f>
        <v>Саве Трек</v>
      </c>
    </row>
    <row r="320">
      <c r="A320" s="3" t="s">
        <v>646</v>
      </c>
      <c r="B320" s="3" t="s">
        <v>647</v>
      </c>
      <c r="C320" s="4" t="str">
        <f>IFERROR(__xludf.DUMMYFUNCTION("GOOGLETRANSLATE(B320,""en"",""ta"")"),"மலையேற்றத்தின் பெயரை உள்ளிடவும்")</f>
        <v>மலையேற்றத்தின் பெயரை உள்ளிடவும்</v>
      </c>
      <c r="D320" s="4" t="str">
        <f>IFERROR(__xludf.DUMMYFUNCTION("GOOGLETRANSLATE(B320,""en"",""hi"")"),"ट्रेक का नाम दर्ज करें")</f>
        <v>ट्रेक का नाम दर्ज करें</v>
      </c>
      <c r="E320" s="4" t="str">
        <f>IFERROR(__xludf.DUMMYFUNCTION("GOOGLETRANSLATE(B320,""en"",""id"")"),"Masukkan nama trek")</f>
        <v>Masukkan nama trek</v>
      </c>
      <c r="F320" s="4" t="str">
        <f>IFERROR(__xludf.DUMMYFUNCTION("GOOGLETRANSLATE(B320,""en"",""ms"")"),"Masukkan nama trek")</f>
        <v>Masukkan nama trek</v>
      </c>
      <c r="G320" s="4" t="str">
        <f>IFERROR(__xludf.DUMMYFUNCTION("GOOGLETRANSLATE(B320,""en"",""de"")"),"Trekkingnamen eingeben")</f>
        <v>Trekkingnamen eingeben</v>
      </c>
      <c r="H320" s="4" t="str">
        <f>IFERROR(__xludf.DUMMYFUNCTION("GOOGLETRANSLATE(B320,""en"",""es"")"),"Ingrese el nombre del trekking")</f>
        <v>Ingrese el nombre del trekking</v>
      </c>
      <c r="I320" s="4" t="str">
        <f>IFERROR(__xludf.DUMMYFUNCTION("GOOGLETRANSLATE(B320,""en"",""fr"")"),"Entrez le nom du trek")</f>
        <v>Entrez le nom du trek</v>
      </c>
      <c r="J320" s="4" t="str">
        <f>IFERROR(__xludf.DUMMYFUNCTION("GOOGLETRANSLATE(B320,""en"",""it"")"),"Inserisci il nome del trekking")</f>
        <v>Inserisci il nome del trekking</v>
      </c>
      <c r="K320" s="4" t="str">
        <f>IFERROR(__xludf.DUMMYFUNCTION("GOOGLETRANSLATE(B320,""en"",""pt"")"),"Digite o nome da trilha")</f>
        <v>Digite o nome da trilha</v>
      </c>
      <c r="L320" s="4" t="str">
        <f>IFERROR(__xludf.DUMMYFUNCTION("GOOGLETRANSLATE(B320,""en"",""ro"")"),"Introduceți numele drumului")</f>
        <v>Introduceți numele drumului</v>
      </c>
      <c r="M320" s="4" t="str">
        <f>IFERROR(__xludf.DUMMYFUNCTION("GOOGLETRANSLATE(B320,""en"",""vi"")"),"Nhập tên chuyến đi")</f>
        <v>Nhập tên chuyến đi</v>
      </c>
      <c r="N320" s="4" t="str">
        <f>IFERROR(__xludf.DUMMYFUNCTION("GOOGLETRANSLATE(B320,""en"",""ru"")"),"Введите название похода")</f>
        <v>Введите название похода</v>
      </c>
      <c r="O320" s="4" t="str">
        <f>IFERROR(__xludf.DUMMYFUNCTION("GOOGLETRANSLATE(B320,""en"",""tr"")"),"Trek adını girin")</f>
        <v>Trek adını girin</v>
      </c>
      <c r="P320" s="4" t="str">
        <f>IFERROR(__xludf.DUMMYFUNCTION("GOOGLETRANSLATE(B320,""en"",""ar"")"),"أدخل اسم الرحلة")</f>
        <v>أدخل اسم الرحلة</v>
      </c>
      <c r="Q320" s="4" t="str">
        <f>IFERROR(__xludf.DUMMYFUNCTION("GOOGLETRANSLATE(B320,""en"",""mr"")"),"ट्रेकचे नाव टाका")</f>
        <v>ट्रेकचे नाव टाका</v>
      </c>
      <c r="R320" s="4" t="str">
        <f>IFERROR(__xludf.DUMMYFUNCTION("GOOGLETRANSLATE(B320,""en"",""gu"")"),"ટ્રેકનું નામ દાખલ કરો")</f>
        <v>ટ્રેકનું નામ દાખલ કરો</v>
      </c>
      <c r="S320" s="4" t="str">
        <f>IFERROR(__xludf.DUMMYFUNCTION("GOOGLETRANSLATE(B320,""en"",""bn"")"),"ট্রেক নাম লিখুন")</f>
        <v>ট্রেক নাম লিখুন</v>
      </c>
      <c r="T320" s="4" t="str">
        <f>IFERROR(__xludf.DUMMYFUNCTION("GOOGLETRANSLATE(B320,""en"",""pa"")"),"ਟ੍ਰੈਕ ਦਾ ਨਾਮ ਦਰਜ ਕਰੋ")</f>
        <v>ਟ੍ਰੈਕ ਦਾ ਨਾਮ ਦਰਜ ਕਰੋ</v>
      </c>
      <c r="U320" s="4" t="str">
        <f>IFERROR(__xludf.DUMMYFUNCTION("GOOGLETRANSLATE(B320,""en"",""te"")"),"ట్రెక్ పేరును నమోదు చేయండి")</f>
        <v>ట్రెక్ పేరును నమోదు చేయండి</v>
      </c>
      <c r="V320" s="4" t="str">
        <f>IFERROR(__xludf.DUMMYFUNCTION("GOOGLETRANSLATE(B320,""en"",""kn"")"),"ಟ್ರೆಕ್ ಹೆಸರನ್ನು ನಮೂದಿಸಿ")</f>
        <v>ಟ್ರೆಕ್ ಹೆಸರನ್ನು ನಮೂದಿಸಿ</v>
      </c>
      <c r="W320" s="4" t="str">
        <f>IFERROR(__xludf.DUMMYFUNCTION("GOOGLETRANSLATE(B320,""en"",""ml"")"),"ട്രെക്കിൻ്റെ പേര് നൽകുക")</f>
        <v>ട്രെക്കിൻ്റെ പേര് നൽകുക</v>
      </c>
      <c r="X320" s="4" t="str">
        <f>IFERROR(__xludf.DUMMYFUNCTION("GOOGLETRANSLATE(B320,""en"",""th"")"),"กรอกชื่อเส้นทางการเดินทาง")</f>
        <v>กรอกชื่อเส้นทางการเดินทาง</v>
      </c>
      <c r="Y320" s="4" t="str">
        <f>IFERROR(__xludf.DUMMYFUNCTION("GOOGLETRANSLATE(B320,""en"",""ko"")"),"트레킹 이름을 입력하세요")</f>
        <v>트레킹 이름을 입력하세요</v>
      </c>
      <c r="Z320" s="4" t="str">
        <f>IFERROR(__xludf.DUMMYFUNCTION("GOOGLETRANSLATE(B320,""en"",""zh"")"),"输入徒步路线名称")</f>
        <v>输入徒步路线名称</v>
      </c>
      <c r="AA320" s="4" t="str">
        <f>IFERROR(__xludf.DUMMYFUNCTION("GOOGLETRANSLATE(B320,""en"",""zh-TW"")"),"輸入健行路線名稱")</f>
        <v>輸入健行路線名稱</v>
      </c>
      <c r="AB320" s="4" t="str">
        <f>IFERROR(__xludf.DUMMYFUNCTION("GOOGLETRANSLATE(B320,""en"",""ja"")"),"トレッキング名を入力")</f>
        <v>トレッキング名を入力</v>
      </c>
      <c r="AC320" s="4" t="str">
        <f>IFERROR(__xludf.DUMMYFUNCTION("GOOGLETRANSLATE(B320,""en"",""bg"")"),"Въведете име на прехода")</f>
        <v>Въведете име на прехода</v>
      </c>
      <c r="AD320" s="4" t="str">
        <f>IFERROR(__xludf.DUMMYFUNCTION("GOOGLETRANSLATE(B320,""en"",""cs"")"),"Zadejte název treku")</f>
        <v>Zadejte název treku</v>
      </c>
      <c r="AE320" s="4" t="str">
        <f>IFERROR(__xludf.DUMMYFUNCTION("GOOGLETRANSLATE(B320,""en"",""da"")"),"Indtast navnet på turen")</f>
        <v>Indtast navnet på turen</v>
      </c>
      <c r="AF320" s="4" t="str">
        <f>IFERROR(__xludf.DUMMYFUNCTION("GOOGLETRANSLATE(B320,""en"",""el"")"),"Εισαγάγετε το όνομα του οδοιπορικού")</f>
        <v>Εισαγάγετε το όνομα του οδοιπορικού</v>
      </c>
      <c r="AG320" s="4" t="str">
        <f>IFERROR(__xludf.DUMMYFUNCTION("GOOGLETRANSLATE(B320,""en"",""et"")"),"Sisestage matka nimi")</f>
        <v>Sisestage matka nimi</v>
      </c>
      <c r="AH320" s="4" t="str">
        <f>IFERROR(__xludf.DUMMYFUNCTION("GOOGLETRANSLATE(B320,""en"",""fi"")"),"Anna vaelluksen nimi")</f>
        <v>Anna vaelluksen nimi</v>
      </c>
      <c r="AI320" s="4" t="str">
        <f>IFERROR(__xludf.DUMMYFUNCTION("GOOGLETRANSLATE(B320,""en"",""hr"")"),"Unesite naziv staze")</f>
        <v>Unesite naziv staze</v>
      </c>
      <c r="AJ320" s="4" t="str">
        <f>IFERROR(__xludf.DUMMYFUNCTION("GOOGLETRANSLATE(B320,""en"",""hu"")"),"Adja meg a túra nevét")</f>
        <v>Adja meg a túra nevét</v>
      </c>
      <c r="AK320" s="4" t="str">
        <f>IFERROR(__xludf.DUMMYFUNCTION("GOOGLETRANSLATE(B320,""en"",""hy"")"),"Մուտքագրեք արշավի անունը")</f>
        <v>Մուտքագրեք արշավի անունը</v>
      </c>
      <c r="AL320" s="4" t="str">
        <f>IFERROR(__xludf.DUMMYFUNCTION("GOOGLETRANSLATE(B320,""en"",""ca"")"),"Introduïu el nom de la ruta")</f>
        <v>Introduïu el nom de la ruta</v>
      </c>
      <c r="AM320" s="4" t="str">
        <f>IFERROR(__xludf.DUMMYFUNCTION("GOOGLETRANSLATE(B320,""en"",""nl"")"),"Voer de naam van de trektocht in")</f>
        <v>Voer de naam van de trektocht in</v>
      </c>
      <c r="AN320" s="4" t="str">
        <f>IFERROR(__xludf.DUMMYFUNCTION("GOOGLETRANSLATE(B320,""en"",""he"")"),"הזן את שם הטרק")</f>
        <v>הזן את שם הטרק</v>
      </c>
      <c r="AO320" s="4" t="str">
        <f>IFERROR(__xludf.DUMMYFUNCTION("GOOGLETRANSLATE(B320,""en"",""is"")"),"Sláðu inn nafn ferðar")</f>
        <v>Sláðu inn nafn ferðar</v>
      </c>
      <c r="AP320" s="4" t="str">
        <f>IFERROR(__xludf.DUMMYFUNCTION("GOOGLETRANSLATE(B320,""en"",""no"")"),"Skriv inn navnet på turen")</f>
        <v>Skriv inn navnet på turen</v>
      </c>
      <c r="AQ320" s="4" t="str">
        <f>IFERROR(__xludf.DUMMYFUNCTION("GOOGLETRANSLATE(B320,""en"",""fa"")"),"نام سفر را وارد کنید")</f>
        <v>نام سفر را وارد کنید</v>
      </c>
      <c r="AR320" s="4" t="str">
        <f>IFERROR(__xludf.DUMMYFUNCTION("GOOGLETRANSLATE(B320,""en"",""pl"")"),"Wprowadź nazwę wędrówki")</f>
        <v>Wprowadź nazwę wędrówki</v>
      </c>
      <c r="AS320" s="4" t="str">
        <f>IFERROR(__xludf.DUMMYFUNCTION("GOOGLETRANSLATE(B320,""en"",""sv"")"),"Ange vandringsnamn")</f>
        <v>Ange vandringsnamn</v>
      </c>
      <c r="AT320" s="4" t="str">
        <f>IFERROR(__xludf.DUMMYFUNCTION("GOOGLETRANSLATE(B320,""en"",""uk"")"),"Введіть назву маршруту")</f>
        <v>Введіть назву маршруту</v>
      </c>
      <c r="AU320" s="4" t="str">
        <f>IFERROR(__xludf.DUMMYFUNCTION("GOOGLETRANSLATE(B320,""en"",""zu"")"),"Faka igama lohambo")</f>
        <v>Faka igama lohambo</v>
      </c>
      <c r="AV320" s="4" t="str">
        <f>IFERROR(__xludf.DUMMYFUNCTION("GOOGLETRANSLATE(B320,""en"",""sr"")"),"Унесите назив пута")</f>
        <v>Унесите назив пута</v>
      </c>
    </row>
    <row r="321">
      <c r="A321" s="3" t="s">
        <v>648</v>
      </c>
      <c r="B321" s="3" t="s">
        <v>357</v>
      </c>
      <c r="C321" s="4" t="str">
        <f>IFERROR(__xludf.DUMMYFUNCTION("GOOGLETRANSLATE(B321,""en"",""ta"")"),"ரத்து செய்")</f>
        <v>ரத்து செய்</v>
      </c>
      <c r="D321" s="4" t="str">
        <f>IFERROR(__xludf.DUMMYFUNCTION("GOOGLETRANSLATE(B321,""en"",""hi"")"),"रद्द करना")</f>
        <v>रद्द करना</v>
      </c>
      <c r="E321" s="4" t="str">
        <f>IFERROR(__xludf.DUMMYFUNCTION("GOOGLETRANSLATE(B321,""en"",""id"")"),"Membatalkan")</f>
        <v>Membatalkan</v>
      </c>
      <c r="F321" s="4" t="str">
        <f>IFERROR(__xludf.DUMMYFUNCTION("GOOGLETRANSLATE(B321,""en"",""ms"")"),"Batal")</f>
        <v>Batal</v>
      </c>
      <c r="G321" s="4" t="str">
        <f>IFERROR(__xludf.DUMMYFUNCTION("GOOGLETRANSLATE(B321,""en"",""de"")"),"Stornieren")</f>
        <v>Stornieren</v>
      </c>
      <c r="H321" s="4" t="str">
        <f>IFERROR(__xludf.DUMMYFUNCTION("GOOGLETRANSLATE(B321,""en"",""es"")"),"Cancelar")</f>
        <v>Cancelar</v>
      </c>
      <c r="I321" s="4" t="str">
        <f>IFERROR(__xludf.DUMMYFUNCTION("GOOGLETRANSLATE(B321,""en"",""fr"")"),"Annuler")</f>
        <v>Annuler</v>
      </c>
      <c r="J321" s="4" t="str">
        <f>IFERROR(__xludf.DUMMYFUNCTION("GOOGLETRANSLATE(B321,""en"",""it"")"),"Cancellare")</f>
        <v>Cancellare</v>
      </c>
      <c r="K321" s="4" t="str">
        <f>IFERROR(__xludf.DUMMYFUNCTION("GOOGLETRANSLATE(B321,""en"",""pt"")"),"Cancelar")</f>
        <v>Cancelar</v>
      </c>
      <c r="L321" s="4" t="str">
        <f>IFERROR(__xludf.DUMMYFUNCTION("GOOGLETRANSLATE(B321,""en"",""ro"")"),"Anula")</f>
        <v>Anula</v>
      </c>
      <c r="M321" s="4" t="str">
        <f>IFERROR(__xludf.DUMMYFUNCTION("GOOGLETRANSLATE(B321,""en"",""vi"")"),"Hủy bỏ")</f>
        <v>Hủy bỏ</v>
      </c>
      <c r="N321" s="4" t="str">
        <f>IFERROR(__xludf.DUMMYFUNCTION("GOOGLETRANSLATE(B321,""en"",""ru"")"),"Отмена")</f>
        <v>Отмена</v>
      </c>
      <c r="O321" s="4" t="str">
        <f>IFERROR(__xludf.DUMMYFUNCTION("GOOGLETRANSLATE(B321,""en"",""tr"")"),"İptal etmek")</f>
        <v>İptal etmek</v>
      </c>
      <c r="P321" s="4" t="str">
        <f>IFERROR(__xludf.DUMMYFUNCTION("GOOGLETRANSLATE(B321,""en"",""ar"")"),"يلغي")</f>
        <v>يلغي</v>
      </c>
      <c r="Q321" s="4" t="str">
        <f>IFERROR(__xludf.DUMMYFUNCTION("GOOGLETRANSLATE(B321,""en"",""mr"")"),"रद्द करा")</f>
        <v>रद्द करा</v>
      </c>
      <c r="R321" s="4" t="str">
        <f>IFERROR(__xludf.DUMMYFUNCTION("GOOGLETRANSLATE(B321,""en"",""gu"")"),"રદ કરો")</f>
        <v>રદ કરો</v>
      </c>
      <c r="S321" s="4" t="str">
        <f>IFERROR(__xludf.DUMMYFUNCTION("GOOGLETRANSLATE(B321,""en"",""bn"")"),"বাতিল করুন")</f>
        <v>বাতিল করুন</v>
      </c>
      <c r="T321" s="4" t="str">
        <f>IFERROR(__xludf.DUMMYFUNCTION("GOOGLETRANSLATE(B321,""en"",""pa"")"),"ਰੱਦ ਕਰੋ")</f>
        <v>ਰੱਦ ਕਰੋ</v>
      </c>
      <c r="U321" s="4" t="str">
        <f>IFERROR(__xludf.DUMMYFUNCTION("GOOGLETRANSLATE(B321,""en"",""te"")"),"రద్దు చేయి")</f>
        <v>రద్దు చేయి</v>
      </c>
      <c r="V321" s="4" t="str">
        <f>IFERROR(__xludf.DUMMYFUNCTION("GOOGLETRANSLATE(B321,""en"",""kn"")"),"ರದ್ದುಮಾಡು")</f>
        <v>ರದ್ದುಮಾಡು</v>
      </c>
      <c r="W321" s="4" t="str">
        <f>IFERROR(__xludf.DUMMYFUNCTION("GOOGLETRANSLATE(B321,""en"",""ml"")"),"റദ്ദാക്കുക")</f>
        <v>റദ്ദാക്കുക</v>
      </c>
      <c r="X321" s="4" t="str">
        <f>IFERROR(__xludf.DUMMYFUNCTION("GOOGLETRANSLATE(B321,""en"",""th"")"),"ยกเลิก")</f>
        <v>ยกเลิก</v>
      </c>
      <c r="Y321" s="4" t="str">
        <f>IFERROR(__xludf.DUMMYFUNCTION("GOOGLETRANSLATE(B321,""en"",""ko"")"),"취소")</f>
        <v>취소</v>
      </c>
      <c r="Z321" s="4" t="str">
        <f>IFERROR(__xludf.DUMMYFUNCTION("GOOGLETRANSLATE(B321,""en"",""zh"")"),"取消")</f>
        <v>取消</v>
      </c>
      <c r="AA321" s="4" t="str">
        <f>IFERROR(__xludf.DUMMYFUNCTION("GOOGLETRANSLATE(B321,""en"",""zh-TW"")"),"取消")</f>
        <v>取消</v>
      </c>
      <c r="AB321" s="4" t="str">
        <f>IFERROR(__xludf.DUMMYFUNCTION("GOOGLETRANSLATE(B321,""en"",""ja"")"),"キャンセル")</f>
        <v>キャンセル</v>
      </c>
      <c r="AC321" s="4" t="str">
        <f>IFERROR(__xludf.DUMMYFUNCTION("GOOGLETRANSLATE(B321,""en"",""bg"")"),"Отказ")</f>
        <v>Отказ</v>
      </c>
      <c r="AD321" s="4" t="str">
        <f>IFERROR(__xludf.DUMMYFUNCTION("GOOGLETRANSLATE(B321,""en"",""cs"")"),"Zrušit")</f>
        <v>Zrušit</v>
      </c>
      <c r="AE321" s="4" t="str">
        <f>IFERROR(__xludf.DUMMYFUNCTION("GOOGLETRANSLATE(B321,""en"",""da"")"),"Ophæve")</f>
        <v>Ophæve</v>
      </c>
      <c r="AF321" s="4" t="str">
        <f>IFERROR(__xludf.DUMMYFUNCTION("GOOGLETRANSLATE(B321,""en"",""el"")"),"Ματαίωση")</f>
        <v>Ματαίωση</v>
      </c>
      <c r="AG321" s="4" t="str">
        <f>IFERROR(__xludf.DUMMYFUNCTION("GOOGLETRANSLATE(B321,""en"",""et"")"),"Tühista")</f>
        <v>Tühista</v>
      </c>
      <c r="AH321" s="4" t="str">
        <f>IFERROR(__xludf.DUMMYFUNCTION("GOOGLETRANSLATE(B321,""en"",""fi"")"),"Peruuttaa")</f>
        <v>Peruuttaa</v>
      </c>
      <c r="AI321" s="4" t="str">
        <f>IFERROR(__xludf.DUMMYFUNCTION("GOOGLETRANSLATE(B321,""en"",""hr"")"),"Otkazati")</f>
        <v>Otkazati</v>
      </c>
      <c r="AJ321" s="4" t="str">
        <f>IFERROR(__xludf.DUMMYFUNCTION("GOOGLETRANSLATE(B321,""en"",""hu"")"),"Mégsem")</f>
        <v>Mégsem</v>
      </c>
      <c r="AK321" s="4" t="str">
        <f>IFERROR(__xludf.DUMMYFUNCTION("GOOGLETRANSLATE(B321,""en"",""hy"")"),"Չեղարկել")</f>
        <v>Չեղարկել</v>
      </c>
      <c r="AL321" s="4" t="str">
        <f>IFERROR(__xludf.DUMMYFUNCTION("GOOGLETRANSLATE(B321,""en"",""ca"")"),"Cancel·la")</f>
        <v>Cancel·la</v>
      </c>
      <c r="AM321" s="4" t="str">
        <f>IFERROR(__xludf.DUMMYFUNCTION("GOOGLETRANSLATE(B321,""en"",""nl"")"),"Annuleren")</f>
        <v>Annuleren</v>
      </c>
      <c r="AN321" s="4" t="str">
        <f>IFERROR(__xludf.DUMMYFUNCTION("GOOGLETRANSLATE(B321,""en"",""he"")"),"לְבַטֵל")</f>
        <v>לְבַטֵל</v>
      </c>
      <c r="AO321" s="4" t="str">
        <f>IFERROR(__xludf.DUMMYFUNCTION("GOOGLETRANSLATE(B321,""en"",""is"")"),"Hætta við")</f>
        <v>Hætta við</v>
      </c>
      <c r="AP321" s="4" t="str">
        <f>IFERROR(__xludf.DUMMYFUNCTION("GOOGLETRANSLATE(B321,""en"",""no"")"),"Kansellere")</f>
        <v>Kansellere</v>
      </c>
      <c r="AQ321" s="4" t="str">
        <f>IFERROR(__xludf.DUMMYFUNCTION("GOOGLETRANSLATE(B321,""en"",""fa"")"),"لغو کنید")</f>
        <v>لغو کنید</v>
      </c>
      <c r="AR321" s="4" t="str">
        <f>IFERROR(__xludf.DUMMYFUNCTION("GOOGLETRANSLATE(B321,""en"",""pl"")"),"Anulować")</f>
        <v>Anulować</v>
      </c>
      <c r="AS321" s="4" t="str">
        <f>IFERROR(__xludf.DUMMYFUNCTION("GOOGLETRANSLATE(B321,""en"",""sv"")"),"Avboka")</f>
        <v>Avboka</v>
      </c>
      <c r="AT321" s="4" t="str">
        <f>IFERROR(__xludf.DUMMYFUNCTION("GOOGLETRANSLATE(B321,""en"",""uk"")"),"Скасувати")</f>
        <v>Скасувати</v>
      </c>
      <c r="AU321" s="4" t="str">
        <f>IFERROR(__xludf.DUMMYFUNCTION("GOOGLETRANSLATE(B321,""en"",""zu"")"),"Khansela")</f>
        <v>Khansela</v>
      </c>
      <c r="AV321" s="4" t="str">
        <f>IFERROR(__xludf.DUMMYFUNCTION("GOOGLETRANSLATE(B321,""en"",""sr"")"),"Откажи")</f>
        <v>Откажи</v>
      </c>
    </row>
    <row r="322">
      <c r="A322" s="3" t="s">
        <v>649</v>
      </c>
      <c r="B322" s="3" t="s">
        <v>79</v>
      </c>
      <c r="C322" s="4" t="str">
        <f>IFERROR(__xludf.DUMMYFUNCTION("GOOGLETRANSLATE(B322,""en"",""ta"")"),"சேமிக்கவும்")</f>
        <v>சேமிக்கவும்</v>
      </c>
      <c r="D322" s="4" t="str">
        <f>IFERROR(__xludf.DUMMYFUNCTION("GOOGLETRANSLATE(B322,""en"",""hi"")"),"बचाना")</f>
        <v>बचाना</v>
      </c>
      <c r="E322" s="4" t="str">
        <f>IFERROR(__xludf.DUMMYFUNCTION("GOOGLETRANSLATE(B322,""en"",""id"")"),"Menyimpan")</f>
        <v>Menyimpan</v>
      </c>
      <c r="F322" s="4" t="str">
        <f>IFERROR(__xludf.DUMMYFUNCTION("GOOGLETRANSLATE(B322,""en"",""ms"")"),"Jimat")</f>
        <v>Jimat</v>
      </c>
      <c r="G322" s="4" t="str">
        <f>IFERROR(__xludf.DUMMYFUNCTION("GOOGLETRANSLATE(B322,""en"",""de"")"),"Speichern")</f>
        <v>Speichern</v>
      </c>
      <c r="H322" s="4" t="str">
        <f>IFERROR(__xludf.DUMMYFUNCTION("GOOGLETRANSLATE(B322,""en"",""es"")"),"Ahorrar")</f>
        <v>Ahorrar</v>
      </c>
      <c r="I322" s="4" t="str">
        <f>IFERROR(__xludf.DUMMYFUNCTION("GOOGLETRANSLATE(B322,""en"",""fr"")"),"Sauvegarder")</f>
        <v>Sauvegarder</v>
      </c>
      <c r="J322" s="4" t="str">
        <f>IFERROR(__xludf.DUMMYFUNCTION("GOOGLETRANSLATE(B322,""en"",""it"")"),"Salva")</f>
        <v>Salva</v>
      </c>
      <c r="K322" s="4" t="str">
        <f>IFERROR(__xludf.DUMMYFUNCTION("GOOGLETRANSLATE(B322,""en"",""pt"")"),"Salvar")</f>
        <v>Salvar</v>
      </c>
      <c r="L322" s="4" t="str">
        <f>IFERROR(__xludf.DUMMYFUNCTION("GOOGLETRANSLATE(B322,""en"",""ro"")"),"Salva")</f>
        <v>Salva</v>
      </c>
      <c r="M322" s="4" t="str">
        <f>IFERROR(__xludf.DUMMYFUNCTION("GOOGLETRANSLATE(B322,""en"",""vi"")"),"Cứu")</f>
        <v>Cứu</v>
      </c>
      <c r="N322" s="4" t="str">
        <f>IFERROR(__xludf.DUMMYFUNCTION("GOOGLETRANSLATE(B322,""en"",""ru"")"),"Сохранять")</f>
        <v>Сохранять</v>
      </c>
      <c r="O322" s="4" t="str">
        <f>IFERROR(__xludf.DUMMYFUNCTION("GOOGLETRANSLATE(B322,""en"",""tr"")"),"Kaydetmek")</f>
        <v>Kaydetmek</v>
      </c>
      <c r="P322" s="4" t="str">
        <f>IFERROR(__xludf.DUMMYFUNCTION("GOOGLETRANSLATE(B322,""en"",""ar"")"),"يحفظ")</f>
        <v>يحفظ</v>
      </c>
      <c r="Q322" s="4" t="str">
        <f>IFERROR(__xludf.DUMMYFUNCTION("GOOGLETRANSLATE(B322,""en"",""mr"")"),"जतन करा")</f>
        <v>जतन करा</v>
      </c>
      <c r="R322" s="4" t="str">
        <f>IFERROR(__xludf.DUMMYFUNCTION("GOOGLETRANSLATE(B322,""en"",""gu"")"),"સાચવો")</f>
        <v>સાચવો</v>
      </c>
      <c r="S322" s="4" t="str">
        <f>IFERROR(__xludf.DUMMYFUNCTION("GOOGLETRANSLATE(B322,""en"",""bn"")"),"সংরক্ষণ করুন")</f>
        <v>সংরক্ষণ করুন</v>
      </c>
      <c r="T322" s="4" t="str">
        <f>IFERROR(__xludf.DUMMYFUNCTION("GOOGLETRANSLATE(B322,""en"",""pa"")"),"ਸੇਵ ਕਰੋ")</f>
        <v>ਸੇਵ ਕਰੋ</v>
      </c>
      <c r="U322" s="4" t="str">
        <f>IFERROR(__xludf.DUMMYFUNCTION("GOOGLETRANSLATE(B322,""en"",""te"")"),"సేవ్ చేయండి")</f>
        <v>సేవ్ చేయండి</v>
      </c>
      <c r="V322" s="4" t="str">
        <f>IFERROR(__xludf.DUMMYFUNCTION("GOOGLETRANSLATE(B322,""en"",""kn"")"),"ಉಳಿಸಿ")</f>
        <v>ಉಳಿಸಿ</v>
      </c>
      <c r="W322" s="4" t="str">
        <f>IFERROR(__xludf.DUMMYFUNCTION("GOOGLETRANSLATE(B322,""en"",""ml"")"),"സംരക്ഷിക്കുക")</f>
        <v>സംരക്ഷിക്കുക</v>
      </c>
      <c r="X322" s="4" t="str">
        <f>IFERROR(__xludf.DUMMYFUNCTION("GOOGLETRANSLATE(B322,""en"",""th"")"),"บันทึก")</f>
        <v>บันทึก</v>
      </c>
      <c r="Y322" s="4" t="str">
        <f>IFERROR(__xludf.DUMMYFUNCTION("GOOGLETRANSLATE(B322,""en"",""ko"")"),"구하다")</f>
        <v>구하다</v>
      </c>
      <c r="Z322" s="4" t="str">
        <f>IFERROR(__xludf.DUMMYFUNCTION("GOOGLETRANSLATE(B322,""en"",""zh"")"),"节省")</f>
        <v>节省</v>
      </c>
      <c r="AA322" s="4" t="str">
        <f>IFERROR(__xludf.DUMMYFUNCTION("GOOGLETRANSLATE(B322,""en"",""zh-TW"")"),"節省")</f>
        <v>節省</v>
      </c>
      <c r="AB322" s="4" t="str">
        <f>IFERROR(__xludf.DUMMYFUNCTION("GOOGLETRANSLATE(B322,""en"",""ja"")"),"保存")</f>
        <v>保存</v>
      </c>
      <c r="AC322" s="4" t="str">
        <f>IFERROR(__xludf.DUMMYFUNCTION("GOOGLETRANSLATE(B322,""en"",""bg"")"),"Запазване")</f>
        <v>Запазване</v>
      </c>
      <c r="AD322" s="4" t="str">
        <f>IFERROR(__xludf.DUMMYFUNCTION("GOOGLETRANSLATE(B322,""en"",""cs"")"),"Uložit")</f>
        <v>Uložit</v>
      </c>
      <c r="AE322" s="4" t="str">
        <f>IFERROR(__xludf.DUMMYFUNCTION("GOOGLETRANSLATE(B322,""en"",""da"")"),"Spare")</f>
        <v>Spare</v>
      </c>
      <c r="AF322" s="4" t="str">
        <f>IFERROR(__xludf.DUMMYFUNCTION("GOOGLETRANSLATE(B322,""en"",""el"")"),"Εκτός")</f>
        <v>Εκτός</v>
      </c>
      <c r="AG322" s="4" t="str">
        <f>IFERROR(__xludf.DUMMYFUNCTION("GOOGLETRANSLATE(B322,""en"",""et"")"),"Salvesta")</f>
        <v>Salvesta</v>
      </c>
      <c r="AH322" s="4" t="str">
        <f>IFERROR(__xludf.DUMMYFUNCTION("GOOGLETRANSLATE(B322,""en"",""fi"")"),"Tallentaa")</f>
        <v>Tallentaa</v>
      </c>
      <c r="AI322" s="4" t="str">
        <f>IFERROR(__xludf.DUMMYFUNCTION("GOOGLETRANSLATE(B322,""en"",""hr"")"),"Uštedjeti")</f>
        <v>Uštedjeti</v>
      </c>
      <c r="AJ322" s="4" t="str">
        <f>IFERROR(__xludf.DUMMYFUNCTION("GOOGLETRANSLATE(B322,""en"",""hu"")"),"Megtakarítás")</f>
        <v>Megtakarítás</v>
      </c>
      <c r="AK322" s="4" t="str">
        <f>IFERROR(__xludf.DUMMYFUNCTION("GOOGLETRANSLATE(B322,""en"",""hy"")"),"Պահպանել")</f>
        <v>Պահպանել</v>
      </c>
      <c r="AL322" s="4" t="str">
        <f>IFERROR(__xludf.DUMMYFUNCTION("GOOGLETRANSLATE(B322,""en"",""ca"")"),"Desa")</f>
        <v>Desa</v>
      </c>
      <c r="AM322" s="4" t="str">
        <f>IFERROR(__xludf.DUMMYFUNCTION("GOOGLETRANSLATE(B322,""en"",""nl"")"),"Redden")</f>
        <v>Redden</v>
      </c>
      <c r="AN322" s="4" t="str">
        <f>IFERROR(__xludf.DUMMYFUNCTION("GOOGLETRANSLATE(B322,""en"",""he"")"),"לְהַצִיל")</f>
        <v>לְהַצִיל</v>
      </c>
      <c r="AO322" s="4" t="str">
        <f>IFERROR(__xludf.DUMMYFUNCTION("GOOGLETRANSLATE(B322,""en"",""is"")"),"Vista")</f>
        <v>Vista</v>
      </c>
      <c r="AP322" s="4" t="str">
        <f>IFERROR(__xludf.DUMMYFUNCTION("GOOGLETRANSLATE(B322,""en"",""no"")"),"Spare")</f>
        <v>Spare</v>
      </c>
      <c r="AQ322" s="4" t="str">
        <f>IFERROR(__xludf.DUMMYFUNCTION("GOOGLETRANSLATE(B322,""en"",""fa"")"),"ذخیره کنید")</f>
        <v>ذخیره کنید</v>
      </c>
      <c r="AR322" s="4" t="str">
        <f>IFERROR(__xludf.DUMMYFUNCTION("GOOGLETRANSLATE(B322,""en"",""pl"")"),"Ratować")</f>
        <v>Ratować</v>
      </c>
      <c r="AS322" s="4" t="str">
        <f>IFERROR(__xludf.DUMMYFUNCTION("GOOGLETRANSLATE(B322,""en"",""sv"")"),"Spara")</f>
        <v>Spara</v>
      </c>
      <c r="AT322" s="4" t="str">
        <f>IFERROR(__xludf.DUMMYFUNCTION("GOOGLETRANSLATE(B322,""en"",""uk"")"),"зберегти")</f>
        <v>зберегти</v>
      </c>
      <c r="AU322" s="4" t="str">
        <f>IFERROR(__xludf.DUMMYFUNCTION("GOOGLETRANSLATE(B322,""en"",""zu"")"),"Londoloza")</f>
        <v>Londoloza</v>
      </c>
      <c r="AV322" s="4" t="str">
        <f>IFERROR(__xludf.DUMMYFUNCTION("GOOGLETRANSLATE(B322,""en"",""sr"")"),"Сачувај")</f>
        <v>Сачувај</v>
      </c>
    </row>
    <row r="323">
      <c r="A323" s="3" t="s">
        <v>650</v>
      </c>
      <c r="B323" s="3" t="s">
        <v>596</v>
      </c>
      <c r="C323" s="4" t="str">
        <f>IFERROR(__xludf.DUMMYFUNCTION("GOOGLETRANSLATE(B323,""en"",""ta"")"),"கால அளவு")</f>
        <v>கால அளவு</v>
      </c>
      <c r="D323" s="4" t="str">
        <f>IFERROR(__xludf.DUMMYFUNCTION("GOOGLETRANSLATE(B323,""en"",""hi"")"),"अवधि")</f>
        <v>अवधि</v>
      </c>
      <c r="E323" s="4" t="str">
        <f>IFERROR(__xludf.DUMMYFUNCTION("GOOGLETRANSLATE(B323,""en"",""id"")"),"Lamanya")</f>
        <v>Lamanya</v>
      </c>
      <c r="F323" s="4" t="str">
        <f>IFERROR(__xludf.DUMMYFUNCTION("GOOGLETRANSLATE(B323,""en"",""ms"")"),"Tempoh")</f>
        <v>Tempoh</v>
      </c>
      <c r="G323" s="4" t="str">
        <f>IFERROR(__xludf.DUMMYFUNCTION("GOOGLETRANSLATE(B323,""en"",""de"")"),"Dauer")</f>
        <v>Dauer</v>
      </c>
      <c r="H323" s="4" t="str">
        <f>IFERROR(__xludf.DUMMYFUNCTION("GOOGLETRANSLATE(B323,""en"",""es"")"),"Duración")</f>
        <v>Duración</v>
      </c>
      <c r="I323" s="4" t="str">
        <f>IFERROR(__xludf.DUMMYFUNCTION("GOOGLETRANSLATE(B323,""en"",""fr"")"),"Durée")</f>
        <v>Durée</v>
      </c>
      <c r="J323" s="4" t="str">
        <f>IFERROR(__xludf.DUMMYFUNCTION("GOOGLETRANSLATE(B323,""en"",""it"")"),"Durata")</f>
        <v>Durata</v>
      </c>
      <c r="K323" s="4" t="str">
        <f>IFERROR(__xludf.DUMMYFUNCTION("GOOGLETRANSLATE(B323,""en"",""pt"")"),"Duração")</f>
        <v>Duração</v>
      </c>
      <c r="L323" s="4" t="str">
        <f>IFERROR(__xludf.DUMMYFUNCTION("GOOGLETRANSLATE(B323,""en"",""ro"")"),"Durată")</f>
        <v>Durată</v>
      </c>
      <c r="M323" s="4" t="str">
        <f>IFERROR(__xludf.DUMMYFUNCTION("GOOGLETRANSLATE(B323,""en"",""vi"")"),"Khoảng thời gian")</f>
        <v>Khoảng thời gian</v>
      </c>
      <c r="N323" s="4" t="str">
        <f>IFERROR(__xludf.DUMMYFUNCTION("GOOGLETRANSLATE(B323,""en"",""ru"")"),"Продолжительность")</f>
        <v>Продолжительность</v>
      </c>
      <c r="O323" s="4" t="str">
        <f>IFERROR(__xludf.DUMMYFUNCTION("GOOGLETRANSLATE(B323,""en"",""tr"")"),"Süre")</f>
        <v>Süre</v>
      </c>
      <c r="P323" s="4" t="str">
        <f>IFERROR(__xludf.DUMMYFUNCTION("GOOGLETRANSLATE(B323,""en"",""ar"")"),"مدة")</f>
        <v>مدة</v>
      </c>
      <c r="Q323" s="4" t="str">
        <f>IFERROR(__xludf.DUMMYFUNCTION("GOOGLETRANSLATE(B323,""en"",""mr"")"),"कालावधी")</f>
        <v>कालावधी</v>
      </c>
      <c r="R323" s="4" t="str">
        <f>IFERROR(__xludf.DUMMYFUNCTION("GOOGLETRANSLATE(B323,""en"",""gu"")"),"અવધિ")</f>
        <v>અવધિ</v>
      </c>
      <c r="S323" s="4" t="str">
        <f>IFERROR(__xludf.DUMMYFUNCTION("GOOGLETRANSLATE(B323,""en"",""bn"")"),"সময়কাল")</f>
        <v>সময়কাল</v>
      </c>
      <c r="T323" s="4" t="str">
        <f>IFERROR(__xludf.DUMMYFUNCTION("GOOGLETRANSLATE(B323,""en"",""pa"")"),"ਮਿਆਦ")</f>
        <v>ਮਿਆਦ</v>
      </c>
      <c r="U323" s="4" t="str">
        <f>IFERROR(__xludf.DUMMYFUNCTION("GOOGLETRANSLATE(B323,""en"",""te"")"),"వ్యవధి")</f>
        <v>వ్యవధి</v>
      </c>
      <c r="V323" s="4" t="str">
        <f>IFERROR(__xludf.DUMMYFUNCTION("GOOGLETRANSLATE(B323,""en"",""kn"")"),"ಅವಧಿ")</f>
        <v>ಅವಧಿ</v>
      </c>
      <c r="W323" s="4" t="str">
        <f>IFERROR(__xludf.DUMMYFUNCTION("GOOGLETRANSLATE(B323,""en"",""ml"")"),"ദൈർഘ്യം")</f>
        <v>ദൈർഘ്യം</v>
      </c>
      <c r="X323" s="4" t="str">
        <f>IFERROR(__xludf.DUMMYFUNCTION("GOOGLETRANSLATE(B323,""en"",""th"")"),"ระยะเวลา")</f>
        <v>ระยะเวลา</v>
      </c>
      <c r="Y323" s="4" t="str">
        <f>IFERROR(__xludf.DUMMYFUNCTION("GOOGLETRANSLATE(B323,""en"",""ko"")"),"지속")</f>
        <v>지속</v>
      </c>
      <c r="Z323" s="4" t="str">
        <f>IFERROR(__xludf.DUMMYFUNCTION("GOOGLETRANSLATE(B323,""en"",""zh"")"),"期间")</f>
        <v>期间</v>
      </c>
      <c r="AA323" s="4" t="str">
        <f>IFERROR(__xludf.DUMMYFUNCTION("GOOGLETRANSLATE(B323,""en"",""zh-TW"")"),"期間")</f>
        <v>期間</v>
      </c>
      <c r="AB323" s="4" t="str">
        <f>IFERROR(__xludf.DUMMYFUNCTION("GOOGLETRANSLATE(B323,""en"",""ja"")"),"間隔")</f>
        <v>間隔</v>
      </c>
      <c r="AC323" s="4" t="str">
        <f>IFERROR(__xludf.DUMMYFUNCTION("GOOGLETRANSLATE(B323,""en"",""bg"")"),"Продължителност")</f>
        <v>Продължителност</v>
      </c>
      <c r="AD323" s="4" t="str">
        <f>IFERROR(__xludf.DUMMYFUNCTION("GOOGLETRANSLATE(B323,""en"",""cs"")"),"Trvání")</f>
        <v>Trvání</v>
      </c>
      <c r="AE323" s="4" t="str">
        <f>IFERROR(__xludf.DUMMYFUNCTION("GOOGLETRANSLATE(B323,""en"",""da"")"),"Varighed")</f>
        <v>Varighed</v>
      </c>
      <c r="AF323" s="4" t="str">
        <f>IFERROR(__xludf.DUMMYFUNCTION("GOOGLETRANSLATE(B323,""en"",""el"")"),"Διάρκεια")</f>
        <v>Διάρκεια</v>
      </c>
      <c r="AG323" s="4" t="str">
        <f>IFERROR(__xludf.DUMMYFUNCTION("GOOGLETRANSLATE(B323,""en"",""et"")"),"Kestus")</f>
        <v>Kestus</v>
      </c>
      <c r="AH323" s="4" t="str">
        <f>IFERROR(__xludf.DUMMYFUNCTION("GOOGLETRANSLATE(B323,""en"",""fi"")"),"Kesto")</f>
        <v>Kesto</v>
      </c>
      <c r="AI323" s="4" t="str">
        <f>IFERROR(__xludf.DUMMYFUNCTION("GOOGLETRANSLATE(B323,""en"",""hr"")"),"Trajanje")</f>
        <v>Trajanje</v>
      </c>
      <c r="AJ323" s="4" t="str">
        <f>IFERROR(__xludf.DUMMYFUNCTION("GOOGLETRANSLATE(B323,""en"",""hu"")"),"Időtartam")</f>
        <v>Időtartam</v>
      </c>
      <c r="AK323" s="4" t="str">
        <f>IFERROR(__xludf.DUMMYFUNCTION("GOOGLETRANSLATE(B323,""en"",""hy"")"),"Տևողությունը")</f>
        <v>Տևողությունը</v>
      </c>
      <c r="AL323" s="4" t="str">
        <f>IFERROR(__xludf.DUMMYFUNCTION("GOOGLETRANSLATE(B323,""en"",""ca"")"),"Durada")</f>
        <v>Durada</v>
      </c>
      <c r="AM323" s="4" t="str">
        <f>IFERROR(__xludf.DUMMYFUNCTION("GOOGLETRANSLATE(B323,""en"",""nl"")"),"Duur")</f>
        <v>Duur</v>
      </c>
      <c r="AN323" s="4" t="str">
        <f>IFERROR(__xludf.DUMMYFUNCTION("GOOGLETRANSLATE(B323,""en"",""he"")"),"מֶשֶׁך")</f>
        <v>מֶשֶׁך</v>
      </c>
      <c r="AO323" s="4" t="str">
        <f>IFERROR(__xludf.DUMMYFUNCTION("GOOGLETRANSLATE(B323,""en"",""is"")"),"Lengd")</f>
        <v>Lengd</v>
      </c>
      <c r="AP323" s="4" t="str">
        <f>IFERROR(__xludf.DUMMYFUNCTION("GOOGLETRANSLATE(B323,""en"",""no"")"),"Varighet")</f>
        <v>Varighet</v>
      </c>
      <c r="AQ323" s="4" t="str">
        <f>IFERROR(__xludf.DUMMYFUNCTION("GOOGLETRANSLATE(B323,""en"",""fa"")"),"مدت زمان")</f>
        <v>مدت زمان</v>
      </c>
      <c r="AR323" s="4" t="str">
        <f>IFERROR(__xludf.DUMMYFUNCTION("GOOGLETRANSLATE(B323,""en"",""pl"")"),"Czas trwania")</f>
        <v>Czas trwania</v>
      </c>
      <c r="AS323" s="4" t="str">
        <f>IFERROR(__xludf.DUMMYFUNCTION("GOOGLETRANSLATE(B323,""en"",""sv"")"),"Varaktighet")</f>
        <v>Varaktighet</v>
      </c>
      <c r="AT323" s="4" t="str">
        <f>IFERROR(__xludf.DUMMYFUNCTION("GOOGLETRANSLATE(B323,""en"",""uk"")"),"Тривалість")</f>
        <v>Тривалість</v>
      </c>
      <c r="AU323" s="4" t="str">
        <f>IFERROR(__xludf.DUMMYFUNCTION("GOOGLETRANSLATE(B323,""en"",""zu"")"),"Ubude besikhathi")</f>
        <v>Ubude besikhathi</v>
      </c>
      <c r="AV323" s="4" t="str">
        <f>IFERROR(__xludf.DUMMYFUNCTION("GOOGLETRANSLATE(B323,""en"",""sr"")"),"Трајање")</f>
        <v>Трајање</v>
      </c>
    </row>
    <row r="324">
      <c r="A324" s="3" t="s">
        <v>651</v>
      </c>
      <c r="B324" s="3" t="s">
        <v>652</v>
      </c>
      <c r="C324" s="4" t="str">
        <f>IFERROR(__xludf.DUMMYFUNCTION("GOOGLETRANSLATE(B324,""en"",""ta"")"),"அதிகபட்ச உயரம்")</f>
        <v>அதிகபட்ச உயரம்</v>
      </c>
      <c r="D324" s="4" t="str">
        <f>IFERROR(__xludf.DUMMYFUNCTION("GOOGLETRANSLATE(B324,""en"",""hi"")"),"अधिकतम ऊंचाई")</f>
        <v>अधिकतम ऊंचाई</v>
      </c>
      <c r="E324" s="4" t="str">
        <f>IFERROR(__xludf.DUMMYFUNCTION("GOOGLETRANSLATE(B324,""en"",""id"")"),"Ketinggian Maksimum")</f>
        <v>Ketinggian Maksimum</v>
      </c>
      <c r="F324" s="4" t="str">
        <f>IFERROR(__xludf.DUMMYFUNCTION("GOOGLETRANSLATE(B324,""en"",""ms"")"),"Ketinggian Maks")</f>
        <v>Ketinggian Maks</v>
      </c>
      <c r="G324" s="4" t="str">
        <f>IFERROR(__xludf.DUMMYFUNCTION("GOOGLETRANSLATE(B324,""en"",""de"")"),"Max. Höhe")</f>
        <v>Max. Höhe</v>
      </c>
      <c r="H324" s="4" t="str">
        <f>IFERROR(__xludf.DUMMYFUNCTION("GOOGLETRANSLATE(B324,""en"",""es"")"),"Altitud máxima")</f>
        <v>Altitud máxima</v>
      </c>
      <c r="I324" s="4" t="str">
        <f>IFERROR(__xludf.DUMMYFUNCTION("GOOGLETRANSLATE(B324,""en"",""fr"")"),"Altitude maximale")</f>
        <v>Altitude maximale</v>
      </c>
      <c r="J324" s="4" t="str">
        <f>IFERROR(__xludf.DUMMYFUNCTION("GOOGLETRANSLATE(B324,""en"",""it"")"),"Altitudine massima")</f>
        <v>Altitudine massima</v>
      </c>
      <c r="K324" s="4" t="str">
        <f>IFERROR(__xludf.DUMMYFUNCTION("GOOGLETRANSLATE(B324,""en"",""pt"")"),"Altitude Máxima")</f>
        <v>Altitude Máxima</v>
      </c>
      <c r="L324" s="4" t="str">
        <f>IFERROR(__xludf.DUMMYFUNCTION("GOOGLETRANSLATE(B324,""en"",""ro"")"),"Altitudine maximă")</f>
        <v>Altitudine maximă</v>
      </c>
      <c r="M324" s="4" t="str">
        <f>IFERROR(__xludf.DUMMYFUNCTION("GOOGLETRANSLATE(B324,""en"",""vi"")"),"Độ cao tối đa")</f>
        <v>Độ cao tối đa</v>
      </c>
      <c r="N324" s="4" t="str">
        <f>IFERROR(__xludf.DUMMYFUNCTION("GOOGLETRANSLATE(B324,""en"",""ru"")"),"Макс. высота")</f>
        <v>Макс. высота</v>
      </c>
      <c r="O324" s="4" t="str">
        <f>IFERROR(__xludf.DUMMYFUNCTION("GOOGLETRANSLATE(B324,""en"",""tr"")"),"Maksimum Yükseklik")</f>
        <v>Maksimum Yükseklik</v>
      </c>
      <c r="P324" s="4" t="str">
        <f>IFERROR(__xludf.DUMMYFUNCTION("GOOGLETRANSLATE(B324,""en"",""ar"")"),"أقصى ارتفاع")</f>
        <v>أقصى ارتفاع</v>
      </c>
      <c r="Q324" s="4" t="str">
        <f>IFERROR(__xludf.DUMMYFUNCTION("GOOGLETRANSLATE(B324,""en"",""mr"")"),"कमाल उंची")</f>
        <v>कमाल उंची</v>
      </c>
      <c r="R324" s="4" t="str">
        <f>IFERROR(__xludf.DUMMYFUNCTION("GOOGLETRANSLATE(B324,""en"",""gu"")"),"મહત્તમ ઊંચાઈ")</f>
        <v>મહત્તમ ઊંચાઈ</v>
      </c>
      <c r="S324" s="4" t="str">
        <f>IFERROR(__xludf.DUMMYFUNCTION("GOOGLETRANSLATE(B324,""en"",""bn"")"),"সর্বোচ্চ উচ্চতা")</f>
        <v>সর্বোচ্চ উচ্চতা</v>
      </c>
      <c r="T324" s="4" t="str">
        <f>IFERROR(__xludf.DUMMYFUNCTION("GOOGLETRANSLATE(B324,""en"",""pa"")"),"ਅਧਿਕਤਮ ਉਚਾਈ")</f>
        <v>ਅਧਿਕਤਮ ਉਚਾਈ</v>
      </c>
      <c r="U324" s="4" t="str">
        <f>IFERROR(__xludf.DUMMYFUNCTION("GOOGLETRANSLATE(B324,""en"",""te"")"),"గరిష్ట ఎత్తు")</f>
        <v>గరిష్ట ఎత్తు</v>
      </c>
      <c r="V324" s="4" t="str">
        <f>IFERROR(__xludf.DUMMYFUNCTION("GOOGLETRANSLATE(B324,""en"",""kn"")"),"ಗರಿಷ್ಠ ಎತ್ತರ")</f>
        <v>ಗರಿಷ್ಠ ಎತ್ತರ</v>
      </c>
      <c r="W324" s="4" t="str">
        <f>IFERROR(__xludf.DUMMYFUNCTION("GOOGLETRANSLATE(B324,""en"",""ml"")"),"പരമാവധി ഉയരം")</f>
        <v>പരമാവധി ഉയരം</v>
      </c>
      <c r="X324" s="4" t="str">
        <f>IFERROR(__xludf.DUMMYFUNCTION("GOOGLETRANSLATE(B324,""en"",""th"")"),"ระดับความสูงสูงสุด")</f>
        <v>ระดับความสูงสูงสุด</v>
      </c>
      <c r="Y324" s="4" t="str">
        <f>IFERROR(__xludf.DUMMYFUNCTION("GOOGLETRANSLATE(B324,""en"",""ko"")"),"최대 고도")</f>
        <v>최대 고도</v>
      </c>
      <c r="Z324" s="4" t="str">
        <f>IFERROR(__xludf.DUMMYFUNCTION("GOOGLETRANSLATE(B324,""en"",""zh"")"),"最大海拔高度")</f>
        <v>最大海拔高度</v>
      </c>
      <c r="AA324" s="4" t="str">
        <f>IFERROR(__xludf.DUMMYFUNCTION("GOOGLETRANSLATE(B324,""en"",""zh-TW"")"),"最大海拔高度")</f>
        <v>最大海拔高度</v>
      </c>
      <c r="AB324" s="4" t="str">
        <f>IFERROR(__xludf.DUMMYFUNCTION("GOOGLETRANSLATE(B324,""en"",""ja"")"),"最大高度")</f>
        <v>最大高度</v>
      </c>
      <c r="AC324" s="4" t="str">
        <f>IFERROR(__xludf.DUMMYFUNCTION("GOOGLETRANSLATE(B324,""en"",""bg"")"),"Максимална надморска височина")</f>
        <v>Максимална надморска височина</v>
      </c>
      <c r="AD324" s="4" t="str">
        <f>IFERROR(__xludf.DUMMYFUNCTION("GOOGLETRANSLATE(B324,""en"",""cs"")"),"Maximální nadmořská výška")</f>
        <v>Maximální nadmořská výška</v>
      </c>
      <c r="AE324" s="4" t="str">
        <f>IFERROR(__xludf.DUMMYFUNCTION("GOOGLETRANSLATE(B324,""en"",""da"")"),"Max højde")</f>
        <v>Max højde</v>
      </c>
      <c r="AF324" s="4" t="str">
        <f>IFERROR(__xludf.DUMMYFUNCTION("GOOGLETRANSLATE(B324,""en"",""el"")"),"Μέγιστο υψόμετρο")</f>
        <v>Μέγιστο υψόμετρο</v>
      </c>
      <c r="AG324" s="4" t="str">
        <f>IFERROR(__xludf.DUMMYFUNCTION("GOOGLETRANSLATE(B324,""en"",""et"")"),"Maksimaalne kõrgus merepinnast")</f>
        <v>Maksimaalne kõrgus merepinnast</v>
      </c>
      <c r="AH324" s="4" t="str">
        <f>IFERROR(__xludf.DUMMYFUNCTION("GOOGLETRANSLATE(B324,""en"",""fi"")"),"Max korkeus")</f>
        <v>Max korkeus</v>
      </c>
      <c r="AI324" s="4" t="str">
        <f>IFERROR(__xludf.DUMMYFUNCTION("GOOGLETRANSLATE(B324,""en"",""hr"")"),"Maksimalna nadmorska visina")</f>
        <v>Maksimalna nadmorska visina</v>
      </c>
      <c r="AJ324" s="4" t="str">
        <f>IFERROR(__xludf.DUMMYFUNCTION("GOOGLETRANSLATE(B324,""en"",""hu"")"),"Max. magasság")</f>
        <v>Max. magasság</v>
      </c>
      <c r="AK324" s="4" t="str">
        <f>IFERROR(__xludf.DUMMYFUNCTION("GOOGLETRANSLATE(B324,""en"",""hy"")"),"Առավելագույն բարձրություն")</f>
        <v>Առավելագույն բարձրություն</v>
      </c>
      <c r="AL324" s="4" t="str">
        <f>IFERROR(__xludf.DUMMYFUNCTION("GOOGLETRANSLATE(B324,""en"",""ca"")"),"Altitud màxima")</f>
        <v>Altitud màxima</v>
      </c>
      <c r="AM324" s="4" t="str">
        <f>IFERROR(__xludf.DUMMYFUNCTION("GOOGLETRANSLATE(B324,""en"",""nl"")"),"Maximale hoogte")</f>
        <v>Maximale hoogte</v>
      </c>
      <c r="AN324" s="4" t="str">
        <f>IFERROR(__xludf.DUMMYFUNCTION("GOOGLETRANSLATE(B324,""en"",""he"")"),"גובה מקסימלי")</f>
        <v>גובה מקסימלי</v>
      </c>
      <c r="AO324" s="4" t="str">
        <f>IFERROR(__xludf.DUMMYFUNCTION("GOOGLETRANSLATE(B324,""en"",""is"")"),"Hámarkshæð")</f>
        <v>Hámarkshæð</v>
      </c>
      <c r="AP324" s="4" t="str">
        <f>IFERROR(__xludf.DUMMYFUNCTION("GOOGLETRANSLATE(B324,""en"",""no"")"),"Maks høyde")</f>
        <v>Maks høyde</v>
      </c>
      <c r="AQ324" s="4" t="str">
        <f>IFERROR(__xludf.DUMMYFUNCTION("GOOGLETRANSLATE(B324,""en"",""fa"")"),"حداکثر ارتفاع")</f>
        <v>حداکثر ارتفاع</v>
      </c>
      <c r="AR324" s="4" t="str">
        <f>IFERROR(__xludf.DUMMYFUNCTION("GOOGLETRANSLATE(B324,""en"",""pl"")"),"Maksymalna wysokość")</f>
        <v>Maksymalna wysokość</v>
      </c>
      <c r="AS324" s="4" t="str">
        <f>IFERROR(__xludf.DUMMYFUNCTION("GOOGLETRANSLATE(B324,""en"",""sv"")"),"Max höjd")</f>
        <v>Max höjd</v>
      </c>
      <c r="AT324" s="4" t="str">
        <f>IFERROR(__xludf.DUMMYFUNCTION("GOOGLETRANSLATE(B324,""en"",""uk"")"),"Максимальна висота")</f>
        <v>Максимальна висота</v>
      </c>
      <c r="AU324" s="4" t="str">
        <f>IFERROR(__xludf.DUMMYFUNCTION("GOOGLETRANSLATE(B324,""en"",""zu"")"),"I-Max Altitude")</f>
        <v>I-Max Altitude</v>
      </c>
      <c r="AV324" s="4" t="str">
        <f>IFERROR(__xludf.DUMMYFUNCTION("GOOGLETRANSLATE(B324,""en"",""sr"")"),"Мак Алтитуде")</f>
        <v>Мак Алтитуде</v>
      </c>
    </row>
    <row r="325">
      <c r="A325" s="3" t="s">
        <v>653</v>
      </c>
      <c r="B325" s="3" t="s">
        <v>534</v>
      </c>
      <c r="C325" s="4" t="str">
        <f>IFERROR(__xludf.DUMMYFUNCTION("GOOGLETRANSLATE(B325,""en"",""ta"")"),"படிகள்")</f>
        <v>படிகள்</v>
      </c>
      <c r="D325" s="4" t="str">
        <f>IFERROR(__xludf.DUMMYFUNCTION("GOOGLETRANSLATE(B325,""en"",""hi"")"),"कदम")</f>
        <v>कदम</v>
      </c>
      <c r="E325" s="4" t="str">
        <f>IFERROR(__xludf.DUMMYFUNCTION("GOOGLETRANSLATE(B325,""en"",""id"")"),"Tangga")</f>
        <v>Tangga</v>
      </c>
      <c r="F325" s="4" t="str">
        <f>IFERROR(__xludf.DUMMYFUNCTION("GOOGLETRANSLATE(B325,""en"",""ms"")"),"Langkah")</f>
        <v>Langkah</v>
      </c>
      <c r="G325" s="4" t="str">
        <f>IFERROR(__xludf.DUMMYFUNCTION("GOOGLETRANSLATE(B325,""en"",""de"")"),"Schritte")</f>
        <v>Schritte</v>
      </c>
      <c r="H325" s="4" t="str">
        <f>IFERROR(__xludf.DUMMYFUNCTION("GOOGLETRANSLATE(B325,""en"",""es"")"),"Pasos")</f>
        <v>Pasos</v>
      </c>
      <c r="I325" s="4" t="str">
        <f>IFERROR(__xludf.DUMMYFUNCTION("GOOGLETRANSLATE(B325,""en"",""fr"")"),"Mesures")</f>
        <v>Mesures</v>
      </c>
      <c r="J325" s="4" t="str">
        <f>IFERROR(__xludf.DUMMYFUNCTION("GOOGLETRANSLATE(B325,""en"",""it"")"),"Passi")</f>
        <v>Passi</v>
      </c>
      <c r="K325" s="4" t="str">
        <f>IFERROR(__xludf.DUMMYFUNCTION("GOOGLETRANSLATE(B325,""en"",""pt"")"),"Passos")</f>
        <v>Passos</v>
      </c>
      <c r="L325" s="4" t="str">
        <f>IFERROR(__xludf.DUMMYFUNCTION("GOOGLETRANSLATE(B325,""en"",""ro"")"),"Pași")</f>
        <v>Pași</v>
      </c>
      <c r="M325" s="4" t="str">
        <f>IFERROR(__xludf.DUMMYFUNCTION("GOOGLETRANSLATE(B325,""en"",""vi"")"),"Các bước")</f>
        <v>Các bước</v>
      </c>
      <c r="N325" s="4" t="str">
        <f>IFERROR(__xludf.DUMMYFUNCTION("GOOGLETRANSLATE(B325,""en"",""ru"")"),"Шаги")</f>
        <v>Шаги</v>
      </c>
      <c r="O325" s="4" t="str">
        <f>IFERROR(__xludf.DUMMYFUNCTION("GOOGLETRANSLATE(B325,""en"",""tr"")"),"Adımlar")</f>
        <v>Adımlar</v>
      </c>
      <c r="P325" s="4" t="str">
        <f>IFERROR(__xludf.DUMMYFUNCTION("GOOGLETRANSLATE(B325,""en"",""ar"")"),"خطوات")</f>
        <v>خطوات</v>
      </c>
      <c r="Q325" s="4" t="str">
        <f>IFERROR(__xludf.DUMMYFUNCTION("GOOGLETRANSLATE(B325,""en"",""mr"")"),"पायऱ्या")</f>
        <v>पायऱ्या</v>
      </c>
      <c r="R325" s="4" t="str">
        <f>IFERROR(__xludf.DUMMYFUNCTION("GOOGLETRANSLATE(B325,""en"",""gu"")"),"પગલાં")</f>
        <v>પગલાં</v>
      </c>
      <c r="S325" s="4" t="str">
        <f>IFERROR(__xludf.DUMMYFUNCTION("GOOGLETRANSLATE(B325,""en"",""bn"")"),"ধাপ")</f>
        <v>ধাপ</v>
      </c>
      <c r="T325" s="4" t="str">
        <f>IFERROR(__xludf.DUMMYFUNCTION("GOOGLETRANSLATE(B325,""en"",""pa"")"),"ਕਦਮ")</f>
        <v>ਕਦਮ</v>
      </c>
      <c r="U325" s="4" t="str">
        <f>IFERROR(__xludf.DUMMYFUNCTION("GOOGLETRANSLATE(B325,""en"",""te"")"),"దశలు")</f>
        <v>దశలు</v>
      </c>
      <c r="V325" s="4" t="str">
        <f>IFERROR(__xludf.DUMMYFUNCTION("GOOGLETRANSLATE(B325,""en"",""kn"")"),"ಹಂತಗಳು")</f>
        <v>ಹಂತಗಳು</v>
      </c>
      <c r="W325" s="4" t="str">
        <f>IFERROR(__xludf.DUMMYFUNCTION("GOOGLETRANSLATE(B325,""en"",""ml"")"),"പടികൾ")</f>
        <v>പടികൾ</v>
      </c>
      <c r="X325" s="4" t="str">
        <f>IFERROR(__xludf.DUMMYFUNCTION("GOOGLETRANSLATE(B325,""en"",""th"")"),"ขั้นตอน")</f>
        <v>ขั้นตอน</v>
      </c>
      <c r="Y325" s="4" t="str">
        <f>IFERROR(__xludf.DUMMYFUNCTION("GOOGLETRANSLATE(B325,""en"",""ko"")"),"단계")</f>
        <v>단계</v>
      </c>
      <c r="Z325" s="4" t="str">
        <f>IFERROR(__xludf.DUMMYFUNCTION("GOOGLETRANSLATE(B325,""en"",""zh"")"),"步骤")</f>
        <v>步骤</v>
      </c>
      <c r="AA325" s="4" t="str">
        <f>IFERROR(__xludf.DUMMYFUNCTION("GOOGLETRANSLATE(B325,""en"",""zh-TW"")"),"步驟")</f>
        <v>步驟</v>
      </c>
      <c r="AB325" s="4" t="str">
        <f>IFERROR(__xludf.DUMMYFUNCTION("GOOGLETRANSLATE(B325,""en"",""ja"")"),"手順")</f>
        <v>手順</v>
      </c>
      <c r="AC325" s="4" t="str">
        <f>IFERROR(__xludf.DUMMYFUNCTION("GOOGLETRANSLATE(B325,""en"",""bg"")"),"стъпки")</f>
        <v>стъпки</v>
      </c>
      <c r="AD325" s="4" t="str">
        <f>IFERROR(__xludf.DUMMYFUNCTION("GOOGLETRANSLATE(B325,""en"",""cs"")"),"Kroky")</f>
        <v>Kroky</v>
      </c>
      <c r="AE325" s="4" t="str">
        <f>IFERROR(__xludf.DUMMYFUNCTION("GOOGLETRANSLATE(B325,""en"",""da"")"),"Trin")</f>
        <v>Trin</v>
      </c>
      <c r="AF325" s="4" t="str">
        <f>IFERROR(__xludf.DUMMYFUNCTION("GOOGLETRANSLATE(B325,""en"",""el"")"),"Βήματα")</f>
        <v>Βήματα</v>
      </c>
      <c r="AG325" s="4" t="str">
        <f>IFERROR(__xludf.DUMMYFUNCTION("GOOGLETRANSLATE(B325,""en"",""et"")"),"Sammud")</f>
        <v>Sammud</v>
      </c>
      <c r="AH325" s="4" t="str">
        <f>IFERROR(__xludf.DUMMYFUNCTION("GOOGLETRANSLATE(B325,""en"",""fi"")"),"Vaiheet")</f>
        <v>Vaiheet</v>
      </c>
      <c r="AI325" s="4" t="str">
        <f>IFERROR(__xludf.DUMMYFUNCTION("GOOGLETRANSLATE(B325,""en"",""hr"")"),"Koraci")</f>
        <v>Koraci</v>
      </c>
      <c r="AJ325" s="4" t="str">
        <f>IFERROR(__xludf.DUMMYFUNCTION("GOOGLETRANSLATE(B325,""en"",""hu"")"),"Lépések")</f>
        <v>Lépések</v>
      </c>
      <c r="AK325" s="4" t="str">
        <f>IFERROR(__xludf.DUMMYFUNCTION("GOOGLETRANSLATE(B325,""en"",""hy"")"),"Քայլեր")</f>
        <v>Քայլեր</v>
      </c>
      <c r="AL325" s="4" t="str">
        <f>IFERROR(__xludf.DUMMYFUNCTION("GOOGLETRANSLATE(B325,""en"",""ca"")"),"Passos")</f>
        <v>Passos</v>
      </c>
      <c r="AM325" s="4" t="str">
        <f>IFERROR(__xludf.DUMMYFUNCTION("GOOGLETRANSLATE(B325,""en"",""nl"")"),"Stappen")</f>
        <v>Stappen</v>
      </c>
      <c r="AN325" s="4" t="str">
        <f>IFERROR(__xludf.DUMMYFUNCTION("GOOGLETRANSLATE(B325,""en"",""he"")"),"שלבים")</f>
        <v>שלבים</v>
      </c>
      <c r="AO325" s="4" t="str">
        <f>IFERROR(__xludf.DUMMYFUNCTION("GOOGLETRANSLATE(B325,""en"",""is"")"),"Skref")</f>
        <v>Skref</v>
      </c>
      <c r="AP325" s="4" t="str">
        <f>IFERROR(__xludf.DUMMYFUNCTION("GOOGLETRANSLATE(B325,""en"",""no"")"),"Trinn")</f>
        <v>Trinn</v>
      </c>
      <c r="AQ325" s="4" t="str">
        <f>IFERROR(__xludf.DUMMYFUNCTION("GOOGLETRANSLATE(B325,""en"",""fa"")"),"مراحل")</f>
        <v>مراحل</v>
      </c>
      <c r="AR325" s="4" t="str">
        <f>IFERROR(__xludf.DUMMYFUNCTION("GOOGLETRANSLATE(B325,""en"",""pl"")"),"Kroki")</f>
        <v>Kroki</v>
      </c>
      <c r="AS325" s="4" t="str">
        <f>IFERROR(__xludf.DUMMYFUNCTION("GOOGLETRANSLATE(B325,""en"",""sv"")"),"Steg")</f>
        <v>Steg</v>
      </c>
      <c r="AT325" s="4" t="str">
        <f>IFERROR(__xludf.DUMMYFUNCTION("GOOGLETRANSLATE(B325,""en"",""uk"")"),"кроки")</f>
        <v>кроки</v>
      </c>
      <c r="AU325" s="4" t="str">
        <f>IFERROR(__xludf.DUMMYFUNCTION("GOOGLETRANSLATE(B325,""en"",""zu"")"),"Izinyathelo")</f>
        <v>Izinyathelo</v>
      </c>
      <c r="AV325" s="4" t="str">
        <f>IFERROR(__xludf.DUMMYFUNCTION("GOOGLETRANSLATE(B325,""en"",""sr"")"),"Степс")</f>
        <v>Степс</v>
      </c>
    </row>
    <row r="326">
      <c r="A326" s="3" t="s">
        <v>654</v>
      </c>
      <c r="B326" s="3" t="s">
        <v>495</v>
      </c>
      <c r="C326" s="4" t="str">
        <f>IFERROR(__xludf.DUMMYFUNCTION("GOOGLETRANSLATE(B326,""en"",""ta"")"),"தூரம்")</f>
        <v>தூரம்</v>
      </c>
      <c r="D326" s="4" t="str">
        <f>IFERROR(__xludf.DUMMYFUNCTION("GOOGLETRANSLATE(B326,""en"",""hi"")"),"दूरी")</f>
        <v>दूरी</v>
      </c>
      <c r="E326" s="4" t="str">
        <f>IFERROR(__xludf.DUMMYFUNCTION("GOOGLETRANSLATE(B326,""en"",""id"")"),"Jarak")</f>
        <v>Jarak</v>
      </c>
      <c r="F326" s="4" t="str">
        <f>IFERROR(__xludf.DUMMYFUNCTION("GOOGLETRANSLATE(B326,""en"",""ms"")"),"Jarak")</f>
        <v>Jarak</v>
      </c>
      <c r="G326" s="4" t="str">
        <f>IFERROR(__xludf.DUMMYFUNCTION("GOOGLETRANSLATE(B326,""en"",""de"")"),"Distanz")</f>
        <v>Distanz</v>
      </c>
      <c r="H326" s="4" t="str">
        <f>IFERROR(__xludf.DUMMYFUNCTION("GOOGLETRANSLATE(B326,""en"",""es"")"),"Distancia")</f>
        <v>Distancia</v>
      </c>
      <c r="I326" s="4" t="str">
        <f>IFERROR(__xludf.DUMMYFUNCTION("GOOGLETRANSLATE(B326,""en"",""fr"")"),"Distance")</f>
        <v>Distance</v>
      </c>
      <c r="J326" s="4" t="str">
        <f>IFERROR(__xludf.DUMMYFUNCTION("GOOGLETRANSLATE(B326,""en"",""it"")"),"Distanza")</f>
        <v>Distanza</v>
      </c>
      <c r="K326" s="4" t="str">
        <f>IFERROR(__xludf.DUMMYFUNCTION("GOOGLETRANSLATE(B326,""en"",""pt"")"),"Distância")</f>
        <v>Distância</v>
      </c>
      <c r="L326" s="4" t="str">
        <f>IFERROR(__xludf.DUMMYFUNCTION("GOOGLETRANSLATE(B326,""en"",""ro"")"),"Distanţă")</f>
        <v>Distanţă</v>
      </c>
      <c r="M326" s="4" t="str">
        <f>IFERROR(__xludf.DUMMYFUNCTION("GOOGLETRANSLATE(B326,""en"",""vi"")"),"Khoảng cách")</f>
        <v>Khoảng cách</v>
      </c>
      <c r="N326" s="4" t="str">
        <f>IFERROR(__xludf.DUMMYFUNCTION("GOOGLETRANSLATE(B326,""en"",""ru"")"),"Расстояние")</f>
        <v>Расстояние</v>
      </c>
      <c r="O326" s="4" t="str">
        <f>IFERROR(__xludf.DUMMYFUNCTION("GOOGLETRANSLATE(B326,""en"",""tr"")"),"Mesafe")</f>
        <v>Mesafe</v>
      </c>
      <c r="P326" s="4" t="str">
        <f>IFERROR(__xludf.DUMMYFUNCTION("GOOGLETRANSLATE(B326,""en"",""ar"")"),"مسافة")</f>
        <v>مسافة</v>
      </c>
      <c r="Q326" s="4" t="str">
        <f>IFERROR(__xludf.DUMMYFUNCTION("GOOGLETRANSLATE(B326,""en"",""mr"")"),"अंतर")</f>
        <v>अंतर</v>
      </c>
      <c r="R326" s="4" t="str">
        <f>IFERROR(__xludf.DUMMYFUNCTION("GOOGLETRANSLATE(B326,""en"",""gu"")"),"અંતર")</f>
        <v>અંતર</v>
      </c>
      <c r="S326" s="4" t="str">
        <f>IFERROR(__xludf.DUMMYFUNCTION("GOOGLETRANSLATE(B326,""en"",""bn"")"),"দূরত্ব")</f>
        <v>দূরত্ব</v>
      </c>
      <c r="T326" s="4" t="str">
        <f>IFERROR(__xludf.DUMMYFUNCTION("GOOGLETRANSLATE(B326,""en"",""pa"")"),"ਦੂਰੀ")</f>
        <v>ਦੂਰੀ</v>
      </c>
      <c r="U326" s="4" t="str">
        <f>IFERROR(__xludf.DUMMYFUNCTION("GOOGLETRANSLATE(B326,""en"",""te"")"),"దూరం")</f>
        <v>దూరం</v>
      </c>
      <c r="V326" s="4" t="str">
        <f>IFERROR(__xludf.DUMMYFUNCTION("GOOGLETRANSLATE(B326,""en"",""kn"")"),"ದೂರ")</f>
        <v>ದೂರ</v>
      </c>
      <c r="W326" s="4" t="str">
        <f>IFERROR(__xludf.DUMMYFUNCTION("GOOGLETRANSLATE(B326,""en"",""ml"")"),"ദൂരം")</f>
        <v>ദൂരം</v>
      </c>
      <c r="X326" s="4" t="str">
        <f>IFERROR(__xludf.DUMMYFUNCTION("GOOGLETRANSLATE(B326,""en"",""th"")"),"ระยะทาง")</f>
        <v>ระยะทาง</v>
      </c>
      <c r="Y326" s="4" t="str">
        <f>IFERROR(__xludf.DUMMYFUNCTION("GOOGLETRANSLATE(B326,""en"",""ko"")"),"거리")</f>
        <v>거리</v>
      </c>
      <c r="Z326" s="4" t="str">
        <f>IFERROR(__xludf.DUMMYFUNCTION("GOOGLETRANSLATE(B326,""en"",""zh"")"),"距离")</f>
        <v>距离</v>
      </c>
      <c r="AA326" s="4" t="str">
        <f>IFERROR(__xludf.DUMMYFUNCTION("GOOGLETRANSLATE(B326,""en"",""zh-TW"")"),"距離")</f>
        <v>距離</v>
      </c>
      <c r="AB326" s="4" t="str">
        <f>IFERROR(__xludf.DUMMYFUNCTION("GOOGLETRANSLATE(B326,""en"",""ja"")"),"距離")</f>
        <v>距離</v>
      </c>
      <c r="AC326" s="4" t="str">
        <f>IFERROR(__xludf.DUMMYFUNCTION("GOOGLETRANSLATE(B326,""en"",""bg"")"),"Разстояние")</f>
        <v>Разстояние</v>
      </c>
      <c r="AD326" s="4" t="str">
        <f>IFERROR(__xludf.DUMMYFUNCTION("GOOGLETRANSLATE(B326,""en"",""cs"")"),"Vzdálenost")</f>
        <v>Vzdálenost</v>
      </c>
      <c r="AE326" s="4" t="str">
        <f>IFERROR(__xludf.DUMMYFUNCTION("GOOGLETRANSLATE(B326,""en"",""da"")"),"Afstand")</f>
        <v>Afstand</v>
      </c>
      <c r="AF326" s="4" t="str">
        <f>IFERROR(__xludf.DUMMYFUNCTION("GOOGLETRANSLATE(B326,""en"",""el"")"),"Απόσταση")</f>
        <v>Απόσταση</v>
      </c>
      <c r="AG326" s="4" t="str">
        <f>IFERROR(__xludf.DUMMYFUNCTION("GOOGLETRANSLATE(B326,""en"",""et"")"),"Kaugus")</f>
        <v>Kaugus</v>
      </c>
      <c r="AH326" s="4" t="str">
        <f>IFERROR(__xludf.DUMMYFUNCTION("GOOGLETRANSLATE(B326,""en"",""fi"")"),"Etäisyys")</f>
        <v>Etäisyys</v>
      </c>
      <c r="AI326" s="4" t="str">
        <f>IFERROR(__xludf.DUMMYFUNCTION("GOOGLETRANSLATE(B326,""en"",""hr"")"),"Udaljenost")</f>
        <v>Udaljenost</v>
      </c>
      <c r="AJ326" s="4" t="str">
        <f>IFERROR(__xludf.DUMMYFUNCTION("GOOGLETRANSLATE(B326,""en"",""hu"")"),"Távolság")</f>
        <v>Távolság</v>
      </c>
      <c r="AK326" s="4" t="str">
        <f>IFERROR(__xludf.DUMMYFUNCTION("GOOGLETRANSLATE(B326,""en"",""hy"")"),"Հեռավորությունը")</f>
        <v>Հեռավորությունը</v>
      </c>
      <c r="AL326" s="4" t="str">
        <f>IFERROR(__xludf.DUMMYFUNCTION("GOOGLETRANSLATE(B326,""en"",""ca"")"),"Distància")</f>
        <v>Distància</v>
      </c>
      <c r="AM326" s="4" t="str">
        <f>IFERROR(__xludf.DUMMYFUNCTION("GOOGLETRANSLATE(B326,""en"",""nl"")"),"Afstand")</f>
        <v>Afstand</v>
      </c>
      <c r="AN326" s="4" t="str">
        <f>IFERROR(__xludf.DUMMYFUNCTION("GOOGLETRANSLATE(B326,""en"",""he"")"),"מֶרְחָק")</f>
        <v>מֶרְחָק</v>
      </c>
      <c r="AO326" s="4" t="str">
        <f>IFERROR(__xludf.DUMMYFUNCTION("GOOGLETRANSLATE(B326,""en"",""is"")"),"Fjarlægð")</f>
        <v>Fjarlægð</v>
      </c>
      <c r="AP326" s="4" t="str">
        <f>IFERROR(__xludf.DUMMYFUNCTION("GOOGLETRANSLATE(B326,""en"",""no"")"),"Avstand")</f>
        <v>Avstand</v>
      </c>
      <c r="AQ326" s="4" t="str">
        <f>IFERROR(__xludf.DUMMYFUNCTION("GOOGLETRANSLATE(B326,""en"",""fa"")"),"فاصله")</f>
        <v>فاصله</v>
      </c>
      <c r="AR326" s="4" t="str">
        <f>IFERROR(__xludf.DUMMYFUNCTION("GOOGLETRANSLATE(B326,""en"",""pl"")"),"Dystans")</f>
        <v>Dystans</v>
      </c>
      <c r="AS326" s="4" t="str">
        <f>IFERROR(__xludf.DUMMYFUNCTION("GOOGLETRANSLATE(B326,""en"",""sv"")"),"Avstånd")</f>
        <v>Avstånd</v>
      </c>
      <c r="AT326" s="4" t="str">
        <f>IFERROR(__xludf.DUMMYFUNCTION("GOOGLETRANSLATE(B326,""en"",""uk"")"),"Відстань")</f>
        <v>Відстань</v>
      </c>
      <c r="AU326" s="4" t="str">
        <f>IFERROR(__xludf.DUMMYFUNCTION("GOOGLETRANSLATE(B326,""en"",""zu"")"),"Ibanga")</f>
        <v>Ibanga</v>
      </c>
      <c r="AV326" s="4" t="str">
        <f>IFERROR(__xludf.DUMMYFUNCTION("GOOGLETRANSLATE(B326,""en"",""sr"")"),"Удаљеност")</f>
        <v>Удаљеност</v>
      </c>
    </row>
    <row r="327">
      <c r="A327" s="3" t="s">
        <v>655</v>
      </c>
      <c r="B327" s="3" t="s">
        <v>553</v>
      </c>
      <c r="C327" s="4" t="str">
        <f>IFERROR(__xludf.DUMMYFUNCTION("GOOGLETRANSLATE(B327,""en"",""ta"")"),"கி.மீ")</f>
        <v>கி.மீ</v>
      </c>
      <c r="D327" s="4" t="str">
        <f>IFERROR(__xludf.DUMMYFUNCTION("GOOGLETRANSLATE(B327,""en"",""hi"")"),"किमी")</f>
        <v>किमी</v>
      </c>
      <c r="E327" s="4" t="str">
        <f>IFERROR(__xludf.DUMMYFUNCTION("GOOGLETRANSLATE(B327,""en"",""id"")"),"kilometer")</f>
        <v>kilometer</v>
      </c>
      <c r="F327" s="4" t="str">
        <f>IFERROR(__xludf.DUMMYFUNCTION("GOOGLETRANSLATE(B327,""en"",""ms"")"),"km")</f>
        <v>km</v>
      </c>
      <c r="G327" s="4" t="str">
        <f>IFERROR(__xludf.DUMMYFUNCTION("GOOGLETRANSLATE(B327,""en"",""de"")"),"km")</f>
        <v>km</v>
      </c>
      <c r="H327" s="4" t="str">
        <f>IFERROR(__xludf.DUMMYFUNCTION("GOOGLETRANSLATE(B327,""en"",""es"")"),"kilómetros")</f>
        <v>kilómetros</v>
      </c>
      <c r="I327" s="4" t="str">
        <f>IFERROR(__xludf.DUMMYFUNCTION("GOOGLETRANSLATE(B327,""en"",""fr"")"),"km")</f>
        <v>km</v>
      </c>
      <c r="J327" s="4" t="str">
        <f>IFERROR(__xludf.DUMMYFUNCTION("GOOGLETRANSLATE(B327,""en"",""it"")"),"chilometri")</f>
        <v>chilometri</v>
      </c>
      <c r="K327" s="4" t="str">
        <f>IFERROR(__xludf.DUMMYFUNCTION("GOOGLETRANSLATE(B327,""en"",""pt"")"),"quilômetros")</f>
        <v>quilômetros</v>
      </c>
      <c r="L327" s="4" t="str">
        <f>IFERROR(__xludf.DUMMYFUNCTION("GOOGLETRANSLATE(B327,""en"",""ro"")"),"km")</f>
        <v>km</v>
      </c>
      <c r="M327" s="4" t="str">
        <f>IFERROR(__xludf.DUMMYFUNCTION("GOOGLETRANSLATE(B327,""en"",""vi"")"),"km")</f>
        <v>km</v>
      </c>
      <c r="N327" s="4" t="str">
        <f>IFERROR(__xludf.DUMMYFUNCTION("GOOGLETRANSLATE(B327,""en"",""ru"")"),"км")</f>
        <v>км</v>
      </c>
      <c r="O327" s="4" t="str">
        <f>IFERROR(__xludf.DUMMYFUNCTION("GOOGLETRANSLATE(B327,""en"",""tr"")"),"km")</f>
        <v>km</v>
      </c>
      <c r="P327" s="4" t="str">
        <f>IFERROR(__xludf.DUMMYFUNCTION("GOOGLETRANSLATE(B327,""en"",""ar"")"),"كم")</f>
        <v>كم</v>
      </c>
      <c r="Q327" s="4" t="str">
        <f>IFERROR(__xludf.DUMMYFUNCTION("GOOGLETRANSLATE(B327,""en"",""mr"")"),"किमी")</f>
        <v>किमी</v>
      </c>
      <c r="R327" s="4" t="str">
        <f>IFERROR(__xludf.DUMMYFUNCTION("GOOGLETRANSLATE(B327,""en"",""gu"")"),"કિમી")</f>
        <v>કિમી</v>
      </c>
      <c r="S327" s="4" t="str">
        <f>IFERROR(__xludf.DUMMYFUNCTION("GOOGLETRANSLATE(B327,""en"",""bn"")"),"কিমি")</f>
        <v>কিমি</v>
      </c>
      <c r="T327" s="4" t="str">
        <f>IFERROR(__xludf.DUMMYFUNCTION("GOOGLETRANSLATE(B327,""en"",""pa"")"),"ਕਿਲੋਮੀਟਰ")</f>
        <v>ਕਿਲੋਮੀਟਰ</v>
      </c>
      <c r="U327" s="4" t="str">
        <f>IFERROR(__xludf.DUMMYFUNCTION("GOOGLETRANSLATE(B327,""en"",""te"")"),"కి.మీ")</f>
        <v>కి.మీ</v>
      </c>
      <c r="V327" s="4" t="str">
        <f>IFERROR(__xludf.DUMMYFUNCTION("GOOGLETRANSLATE(B327,""en"",""kn"")"),"ಕಿ.ಮೀ")</f>
        <v>ಕಿ.ಮೀ</v>
      </c>
      <c r="W327" s="4" t="str">
        <f>IFERROR(__xludf.DUMMYFUNCTION("GOOGLETRANSLATE(B327,""en"",""ml"")"),"കി.മീ")</f>
        <v>കി.മീ</v>
      </c>
      <c r="X327" s="4" t="str">
        <f>IFERROR(__xludf.DUMMYFUNCTION("GOOGLETRANSLATE(B327,""en"",""th"")"),"กม.")</f>
        <v>กม.</v>
      </c>
      <c r="Y327" s="4" t="str">
        <f>IFERROR(__xludf.DUMMYFUNCTION("GOOGLETRANSLATE(B327,""en"",""ko"")"),"킬로미터")</f>
        <v>킬로미터</v>
      </c>
      <c r="Z327" s="4" t="str">
        <f>IFERROR(__xludf.DUMMYFUNCTION("GOOGLETRANSLATE(B327,""en"",""zh"")"),"公里")</f>
        <v>公里</v>
      </c>
      <c r="AA327" s="4" t="str">
        <f>IFERROR(__xludf.DUMMYFUNCTION("GOOGLETRANSLATE(B327,""en"",""zh-TW"")"),"公里")</f>
        <v>公里</v>
      </c>
      <c r="AB327" s="4" t="str">
        <f>IFERROR(__xludf.DUMMYFUNCTION("GOOGLETRANSLATE(B327,""en"",""ja"")"),"キロ")</f>
        <v>キロ</v>
      </c>
      <c r="AC327" s="4" t="str">
        <f>IFERROR(__xludf.DUMMYFUNCTION("GOOGLETRANSLATE(B327,""en"",""bg"")"),"км")</f>
        <v>км</v>
      </c>
      <c r="AD327" s="4" t="str">
        <f>IFERROR(__xludf.DUMMYFUNCTION("GOOGLETRANSLATE(B327,""en"",""cs"")"),"km")</f>
        <v>km</v>
      </c>
      <c r="AE327" s="4" t="str">
        <f>IFERROR(__xludf.DUMMYFUNCTION("GOOGLETRANSLATE(B327,""en"",""da"")"),"km")</f>
        <v>km</v>
      </c>
      <c r="AF327" s="4" t="str">
        <f>IFERROR(__xludf.DUMMYFUNCTION("GOOGLETRANSLATE(B327,""en"",""el"")"),"χλμ")</f>
        <v>χλμ</v>
      </c>
      <c r="AG327" s="4" t="str">
        <f>IFERROR(__xludf.DUMMYFUNCTION("GOOGLETRANSLATE(B327,""en"",""et"")"),"km")</f>
        <v>km</v>
      </c>
      <c r="AH327" s="4" t="str">
        <f>IFERROR(__xludf.DUMMYFUNCTION("GOOGLETRANSLATE(B327,""en"",""fi"")"),"km")</f>
        <v>km</v>
      </c>
      <c r="AI327" s="4" t="str">
        <f>IFERROR(__xludf.DUMMYFUNCTION("GOOGLETRANSLATE(B327,""en"",""hr"")"),"km")</f>
        <v>km</v>
      </c>
      <c r="AJ327" s="4" t="str">
        <f>IFERROR(__xludf.DUMMYFUNCTION("GOOGLETRANSLATE(B327,""en"",""hu"")"),"km")</f>
        <v>km</v>
      </c>
      <c r="AK327" s="4" t="str">
        <f>IFERROR(__xludf.DUMMYFUNCTION("GOOGLETRANSLATE(B327,""en"",""hy"")"),"կմ")</f>
        <v>կմ</v>
      </c>
      <c r="AL327" s="4" t="str">
        <f>IFERROR(__xludf.DUMMYFUNCTION("GOOGLETRANSLATE(B327,""en"",""ca"")"),"km")</f>
        <v>km</v>
      </c>
      <c r="AM327" s="4" t="str">
        <f>IFERROR(__xludf.DUMMYFUNCTION("GOOGLETRANSLATE(B327,""en"",""nl"")"),"km")</f>
        <v>km</v>
      </c>
      <c r="AN327" s="4" t="str">
        <f>IFERROR(__xludf.DUMMYFUNCTION("GOOGLETRANSLATE(B327,""en"",""he"")"),"ק""מ")</f>
        <v>ק"מ</v>
      </c>
      <c r="AO327" s="4" t="str">
        <f>IFERROR(__xludf.DUMMYFUNCTION("GOOGLETRANSLATE(B327,""en"",""is"")"),"km")</f>
        <v>km</v>
      </c>
      <c r="AP327" s="4" t="str">
        <f>IFERROR(__xludf.DUMMYFUNCTION("GOOGLETRANSLATE(B327,""en"",""no"")"),"km")</f>
        <v>km</v>
      </c>
      <c r="AQ327" s="4" t="str">
        <f>IFERROR(__xludf.DUMMYFUNCTION("GOOGLETRANSLATE(B327,""en"",""fa"")"),"کیلومتر")</f>
        <v>کیلومتر</v>
      </c>
      <c r="AR327" s="4" t="str">
        <f>IFERROR(__xludf.DUMMYFUNCTION("GOOGLETRANSLATE(B327,""en"",""pl"")"),"km")</f>
        <v>km</v>
      </c>
      <c r="AS327" s="4" t="str">
        <f>IFERROR(__xludf.DUMMYFUNCTION("GOOGLETRANSLATE(B327,""en"",""sv"")"),"km")</f>
        <v>km</v>
      </c>
      <c r="AT327" s="4" t="str">
        <f>IFERROR(__xludf.DUMMYFUNCTION("GOOGLETRANSLATE(B327,""en"",""uk"")"),"км")</f>
        <v>км</v>
      </c>
      <c r="AU327" s="4" t="str">
        <f>IFERROR(__xludf.DUMMYFUNCTION("GOOGLETRANSLATE(B327,""en"",""zu"")"),"km")</f>
        <v>km</v>
      </c>
      <c r="AV327" s="4" t="str">
        <f>IFERROR(__xludf.DUMMYFUNCTION("GOOGLETRANSLATE(B327,""en"",""sr"")"),"км")</f>
        <v>км</v>
      </c>
    </row>
    <row r="328">
      <c r="A328" s="3" t="s">
        <v>656</v>
      </c>
      <c r="B328" s="3" t="s">
        <v>534</v>
      </c>
      <c r="C328" s="4" t="str">
        <f>IFERROR(__xludf.DUMMYFUNCTION("GOOGLETRANSLATE(B328,""en"",""ta"")"),"படிகள்")</f>
        <v>படிகள்</v>
      </c>
      <c r="D328" s="4" t="str">
        <f>IFERROR(__xludf.DUMMYFUNCTION("GOOGLETRANSLATE(B328,""en"",""hi"")"),"कदम")</f>
        <v>कदम</v>
      </c>
      <c r="E328" s="4" t="str">
        <f>IFERROR(__xludf.DUMMYFUNCTION("GOOGLETRANSLATE(B328,""en"",""id"")"),"Tangga")</f>
        <v>Tangga</v>
      </c>
      <c r="F328" s="4" t="str">
        <f>IFERROR(__xludf.DUMMYFUNCTION("GOOGLETRANSLATE(B328,""en"",""ms"")"),"Langkah")</f>
        <v>Langkah</v>
      </c>
      <c r="G328" s="4" t="str">
        <f>IFERROR(__xludf.DUMMYFUNCTION("GOOGLETRANSLATE(B328,""en"",""de"")"),"Schritte")</f>
        <v>Schritte</v>
      </c>
      <c r="H328" s="4" t="str">
        <f>IFERROR(__xludf.DUMMYFUNCTION("GOOGLETRANSLATE(B328,""en"",""es"")"),"Pasos")</f>
        <v>Pasos</v>
      </c>
      <c r="I328" s="4" t="str">
        <f>IFERROR(__xludf.DUMMYFUNCTION("GOOGLETRANSLATE(B328,""en"",""fr"")"),"Mesures")</f>
        <v>Mesures</v>
      </c>
      <c r="J328" s="4" t="str">
        <f>IFERROR(__xludf.DUMMYFUNCTION("GOOGLETRANSLATE(B328,""en"",""it"")"),"Passi")</f>
        <v>Passi</v>
      </c>
      <c r="K328" s="4" t="str">
        <f>IFERROR(__xludf.DUMMYFUNCTION("GOOGLETRANSLATE(B328,""en"",""pt"")"),"Passos")</f>
        <v>Passos</v>
      </c>
      <c r="L328" s="4" t="str">
        <f>IFERROR(__xludf.DUMMYFUNCTION("GOOGLETRANSLATE(B328,""en"",""ro"")"),"Pași")</f>
        <v>Pași</v>
      </c>
      <c r="M328" s="4" t="str">
        <f>IFERROR(__xludf.DUMMYFUNCTION("GOOGLETRANSLATE(B328,""en"",""vi"")"),"Các bước")</f>
        <v>Các bước</v>
      </c>
      <c r="N328" s="4" t="str">
        <f>IFERROR(__xludf.DUMMYFUNCTION("GOOGLETRANSLATE(B328,""en"",""ru"")"),"Шаги")</f>
        <v>Шаги</v>
      </c>
      <c r="O328" s="4" t="str">
        <f>IFERROR(__xludf.DUMMYFUNCTION("GOOGLETRANSLATE(B328,""en"",""tr"")"),"Adımlar")</f>
        <v>Adımlar</v>
      </c>
      <c r="P328" s="4" t="str">
        <f>IFERROR(__xludf.DUMMYFUNCTION("GOOGLETRANSLATE(B328,""en"",""ar"")"),"خطوات")</f>
        <v>خطوات</v>
      </c>
      <c r="Q328" s="4" t="str">
        <f>IFERROR(__xludf.DUMMYFUNCTION("GOOGLETRANSLATE(B328,""en"",""mr"")"),"पायऱ्या")</f>
        <v>पायऱ्या</v>
      </c>
      <c r="R328" s="4" t="str">
        <f>IFERROR(__xludf.DUMMYFUNCTION("GOOGLETRANSLATE(B328,""en"",""gu"")"),"પગલાં")</f>
        <v>પગલાં</v>
      </c>
      <c r="S328" s="4" t="str">
        <f>IFERROR(__xludf.DUMMYFUNCTION("GOOGLETRANSLATE(B328,""en"",""bn"")"),"ধাপ")</f>
        <v>ধাপ</v>
      </c>
      <c r="T328" s="4" t="str">
        <f>IFERROR(__xludf.DUMMYFUNCTION("GOOGLETRANSLATE(B328,""en"",""pa"")"),"ਕਦਮ")</f>
        <v>ਕਦਮ</v>
      </c>
      <c r="U328" s="4" t="str">
        <f>IFERROR(__xludf.DUMMYFUNCTION("GOOGLETRANSLATE(B328,""en"",""te"")"),"దశలు")</f>
        <v>దశలు</v>
      </c>
      <c r="V328" s="4" t="str">
        <f>IFERROR(__xludf.DUMMYFUNCTION("GOOGLETRANSLATE(B328,""en"",""kn"")"),"ಹಂತಗಳು")</f>
        <v>ಹಂತಗಳು</v>
      </c>
      <c r="W328" s="4" t="str">
        <f>IFERROR(__xludf.DUMMYFUNCTION("GOOGLETRANSLATE(B328,""en"",""ml"")"),"പടികൾ")</f>
        <v>പടികൾ</v>
      </c>
      <c r="X328" s="4" t="str">
        <f>IFERROR(__xludf.DUMMYFUNCTION("GOOGLETRANSLATE(B328,""en"",""th"")"),"ขั้นตอน")</f>
        <v>ขั้นตอน</v>
      </c>
      <c r="Y328" s="4" t="str">
        <f>IFERROR(__xludf.DUMMYFUNCTION("GOOGLETRANSLATE(B328,""en"",""ko"")"),"단계")</f>
        <v>단계</v>
      </c>
      <c r="Z328" s="4" t="str">
        <f>IFERROR(__xludf.DUMMYFUNCTION("GOOGLETRANSLATE(B328,""en"",""zh"")"),"步骤")</f>
        <v>步骤</v>
      </c>
      <c r="AA328" s="4" t="str">
        <f>IFERROR(__xludf.DUMMYFUNCTION("GOOGLETRANSLATE(B328,""en"",""zh-TW"")"),"步驟")</f>
        <v>步驟</v>
      </c>
      <c r="AB328" s="4" t="str">
        <f>IFERROR(__xludf.DUMMYFUNCTION("GOOGLETRANSLATE(B328,""en"",""ja"")"),"手順")</f>
        <v>手順</v>
      </c>
      <c r="AC328" s="4" t="str">
        <f>IFERROR(__xludf.DUMMYFUNCTION("GOOGLETRANSLATE(B328,""en"",""bg"")"),"стъпки")</f>
        <v>стъпки</v>
      </c>
      <c r="AD328" s="4" t="str">
        <f>IFERROR(__xludf.DUMMYFUNCTION("GOOGLETRANSLATE(B328,""en"",""cs"")"),"Kroky")</f>
        <v>Kroky</v>
      </c>
      <c r="AE328" s="4" t="str">
        <f>IFERROR(__xludf.DUMMYFUNCTION("GOOGLETRANSLATE(B328,""en"",""da"")"),"Trin")</f>
        <v>Trin</v>
      </c>
      <c r="AF328" s="4" t="str">
        <f>IFERROR(__xludf.DUMMYFUNCTION("GOOGLETRANSLATE(B328,""en"",""el"")"),"Βήματα")</f>
        <v>Βήματα</v>
      </c>
      <c r="AG328" s="4" t="str">
        <f>IFERROR(__xludf.DUMMYFUNCTION("GOOGLETRANSLATE(B328,""en"",""et"")"),"Sammud")</f>
        <v>Sammud</v>
      </c>
      <c r="AH328" s="4" t="str">
        <f>IFERROR(__xludf.DUMMYFUNCTION("GOOGLETRANSLATE(B328,""en"",""fi"")"),"Vaiheet")</f>
        <v>Vaiheet</v>
      </c>
      <c r="AI328" s="4" t="str">
        <f>IFERROR(__xludf.DUMMYFUNCTION("GOOGLETRANSLATE(B328,""en"",""hr"")"),"Koraci")</f>
        <v>Koraci</v>
      </c>
      <c r="AJ328" s="4" t="str">
        <f>IFERROR(__xludf.DUMMYFUNCTION("GOOGLETRANSLATE(B328,""en"",""hu"")"),"Lépések")</f>
        <v>Lépések</v>
      </c>
      <c r="AK328" s="4" t="str">
        <f>IFERROR(__xludf.DUMMYFUNCTION("GOOGLETRANSLATE(B328,""en"",""hy"")"),"Քայլեր")</f>
        <v>Քայլեր</v>
      </c>
      <c r="AL328" s="4" t="str">
        <f>IFERROR(__xludf.DUMMYFUNCTION("GOOGLETRANSLATE(B328,""en"",""ca"")"),"Passos")</f>
        <v>Passos</v>
      </c>
      <c r="AM328" s="4" t="str">
        <f>IFERROR(__xludf.DUMMYFUNCTION("GOOGLETRANSLATE(B328,""en"",""nl"")"),"Stappen")</f>
        <v>Stappen</v>
      </c>
      <c r="AN328" s="4" t="str">
        <f>IFERROR(__xludf.DUMMYFUNCTION("GOOGLETRANSLATE(B328,""en"",""he"")"),"שלבים")</f>
        <v>שלבים</v>
      </c>
      <c r="AO328" s="4" t="str">
        <f>IFERROR(__xludf.DUMMYFUNCTION("GOOGLETRANSLATE(B328,""en"",""is"")"),"Skref")</f>
        <v>Skref</v>
      </c>
      <c r="AP328" s="4" t="str">
        <f>IFERROR(__xludf.DUMMYFUNCTION("GOOGLETRANSLATE(B328,""en"",""no"")"),"Trinn")</f>
        <v>Trinn</v>
      </c>
      <c r="AQ328" s="4" t="str">
        <f>IFERROR(__xludf.DUMMYFUNCTION("GOOGLETRANSLATE(B328,""en"",""fa"")"),"مراحل")</f>
        <v>مراحل</v>
      </c>
      <c r="AR328" s="4" t="str">
        <f>IFERROR(__xludf.DUMMYFUNCTION("GOOGLETRANSLATE(B328,""en"",""pl"")"),"Kroki")</f>
        <v>Kroki</v>
      </c>
      <c r="AS328" s="4" t="str">
        <f>IFERROR(__xludf.DUMMYFUNCTION("GOOGLETRANSLATE(B328,""en"",""sv"")"),"Steg")</f>
        <v>Steg</v>
      </c>
      <c r="AT328" s="4" t="str">
        <f>IFERROR(__xludf.DUMMYFUNCTION("GOOGLETRANSLATE(B328,""en"",""uk"")"),"кроки")</f>
        <v>кроки</v>
      </c>
      <c r="AU328" s="4" t="str">
        <f>IFERROR(__xludf.DUMMYFUNCTION("GOOGLETRANSLATE(B328,""en"",""zu"")"),"Izinyathelo")</f>
        <v>Izinyathelo</v>
      </c>
      <c r="AV328" s="4" t="str">
        <f>IFERROR(__xludf.DUMMYFUNCTION("GOOGLETRANSLATE(B328,""en"",""sr"")"),"Степс")</f>
        <v>Степс</v>
      </c>
    </row>
    <row r="329">
      <c r="A329" s="3" t="s">
        <v>657</v>
      </c>
      <c r="B329" s="3" t="s">
        <v>580</v>
      </c>
      <c r="C329" s="4" t="str">
        <f>IFERROR(__xludf.DUMMYFUNCTION("GOOGLETRANSLATE(B329,""en"",""ta"")"),"குறிப்பைச் சேர்க்கவும்")</f>
        <v>குறிப்பைச் சேர்க்கவும்</v>
      </c>
      <c r="D329" s="4" t="str">
        <f>IFERROR(__xludf.DUMMYFUNCTION("GOOGLETRANSLATE(B329,""en"",""hi"")"),"नोट जोड़े")</f>
        <v>नोट जोड़े</v>
      </c>
      <c r="E329" s="4" t="str">
        <f>IFERROR(__xludf.DUMMYFUNCTION("GOOGLETRANSLATE(B329,""en"",""id"")"),"Tambahkan Catatan")</f>
        <v>Tambahkan Catatan</v>
      </c>
      <c r="F329" s="4" t="str">
        <f>IFERROR(__xludf.DUMMYFUNCTION("GOOGLETRANSLATE(B329,""en"",""ms"")"),"Tambah Nota")</f>
        <v>Tambah Nota</v>
      </c>
      <c r="G329" s="4" t="str">
        <f>IFERROR(__xludf.DUMMYFUNCTION("GOOGLETRANSLATE(B329,""en"",""de"")"),"Notiz hinzufügen")</f>
        <v>Notiz hinzufügen</v>
      </c>
      <c r="H329" s="4" t="str">
        <f>IFERROR(__xludf.DUMMYFUNCTION("GOOGLETRANSLATE(B329,""en"",""es"")"),"Añadir nota")</f>
        <v>Añadir nota</v>
      </c>
      <c r="I329" s="4" t="str">
        <f>IFERROR(__xludf.DUMMYFUNCTION("GOOGLETRANSLATE(B329,""en"",""fr"")"),"Ajouter une note")</f>
        <v>Ajouter une note</v>
      </c>
      <c r="J329" s="4" t="str">
        <f>IFERROR(__xludf.DUMMYFUNCTION("GOOGLETRANSLATE(B329,""en"",""it"")"),"Aggiungi nota")</f>
        <v>Aggiungi nota</v>
      </c>
      <c r="K329" s="4" t="str">
        <f>IFERROR(__xludf.DUMMYFUNCTION("GOOGLETRANSLATE(B329,""en"",""pt"")"),"Adicionar nota")</f>
        <v>Adicionar nota</v>
      </c>
      <c r="L329" s="4" t="str">
        <f>IFERROR(__xludf.DUMMYFUNCTION("GOOGLETRANSLATE(B329,""en"",""ro"")"),"Adăugați o notă")</f>
        <v>Adăugați o notă</v>
      </c>
      <c r="M329" s="4" t="str">
        <f>IFERROR(__xludf.DUMMYFUNCTION("GOOGLETRANSLATE(B329,""en"",""vi"")"),"Thêm Ghi chú")</f>
        <v>Thêm Ghi chú</v>
      </c>
      <c r="N329" s="4" t="str">
        <f>IFERROR(__xludf.DUMMYFUNCTION("GOOGLETRANSLATE(B329,""en"",""ru"")"),"Добавить примечание")</f>
        <v>Добавить примечание</v>
      </c>
      <c r="O329" s="4" t="str">
        <f>IFERROR(__xludf.DUMMYFUNCTION("GOOGLETRANSLATE(B329,""en"",""tr"")"),"Not Ekle")</f>
        <v>Not Ekle</v>
      </c>
      <c r="P329" s="4" t="str">
        <f>IFERROR(__xludf.DUMMYFUNCTION("GOOGLETRANSLATE(B329,""en"",""ar"")"),"إضافة ملاحظة")</f>
        <v>إضافة ملاحظة</v>
      </c>
      <c r="Q329" s="4" t="str">
        <f>IFERROR(__xludf.DUMMYFUNCTION("GOOGLETRANSLATE(B329,""en"",""mr"")"),"टीप जोडा")</f>
        <v>टीप जोडा</v>
      </c>
      <c r="R329" s="4" t="str">
        <f>IFERROR(__xludf.DUMMYFUNCTION("GOOGLETRANSLATE(B329,""en"",""gu"")"),"નોંધ ઉમેરો")</f>
        <v>નોંધ ઉમેરો</v>
      </c>
      <c r="S329" s="4" t="str">
        <f>IFERROR(__xludf.DUMMYFUNCTION("GOOGLETRANSLATE(B329,""en"",""bn"")"),"নোট যোগ করুন")</f>
        <v>নোট যোগ করুন</v>
      </c>
      <c r="T329" s="4" t="str">
        <f>IFERROR(__xludf.DUMMYFUNCTION("GOOGLETRANSLATE(B329,""en"",""pa"")"),"ਨੋਟ ਸ਼ਾਮਲ ਕਰੋ")</f>
        <v>ਨੋਟ ਸ਼ਾਮਲ ਕਰੋ</v>
      </c>
      <c r="U329" s="4" t="str">
        <f>IFERROR(__xludf.DUMMYFUNCTION("GOOGLETRANSLATE(B329,""en"",""te"")"),"గమనికను జోడించండి")</f>
        <v>గమనికను జోడించండి</v>
      </c>
      <c r="V329" s="4" t="str">
        <f>IFERROR(__xludf.DUMMYFUNCTION("GOOGLETRANSLATE(B329,""en"",""kn"")"),"ಟಿಪ್ಪಣಿ ಸೇರಿಸಿ")</f>
        <v>ಟಿಪ್ಪಣಿ ಸೇರಿಸಿ</v>
      </c>
      <c r="W329" s="4" t="str">
        <f>IFERROR(__xludf.DUMMYFUNCTION("GOOGLETRANSLATE(B329,""en"",""ml"")"),"കുറിപ്പ് ചേർക്കുക")</f>
        <v>കുറിപ്പ് ചേർക്കുക</v>
      </c>
      <c r="X329" s="4" t="str">
        <f>IFERROR(__xludf.DUMMYFUNCTION("GOOGLETRANSLATE(B329,""en"",""th"")"),"เพิ่มหมายเหตุ")</f>
        <v>เพิ่มหมายเหตุ</v>
      </c>
      <c r="Y329" s="4" t="str">
        <f>IFERROR(__xludf.DUMMYFUNCTION("GOOGLETRANSLATE(B329,""en"",""ko"")"),"메모 추가")</f>
        <v>메모 추가</v>
      </c>
      <c r="Z329" s="4" t="str">
        <f>IFERROR(__xludf.DUMMYFUNCTION("GOOGLETRANSLATE(B329,""en"",""zh"")"),"添加注释")</f>
        <v>添加注释</v>
      </c>
      <c r="AA329" s="4" t="str">
        <f>IFERROR(__xludf.DUMMYFUNCTION("GOOGLETRANSLATE(B329,""en"",""zh-TW"")"),"新增註釋")</f>
        <v>新增註釋</v>
      </c>
      <c r="AB329" s="4" t="str">
        <f>IFERROR(__xludf.DUMMYFUNCTION("GOOGLETRANSLATE(B329,""en"",""ja"")"),"メモを追加")</f>
        <v>メモを追加</v>
      </c>
      <c r="AC329" s="4" t="str">
        <f>IFERROR(__xludf.DUMMYFUNCTION("GOOGLETRANSLATE(B329,""en"",""bg"")"),"Добавете бележка")</f>
        <v>Добавете бележка</v>
      </c>
      <c r="AD329" s="4" t="str">
        <f>IFERROR(__xludf.DUMMYFUNCTION("GOOGLETRANSLATE(B329,""en"",""cs"")"),"Přidat poznámku")</f>
        <v>Přidat poznámku</v>
      </c>
      <c r="AE329" s="4" t="str">
        <f>IFERROR(__xludf.DUMMYFUNCTION("GOOGLETRANSLATE(B329,""en"",""da"")"),"Tilføj note")</f>
        <v>Tilføj note</v>
      </c>
      <c r="AF329" s="4" t="str">
        <f>IFERROR(__xludf.DUMMYFUNCTION("GOOGLETRANSLATE(B329,""en"",""el"")"),"Προσθήκη Σημείωσης")</f>
        <v>Προσθήκη Σημείωσης</v>
      </c>
      <c r="AG329" s="4" t="str">
        <f>IFERROR(__xludf.DUMMYFUNCTION("GOOGLETRANSLATE(B329,""en"",""et"")"),"Lisa märkus")</f>
        <v>Lisa märkus</v>
      </c>
      <c r="AH329" s="4" t="str">
        <f>IFERROR(__xludf.DUMMYFUNCTION("GOOGLETRANSLATE(B329,""en"",""fi"")"),"Lisää huomautus")</f>
        <v>Lisää huomautus</v>
      </c>
      <c r="AI329" s="4" t="str">
        <f>IFERROR(__xludf.DUMMYFUNCTION("GOOGLETRANSLATE(B329,""en"",""hr"")"),"Dodaj bilješku")</f>
        <v>Dodaj bilješku</v>
      </c>
      <c r="AJ329" s="4" t="str">
        <f>IFERROR(__xludf.DUMMYFUNCTION("GOOGLETRANSLATE(B329,""en"",""hu"")"),"Megjegyzés hozzáadása")</f>
        <v>Megjegyzés hozzáadása</v>
      </c>
      <c r="AK329" s="4" t="str">
        <f>IFERROR(__xludf.DUMMYFUNCTION("GOOGLETRANSLATE(B329,""en"",""hy"")"),"Ավելացնել նշում")</f>
        <v>Ավելացնել նշում</v>
      </c>
      <c r="AL329" s="4" t="str">
        <f>IFERROR(__xludf.DUMMYFUNCTION("GOOGLETRANSLATE(B329,""en"",""ca"")"),"Afegeix una nota")</f>
        <v>Afegeix una nota</v>
      </c>
      <c r="AM329" s="4" t="str">
        <f>IFERROR(__xludf.DUMMYFUNCTION("GOOGLETRANSLATE(B329,""en"",""nl"")"),"Notitie toevoegen")</f>
        <v>Notitie toevoegen</v>
      </c>
      <c r="AN329" s="4" t="str">
        <f>IFERROR(__xludf.DUMMYFUNCTION("GOOGLETRANSLATE(B329,""en"",""he"")"),"הוסף הערה")</f>
        <v>הוסף הערה</v>
      </c>
      <c r="AO329" s="4" t="str">
        <f>IFERROR(__xludf.DUMMYFUNCTION("GOOGLETRANSLATE(B329,""en"",""is"")"),"Bæta við athugasemd")</f>
        <v>Bæta við athugasemd</v>
      </c>
      <c r="AP329" s="4" t="str">
        <f>IFERROR(__xludf.DUMMYFUNCTION("GOOGLETRANSLATE(B329,""en"",""no"")"),"Legg til notat")</f>
        <v>Legg til notat</v>
      </c>
      <c r="AQ329" s="4" t="str">
        <f>IFERROR(__xludf.DUMMYFUNCTION("GOOGLETRANSLATE(B329,""en"",""fa"")"),"اضافه کردن یادداشت")</f>
        <v>اضافه کردن یادداشت</v>
      </c>
      <c r="AR329" s="4" t="str">
        <f>IFERROR(__xludf.DUMMYFUNCTION("GOOGLETRANSLATE(B329,""en"",""pl"")"),"Dodaj notatkę")</f>
        <v>Dodaj notatkę</v>
      </c>
      <c r="AS329" s="4" t="str">
        <f>IFERROR(__xludf.DUMMYFUNCTION("GOOGLETRANSLATE(B329,""en"",""sv"")"),"Lägg till anteckning")</f>
        <v>Lägg till anteckning</v>
      </c>
      <c r="AT329" s="4" t="str">
        <f>IFERROR(__xludf.DUMMYFUNCTION("GOOGLETRANSLATE(B329,""en"",""uk"")"),"Додати примітку")</f>
        <v>Додати примітку</v>
      </c>
      <c r="AU329" s="4" t="str">
        <f>IFERROR(__xludf.DUMMYFUNCTION("GOOGLETRANSLATE(B329,""en"",""zu"")"),"Engeza Inothi")</f>
        <v>Engeza Inothi</v>
      </c>
      <c r="AV329" s="4" t="str">
        <f>IFERROR(__xludf.DUMMYFUNCTION("GOOGLETRANSLATE(B329,""en"",""sr"")"),"Додај напомену")</f>
        <v>Додај напомену</v>
      </c>
    </row>
    <row r="330">
      <c r="A330" s="3" t="s">
        <v>658</v>
      </c>
      <c r="B330" s="3" t="s">
        <v>312</v>
      </c>
      <c r="C330" s="4" t="str">
        <f>IFERROR(__xludf.DUMMYFUNCTION("GOOGLETRANSLATE(B330,""en"",""ta"")"),"கேமரா")</f>
        <v>கேமரா</v>
      </c>
      <c r="D330" s="4" t="str">
        <f>IFERROR(__xludf.DUMMYFUNCTION("GOOGLETRANSLATE(B330,""en"",""hi"")"),"कैमरा")</f>
        <v>कैमरा</v>
      </c>
      <c r="E330" s="4" t="str">
        <f>IFERROR(__xludf.DUMMYFUNCTION("GOOGLETRANSLATE(B330,""en"",""id"")"),"Kamera")</f>
        <v>Kamera</v>
      </c>
      <c r="F330" s="4" t="str">
        <f>IFERROR(__xludf.DUMMYFUNCTION("GOOGLETRANSLATE(B330,""en"",""ms"")"),"Kamera")</f>
        <v>Kamera</v>
      </c>
      <c r="G330" s="4" t="str">
        <f>IFERROR(__xludf.DUMMYFUNCTION("GOOGLETRANSLATE(B330,""en"",""de"")"),"Kamera")</f>
        <v>Kamera</v>
      </c>
      <c r="H330" s="4" t="str">
        <f>IFERROR(__xludf.DUMMYFUNCTION("GOOGLETRANSLATE(B330,""en"",""es"")"),"Cámara")</f>
        <v>Cámara</v>
      </c>
      <c r="I330" s="4" t="str">
        <f>IFERROR(__xludf.DUMMYFUNCTION("GOOGLETRANSLATE(B330,""en"",""fr"")"),"Caméra")</f>
        <v>Caméra</v>
      </c>
      <c r="J330" s="4" t="str">
        <f>IFERROR(__xludf.DUMMYFUNCTION("GOOGLETRANSLATE(B330,""en"",""it"")"),"Telecamera")</f>
        <v>Telecamera</v>
      </c>
      <c r="K330" s="4" t="str">
        <f>IFERROR(__xludf.DUMMYFUNCTION("GOOGLETRANSLATE(B330,""en"",""pt"")"),"Câmera")</f>
        <v>Câmera</v>
      </c>
      <c r="L330" s="4" t="str">
        <f>IFERROR(__xludf.DUMMYFUNCTION("GOOGLETRANSLATE(B330,""en"",""ro"")"),"Camera foto")</f>
        <v>Camera foto</v>
      </c>
      <c r="M330" s="4" t="str">
        <f>IFERROR(__xludf.DUMMYFUNCTION("GOOGLETRANSLATE(B330,""en"",""vi"")"),"Máy ảnh")</f>
        <v>Máy ảnh</v>
      </c>
      <c r="N330" s="4" t="str">
        <f>IFERROR(__xludf.DUMMYFUNCTION("GOOGLETRANSLATE(B330,""en"",""ru"")"),"Камера")</f>
        <v>Камера</v>
      </c>
      <c r="O330" s="4" t="str">
        <f>IFERROR(__xludf.DUMMYFUNCTION("GOOGLETRANSLATE(B330,""en"",""tr"")"),"Kamera")</f>
        <v>Kamera</v>
      </c>
      <c r="P330" s="4" t="str">
        <f>IFERROR(__xludf.DUMMYFUNCTION("GOOGLETRANSLATE(B330,""en"",""ar"")"),"آلة تصوير")</f>
        <v>آلة تصوير</v>
      </c>
      <c r="Q330" s="4" t="str">
        <f>IFERROR(__xludf.DUMMYFUNCTION("GOOGLETRANSLATE(B330,""en"",""mr"")"),"कॅमेरा")</f>
        <v>कॅमेरा</v>
      </c>
      <c r="R330" s="4" t="str">
        <f>IFERROR(__xludf.DUMMYFUNCTION("GOOGLETRANSLATE(B330,""en"",""gu"")"),"કેમેરા")</f>
        <v>કેમેરા</v>
      </c>
      <c r="S330" s="4" t="str">
        <f>IFERROR(__xludf.DUMMYFUNCTION("GOOGLETRANSLATE(B330,""en"",""bn"")"),"ক্যামেরা")</f>
        <v>ক্যামেরা</v>
      </c>
      <c r="T330" s="4" t="str">
        <f>IFERROR(__xludf.DUMMYFUNCTION("GOOGLETRANSLATE(B330,""en"",""pa"")"),"ਕੈਮਰਾ")</f>
        <v>ਕੈਮਰਾ</v>
      </c>
      <c r="U330" s="4" t="str">
        <f>IFERROR(__xludf.DUMMYFUNCTION("GOOGLETRANSLATE(B330,""en"",""te"")"),"కెమెరా")</f>
        <v>కెమెరా</v>
      </c>
      <c r="V330" s="4" t="str">
        <f>IFERROR(__xludf.DUMMYFUNCTION("GOOGLETRANSLATE(B330,""en"",""kn"")"),"ಕ್ಯಾಮೆರಾ")</f>
        <v>ಕ್ಯಾಮೆರಾ</v>
      </c>
      <c r="W330" s="4" t="str">
        <f>IFERROR(__xludf.DUMMYFUNCTION("GOOGLETRANSLATE(B330,""en"",""ml"")"),"ക്യാമറ")</f>
        <v>ക്യാമറ</v>
      </c>
      <c r="X330" s="4" t="str">
        <f>IFERROR(__xludf.DUMMYFUNCTION("GOOGLETRANSLATE(B330,""en"",""th"")"),"กล้อง")</f>
        <v>กล้อง</v>
      </c>
      <c r="Y330" s="4" t="str">
        <f>IFERROR(__xludf.DUMMYFUNCTION("GOOGLETRANSLATE(B330,""en"",""ko"")"),"카메라")</f>
        <v>카메라</v>
      </c>
      <c r="Z330" s="4" t="str">
        <f>IFERROR(__xludf.DUMMYFUNCTION("GOOGLETRANSLATE(B330,""en"",""zh"")"),"相机")</f>
        <v>相机</v>
      </c>
      <c r="AA330" s="4" t="str">
        <f>IFERROR(__xludf.DUMMYFUNCTION("GOOGLETRANSLATE(B330,""en"",""zh-TW"")"),"相機")</f>
        <v>相機</v>
      </c>
      <c r="AB330" s="4" t="str">
        <f>IFERROR(__xludf.DUMMYFUNCTION("GOOGLETRANSLATE(B330,""en"",""ja"")"),"カメラ")</f>
        <v>カメラ</v>
      </c>
      <c r="AC330" s="4" t="str">
        <f>IFERROR(__xludf.DUMMYFUNCTION("GOOGLETRANSLATE(B330,""en"",""bg"")"),"Камера")</f>
        <v>Камера</v>
      </c>
      <c r="AD330" s="4" t="str">
        <f>IFERROR(__xludf.DUMMYFUNCTION("GOOGLETRANSLATE(B330,""en"",""cs"")"),"Fotoaparát")</f>
        <v>Fotoaparát</v>
      </c>
      <c r="AE330" s="4" t="str">
        <f>IFERROR(__xludf.DUMMYFUNCTION("GOOGLETRANSLATE(B330,""en"",""da"")"),"Kamera")</f>
        <v>Kamera</v>
      </c>
      <c r="AF330" s="4" t="str">
        <f>IFERROR(__xludf.DUMMYFUNCTION("GOOGLETRANSLATE(B330,""en"",""el"")"),"Κάμερα")</f>
        <v>Κάμερα</v>
      </c>
      <c r="AG330" s="4" t="str">
        <f>IFERROR(__xludf.DUMMYFUNCTION("GOOGLETRANSLATE(B330,""en"",""et"")"),"Kaamera")</f>
        <v>Kaamera</v>
      </c>
      <c r="AH330" s="4" t="str">
        <f>IFERROR(__xludf.DUMMYFUNCTION("GOOGLETRANSLATE(B330,""en"",""fi"")"),"Kamera")</f>
        <v>Kamera</v>
      </c>
      <c r="AI330" s="4" t="str">
        <f>IFERROR(__xludf.DUMMYFUNCTION("GOOGLETRANSLATE(B330,""en"",""hr"")"),"Fotoaparat")</f>
        <v>Fotoaparat</v>
      </c>
      <c r="AJ330" s="4" t="str">
        <f>IFERROR(__xludf.DUMMYFUNCTION("GOOGLETRANSLATE(B330,""en"",""hu"")"),"Kamera")</f>
        <v>Kamera</v>
      </c>
      <c r="AK330" s="4" t="str">
        <f>IFERROR(__xludf.DUMMYFUNCTION("GOOGLETRANSLATE(B330,""en"",""hy"")"),"Տեսախցիկ")</f>
        <v>Տեսախցիկ</v>
      </c>
      <c r="AL330" s="4" t="str">
        <f>IFERROR(__xludf.DUMMYFUNCTION("GOOGLETRANSLATE(B330,""en"",""ca"")"),"Càmera")</f>
        <v>Càmera</v>
      </c>
      <c r="AM330" s="4" t="str">
        <f>IFERROR(__xludf.DUMMYFUNCTION("GOOGLETRANSLATE(B330,""en"",""nl"")"),"Camera")</f>
        <v>Camera</v>
      </c>
      <c r="AN330" s="4" t="str">
        <f>IFERROR(__xludf.DUMMYFUNCTION("GOOGLETRANSLATE(B330,""en"",""he"")"),"מַצלֵמָה")</f>
        <v>מַצלֵמָה</v>
      </c>
      <c r="AO330" s="4" t="str">
        <f>IFERROR(__xludf.DUMMYFUNCTION("GOOGLETRANSLATE(B330,""en"",""is"")"),"Myndavél")</f>
        <v>Myndavél</v>
      </c>
      <c r="AP330" s="4" t="str">
        <f>IFERROR(__xludf.DUMMYFUNCTION("GOOGLETRANSLATE(B330,""en"",""no"")"),"Kamera")</f>
        <v>Kamera</v>
      </c>
      <c r="AQ330" s="4" t="str">
        <f>IFERROR(__xludf.DUMMYFUNCTION("GOOGLETRANSLATE(B330,""en"",""fa"")"),"دوربین")</f>
        <v>دوربین</v>
      </c>
      <c r="AR330" s="4" t="str">
        <f>IFERROR(__xludf.DUMMYFUNCTION("GOOGLETRANSLATE(B330,""en"",""pl"")"),"Kamera")</f>
        <v>Kamera</v>
      </c>
      <c r="AS330" s="4" t="str">
        <f>IFERROR(__xludf.DUMMYFUNCTION("GOOGLETRANSLATE(B330,""en"",""sv"")"),"Kamera")</f>
        <v>Kamera</v>
      </c>
      <c r="AT330" s="4" t="str">
        <f>IFERROR(__xludf.DUMMYFUNCTION("GOOGLETRANSLATE(B330,""en"",""uk"")"),"Камера")</f>
        <v>Камера</v>
      </c>
      <c r="AU330" s="4" t="str">
        <f>IFERROR(__xludf.DUMMYFUNCTION("GOOGLETRANSLATE(B330,""en"",""zu"")"),"Ikhamera")</f>
        <v>Ikhamera</v>
      </c>
      <c r="AV330" s="4" t="str">
        <f>IFERROR(__xludf.DUMMYFUNCTION("GOOGLETRANSLATE(B330,""en"",""sr"")"),"Камера")</f>
        <v>Камера</v>
      </c>
    </row>
    <row r="331">
      <c r="A331" s="3" t="s">
        <v>659</v>
      </c>
      <c r="B331" s="3" t="s">
        <v>310</v>
      </c>
      <c r="C331" s="4" t="str">
        <f>IFERROR(__xludf.DUMMYFUNCTION("GOOGLETRANSLATE(B331,""en"",""ta"")"),"தொகுப்பு")</f>
        <v>தொகுப்பு</v>
      </c>
      <c r="D331" s="4" t="str">
        <f>IFERROR(__xludf.DUMMYFUNCTION("GOOGLETRANSLATE(B331,""en"",""hi"")"),"गैलरी")</f>
        <v>गैलरी</v>
      </c>
      <c r="E331" s="4" t="str">
        <f>IFERROR(__xludf.DUMMYFUNCTION("GOOGLETRANSLATE(B331,""en"",""id"")"),"Galeri")</f>
        <v>Galeri</v>
      </c>
      <c r="F331" s="4" t="str">
        <f>IFERROR(__xludf.DUMMYFUNCTION("GOOGLETRANSLATE(B331,""en"",""ms"")"),"Galeri")</f>
        <v>Galeri</v>
      </c>
      <c r="G331" s="4" t="str">
        <f>IFERROR(__xludf.DUMMYFUNCTION("GOOGLETRANSLATE(B331,""en"",""de"")"),"Galerie")</f>
        <v>Galerie</v>
      </c>
      <c r="H331" s="4" t="str">
        <f>IFERROR(__xludf.DUMMYFUNCTION("GOOGLETRANSLATE(B331,""en"",""es"")"),"Galería")</f>
        <v>Galería</v>
      </c>
      <c r="I331" s="4" t="str">
        <f>IFERROR(__xludf.DUMMYFUNCTION("GOOGLETRANSLATE(B331,""en"",""fr"")"),"Galerie")</f>
        <v>Galerie</v>
      </c>
      <c r="J331" s="4" t="str">
        <f>IFERROR(__xludf.DUMMYFUNCTION("GOOGLETRANSLATE(B331,""en"",""it"")"),"Galleria")</f>
        <v>Galleria</v>
      </c>
      <c r="K331" s="4" t="str">
        <f>IFERROR(__xludf.DUMMYFUNCTION("GOOGLETRANSLATE(B331,""en"",""pt"")"),"Galeria")</f>
        <v>Galeria</v>
      </c>
      <c r="L331" s="4" t="str">
        <f>IFERROR(__xludf.DUMMYFUNCTION("GOOGLETRANSLATE(B331,""en"",""ro"")"),"Galerie")</f>
        <v>Galerie</v>
      </c>
      <c r="M331" s="4" t="str">
        <f>IFERROR(__xludf.DUMMYFUNCTION("GOOGLETRANSLATE(B331,""en"",""vi"")"),"Phòng trưng bày")</f>
        <v>Phòng trưng bày</v>
      </c>
      <c r="N331" s="4" t="str">
        <f>IFERROR(__xludf.DUMMYFUNCTION("GOOGLETRANSLATE(B331,""en"",""ru"")"),"Галерея")</f>
        <v>Галерея</v>
      </c>
      <c r="O331" s="4" t="str">
        <f>IFERROR(__xludf.DUMMYFUNCTION("GOOGLETRANSLATE(B331,""en"",""tr"")"),"Galeri")</f>
        <v>Galeri</v>
      </c>
      <c r="P331" s="4" t="str">
        <f>IFERROR(__xludf.DUMMYFUNCTION("GOOGLETRANSLATE(B331,""en"",""ar"")"),"معرض الصور")</f>
        <v>معرض الصور</v>
      </c>
      <c r="Q331" s="4" t="str">
        <f>IFERROR(__xludf.DUMMYFUNCTION("GOOGLETRANSLATE(B331,""en"",""mr"")"),"गॅलरी")</f>
        <v>गॅलरी</v>
      </c>
      <c r="R331" s="4" t="str">
        <f>IFERROR(__xludf.DUMMYFUNCTION("GOOGLETRANSLATE(B331,""en"",""gu"")"),"ગેલેરી")</f>
        <v>ગેલેરી</v>
      </c>
      <c r="S331" s="4" t="str">
        <f>IFERROR(__xludf.DUMMYFUNCTION("GOOGLETRANSLATE(B331,""en"",""bn"")"),"গ্যালারি")</f>
        <v>গ্যালারি</v>
      </c>
      <c r="T331" s="4" t="str">
        <f>IFERROR(__xludf.DUMMYFUNCTION("GOOGLETRANSLATE(B331,""en"",""pa"")"),"ਗੈਲਰੀ")</f>
        <v>ਗੈਲਰੀ</v>
      </c>
      <c r="U331" s="4" t="str">
        <f>IFERROR(__xludf.DUMMYFUNCTION("GOOGLETRANSLATE(B331,""en"",""te"")"),"గ్యాలరీ")</f>
        <v>గ్యాలరీ</v>
      </c>
      <c r="V331" s="4" t="str">
        <f>IFERROR(__xludf.DUMMYFUNCTION("GOOGLETRANSLATE(B331,""en"",""kn"")"),"ಗ್ಯಾಲರಿ")</f>
        <v>ಗ್ಯಾಲರಿ</v>
      </c>
      <c r="W331" s="4" t="str">
        <f>IFERROR(__xludf.DUMMYFUNCTION("GOOGLETRANSLATE(B331,""en"",""ml"")"),"ഗാലറി")</f>
        <v>ഗാലറി</v>
      </c>
      <c r="X331" s="4" t="str">
        <f>IFERROR(__xludf.DUMMYFUNCTION("GOOGLETRANSLATE(B331,""en"",""th"")"),"แกลเลอรี่")</f>
        <v>แกลเลอรี่</v>
      </c>
      <c r="Y331" s="4" t="str">
        <f>IFERROR(__xludf.DUMMYFUNCTION("GOOGLETRANSLATE(B331,""en"",""ko"")"),"갱도")</f>
        <v>갱도</v>
      </c>
      <c r="Z331" s="4" t="str">
        <f>IFERROR(__xludf.DUMMYFUNCTION("GOOGLETRANSLATE(B331,""en"",""zh"")"),"画廊")</f>
        <v>画廊</v>
      </c>
      <c r="AA331" s="4" t="str">
        <f>IFERROR(__xludf.DUMMYFUNCTION("GOOGLETRANSLATE(B331,""en"",""zh-TW"")"),"畫廊")</f>
        <v>畫廊</v>
      </c>
      <c r="AB331" s="4" t="str">
        <f>IFERROR(__xludf.DUMMYFUNCTION("GOOGLETRANSLATE(B331,""en"",""ja"")"),"ギャラリー")</f>
        <v>ギャラリー</v>
      </c>
      <c r="AC331" s="4" t="str">
        <f>IFERROR(__xludf.DUMMYFUNCTION("GOOGLETRANSLATE(B331,""en"",""bg"")"),"Галерия")</f>
        <v>Галерия</v>
      </c>
      <c r="AD331" s="4" t="str">
        <f>IFERROR(__xludf.DUMMYFUNCTION("GOOGLETRANSLATE(B331,""en"",""cs"")"),"Galerie")</f>
        <v>Galerie</v>
      </c>
      <c r="AE331" s="4" t="str">
        <f>IFERROR(__xludf.DUMMYFUNCTION("GOOGLETRANSLATE(B331,""en"",""da"")"),"Galleri")</f>
        <v>Galleri</v>
      </c>
      <c r="AF331" s="4" t="str">
        <f>IFERROR(__xludf.DUMMYFUNCTION("GOOGLETRANSLATE(B331,""en"",""el"")"),"Στοά")</f>
        <v>Στοά</v>
      </c>
      <c r="AG331" s="4" t="str">
        <f>IFERROR(__xludf.DUMMYFUNCTION("GOOGLETRANSLATE(B331,""en"",""et"")"),"Galerii")</f>
        <v>Galerii</v>
      </c>
      <c r="AH331" s="4" t="str">
        <f>IFERROR(__xludf.DUMMYFUNCTION("GOOGLETRANSLATE(B331,""en"",""fi"")"),"Galleria")</f>
        <v>Galleria</v>
      </c>
      <c r="AI331" s="4" t="str">
        <f>IFERROR(__xludf.DUMMYFUNCTION("GOOGLETRANSLATE(B331,""en"",""hr"")"),"Galerija")</f>
        <v>Galerija</v>
      </c>
      <c r="AJ331" s="4" t="str">
        <f>IFERROR(__xludf.DUMMYFUNCTION("GOOGLETRANSLATE(B331,""en"",""hu"")"),"Galéria")</f>
        <v>Galéria</v>
      </c>
      <c r="AK331" s="4" t="str">
        <f>IFERROR(__xludf.DUMMYFUNCTION("GOOGLETRANSLATE(B331,""en"",""hy"")"),"Պատկերասրահ")</f>
        <v>Պատկերասրահ</v>
      </c>
      <c r="AL331" s="4" t="str">
        <f>IFERROR(__xludf.DUMMYFUNCTION("GOOGLETRANSLATE(B331,""en"",""ca"")"),"Galeria")</f>
        <v>Galeria</v>
      </c>
      <c r="AM331" s="4" t="str">
        <f>IFERROR(__xludf.DUMMYFUNCTION("GOOGLETRANSLATE(B331,""en"",""nl"")"),"Galerij")</f>
        <v>Galerij</v>
      </c>
      <c r="AN331" s="4" t="str">
        <f>IFERROR(__xludf.DUMMYFUNCTION("GOOGLETRANSLATE(B331,""en"",""he"")"),"גָלֶרֵיָה")</f>
        <v>גָלֶרֵיָה</v>
      </c>
      <c r="AO331" s="4" t="str">
        <f>IFERROR(__xludf.DUMMYFUNCTION("GOOGLETRANSLATE(B331,""en"",""is"")"),"Gallerí")</f>
        <v>Gallerí</v>
      </c>
      <c r="AP331" s="4" t="str">
        <f>IFERROR(__xludf.DUMMYFUNCTION("GOOGLETRANSLATE(B331,""en"",""no"")"),"Galleri")</f>
        <v>Galleri</v>
      </c>
      <c r="AQ331" s="4" t="str">
        <f>IFERROR(__xludf.DUMMYFUNCTION("GOOGLETRANSLATE(B331,""en"",""fa"")"),"گالری")</f>
        <v>گالری</v>
      </c>
      <c r="AR331" s="4" t="str">
        <f>IFERROR(__xludf.DUMMYFUNCTION("GOOGLETRANSLATE(B331,""en"",""pl"")"),"Galeria")</f>
        <v>Galeria</v>
      </c>
      <c r="AS331" s="4" t="str">
        <f>IFERROR(__xludf.DUMMYFUNCTION("GOOGLETRANSLATE(B331,""en"",""sv"")"),"Galleri")</f>
        <v>Galleri</v>
      </c>
      <c r="AT331" s="4" t="str">
        <f>IFERROR(__xludf.DUMMYFUNCTION("GOOGLETRANSLATE(B331,""en"",""uk"")"),"Галерея")</f>
        <v>Галерея</v>
      </c>
      <c r="AU331" s="4" t="str">
        <f>IFERROR(__xludf.DUMMYFUNCTION("GOOGLETRANSLATE(B331,""en"",""zu"")"),"Igalari")</f>
        <v>Igalari</v>
      </c>
      <c r="AV331" s="4" t="str">
        <f>IFERROR(__xludf.DUMMYFUNCTION("GOOGLETRANSLATE(B331,""en"",""sr"")"),"Галерија")</f>
        <v>Галерија</v>
      </c>
    </row>
    <row r="332">
      <c r="A332" s="3" t="s">
        <v>660</v>
      </c>
      <c r="B332" s="3" t="s">
        <v>661</v>
      </c>
      <c r="C332" s="4" t="str">
        <f>IFERROR(__xludf.DUMMYFUNCTION("GOOGLETRANSLATE(B332,""en"",""ta"")"),"உங்கள் குறிப்புகளை இங்கே தட்டச்சு செய்யவும்...")</f>
        <v>உங்கள் குறிப்புகளை இங்கே தட்டச்சு செய்யவும்...</v>
      </c>
      <c r="D332" s="4" t="str">
        <f>IFERROR(__xludf.DUMMYFUNCTION("GOOGLETRANSLATE(B332,""en"",""hi"")"),"अपने नोट्स यहां लिखें...")</f>
        <v>अपने नोट्स यहां लिखें...</v>
      </c>
      <c r="E332" s="4" t="str">
        <f>IFERROR(__xludf.DUMMYFUNCTION("GOOGLETRANSLATE(B332,""en"",""id"")"),"Ketik catatan Anda di sini...")</f>
        <v>Ketik catatan Anda di sini...</v>
      </c>
      <c r="F332" s="4" t="str">
        <f>IFERROR(__xludf.DUMMYFUNCTION("GOOGLETRANSLATE(B332,""en"",""ms"")"),"Taip nota anda di sini...")</f>
        <v>Taip nota anda di sini...</v>
      </c>
      <c r="G332" s="4" t="str">
        <f>IFERROR(__xludf.DUMMYFUNCTION("GOOGLETRANSLATE(B332,""en"",""de"")"),"Geben Sie Ihre Notizen hier ein ...")</f>
        <v>Geben Sie Ihre Notizen hier ein ...</v>
      </c>
      <c r="H332" s="4" t="str">
        <f>IFERROR(__xludf.DUMMYFUNCTION("GOOGLETRANSLATE(B332,""en"",""es"")"),"Escribe tus notas aquí...")</f>
        <v>Escribe tus notas aquí...</v>
      </c>
      <c r="I332" s="4" t="str">
        <f>IFERROR(__xludf.DUMMYFUNCTION("GOOGLETRANSLATE(B332,""en"",""fr"")"),"Tapez vos notes ici...")</f>
        <v>Tapez vos notes ici...</v>
      </c>
      <c r="J332" s="4" t="str">
        <f>IFERROR(__xludf.DUMMYFUNCTION("GOOGLETRANSLATE(B332,""en"",""it"")"),"Inserisci qui le tue note...")</f>
        <v>Inserisci qui le tue note...</v>
      </c>
      <c r="K332" s="4" t="str">
        <f>IFERROR(__xludf.DUMMYFUNCTION("GOOGLETRANSLATE(B332,""en"",""pt"")"),"Digite suas notas aqui...")</f>
        <v>Digite suas notas aqui...</v>
      </c>
      <c r="L332" s="4" t="str">
        <f>IFERROR(__xludf.DUMMYFUNCTION("GOOGLETRANSLATE(B332,""en"",""ro"")"),"Introduceți notele aici...")</f>
        <v>Introduceți notele aici...</v>
      </c>
      <c r="M332" s="4" t="str">
        <f>IFERROR(__xludf.DUMMYFUNCTION("GOOGLETRANSLATE(B332,""en"",""vi"")"),"Nhập ghi chú của bạn vào đây...")</f>
        <v>Nhập ghi chú của bạn vào đây...</v>
      </c>
      <c r="N332" s="4" t="str">
        <f>IFERROR(__xludf.DUMMYFUNCTION("GOOGLETRANSLATE(B332,""en"",""ru"")"),"Введите свои заметки здесь...")</f>
        <v>Введите свои заметки здесь...</v>
      </c>
      <c r="O332" s="4" t="str">
        <f>IFERROR(__xludf.DUMMYFUNCTION("GOOGLETRANSLATE(B332,""en"",""tr"")"),"Notlarınızı buraya yazın...")</f>
        <v>Notlarınızı buraya yazın...</v>
      </c>
      <c r="P332" s="4" t="str">
        <f>IFERROR(__xludf.DUMMYFUNCTION("GOOGLETRANSLATE(B332,""en"",""ar"")"),"اكتب ملاحظاتك هنا...")</f>
        <v>اكتب ملاحظاتك هنا...</v>
      </c>
      <c r="Q332" s="4" t="str">
        <f>IFERROR(__xludf.DUMMYFUNCTION("GOOGLETRANSLATE(B332,""en"",""mr"")"),"तुमच्या नोट्स येथे टाइप करा...")</f>
        <v>तुमच्या नोट्स येथे टाइप करा...</v>
      </c>
      <c r="R332" s="4" t="str">
        <f>IFERROR(__xludf.DUMMYFUNCTION("GOOGLETRANSLATE(B332,""en"",""gu"")"),"તમારી નોંધો અહીં લખો...")</f>
        <v>તમારી નોંધો અહીં લખો...</v>
      </c>
      <c r="S332" s="4" t="str">
        <f>IFERROR(__xludf.DUMMYFUNCTION("GOOGLETRANSLATE(B332,""en"",""bn"")"),"এখানে আপনার নোট টাইপ করুন...")</f>
        <v>এখানে আপনার নোট টাইপ করুন...</v>
      </c>
      <c r="T332" s="4" t="str">
        <f>IFERROR(__xludf.DUMMYFUNCTION("GOOGLETRANSLATE(B332,""en"",""pa"")"),"ਇੱਥੇ ਆਪਣੇ ਨੋਟ ਟਾਈਪ ਕਰੋ...")</f>
        <v>ਇੱਥੇ ਆਪਣੇ ਨੋਟ ਟਾਈਪ ਕਰੋ...</v>
      </c>
      <c r="U332" s="4" t="str">
        <f>IFERROR(__xludf.DUMMYFUNCTION("GOOGLETRANSLATE(B332,""en"",""te"")"),"మీ గమనికలను ఇక్కడ టైప్ చేయండి...")</f>
        <v>మీ గమనికలను ఇక్కడ టైప్ చేయండి...</v>
      </c>
      <c r="V332" s="4" t="str">
        <f>IFERROR(__xludf.DUMMYFUNCTION("GOOGLETRANSLATE(B332,""en"",""kn"")"),"ನಿಮ್ಮ ಟಿಪ್ಪಣಿಗಳನ್ನು ಇಲ್ಲಿ ಟೈಪ್ ಮಾಡಿ...")</f>
        <v>ನಿಮ್ಮ ಟಿಪ್ಪಣಿಗಳನ್ನು ಇಲ್ಲಿ ಟೈಪ್ ಮಾಡಿ...</v>
      </c>
      <c r="W332" s="4" t="str">
        <f>IFERROR(__xludf.DUMMYFUNCTION("GOOGLETRANSLATE(B332,""en"",""ml"")"),"നിങ്ങളുടെ കുറിപ്പുകൾ ഇവിടെ ടൈപ്പ് ചെയ്യുക...")</f>
        <v>നിങ്ങളുടെ കുറിപ്പുകൾ ഇവിടെ ടൈപ്പ് ചെയ്യുക...</v>
      </c>
      <c r="X332" s="4" t="str">
        <f>IFERROR(__xludf.DUMMYFUNCTION("GOOGLETRANSLATE(B332,""en"",""th"")"),"พิมพ์บันทึกของคุณที่นี่...")</f>
        <v>พิมพ์บันทึกของคุณที่นี่...</v>
      </c>
      <c r="Y332" s="4" t="str">
        <f>IFERROR(__xludf.DUMMYFUNCTION("GOOGLETRANSLATE(B332,""en"",""ko"")"),"여기에 메모를 입력하세요...")</f>
        <v>여기에 메모를 입력하세요...</v>
      </c>
      <c r="Z332" s="4" t="str">
        <f>IFERROR(__xludf.DUMMYFUNCTION("GOOGLETRANSLATE(B332,""en"",""zh"")"),"在此处输入您的笔记...")</f>
        <v>在此处输入您的笔记...</v>
      </c>
      <c r="AA332" s="4" t="str">
        <f>IFERROR(__xludf.DUMMYFUNCTION("GOOGLETRANSLATE(B332,""en"",""zh-TW"")"),"在此輸入您的筆記...")</f>
        <v>在此輸入您的筆記...</v>
      </c>
      <c r="AB332" s="4" t="str">
        <f>IFERROR(__xludf.DUMMYFUNCTION("GOOGLETRANSLATE(B332,""en"",""ja"")"),"ここにメモを入力してください...")</f>
        <v>ここにメモを入力してください...</v>
      </c>
      <c r="AC332" s="4" t="str">
        <f>IFERROR(__xludf.DUMMYFUNCTION("GOOGLETRANSLATE(B332,""en"",""bg"")"),"Въведете вашите бележки тук...")</f>
        <v>Въведете вашите бележки тук...</v>
      </c>
      <c r="AD332" s="4" t="str">
        <f>IFERROR(__xludf.DUMMYFUNCTION("GOOGLETRANSLATE(B332,""en"",""cs"")"),"Sem napište své poznámky...")</f>
        <v>Sem napište své poznámky...</v>
      </c>
      <c r="AE332" s="4" t="str">
        <f>IFERROR(__xludf.DUMMYFUNCTION("GOOGLETRANSLATE(B332,""en"",""da"")"),"Skriv dine noter her...")</f>
        <v>Skriv dine noter her...</v>
      </c>
      <c r="AF332" s="4" t="str">
        <f>IFERROR(__xludf.DUMMYFUNCTION("GOOGLETRANSLATE(B332,""en"",""el"")"),"Πληκτρολογήστε τις σημειώσεις σας εδώ...")</f>
        <v>Πληκτρολογήστε τις σημειώσεις σας εδώ...</v>
      </c>
      <c r="AG332" s="4" t="str">
        <f>IFERROR(__xludf.DUMMYFUNCTION("GOOGLETRANSLATE(B332,""en"",""et"")"),"Sisestage oma märkmed siia...")</f>
        <v>Sisestage oma märkmed siia...</v>
      </c>
      <c r="AH332" s="4" t="str">
        <f>IFERROR(__xludf.DUMMYFUNCTION("GOOGLETRANSLATE(B332,""en"",""fi"")"),"Kirjoita muistiinpanosi tähän...")</f>
        <v>Kirjoita muistiinpanosi tähän...</v>
      </c>
      <c r="AI332" s="4" t="str">
        <f>IFERROR(__xludf.DUMMYFUNCTION("GOOGLETRANSLATE(B332,""en"",""hr"")"),"Ovdje upišite svoje bilješke...")</f>
        <v>Ovdje upišite svoje bilješke...</v>
      </c>
      <c r="AJ332" s="4" t="str">
        <f>IFERROR(__xludf.DUMMYFUNCTION("GOOGLETRANSLATE(B332,""en"",""hu"")"),"Írja ide a jegyzeteit...")</f>
        <v>Írja ide a jegyzeteit...</v>
      </c>
      <c r="AK332" s="4" t="str">
        <f>IFERROR(__xludf.DUMMYFUNCTION("GOOGLETRANSLATE(B332,""en"",""hy"")"),"Մուտքագրեք ձեր նշումները այստեղ...")</f>
        <v>Մուտքագրեք ձեր նշումները այստեղ...</v>
      </c>
      <c r="AL332" s="4" t="str">
        <f>IFERROR(__xludf.DUMMYFUNCTION("GOOGLETRANSLATE(B332,""en"",""ca"")"),"Escriu les teves notes aquí...")</f>
        <v>Escriu les teves notes aquí...</v>
      </c>
      <c r="AM332" s="4" t="str">
        <f>IFERROR(__xludf.DUMMYFUNCTION("GOOGLETRANSLATE(B332,""en"",""nl"")"),"Typ hier uw aantekeningen...")</f>
        <v>Typ hier uw aantekeningen...</v>
      </c>
      <c r="AN332" s="4" t="str">
        <f>IFERROR(__xludf.DUMMYFUNCTION("GOOGLETRANSLATE(B332,""en"",""he"")"),"הקלד את ההערות שלך כאן...")</f>
        <v>הקלד את ההערות שלך כאן...</v>
      </c>
      <c r="AO332" s="4" t="str">
        <f>IFERROR(__xludf.DUMMYFUNCTION("GOOGLETRANSLATE(B332,""en"",""is"")"),"Skrifaðu athugasemdirnar þínar hér...")</f>
        <v>Skrifaðu athugasemdirnar þínar hér...</v>
      </c>
      <c r="AP332" s="4" t="str">
        <f>IFERROR(__xludf.DUMMYFUNCTION("GOOGLETRANSLATE(B332,""en"",""no"")"),"Skriv inn notatene dine her...")</f>
        <v>Skriv inn notatene dine her...</v>
      </c>
      <c r="AQ332" s="4" t="str">
        <f>IFERROR(__xludf.DUMMYFUNCTION("GOOGLETRANSLATE(B332,""en"",""fa"")"),"یادداشت های خود را اینجا تایپ کنید...")</f>
        <v>یادداشت های خود را اینجا تایپ کنید...</v>
      </c>
      <c r="AR332" s="4" t="str">
        <f>IFERROR(__xludf.DUMMYFUNCTION("GOOGLETRANSLATE(B332,""en"",""pl"")"),"Wpisz tutaj swoje notatki...")</f>
        <v>Wpisz tutaj swoje notatki...</v>
      </c>
      <c r="AS332" s="4" t="str">
        <f>IFERROR(__xludf.DUMMYFUNCTION("GOOGLETRANSLATE(B332,""en"",""sv"")"),"Skriv dina anteckningar här...")</f>
        <v>Skriv dina anteckningar här...</v>
      </c>
      <c r="AT332" s="4" t="str">
        <f>IFERROR(__xludf.DUMMYFUNCTION("GOOGLETRANSLATE(B332,""en"",""uk"")"),"Введіть свої нотатки тут...")</f>
        <v>Введіть свої нотатки тут...</v>
      </c>
      <c r="AU332" s="4" t="str">
        <f>IFERROR(__xludf.DUMMYFUNCTION("GOOGLETRANSLATE(B332,""en"",""zu"")"),"Thayipha amanothi akho lapha...")</f>
        <v>Thayipha amanothi akho lapha...</v>
      </c>
      <c r="AV332" s="4" t="str">
        <f>IFERROR(__xludf.DUMMYFUNCTION("GOOGLETRANSLATE(B332,""en"",""sr"")"),"Унесите своје белешке овде...")</f>
        <v>Унесите своје белешке овде...</v>
      </c>
    </row>
    <row r="333">
      <c r="A333" s="3" t="s">
        <v>662</v>
      </c>
      <c r="B333" s="3" t="s">
        <v>357</v>
      </c>
      <c r="C333" s="4" t="str">
        <f>IFERROR(__xludf.DUMMYFUNCTION("GOOGLETRANSLATE(B333,""en"",""ta"")"),"ரத்து செய்")</f>
        <v>ரத்து செய்</v>
      </c>
      <c r="D333" s="4" t="str">
        <f>IFERROR(__xludf.DUMMYFUNCTION("GOOGLETRANSLATE(B333,""en"",""hi"")"),"रद्द करना")</f>
        <v>रद्द करना</v>
      </c>
      <c r="E333" s="4" t="str">
        <f>IFERROR(__xludf.DUMMYFUNCTION("GOOGLETRANSLATE(B333,""en"",""id"")"),"Membatalkan")</f>
        <v>Membatalkan</v>
      </c>
      <c r="F333" s="4" t="str">
        <f>IFERROR(__xludf.DUMMYFUNCTION("GOOGLETRANSLATE(B333,""en"",""ms"")"),"Batal")</f>
        <v>Batal</v>
      </c>
      <c r="G333" s="4" t="str">
        <f>IFERROR(__xludf.DUMMYFUNCTION("GOOGLETRANSLATE(B333,""en"",""de"")"),"Stornieren")</f>
        <v>Stornieren</v>
      </c>
      <c r="H333" s="4" t="str">
        <f>IFERROR(__xludf.DUMMYFUNCTION("GOOGLETRANSLATE(B333,""en"",""es"")"),"Cancelar")</f>
        <v>Cancelar</v>
      </c>
      <c r="I333" s="4" t="str">
        <f>IFERROR(__xludf.DUMMYFUNCTION("GOOGLETRANSLATE(B333,""en"",""fr"")"),"Annuler")</f>
        <v>Annuler</v>
      </c>
      <c r="J333" s="4" t="str">
        <f>IFERROR(__xludf.DUMMYFUNCTION("GOOGLETRANSLATE(B333,""en"",""it"")"),"Cancellare")</f>
        <v>Cancellare</v>
      </c>
      <c r="K333" s="4" t="str">
        <f>IFERROR(__xludf.DUMMYFUNCTION("GOOGLETRANSLATE(B333,""en"",""pt"")"),"Cancelar")</f>
        <v>Cancelar</v>
      </c>
      <c r="L333" s="4" t="str">
        <f>IFERROR(__xludf.DUMMYFUNCTION("GOOGLETRANSLATE(B333,""en"",""ro"")"),"Anula")</f>
        <v>Anula</v>
      </c>
      <c r="M333" s="4" t="str">
        <f>IFERROR(__xludf.DUMMYFUNCTION("GOOGLETRANSLATE(B333,""en"",""vi"")"),"Hủy bỏ")</f>
        <v>Hủy bỏ</v>
      </c>
      <c r="N333" s="4" t="str">
        <f>IFERROR(__xludf.DUMMYFUNCTION("GOOGLETRANSLATE(B333,""en"",""ru"")"),"Отмена")</f>
        <v>Отмена</v>
      </c>
      <c r="O333" s="4" t="str">
        <f>IFERROR(__xludf.DUMMYFUNCTION("GOOGLETRANSLATE(B333,""en"",""tr"")"),"İptal etmek")</f>
        <v>İptal etmek</v>
      </c>
      <c r="P333" s="4" t="str">
        <f>IFERROR(__xludf.DUMMYFUNCTION("GOOGLETRANSLATE(B333,""en"",""ar"")"),"يلغي")</f>
        <v>يلغي</v>
      </c>
      <c r="Q333" s="4" t="str">
        <f>IFERROR(__xludf.DUMMYFUNCTION("GOOGLETRANSLATE(B333,""en"",""mr"")"),"रद्द करा")</f>
        <v>रद्द करा</v>
      </c>
      <c r="R333" s="4" t="str">
        <f>IFERROR(__xludf.DUMMYFUNCTION("GOOGLETRANSLATE(B333,""en"",""gu"")"),"રદ કરો")</f>
        <v>રદ કરો</v>
      </c>
      <c r="S333" s="4" t="str">
        <f>IFERROR(__xludf.DUMMYFUNCTION("GOOGLETRANSLATE(B333,""en"",""bn"")"),"বাতিল করুন")</f>
        <v>বাতিল করুন</v>
      </c>
      <c r="T333" s="4" t="str">
        <f>IFERROR(__xludf.DUMMYFUNCTION("GOOGLETRANSLATE(B333,""en"",""pa"")"),"ਰੱਦ ਕਰੋ")</f>
        <v>ਰੱਦ ਕਰੋ</v>
      </c>
      <c r="U333" s="4" t="str">
        <f>IFERROR(__xludf.DUMMYFUNCTION("GOOGLETRANSLATE(B333,""en"",""te"")"),"రద్దు చేయి")</f>
        <v>రద్దు చేయి</v>
      </c>
      <c r="V333" s="4" t="str">
        <f>IFERROR(__xludf.DUMMYFUNCTION("GOOGLETRANSLATE(B333,""en"",""kn"")"),"ರದ್ದುಮಾಡು")</f>
        <v>ರದ್ದುಮಾಡು</v>
      </c>
      <c r="W333" s="4" t="str">
        <f>IFERROR(__xludf.DUMMYFUNCTION("GOOGLETRANSLATE(B333,""en"",""ml"")"),"റദ്ദാക്കുക")</f>
        <v>റദ്ദാക്കുക</v>
      </c>
      <c r="X333" s="4" t="str">
        <f>IFERROR(__xludf.DUMMYFUNCTION("GOOGLETRANSLATE(B333,""en"",""th"")"),"ยกเลิก")</f>
        <v>ยกเลิก</v>
      </c>
      <c r="Y333" s="4" t="str">
        <f>IFERROR(__xludf.DUMMYFUNCTION("GOOGLETRANSLATE(B333,""en"",""ko"")"),"취소")</f>
        <v>취소</v>
      </c>
      <c r="Z333" s="4" t="str">
        <f>IFERROR(__xludf.DUMMYFUNCTION("GOOGLETRANSLATE(B333,""en"",""zh"")"),"取消")</f>
        <v>取消</v>
      </c>
      <c r="AA333" s="4" t="str">
        <f>IFERROR(__xludf.DUMMYFUNCTION("GOOGLETRANSLATE(B333,""en"",""zh-TW"")"),"取消")</f>
        <v>取消</v>
      </c>
      <c r="AB333" s="4" t="str">
        <f>IFERROR(__xludf.DUMMYFUNCTION("GOOGLETRANSLATE(B333,""en"",""ja"")"),"キャンセル")</f>
        <v>キャンセル</v>
      </c>
      <c r="AC333" s="4" t="str">
        <f>IFERROR(__xludf.DUMMYFUNCTION("GOOGLETRANSLATE(B333,""en"",""bg"")"),"Отказ")</f>
        <v>Отказ</v>
      </c>
      <c r="AD333" s="4" t="str">
        <f>IFERROR(__xludf.DUMMYFUNCTION("GOOGLETRANSLATE(B333,""en"",""cs"")"),"Zrušit")</f>
        <v>Zrušit</v>
      </c>
      <c r="AE333" s="4" t="str">
        <f>IFERROR(__xludf.DUMMYFUNCTION("GOOGLETRANSLATE(B333,""en"",""da"")"),"Ophæve")</f>
        <v>Ophæve</v>
      </c>
      <c r="AF333" s="4" t="str">
        <f>IFERROR(__xludf.DUMMYFUNCTION("GOOGLETRANSLATE(B333,""en"",""el"")"),"Ματαίωση")</f>
        <v>Ματαίωση</v>
      </c>
      <c r="AG333" s="4" t="str">
        <f>IFERROR(__xludf.DUMMYFUNCTION("GOOGLETRANSLATE(B333,""en"",""et"")"),"Tühista")</f>
        <v>Tühista</v>
      </c>
      <c r="AH333" s="4" t="str">
        <f>IFERROR(__xludf.DUMMYFUNCTION("GOOGLETRANSLATE(B333,""en"",""fi"")"),"Peruuttaa")</f>
        <v>Peruuttaa</v>
      </c>
      <c r="AI333" s="4" t="str">
        <f>IFERROR(__xludf.DUMMYFUNCTION("GOOGLETRANSLATE(B333,""en"",""hr"")"),"Otkazati")</f>
        <v>Otkazati</v>
      </c>
      <c r="AJ333" s="4" t="str">
        <f>IFERROR(__xludf.DUMMYFUNCTION("GOOGLETRANSLATE(B333,""en"",""hu"")"),"Mégsem")</f>
        <v>Mégsem</v>
      </c>
      <c r="AK333" s="4" t="str">
        <f>IFERROR(__xludf.DUMMYFUNCTION("GOOGLETRANSLATE(B333,""en"",""hy"")"),"Չեղարկել")</f>
        <v>Չեղարկել</v>
      </c>
      <c r="AL333" s="4" t="str">
        <f>IFERROR(__xludf.DUMMYFUNCTION("GOOGLETRANSLATE(B333,""en"",""ca"")"),"Cancel·la")</f>
        <v>Cancel·la</v>
      </c>
      <c r="AM333" s="4" t="str">
        <f>IFERROR(__xludf.DUMMYFUNCTION("GOOGLETRANSLATE(B333,""en"",""nl"")"),"Annuleren")</f>
        <v>Annuleren</v>
      </c>
      <c r="AN333" s="4" t="str">
        <f>IFERROR(__xludf.DUMMYFUNCTION("GOOGLETRANSLATE(B333,""en"",""he"")"),"לְבַטֵל")</f>
        <v>לְבַטֵל</v>
      </c>
      <c r="AO333" s="4" t="str">
        <f>IFERROR(__xludf.DUMMYFUNCTION("GOOGLETRANSLATE(B333,""en"",""is"")"),"Hætta við")</f>
        <v>Hætta við</v>
      </c>
      <c r="AP333" s="4" t="str">
        <f>IFERROR(__xludf.DUMMYFUNCTION("GOOGLETRANSLATE(B333,""en"",""no"")"),"Kansellere")</f>
        <v>Kansellere</v>
      </c>
      <c r="AQ333" s="4" t="str">
        <f>IFERROR(__xludf.DUMMYFUNCTION("GOOGLETRANSLATE(B333,""en"",""fa"")"),"لغو کنید")</f>
        <v>لغو کنید</v>
      </c>
      <c r="AR333" s="4" t="str">
        <f>IFERROR(__xludf.DUMMYFUNCTION("GOOGLETRANSLATE(B333,""en"",""pl"")"),"Anulować")</f>
        <v>Anulować</v>
      </c>
      <c r="AS333" s="4" t="str">
        <f>IFERROR(__xludf.DUMMYFUNCTION("GOOGLETRANSLATE(B333,""en"",""sv"")"),"Avboka")</f>
        <v>Avboka</v>
      </c>
      <c r="AT333" s="4" t="str">
        <f>IFERROR(__xludf.DUMMYFUNCTION("GOOGLETRANSLATE(B333,""en"",""uk"")"),"Скасувати")</f>
        <v>Скасувати</v>
      </c>
      <c r="AU333" s="4" t="str">
        <f>IFERROR(__xludf.DUMMYFUNCTION("GOOGLETRANSLATE(B333,""en"",""zu"")"),"Khansela")</f>
        <v>Khansela</v>
      </c>
      <c r="AV333" s="4" t="str">
        <f>IFERROR(__xludf.DUMMYFUNCTION("GOOGLETRANSLATE(B333,""en"",""sr"")"),"Откажи")</f>
        <v>Откажи</v>
      </c>
    </row>
    <row r="334">
      <c r="A334" s="3" t="s">
        <v>663</v>
      </c>
      <c r="B334" s="3" t="s">
        <v>580</v>
      </c>
      <c r="C334" s="4" t="str">
        <f>IFERROR(__xludf.DUMMYFUNCTION("GOOGLETRANSLATE(B334,""en"",""ta"")"),"குறிப்பைச் சேர்க்கவும்")</f>
        <v>குறிப்பைச் சேர்க்கவும்</v>
      </c>
      <c r="D334" s="4" t="str">
        <f>IFERROR(__xludf.DUMMYFUNCTION("GOOGLETRANSLATE(B334,""en"",""hi"")"),"नोट जोड़े")</f>
        <v>नोट जोड़े</v>
      </c>
      <c r="E334" s="4" t="str">
        <f>IFERROR(__xludf.DUMMYFUNCTION("GOOGLETRANSLATE(B334,""en"",""id"")"),"Tambahkan Catatan")</f>
        <v>Tambahkan Catatan</v>
      </c>
      <c r="F334" s="4" t="str">
        <f>IFERROR(__xludf.DUMMYFUNCTION("GOOGLETRANSLATE(B334,""en"",""ms"")"),"Tambah Nota")</f>
        <v>Tambah Nota</v>
      </c>
      <c r="G334" s="4" t="str">
        <f>IFERROR(__xludf.DUMMYFUNCTION("GOOGLETRANSLATE(B334,""en"",""de"")"),"Notiz hinzufügen")</f>
        <v>Notiz hinzufügen</v>
      </c>
      <c r="H334" s="4" t="str">
        <f>IFERROR(__xludf.DUMMYFUNCTION("GOOGLETRANSLATE(B334,""en"",""es"")"),"Añadir nota")</f>
        <v>Añadir nota</v>
      </c>
      <c r="I334" s="4" t="str">
        <f>IFERROR(__xludf.DUMMYFUNCTION("GOOGLETRANSLATE(B334,""en"",""fr"")"),"Ajouter une note")</f>
        <v>Ajouter une note</v>
      </c>
      <c r="J334" s="4" t="str">
        <f>IFERROR(__xludf.DUMMYFUNCTION("GOOGLETRANSLATE(B334,""en"",""it"")"),"Aggiungi nota")</f>
        <v>Aggiungi nota</v>
      </c>
      <c r="K334" s="4" t="str">
        <f>IFERROR(__xludf.DUMMYFUNCTION("GOOGLETRANSLATE(B334,""en"",""pt"")"),"Adicionar nota")</f>
        <v>Adicionar nota</v>
      </c>
      <c r="L334" s="4" t="str">
        <f>IFERROR(__xludf.DUMMYFUNCTION("GOOGLETRANSLATE(B334,""en"",""ro"")"),"Adăugați o notă")</f>
        <v>Adăugați o notă</v>
      </c>
      <c r="M334" s="4" t="str">
        <f>IFERROR(__xludf.DUMMYFUNCTION("GOOGLETRANSLATE(B334,""en"",""vi"")"),"Thêm Ghi chú")</f>
        <v>Thêm Ghi chú</v>
      </c>
      <c r="N334" s="4" t="str">
        <f>IFERROR(__xludf.DUMMYFUNCTION("GOOGLETRANSLATE(B334,""en"",""ru"")"),"Добавить примечание")</f>
        <v>Добавить примечание</v>
      </c>
      <c r="O334" s="4" t="str">
        <f>IFERROR(__xludf.DUMMYFUNCTION("GOOGLETRANSLATE(B334,""en"",""tr"")"),"Not Ekle")</f>
        <v>Not Ekle</v>
      </c>
      <c r="P334" s="4" t="str">
        <f>IFERROR(__xludf.DUMMYFUNCTION("GOOGLETRANSLATE(B334,""en"",""ar"")"),"إضافة ملاحظة")</f>
        <v>إضافة ملاحظة</v>
      </c>
      <c r="Q334" s="4" t="str">
        <f>IFERROR(__xludf.DUMMYFUNCTION("GOOGLETRANSLATE(B334,""en"",""mr"")"),"टीप जोडा")</f>
        <v>टीप जोडा</v>
      </c>
      <c r="R334" s="4" t="str">
        <f>IFERROR(__xludf.DUMMYFUNCTION("GOOGLETRANSLATE(B334,""en"",""gu"")"),"નોંધ ઉમેરો")</f>
        <v>નોંધ ઉમેરો</v>
      </c>
      <c r="S334" s="4" t="str">
        <f>IFERROR(__xludf.DUMMYFUNCTION("GOOGLETRANSLATE(B334,""en"",""bn"")"),"নোট যোগ করুন")</f>
        <v>নোট যোগ করুন</v>
      </c>
      <c r="T334" s="4" t="str">
        <f>IFERROR(__xludf.DUMMYFUNCTION("GOOGLETRANSLATE(B334,""en"",""pa"")"),"ਨੋਟ ਸ਼ਾਮਲ ਕਰੋ")</f>
        <v>ਨੋਟ ਸ਼ਾਮਲ ਕਰੋ</v>
      </c>
      <c r="U334" s="4" t="str">
        <f>IFERROR(__xludf.DUMMYFUNCTION("GOOGLETRANSLATE(B334,""en"",""te"")"),"గమనికను జోడించండి")</f>
        <v>గమనికను జోడించండి</v>
      </c>
      <c r="V334" s="4" t="str">
        <f>IFERROR(__xludf.DUMMYFUNCTION("GOOGLETRANSLATE(B334,""en"",""kn"")"),"ಟಿಪ್ಪಣಿ ಸೇರಿಸಿ")</f>
        <v>ಟಿಪ್ಪಣಿ ಸೇರಿಸಿ</v>
      </c>
      <c r="W334" s="4" t="str">
        <f>IFERROR(__xludf.DUMMYFUNCTION("GOOGLETRANSLATE(B334,""en"",""ml"")"),"കുറിപ്പ് ചേർക്കുക")</f>
        <v>കുറിപ്പ് ചേർക്കുക</v>
      </c>
      <c r="X334" s="4" t="str">
        <f>IFERROR(__xludf.DUMMYFUNCTION("GOOGLETRANSLATE(B334,""en"",""th"")"),"เพิ่มหมายเหตุ")</f>
        <v>เพิ่มหมายเหตุ</v>
      </c>
      <c r="Y334" s="4" t="str">
        <f>IFERROR(__xludf.DUMMYFUNCTION("GOOGLETRANSLATE(B334,""en"",""ko"")"),"메모 추가")</f>
        <v>메모 추가</v>
      </c>
      <c r="Z334" s="4" t="str">
        <f>IFERROR(__xludf.DUMMYFUNCTION("GOOGLETRANSLATE(B334,""en"",""zh"")"),"添加注释")</f>
        <v>添加注释</v>
      </c>
      <c r="AA334" s="4" t="str">
        <f>IFERROR(__xludf.DUMMYFUNCTION("GOOGLETRANSLATE(B334,""en"",""zh-TW"")"),"新增註釋")</f>
        <v>新增註釋</v>
      </c>
      <c r="AB334" s="4" t="str">
        <f>IFERROR(__xludf.DUMMYFUNCTION("GOOGLETRANSLATE(B334,""en"",""ja"")"),"メモを追加")</f>
        <v>メモを追加</v>
      </c>
      <c r="AC334" s="4" t="str">
        <f>IFERROR(__xludf.DUMMYFUNCTION("GOOGLETRANSLATE(B334,""en"",""bg"")"),"Добавете бележка")</f>
        <v>Добавете бележка</v>
      </c>
      <c r="AD334" s="4" t="str">
        <f>IFERROR(__xludf.DUMMYFUNCTION("GOOGLETRANSLATE(B334,""en"",""cs"")"),"Přidat poznámku")</f>
        <v>Přidat poznámku</v>
      </c>
      <c r="AE334" s="4" t="str">
        <f>IFERROR(__xludf.DUMMYFUNCTION("GOOGLETRANSLATE(B334,""en"",""da"")"),"Tilføj note")</f>
        <v>Tilføj note</v>
      </c>
      <c r="AF334" s="4" t="str">
        <f>IFERROR(__xludf.DUMMYFUNCTION("GOOGLETRANSLATE(B334,""en"",""el"")"),"Προσθήκη Σημείωσης")</f>
        <v>Προσθήκη Σημείωσης</v>
      </c>
      <c r="AG334" s="4" t="str">
        <f>IFERROR(__xludf.DUMMYFUNCTION("GOOGLETRANSLATE(B334,""en"",""et"")"),"Lisa märkus")</f>
        <v>Lisa märkus</v>
      </c>
      <c r="AH334" s="4" t="str">
        <f>IFERROR(__xludf.DUMMYFUNCTION("GOOGLETRANSLATE(B334,""en"",""fi"")"),"Lisää huomautus")</f>
        <v>Lisää huomautus</v>
      </c>
      <c r="AI334" s="4" t="str">
        <f>IFERROR(__xludf.DUMMYFUNCTION("GOOGLETRANSLATE(B334,""en"",""hr"")"),"Dodaj bilješku")</f>
        <v>Dodaj bilješku</v>
      </c>
      <c r="AJ334" s="4" t="str">
        <f>IFERROR(__xludf.DUMMYFUNCTION("GOOGLETRANSLATE(B334,""en"",""hu"")"),"Megjegyzés hozzáadása")</f>
        <v>Megjegyzés hozzáadása</v>
      </c>
      <c r="AK334" s="4" t="str">
        <f>IFERROR(__xludf.DUMMYFUNCTION("GOOGLETRANSLATE(B334,""en"",""hy"")"),"Ավելացնել նշում")</f>
        <v>Ավելացնել նշում</v>
      </c>
      <c r="AL334" s="4" t="str">
        <f>IFERROR(__xludf.DUMMYFUNCTION("GOOGLETRANSLATE(B334,""en"",""ca"")"),"Afegeix una nota")</f>
        <v>Afegeix una nota</v>
      </c>
      <c r="AM334" s="4" t="str">
        <f>IFERROR(__xludf.DUMMYFUNCTION("GOOGLETRANSLATE(B334,""en"",""nl"")"),"Notitie toevoegen")</f>
        <v>Notitie toevoegen</v>
      </c>
      <c r="AN334" s="4" t="str">
        <f>IFERROR(__xludf.DUMMYFUNCTION("GOOGLETRANSLATE(B334,""en"",""he"")"),"הוסף הערה")</f>
        <v>הוסף הערה</v>
      </c>
      <c r="AO334" s="4" t="str">
        <f>IFERROR(__xludf.DUMMYFUNCTION("GOOGLETRANSLATE(B334,""en"",""is"")"),"Bæta við athugasemd")</f>
        <v>Bæta við athugasemd</v>
      </c>
      <c r="AP334" s="4" t="str">
        <f>IFERROR(__xludf.DUMMYFUNCTION("GOOGLETRANSLATE(B334,""en"",""no"")"),"Legg til notat")</f>
        <v>Legg til notat</v>
      </c>
      <c r="AQ334" s="4" t="str">
        <f>IFERROR(__xludf.DUMMYFUNCTION("GOOGLETRANSLATE(B334,""en"",""fa"")"),"اضافه کردن یادداشت")</f>
        <v>اضافه کردن یادداشت</v>
      </c>
      <c r="AR334" s="4" t="str">
        <f>IFERROR(__xludf.DUMMYFUNCTION("GOOGLETRANSLATE(B334,""en"",""pl"")"),"Dodaj notatkę")</f>
        <v>Dodaj notatkę</v>
      </c>
      <c r="AS334" s="4" t="str">
        <f>IFERROR(__xludf.DUMMYFUNCTION("GOOGLETRANSLATE(B334,""en"",""sv"")"),"Lägg till anteckning")</f>
        <v>Lägg till anteckning</v>
      </c>
      <c r="AT334" s="4" t="str">
        <f>IFERROR(__xludf.DUMMYFUNCTION("GOOGLETRANSLATE(B334,""en"",""uk"")"),"Додати примітку")</f>
        <v>Додати примітку</v>
      </c>
      <c r="AU334" s="4" t="str">
        <f>IFERROR(__xludf.DUMMYFUNCTION("GOOGLETRANSLATE(B334,""en"",""zu"")"),"Engeza Inothi")</f>
        <v>Engeza Inothi</v>
      </c>
      <c r="AV334" s="4" t="str">
        <f>IFERROR(__xludf.DUMMYFUNCTION("GOOGLETRANSLATE(B334,""en"",""sr"")"),"Додај напомену")</f>
        <v>Додај напомену</v>
      </c>
    </row>
    <row r="335">
      <c r="A335" s="3" t="s">
        <v>664</v>
      </c>
      <c r="B335" s="3" t="s">
        <v>665</v>
      </c>
      <c r="C335" s="4" t="str">
        <f>IFERROR(__xludf.DUMMYFUNCTION("GOOGLETRANSLATE(B335,""en"",""ta"")"),"புகைப்படம் எடுக்க முடியவில்லை. மீண்டும் முயற்சிக்கவும்.")</f>
        <v>புகைப்படம் எடுக்க முடியவில்லை. மீண்டும் முயற்சிக்கவும்.</v>
      </c>
      <c r="D335" s="4" t="str">
        <f>IFERROR(__xludf.DUMMYFUNCTION("GOOGLETRANSLATE(B335,""en"",""hi"")"),"फ़ोटो लेने में विफल. कृपया पुनः प्रयास करें.")</f>
        <v>फ़ोटो लेने में विफल. कृपया पुनः प्रयास करें.</v>
      </c>
      <c r="E335" s="4" t="str">
        <f>IFERROR(__xludf.DUMMYFUNCTION("GOOGLETRANSLATE(B335,""en"",""id"")"),"Gagal mengambil foto. Silakan coba lagi.")</f>
        <v>Gagal mengambil foto. Silakan coba lagi.</v>
      </c>
      <c r="F335" s="4" t="str">
        <f>IFERROR(__xludf.DUMMYFUNCTION("GOOGLETRANSLATE(B335,""en"",""ms"")"),"Gagal mengambil foto. Sila cuba lagi.")</f>
        <v>Gagal mengambil foto. Sila cuba lagi.</v>
      </c>
      <c r="G335" s="4" t="str">
        <f>IFERROR(__xludf.DUMMYFUNCTION("GOOGLETRANSLATE(B335,""en"",""de"")"),"Das Aufnehmen des Fotos ist fehlgeschlagen. Bitte versuchen Sie es erneut.")</f>
        <v>Das Aufnehmen des Fotos ist fehlgeschlagen. Bitte versuchen Sie es erneut.</v>
      </c>
      <c r="H335" s="4" t="str">
        <f>IFERROR(__xludf.DUMMYFUNCTION("GOOGLETRANSLATE(B335,""en"",""es"")"),"No se pudo tomar la foto. Inténtalo de nuevo.")</f>
        <v>No se pudo tomar la foto. Inténtalo de nuevo.</v>
      </c>
      <c r="I335" s="4" t="str">
        <f>IFERROR(__xludf.DUMMYFUNCTION("GOOGLETRANSLATE(B335,""en"",""fr"")"),"Impossible de prendre la photo. Veuillez réessayer.")</f>
        <v>Impossible de prendre la photo. Veuillez réessayer.</v>
      </c>
      <c r="J335" s="4" t="str">
        <f>IFERROR(__xludf.DUMMYFUNCTION("GOOGLETRANSLATE(B335,""en"",""it"")"),"Impossibile scattare la foto. Riprova.")</f>
        <v>Impossibile scattare la foto. Riprova.</v>
      </c>
      <c r="K335" s="4" t="str">
        <f>IFERROR(__xludf.DUMMYFUNCTION("GOOGLETRANSLATE(B335,""en"",""pt"")"),"Falha ao tirar a foto. Tente novamente.")</f>
        <v>Falha ao tirar a foto. Tente novamente.</v>
      </c>
      <c r="L335" s="4" t="str">
        <f>IFERROR(__xludf.DUMMYFUNCTION("GOOGLETRANSLATE(B335,""en"",""ro"")"),"Nu s-a putut realiza fotografia. Vă rugăm să încercați din nou.")</f>
        <v>Nu s-a putut realiza fotografia. Vă rugăm să încercați din nou.</v>
      </c>
      <c r="M335" s="4" t="str">
        <f>IFERROR(__xludf.DUMMYFUNCTION("GOOGLETRANSLATE(B335,""en"",""vi"")"),"Không chụp được ảnh. Vui lòng thử lại.")</f>
        <v>Không chụp được ảnh. Vui lòng thử lại.</v>
      </c>
      <c r="N335" s="4" t="str">
        <f>IFERROR(__xludf.DUMMYFUNCTION("GOOGLETRANSLATE(B335,""en"",""ru"")"),"Не удалось сделать фото. Попробуйте еще раз.")</f>
        <v>Не удалось сделать фото. Попробуйте еще раз.</v>
      </c>
      <c r="O335" s="4" t="str">
        <f>IFERROR(__xludf.DUMMYFUNCTION("GOOGLETRANSLATE(B335,""en"",""tr"")"),"Fotoğraf çekilemedi. Lütfen tekrar deneyin.")</f>
        <v>Fotoğraf çekilemedi. Lütfen tekrar deneyin.</v>
      </c>
      <c r="P335" s="4" t="str">
        <f>IFERROR(__xludf.DUMMYFUNCTION("GOOGLETRANSLATE(B335,""en"",""ar"")"),"تعذّر التقاط الصورة. يُرجى المحاولة مجددًا.")</f>
        <v>تعذّر التقاط الصورة. يُرجى المحاولة مجددًا.</v>
      </c>
      <c r="Q335" s="4" t="str">
        <f>IFERROR(__xludf.DUMMYFUNCTION("GOOGLETRANSLATE(B335,""en"",""mr"")"),"फोटो काढण्यात अयशस्वी. कृपया पुन्हा प्रयत्न करा.")</f>
        <v>फोटो काढण्यात अयशस्वी. कृपया पुन्हा प्रयत्न करा.</v>
      </c>
      <c r="R335" s="4" t="str">
        <f>IFERROR(__xludf.DUMMYFUNCTION("GOOGLETRANSLATE(B335,""en"",""gu"")"),"ફોટો લેવામાં નિષ્ફળ. કૃપા કરીને ફરી પ્રયાસ કરો.")</f>
        <v>ફોટો લેવામાં નિષ્ફળ. કૃપા કરીને ફરી પ્રયાસ કરો.</v>
      </c>
      <c r="S335" s="4" t="str">
        <f>IFERROR(__xludf.DUMMYFUNCTION("GOOGLETRANSLATE(B335,""en"",""bn"")"),"ছবি তুলতে ব্যর্থ। আবার চেষ্টা করুন.")</f>
        <v>ছবি তুলতে ব্যর্থ। আবার চেষ্টা করুন.</v>
      </c>
      <c r="T335" s="4" t="str">
        <f>IFERROR(__xludf.DUMMYFUNCTION("GOOGLETRANSLATE(B335,""en"",""pa"")"),"ਫੋਟੋ ਖਿੱਚਣ ਵਿੱਚ ਅਸਫਲ। ਕਿਰਪਾ ਕਰਕੇ ਦੁਬਾਰਾ ਕੋਸ਼ਿਸ਼ ਕਰੋ।")</f>
        <v>ਫੋਟੋ ਖਿੱਚਣ ਵਿੱਚ ਅਸਫਲ। ਕਿਰਪਾ ਕਰਕੇ ਦੁਬਾਰਾ ਕੋਸ਼ਿਸ਼ ਕਰੋ।</v>
      </c>
      <c r="U335" s="4" t="str">
        <f>IFERROR(__xludf.DUMMYFUNCTION("GOOGLETRANSLATE(B335,""en"",""te"")"),"ఫోటో తీయడంలో విఫలమైంది. దయచేసి మళ్లీ ప్రయత్నించండి.")</f>
        <v>ఫోటో తీయడంలో విఫలమైంది. దయచేసి మళ్లీ ప్రయత్నించండి.</v>
      </c>
      <c r="V335" s="4" t="str">
        <f>IFERROR(__xludf.DUMMYFUNCTION("GOOGLETRANSLATE(B335,""en"",""kn"")"),"ಫೋಟೋ ತೆಗೆಯಲು ವಿಫಲವಾಗಿದೆ. ದಯವಿಟ್ಟು ಮತ್ತೆ ಪ್ರಯತ್ನಿಸಿ.")</f>
        <v>ಫೋಟೋ ತೆಗೆಯಲು ವಿಫಲವಾಗಿದೆ. ದಯವಿಟ್ಟು ಮತ್ತೆ ಪ್ರಯತ್ನಿಸಿ.</v>
      </c>
      <c r="W335" s="4" t="str">
        <f>IFERROR(__xludf.DUMMYFUNCTION("GOOGLETRANSLATE(B335,""en"",""ml"")"),"ഫോട്ടോ എടുക്കുന്നതിൽ പരാജയപ്പെട്ടു. ദയവായി വീണ്ടും ശ്രമിക്കുക.")</f>
        <v>ഫോട്ടോ എടുക്കുന്നതിൽ പരാജയപ്പെട്ടു. ദയവായി വീണ്ടും ശ്രമിക്കുക.</v>
      </c>
      <c r="X335" s="4" t="str">
        <f>IFERROR(__xludf.DUMMYFUNCTION("GOOGLETRANSLATE(B335,""en"",""th"")"),"ไม่สามารถถ่ายภาพได้ กรุณาลองใหม่อีกครั้ง")</f>
        <v>ไม่สามารถถ่ายภาพได้ กรุณาลองใหม่อีกครั้ง</v>
      </c>
      <c r="Y335" s="4" t="str">
        <f>IFERROR(__xludf.DUMMYFUNCTION("GOOGLETRANSLATE(B335,""en"",""ko"")"),"사진 촬영에 실패했습니다. 다시 시도해 주세요.")</f>
        <v>사진 촬영에 실패했습니다. 다시 시도해 주세요.</v>
      </c>
      <c r="Z335" s="4" t="str">
        <f>IFERROR(__xludf.DUMMYFUNCTION("GOOGLETRANSLATE(B335,""en"",""zh"")"),"拍照失败，请重试。")</f>
        <v>拍照失败，请重试。</v>
      </c>
      <c r="AA335" s="4" t="str">
        <f>IFERROR(__xludf.DUMMYFUNCTION("GOOGLETRANSLATE(B335,""en"",""zh-TW"")"),"拍照失敗，請重試。")</f>
        <v>拍照失敗，請重試。</v>
      </c>
      <c r="AB335" s="4" t="str">
        <f>IFERROR(__xludf.DUMMYFUNCTION("GOOGLETRANSLATE(B335,""en"",""ja"")"),"写真を撮影できませんでした。もう一度お試しください。")</f>
        <v>写真を撮影できませんでした。もう一度お試しください。</v>
      </c>
      <c r="AC335" s="4" t="str">
        <f>IFERROR(__xludf.DUMMYFUNCTION("GOOGLETRANSLATE(B335,""en"",""bg"")"),"Неуспешно заснемане на снимка. Моля, опитайте отново.")</f>
        <v>Неуспешно заснемане на снимка. Моля, опитайте отново.</v>
      </c>
      <c r="AD335" s="4" t="str">
        <f>IFERROR(__xludf.DUMMYFUNCTION("GOOGLETRANSLATE(B335,""en"",""cs"")"),"Fotografování se nezdařilo. Zkuste to znovu.")</f>
        <v>Fotografování se nezdařilo. Zkuste to znovu.</v>
      </c>
      <c r="AE335" s="4" t="str">
        <f>IFERROR(__xludf.DUMMYFUNCTION("GOOGLETRANSLATE(B335,""en"",""da"")"),"Kunne ikke tage billede. Prøv venligst igen.")</f>
        <v>Kunne ikke tage billede. Prøv venligst igen.</v>
      </c>
      <c r="AF335" s="4" t="str">
        <f>IFERROR(__xludf.DUMMYFUNCTION("GOOGLETRANSLATE(B335,""en"",""el"")"),"Αποτυχία λήψης φωτογραφίας. Δοκιμάστε ξανά.")</f>
        <v>Αποτυχία λήψης φωτογραφίας. Δοκιμάστε ξανά.</v>
      </c>
      <c r="AG335" s="4" t="str">
        <f>IFERROR(__xludf.DUMMYFUNCTION("GOOGLETRANSLATE(B335,""en"",""et"")"),"Foto tegemine ebaõnnestus. Palun proovi uuesti.")</f>
        <v>Foto tegemine ebaõnnestus. Palun proovi uuesti.</v>
      </c>
      <c r="AH335" s="4" t="str">
        <f>IFERROR(__xludf.DUMMYFUNCTION("GOOGLETRANSLATE(B335,""en"",""fi"")"),"Kuvan ottaminen epäonnistui. Yritä uudelleen.")</f>
        <v>Kuvan ottaminen epäonnistui. Yritä uudelleen.</v>
      </c>
      <c r="AI335" s="4" t="str">
        <f>IFERROR(__xludf.DUMMYFUNCTION("GOOGLETRANSLATE(B335,""en"",""hr"")"),"Snimanje fotografije nije uspjelo. Molimo pokušajte ponovo.")</f>
        <v>Snimanje fotografije nije uspjelo. Molimo pokušajte ponovo.</v>
      </c>
      <c r="AJ335" s="4" t="str">
        <f>IFERROR(__xludf.DUMMYFUNCTION("GOOGLETRANSLATE(B335,""en"",""hu"")"),"Nem sikerült fényképezni. Kérjük, próbálja újra.")</f>
        <v>Nem sikerült fényképezni. Kérjük, próbálja újra.</v>
      </c>
      <c r="AK335" s="4" t="str">
        <f>IFERROR(__xludf.DUMMYFUNCTION("GOOGLETRANSLATE(B335,""en"",""hy"")"),"Չհաջողվեց լուսանկարել: Խնդրում ենք կրկին փորձել:")</f>
        <v>Չհաջողվեց լուսանկարել: Խնդրում ենք կրկին փորձել:</v>
      </c>
      <c r="AL335" s="4" t="str">
        <f>IFERROR(__xludf.DUMMYFUNCTION("GOOGLETRANSLATE(B335,""en"",""ca"")"),"No s'ha pogut fer la foto. Si us plau, torna-ho a provar.")</f>
        <v>No s'ha pogut fer la foto. Si us plau, torna-ho a provar.</v>
      </c>
      <c r="AM335" s="4" t="str">
        <f>IFERROR(__xludf.DUMMYFUNCTION("GOOGLETRANSLATE(B335,""en"",""nl"")"),"Foto maken mislukt. Probeer het opnieuw.")</f>
        <v>Foto maken mislukt. Probeer het opnieuw.</v>
      </c>
      <c r="AN335" s="4" t="str">
        <f>IFERROR(__xludf.DUMMYFUNCTION("GOOGLETRANSLATE(B335,""en"",""he"")"),"צילום התמונה נכשל. אנא נסה שוב.")</f>
        <v>צילום התמונה נכשל. אנא נסה שוב.</v>
      </c>
      <c r="AO335" s="4" t="str">
        <f>IFERROR(__xludf.DUMMYFUNCTION("GOOGLETRANSLATE(B335,""en"",""is"")"),"Ekki tókst að taka mynd. Vinsamlegast reyndu aftur.")</f>
        <v>Ekki tókst að taka mynd. Vinsamlegast reyndu aftur.</v>
      </c>
      <c r="AP335" s="4" t="str">
        <f>IFERROR(__xludf.DUMMYFUNCTION("GOOGLETRANSLATE(B335,""en"",""no"")"),"Kunne ikke ta bilde. Vennligst prøv igjen.")</f>
        <v>Kunne ikke ta bilde. Vennligst prøv igjen.</v>
      </c>
      <c r="AQ335" s="4" t="str">
        <f>IFERROR(__xludf.DUMMYFUNCTION("GOOGLETRANSLATE(B335,""en"",""fa"")"),"عکس گرفتن ناموفق بود. لطفا دوباره امتحان کنید.")</f>
        <v>عکس گرفتن ناموفق بود. لطفا دوباره امتحان کنید.</v>
      </c>
      <c r="AR335" s="4" t="str">
        <f>IFERROR(__xludf.DUMMYFUNCTION("GOOGLETRANSLATE(B335,""en"",""pl"")"),"Nie udało się zrobić zdjęcia. Spróbuj ponownie.")</f>
        <v>Nie udało się zrobić zdjęcia. Spróbuj ponownie.</v>
      </c>
      <c r="AS335" s="4" t="str">
        <f>IFERROR(__xludf.DUMMYFUNCTION("GOOGLETRANSLATE(B335,""en"",""sv"")"),"Det gick inte att ta foto. Försök igen.")</f>
        <v>Det gick inte att ta foto. Försök igen.</v>
      </c>
      <c r="AT335" s="4" t="str">
        <f>IFERROR(__xludf.DUMMYFUNCTION("GOOGLETRANSLATE(B335,""en"",""uk"")"),"Не вдалося зробити фото. Спробуйте ще раз.")</f>
        <v>Не вдалося зробити фото. Спробуйте ще раз.</v>
      </c>
      <c r="AU335" s="4" t="str">
        <f>IFERROR(__xludf.DUMMYFUNCTION("GOOGLETRANSLATE(B335,""en"",""zu"")"),"Yehlulekile ukuthatha isithombe. Sicela uzame futhi.")</f>
        <v>Yehlulekile ukuthatha isithombe. Sicela uzame futhi.</v>
      </c>
      <c r="AV335" s="4" t="str">
        <f>IFERROR(__xludf.DUMMYFUNCTION("GOOGLETRANSLATE(B335,""en"",""sr"")"),"Снимање фотографије није успело. Покушајте поново.")</f>
        <v>Снимање фотографије није успело. Покушајте поново.</v>
      </c>
    </row>
    <row r="336">
      <c r="A336" s="3" t="s">
        <v>666</v>
      </c>
      <c r="B336" s="3" t="s">
        <v>667</v>
      </c>
      <c r="C336" s="4" t="str">
        <f>IFERROR(__xludf.DUMMYFUNCTION("GOOGLETRANSLATE(B336,""en"",""ta"")"),"படத்தை எடுக்க முடியவில்லை. மீண்டும் முயற்சிக்கவும்.")</f>
        <v>படத்தை எடுக்க முடியவில்லை. மீண்டும் முயற்சிக்கவும்.</v>
      </c>
      <c r="D336" s="4" t="str">
        <f>IFERROR(__xludf.DUMMYFUNCTION("GOOGLETRANSLATE(B336,""en"",""hi"")"),"छवि चुनने में विफल. कृपया पुनः प्रयास करें.")</f>
        <v>छवि चुनने में विफल. कृपया पुनः प्रयास करें.</v>
      </c>
      <c r="E336" s="4" t="str">
        <f>IFERROR(__xludf.DUMMYFUNCTION("GOOGLETRANSLATE(B336,""en"",""id"")"),"Gagal memilih gambar. Silakan coba lagi.")</f>
        <v>Gagal memilih gambar. Silakan coba lagi.</v>
      </c>
      <c r="F336" s="4" t="str">
        <f>IFERROR(__xludf.DUMMYFUNCTION("GOOGLETRANSLATE(B336,""en"",""ms"")"),"Gagal memilih imej. Sila cuba lagi.")</f>
        <v>Gagal memilih imej. Sila cuba lagi.</v>
      </c>
      <c r="G336" s="4" t="str">
        <f>IFERROR(__xludf.DUMMYFUNCTION("GOOGLETRANSLATE(B336,""en"",""de"")"),"Bild konnte nicht ausgewählt werden. Bitte versuchen Sie es erneut.")</f>
        <v>Bild konnte nicht ausgewählt werden. Bitte versuchen Sie es erneut.</v>
      </c>
      <c r="H336" s="4" t="str">
        <f>IFERROR(__xludf.DUMMYFUNCTION("GOOGLETRANSLATE(B336,""en"",""es"")"),"No se pudo seleccionar la imagen. Inténtalo de nuevo.")</f>
        <v>No se pudo seleccionar la imagen. Inténtalo de nuevo.</v>
      </c>
      <c r="I336" s="4" t="str">
        <f>IFERROR(__xludf.DUMMYFUNCTION("GOOGLETRANSLATE(B336,""en"",""fr"")"),"Impossible de sélectionner l'image. Veuillez réessayer.")</f>
        <v>Impossible de sélectionner l'image. Veuillez réessayer.</v>
      </c>
      <c r="J336" s="4" t="str">
        <f>IFERROR(__xludf.DUMMYFUNCTION("GOOGLETRANSLATE(B336,""en"",""it"")"),"Impossibile selezionare l'immagine. Riprova.")</f>
        <v>Impossibile selezionare l'immagine. Riprova.</v>
      </c>
      <c r="K336" s="4" t="str">
        <f>IFERROR(__xludf.DUMMYFUNCTION("GOOGLETRANSLATE(B336,""en"",""pt"")"),"Falha ao selecionar a imagem. Tente novamente.")</f>
        <v>Falha ao selecionar a imagem. Tente novamente.</v>
      </c>
      <c r="L336" s="4" t="str">
        <f>IFERROR(__xludf.DUMMYFUNCTION("GOOGLETRANSLATE(B336,""en"",""ro"")"),"Nu s-a putut alege imaginea. Vă rugăm să încercați din nou.")</f>
        <v>Nu s-a putut alege imaginea. Vă rugăm să încercați din nou.</v>
      </c>
      <c r="M336" s="4" t="str">
        <f>IFERROR(__xludf.DUMMYFUNCTION("GOOGLETRANSLATE(B336,""en"",""vi"")"),"Không chọn được hình ảnh. Vui lòng thử lại.")</f>
        <v>Không chọn được hình ảnh. Vui lòng thử lại.</v>
      </c>
      <c r="N336" s="4" t="str">
        <f>IFERROR(__xludf.DUMMYFUNCTION("GOOGLETRANSLATE(B336,""en"",""ru"")"),"Не удалось выбрать изображение. Попробуйте еще раз.")</f>
        <v>Не удалось выбрать изображение. Попробуйте еще раз.</v>
      </c>
      <c r="O336" s="4" t="str">
        <f>IFERROR(__xludf.DUMMYFUNCTION("GOOGLETRANSLATE(B336,""en"",""tr"")"),"Resim seçilemedi. Lütfen tekrar deneyin.")</f>
        <v>Resim seçilemedi. Lütfen tekrar deneyin.</v>
      </c>
      <c r="P336" s="4" t="str">
        <f>IFERROR(__xludf.DUMMYFUNCTION("GOOGLETRANSLATE(B336,""en"",""ar"")"),"تعذّر اختيار الصورة. يُرجى المحاولة مجددًا.")</f>
        <v>تعذّر اختيار الصورة. يُرجى المحاولة مجددًا.</v>
      </c>
      <c r="Q336" s="4" t="str">
        <f>IFERROR(__xludf.DUMMYFUNCTION("GOOGLETRANSLATE(B336,""en"",""mr"")"),"प्रतिमा निवडण्यात अयशस्वी. कृपया पुन्हा प्रयत्न करा.")</f>
        <v>प्रतिमा निवडण्यात अयशस्वी. कृपया पुन्हा प्रयत्न करा.</v>
      </c>
      <c r="R336" s="4" t="str">
        <f>IFERROR(__xludf.DUMMYFUNCTION("GOOGLETRANSLATE(B336,""en"",""gu"")"),"છબી પસંદ કરવામાં નિષ્ફળ. કૃપા કરીને ફરી પ્રયાસ કરો.")</f>
        <v>છબી પસંદ કરવામાં નિષ્ફળ. કૃપા કરીને ફરી પ્રયાસ કરો.</v>
      </c>
      <c r="S336" s="4" t="str">
        <f>IFERROR(__xludf.DUMMYFUNCTION("GOOGLETRANSLATE(B336,""en"",""bn"")"),"ছবি বাছাই করতে ব্যর্থ হয়েছে৷ আবার চেষ্টা করুন.")</f>
        <v>ছবি বাছাই করতে ব্যর্থ হয়েছে৷ আবার চেষ্টা করুন.</v>
      </c>
      <c r="T336" s="4" t="str">
        <f>IFERROR(__xludf.DUMMYFUNCTION("GOOGLETRANSLATE(B336,""en"",""pa"")"),"ਚਿੱਤਰ ਚੁਣਨਾ ਅਸਫਲ ਰਿਹਾ। ਕਿਰਪਾ ਕਰਕੇ ਦੁਬਾਰਾ ਕੋਸ਼ਿਸ਼ ਕਰੋ।")</f>
        <v>ਚਿੱਤਰ ਚੁਣਨਾ ਅਸਫਲ ਰਿਹਾ। ਕਿਰਪਾ ਕਰਕੇ ਦੁਬਾਰਾ ਕੋਸ਼ਿਸ਼ ਕਰੋ।</v>
      </c>
      <c r="U336" s="4" t="str">
        <f>IFERROR(__xludf.DUMMYFUNCTION("GOOGLETRANSLATE(B336,""en"",""te"")"),"చిత్రాన్ని ఎంచుకోవడంలో విఫలమైంది. దయచేసి మళ్లీ ప్రయత్నించండి.")</f>
        <v>చిత్రాన్ని ఎంచుకోవడంలో విఫలమైంది. దయచేసి మళ్లీ ప్రయత్నించండి.</v>
      </c>
      <c r="V336" s="4" t="str">
        <f>IFERROR(__xludf.DUMMYFUNCTION("GOOGLETRANSLATE(B336,""en"",""kn"")"),"ಚಿತ್ರವನ್ನು ಆಯ್ಕೆ ಮಾಡಲು ವಿಫಲವಾಗಿದೆ. ದಯವಿಟ್ಟು ಮತ್ತೆ ಪ್ರಯತ್ನಿಸಿ.")</f>
        <v>ಚಿತ್ರವನ್ನು ಆಯ್ಕೆ ಮಾಡಲು ವಿಫಲವಾಗಿದೆ. ದಯವಿಟ್ಟು ಮತ್ತೆ ಪ್ರಯತ್ನಿಸಿ.</v>
      </c>
      <c r="W336" s="4" t="str">
        <f>IFERROR(__xludf.DUMMYFUNCTION("GOOGLETRANSLATE(B336,""en"",""ml"")"),"ചിത്രം തിരഞ്ഞെടുക്കുന്നതിൽ പരാജയപ്പെട്ടു. ദയവായി വീണ്ടും ശ്രമിക്കുക.")</f>
        <v>ചിത്രം തിരഞ്ഞെടുക്കുന്നതിൽ പരാജയപ്പെട്ടു. ദയവായി വീണ്ടും ശ്രമിക്കുക.</v>
      </c>
      <c r="X336" s="4" t="str">
        <f>IFERROR(__xludf.DUMMYFUNCTION("GOOGLETRANSLATE(B336,""en"",""th"")"),"ไม่สามารถเลือกภาพได้ กรุณาลองอีกครั้ง")</f>
        <v>ไม่สามารถเลือกภาพได้ กรุณาลองอีกครั้ง</v>
      </c>
      <c r="Y336" s="4" t="str">
        <f>IFERROR(__xludf.DUMMYFUNCTION("GOOGLETRANSLATE(B336,""en"",""ko"")"),"이미지를 선택하지 못했습니다. 다시 시도해 주세요.")</f>
        <v>이미지를 선택하지 못했습니다. 다시 시도해 주세요.</v>
      </c>
      <c r="Z336" s="4" t="str">
        <f>IFERROR(__xludf.DUMMYFUNCTION("GOOGLETRANSLATE(B336,""en"",""zh"")"),"选取图片失败。请重试。")</f>
        <v>选取图片失败。请重试。</v>
      </c>
      <c r="AA336" s="4" t="str">
        <f>IFERROR(__xludf.DUMMYFUNCTION("GOOGLETRANSLATE(B336,""en"",""zh-TW"")"),"選取圖片失敗。請重試。")</f>
        <v>選取圖片失敗。請重試。</v>
      </c>
      <c r="AB336" s="4" t="str">
        <f>IFERROR(__xludf.DUMMYFUNCTION("GOOGLETRANSLATE(B336,""en"",""ja"")"),"画像の選択に失敗しました。もう一度お試しください。")</f>
        <v>画像の選択に失敗しました。もう一度お試しください。</v>
      </c>
      <c r="AC336" s="4" t="str">
        <f>IFERROR(__xludf.DUMMYFUNCTION("GOOGLETRANSLATE(B336,""en"",""bg"")"),"Неуспешен избор на изображение. Моля, опитайте отново.")</f>
        <v>Неуспешен избор на изображение. Моля, опитайте отново.</v>
      </c>
      <c r="AD336" s="4" t="str">
        <f>IFERROR(__xludf.DUMMYFUNCTION("GOOGLETRANSLATE(B336,""en"",""cs"")"),"Nepodařilo se vybrat obrázek. Zkuste to znovu.")</f>
        <v>Nepodařilo se vybrat obrázek. Zkuste to znovu.</v>
      </c>
      <c r="AE336" s="4" t="str">
        <f>IFERROR(__xludf.DUMMYFUNCTION("GOOGLETRANSLATE(B336,""en"",""da"")"),"Billedet kunne ikke vælges. Prøv venligst igen.")</f>
        <v>Billedet kunne ikke vælges. Prøv venligst igen.</v>
      </c>
      <c r="AF336" s="4" t="str">
        <f>IFERROR(__xludf.DUMMYFUNCTION("GOOGLETRANSLATE(B336,""en"",""el"")"),"Αποτυχία επιλογής εικόνας. Δοκιμάστε ξανά.")</f>
        <v>Αποτυχία επιλογής εικόνας. Δοκιμάστε ξανά.</v>
      </c>
      <c r="AG336" s="4" t="str">
        <f>IFERROR(__xludf.DUMMYFUNCTION("GOOGLETRANSLATE(B336,""en"",""et"")"),"Pildi valimine ebaõnnestus. Palun proovi uuesti.")</f>
        <v>Pildi valimine ebaõnnestus. Palun proovi uuesti.</v>
      </c>
      <c r="AH336" s="4" t="str">
        <f>IFERROR(__xludf.DUMMYFUNCTION("GOOGLETRANSLATE(B336,""en"",""fi"")"),"Kuvan valinta epäonnistui. Yritä uudelleen.")</f>
        <v>Kuvan valinta epäonnistui. Yritä uudelleen.</v>
      </c>
      <c r="AI336" s="4" t="str">
        <f>IFERROR(__xludf.DUMMYFUNCTION("GOOGLETRANSLATE(B336,""en"",""hr"")"),"Odabir slike nije uspio. Molimo pokušajte ponovo.")</f>
        <v>Odabir slike nije uspio. Molimo pokušajte ponovo.</v>
      </c>
      <c r="AJ336" s="4" t="str">
        <f>IFERROR(__xludf.DUMMYFUNCTION("GOOGLETRANSLATE(B336,""en"",""hu"")"),"Nem sikerült kiválasztani a képet. Kérjük, próbálja újra.")</f>
        <v>Nem sikerült kiválasztani a képet. Kérjük, próbálja újra.</v>
      </c>
      <c r="AK336" s="4" t="str">
        <f>IFERROR(__xludf.DUMMYFUNCTION("GOOGLETRANSLATE(B336,""en"",""hy"")"),"Չհաջողվեց ընտրել պատկերը: Խնդրում ենք կրկին փորձել:")</f>
        <v>Չհաջողվեց ընտրել պատկերը: Խնդրում ենք կրկին փորձել:</v>
      </c>
      <c r="AL336" s="4" t="str">
        <f>IFERROR(__xludf.DUMMYFUNCTION("GOOGLETRANSLATE(B336,""en"",""ca"")"),"No s'ha pogut escollir la imatge. Si us plau, torna-ho a provar.")</f>
        <v>No s'ha pogut escollir la imatge. Si us plau, torna-ho a provar.</v>
      </c>
      <c r="AM336" s="4" t="str">
        <f>IFERROR(__xludf.DUMMYFUNCTION("GOOGLETRANSLATE(B336,""en"",""nl"")"),"Afbeelding selecteren mislukt. Probeer het opnieuw.")</f>
        <v>Afbeelding selecteren mislukt. Probeer het opnieuw.</v>
      </c>
      <c r="AN336" s="4" t="str">
        <f>IFERROR(__xludf.DUMMYFUNCTION("GOOGLETRANSLATE(B336,""en"",""he"")"),"בחירת התמונה נכשלה. אנא נסה שוב.")</f>
        <v>בחירת התמונה נכשלה. אנא נסה שוב.</v>
      </c>
      <c r="AO336" s="4" t="str">
        <f>IFERROR(__xludf.DUMMYFUNCTION("GOOGLETRANSLATE(B336,""en"",""is"")"),"Mistókst að velja mynd. Vinsamlegast reyndu aftur.")</f>
        <v>Mistókst að velja mynd. Vinsamlegast reyndu aftur.</v>
      </c>
      <c r="AP336" s="4" t="str">
        <f>IFERROR(__xludf.DUMMYFUNCTION("GOOGLETRANSLATE(B336,""en"",""no"")"),"Kunne ikke velge bilde. Vennligst prøv igjen.")</f>
        <v>Kunne ikke velge bilde. Vennligst prøv igjen.</v>
      </c>
      <c r="AQ336" s="4" t="str">
        <f>IFERROR(__xludf.DUMMYFUNCTION("GOOGLETRANSLATE(B336,""en"",""fa"")"),"تصویر انتخاب نشد. لطفا دوباره امتحان کنید.")</f>
        <v>تصویر انتخاب نشد. لطفا دوباره امتحان کنید.</v>
      </c>
      <c r="AR336" s="4" t="str">
        <f>IFERROR(__xludf.DUMMYFUNCTION("GOOGLETRANSLATE(B336,""en"",""pl"")"),"Nie udało się wybrać obrazu. Spróbuj ponownie.")</f>
        <v>Nie udało się wybrać obrazu. Spróbuj ponownie.</v>
      </c>
      <c r="AS336" s="4" t="str">
        <f>IFERROR(__xludf.DUMMYFUNCTION("GOOGLETRANSLATE(B336,""en"",""sv"")"),"Det gick inte att välja bild. Försök igen.")</f>
        <v>Det gick inte att välja bild. Försök igen.</v>
      </c>
      <c r="AT336" s="4" t="str">
        <f>IFERROR(__xludf.DUMMYFUNCTION("GOOGLETRANSLATE(B336,""en"",""uk"")"),"Не вдалося вибрати зображення. Спробуйте ще раз.")</f>
        <v>Не вдалося вибрати зображення. Спробуйте ще раз.</v>
      </c>
      <c r="AU336" s="4" t="str">
        <f>IFERROR(__xludf.DUMMYFUNCTION("GOOGLETRANSLATE(B336,""en"",""zu"")"),"Yehlulekile ukukhetha isithombe. Sicela uzame futhi.")</f>
        <v>Yehlulekile ukukhetha isithombe. Sicela uzame futhi.</v>
      </c>
      <c r="AV336" s="4" t="str">
        <f>IFERROR(__xludf.DUMMYFUNCTION("GOOGLETRANSLATE(B336,""en"",""sr"")"),"Избор слике није успео. Покушајте поново.")</f>
        <v>Избор слике није успео. Покушајте поново.</v>
      </c>
    </row>
    <row r="337">
      <c r="A337" s="3" t="s">
        <v>668</v>
      </c>
      <c r="B337" s="3" t="s">
        <v>669</v>
      </c>
      <c r="C337" s="4" t="str">
        <f>IFERROR(__xludf.DUMMYFUNCTION("GOOGLETRANSLATE(B337,""en"",""ta"")"),"கேமரா அனுமதியைக் கோருவதில் தோல்வி")</f>
        <v>கேமரா அனுமதியைக் கோருவதில் தோல்வி</v>
      </c>
      <c r="D337" s="4" t="str">
        <f>IFERROR(__xludf.DUMMYFUNCTION("GOOGLETRANSLATE(B337,""en"",""hi"")"),"कैमरा अनुमति का अनुरोध करने में विफल")</f>
        <v>कैमरा अनुमति का अनुरोध करने में विफल</v>
      </c>
      <c r="E337" s="4" t="str">
        <f>IFERROR(__xludf.DUMMYFUNCTION("GOOGLETRANSLATE(B337,""en"",""id"")"),"Gagal meminta izin kamera")</f>
        <v>Gagal meminta izin kamera</v>
      </c>
      <c r="F337" s="4" t="str">
        <f>IFERROR(__xludf.DUMMYFUNCTION("GOOGLETRANSLATE(B337,""en"",""ms"")"),"Gagal meminta kebenaran kamera")</f>
        <v>Gagal meminta kebenaran kamera</v>
      </c>
      <c r="G337" s="4" t="str">
        <f>IFERROR(__xludf.DUMMYFUNCTION("GOOGLETRANSLATE(B337,""en"",""de"")"),"Die Anforderung der Kameraberechtigung ist fehlgeschlagen.")</f>
        <v>Die Anforderung der Kameraberechtigung ist fehlgeschlagen.</v>
      </c>
      <c r="H337" s="4" t="str">
        <f>IFERROR(__xludf.DUMMYFUNCTION("GOOGLETRANSLATE(B337,""en"",""es"")"),"No se pudo solicitar permiso para la cámara")</f>
        <v>No se pudo solicitar permiso para la cámara</v>
      </c>
      <c r="I337" s="4" t="str">
        <f>IFERROR(__xludf.DUMMYFUNCTION("GOOGLETRANSLATE(B337,""en"",""fr"")"),"Échec de la demande d'autorisation de la caméra")</f>
        <v>Échec de la demande d'autorisation de la caméra</v>
      </c>
      <c r="J337" s="4" t="str">
        <f>IFERROR(__xludf.DUMMYFUNCTION("GOOGLETRANSLATE(B337,""en"",""it"")"),"Impossibile richiedere l'autorizzazione della fotocamera")</f>
        <v>Impossibile richiedere l'autorizzazione della fotocamera</v>
      </c>
      <c r="K337" s="4" t="str">
        <f>IFERROR(__xludf.DUMMYFUNCTION("GOOGLETRANSLATE(B337,""en"",""pt"")"),"Falha ao solicitar permissão para câmera")</f>
        <v>Falha ao solicitar permissão para câmera</v>
      </c>
      <c r="L337" s="4" t="str">
        <f>IFERROR(__xludf.DUMMYFUNCTION("GOOGLETRANSLATE(B337,""en"",""ro"")"),"Nu s-a solicitat permisiunea camerei")</f>
        <v>Nu s-a solicitat permisiunea camerei</v>
      </c>
      <c r="M337" s="4" t="str">
        <f>IFERROR(__xludf.DUMMYFUNCTION("GOOGLETRANSLATE(B337,""en"",""vi"")"),"Không thể yêu cầu quyền truy cập máy ảnh")</f>
        <v>Không thể yêu cầu quyền truy cập máy ảnh</v>
      </c>
      <c r="N337" s="4" t="str">
        <f>IFERROR(__xludf.DUMMYFUNCTION("GOOGLETRANSLATE(B337,""en"",""ru"")"),"Не удалось запросить разрешение камеры")</f>
        <v>Не удалось запросить разрешение камеры</v>
      </c>
      <c r="O337" s="4" t="str">
        <f>IFERROR(__xludf.DUMMYFUNCTION("GOOGLETRANSLATE(B337,""en"",""tr"")"),"Kamera izni istenemedi")</f>
        <v>Kamera izni istenemedi</v>
      </c>
      <c r="P337" s="4" t="str">
        <f>IFERROR(__xludf.DUMMYFUNCTION("GOOGLETRANSLATE(B337,""en"",""ar"")"),"فشل في طلب إذن الكاميرا")</f>
        <v>فشل في طلب إذن الكاميرا</v>
      </c>
      <c r="Q337" s="4" t="str">
        <f>IFERROR(__xludf.DUMMYFUNCTION("GOOGLETRANSLATE(B337,""en"",""mr"")"),"कॅमेरा परवानगीची विनंती करण्यात अयशस्वी")</f>
        <v>कॅमेरा परवानगीची विनंती करण्यात अयशस्वी</v>
      </c>
      <c r="R337" s="4" t="str">
        <f>IFERROR(__xludf.DUMMYFUNCTION("GOOGLETRANSLATE(B337,""en"",""gu"")"),"કૅમેરાની પરવાનગીની વિનંતી કરવામાં નિષ્ફળ")</f>
        <v>કૅમેરાની પરવાનગીની વિનંતી કરવામાં નિષ્ફળ</v>
      </c>
      <c r="S337" s="4" t="str">
        <f>IFERROR(__xludf.DUMMYFUNCTION("GOOGLETRANSLATE(B337,""en"",""bn"")"),"ক্যামেরার অনুমতির অনুরোধ করা যায়নি")</f>
        <v>ক্যামেরার অনুমতির অনুরোধ করা যায়নি</v>
      </c>
      <c r="T337" s="4" t="str">
        <f>IFERROR(__xludf.DUMMYFUNCTION("GOOGLETRANSLATE(B337,""en"",""pa"")"),"ਕੈਮਰੇ ਦੀ ਇਜਾਜ਼ਤ ਲਈ ਬੇਨਤੀ ਕਰਨ ਵਿੱਚ ਅਸਫਲ")</f>
        <v>ਕੈਮਰੇ ਦੀ ਇਜਾਜ਼ਤ ਲਈ ਬੇਨਤੀ ਕਰਨ ਵਿੱਚ ਅਸਫਲ</v>
      </c>
      <c r="U337" s="4" t="str">
        <f>IFERROR(__xludf.DUMMYFUNCTION("GOOGLETRANSLATE(B337,""en"",""te"")"),"కెమెరా అనుమతిని అభ్యర్థించడంలో విఫలమైంది")</f>
        <v>కెమెరా అనుమతిని అభ్యర్థించడంలో విఫలమైంది</v>
      </c>
      <c r="V337" s="4" t="str">
        <f>IFERROR(__xludf.DUMMYFUNCTION("GOOGLETRANSLATE(B337,""en"",""kn"")"),"ಕ್ಯಾಮರಾ ಅನುಮತಿಯನ್ನು ವಿನಂತಿಸಲು ವಿಫಲವಾಗಿದೆ")</f>
        <v>ಕ್ಯಾಮರಾ ಅನುಮತಿಯನ್ನು ವಿನಂತಿಸಲು ವಿಫಲವಾಗಿದೆ</v>
      </c>
      <c r="W337" s="4" t="str">
        <f>IFERROR(__xludf.DUMMYFUNCTION("GOOGLETRANSLATE(B337,""en"",""ml"")"),"ക്യാമറ അനുമതി അഭ്യർത്ഥിക്കുന്നതിൽ പരാജയപ്പെട്ടു")</f>
        <v>ക്യാമറ അനുമതി അഭ്യർത്ഥിക്കുന്നതിൽ പരാജയപ്പെട്ടു</v>
      </c>
      <c r="X337" s="4" t="str">
        <f>IFERROR(__xludf.DUMMYFUNCTION("GOOGLETRANSLATE(B337,""en"",""th"")"),"ไม่สามารถขออนุญาตใช้กล้องได้")</f>
        <v>ไม่สามารถขออนุญาตใช้กล้องได้</v>
      </c>
      <c r="Y337" s="4" t="str">
        <f>IFERROR(__xludf.DUMMYFUNCTION("GOOGLETRANSLATE(B337,""en"",""ko"")"),"카메라 권한 요청에 실패했습니다.")</f>
        <v>카메라 권한 요청에 실패했습니다.</v>
      </c>
      <c r="Z337" s="4" t="str">
        <f>IFERROR(__xludf.DUMMYFUNCTION("GOOGLETRANSLATE(B337,""en"",""zh"")"),"无法请求相机权限")</f>
        <v>无法请求相机权限</v>
      </c>
      <c r="AA337" s="4" t="str">
        <f>IFERROR(__xludf.DUMMYFUNCTION("GOOGLETRANSLATE(B337,""en"",""zh-TW"")"),"無法請求相機權限")</f>
        <v>無法請求相機權限</v>
      </c>
      <c r="AB337" s="4" t="str">
        <f>IFERROR(__xludf.DUMMYFUNCTION("GOOGLETRANSLATE(B337,""en"",""ja"")"),"カメラの許可をリクエストできませんでした")</f>
        <v>カメラの許可をリクエストできませんでした</v>
      </c>
      <c r="AC337" s="4" t="str">
        <f>IFERROR(__xludf.DUMMYFUNCTION("GOOGLETRANSLATE(B337,""en"",""bg"")"),"Искането на разрешение за камерата не бе успешно")</f>
        <v>Искането на разрешение за камерата не бе успешно</v>
      </c>
      <c r="AD337" s="4" t="str">
        <f>IFERROR(__xludf.DUMMYFUNCTION("GOOGLETRANSLATE(B337,""en"",""cs"")"),"Nepodařilo se požádat o povolení fotoaparátu")</f>
        <v>Nepodařilo se požádat o povolení fotoaparátu</v>
      </c>
      <c r="AE337" s="4" t="str">
        <f>IFERROR(__xludf.DUMMYFUNCTION("GOOGLETRANSLATE(B337,""en"",""da"")"),"Kunne ikke anmode om kameratilladelse")</f>
        <v>Kunne ikke anmode om kameratilladelse</v>
      </c>
      <c r="AF337" s="4" t="str">
        <f>IFERROR(__xludf.DUMMYFUNCTION("GOOGLETRANSLATE(B337,""en"",""el"")"),"Αποτυχία αίτησης άδειας κάμερας")</f>
        <v>Αποτυχία αίτησης άδειας κάμερας</v>
      </c>
      <c r="AG337" s="4" t="str">
        <f>IFERROR(__xludf.DUMMYFUNCTION("GOOGLETRANSLATE(B337,""en"",""et"")"),"Kaamera loa taotlemine ebaõnnestus")</f>
        <v>Kaamera loa taotlemine ebaõnnestus</v>
      </c>
      <c r="AH337" s="4" t="str">
        <f>IFERROR(__xludf.DUMMYFUNCTION("GOOGLETRANSLATE(B337,""en"",""fi"")"),"Kameran luvan pyytäminen epäonnistui")</f>
        <v>Kameran luvan pyytäminen epäonnistui</v>
      </c>
      <c r="AI337" s="4" t="str">
        <f>IFERROR(__xludf.DUMMYFUNCTION("GOOGLETRANSLATE(B337,""en"",""hr"")"),"Traženje dopuštenja za kameru nije uspjelo")</f>
        <v>Traženje dopuštenja za kameru nije uspjelo</v>
      </c>
      <c r="AJ337" s="4" t="str">
        <f>IFERROR(__xludf.DUMMYFUNCTION("GOOGLETRANSLATE(B337,""en"",""hu"")"),"Nem sikerült a kameraengedély kérése")</f>
        <v>Nem sikerült a kameraengedély kérése</v>
      </c>
      <c r="AK337" s="4" t="str">
        <f>IFERROR(__xludf.DUMMYFUNCTION("GOOGLETRANSLATE(B337,""en"",""hy"")"),"Չհաջողվեց տեսախցիկի թույլտվություն խնդրել")</f>
        <v>Չհաջողվեց տեսախցիկի թույլտվություն խնդրել</v>
      </c>
      <c r="AL337" s="4" t="str">
        <f>IFERROR(__xludf.DUMMYFUNCTION("GOOGLETRANSLATE(B337,""en"",""ca"")"),"No s'ha pogut sol·licitar el permís de la càmera")</f>
        <v>No s'ha pogut sol·licitar el permís de la càmera</v>
      </c>
      <c r="AM337" s="4" t="str">
        <f>IFERROR(__xludf.DUMMYFUNCTION("GOOGLETRANSLATE(B337,""en"",""nl"")"),"Het aanvragen van cameratoestemming is mislukt")</f>
        <v>Het aanvragen van cameratoestemming is mislukt</v>
      </c>
      <c r="AN337" s="4" t="str">
        <f>IFERROR(__xludf.DUMMYFUNCTION("GOOGLETRANSLATE(B337,""en"",""he"")"),"בקשת הרשאת מצלמה נכשלה")</f>
        <v>בקשת הרשאת מצלמה נכשלה</v>
      </c>
      <c r="AO337" s="4" t="str">
        <f>IFERROR(__xludf.DUMMYFUNCTION("GOOGLETRANSLATE(B337,""en"",""is"")"),"Mistókst að biðja um leyfi fyrir myndavél")</f>
        <v>Mistókst að biðja um leyfi fyrir myndavél</v>
      </c>
      <c r="AP337" s="4" t="str">
        <f>IFERROR(__xludf.DUMMYFUNCTION("GOOGLETRANSLATE(B337,""en"",""no"")"),"Kunne ikke be om kameratillatelse")</f>
        <v>Kunne ikke be om kameratillatelse</v>
      </c>
      <c r="AQ337" s="4" t="str">
        <f>IFERROR(__xludf.DUMMYFUNCTION("GOOGLETRANSLATE(B337,""en"",""fa"")"),"درخواست مجوز دوربین انجام نشد")</f>
        <v>درخواست مجوز دوربین انجام نشد</v>
      </c>
      <c r="AR337" s="4" t="str">
        <f>IFERROR(__xludf.DUMMYFUNCTION("GOOGLETRANSLATE(B337,""en"",""pl"")"),"Nie udało się poprosić o pozwolenie na korzystanie z kamery")</f>
        <v>Nie udało się poprosić o pozwolenie na korzystanie z kamery</v>
      </c>
      <c r="AS337" s="4" t="str">
        <f>IFERROR(__xludf.DUMMYFUNCTION("GOOGLETRANSLATE(B337,""en"",""sv"")"),"Det gick inte att begära kameratillstånd")</f>
        <v>Det gick inte att begära kameratillstånd</v>
      </c>
      <c r="AT337" s="4" t="str">
        <f>IFERROR(__xludf.DUMMYFUNCTION("GOOGLETRANSLATE(B337,""en"",""uk"")"),"Не вдалося запитати дозвіл камери")</f>
        <v>Не вдалося запитати дозвіл камери</v>
      </c>
      <c r="AU337" s="4" t="str">
        <f>IFERROR(__xludf.DUMMYFUNCTION("GOOGLETRANSLATE(B337,""en"",""zu"")"),"Yehlulekile ukucela imvume yekhamera")</f>
        <v>Yehlulekile ukucela imvume yekhamera</v>
      </c>
      <c r="AV337" s="4" t="str">
        <f>IFERROR(__xludf.DUMMYFUNCTION("GOOGLETRANSLATE(B337,""en"",""sr"")"),"Захтевање дозволе за камеру није успело")</f>
        <v>Захтевање дозволе за камеру није успело</v>
      </c>
    </row>
    <row r="338">
      <c r="A338" s="3" t="s">
        <v>670</v>
      </c>
      <c r="B338" s="3" t="s">
        <v>671</v>
      </c>
      <c r="C338" s="4" t="str">
        <f>IFERROR(__xludf.DUMMYFUNCTION("GOOGLETRANSLATE(B338,""en"",""ta"")"),"லீடர்போர்டு")</f>
        <v>லீடர்போர்டு</v>
      </c>
      <c r="D338" s="4" t="str">
        <f>IFERROR(__xludf.DUMMYFUNCTION("GOOGLETRANSLATE(B338,""en"",""hi"")"),"लीडरबोर्ड")</f>
        <v>लीडरबोर्ड</v>
      </c>
      <c r="E338" s="4" t="str">
        <f>IFERROR(__xludf.DUMMYFUNCTION("GOOGLETRANSLATE(B338,""en"",""id"")"),"Papan Peringkat")</f>
        <v>Papan Peringkat</v>
      </c>
      <c r="F338" s="4" t="str">
        <f>IFERROR(__xludf.DUMMYFUNCTION("GOOGLETRANSLATE(B338,""en"",""ms"")"),"Papan pendahulu")</f>
        <v>Papan pendahulu</v>
      </c>
      <c r="G338" s="4" t="str">
        <f>IFERROR(__xludf.DUMMYFUNCTION("GOOGLETRANSLATE(B338,""en"",""de"")"),"Bestenliste")</f>
        <v>Bestenliste</v>
      </c>
      <c r="H338" s="4" t="str">
        <f>IFERROR(__xludf.DUMMYFUNCTION("GOOGLETRANSLATE(B338,""en"",""es"")"),"Tabla de clasificación")</f>
        <v>Tabla de clasificación</v>
      </c>
      <c r="I338" s="4" t="str">
        <f>IFERROR(__xludf.DUMMYFUNCTION("GOOGLETRANSLATE(B338,""en"",""fr"")"),"Classement")</f>
        <v>Classement</v>
      </c>
      <c r="J338" s="4" t="str">
        <f>IFERROR(__xludf.DUMMYFUNCTION("GOOGLETRANSLATE(B338,""en"",""it"")"),"Classifica")</f>
        <v>Classifica</v>
      </c>
      <c r="K338" s="4" t="str">
        <f>IFERROR(__xludf.DUMMYFUNCTION("GOOGLETRANSLATE(B338,""en"",""pt"")"),"Classificação")</f>
        <v>Classificação</v>
      </c>
      <c r="L338" s="4" t="str">
        <f>IFERROR(__xludf.DUMMYFUNCTION("GOOGLETRANSLATE(B338,""en"",""ro"")"),"Clasament")</f>
        <v>Clasament</v>
      </c>
      <c r="M338" s="4" t="str">
        <f>IFERROR(__xludf.DUMMYFUNCTION("GOOGLETRANSLATE(B338,""en"",""vi"")"),"Bảng xếp hạng")</f>
        <v>Bảng xếp hạng</v>
      </c>
      <c r="N338" s="4" t="str">
        <f>IFERROR(__xludf.DUMMYFUNCTION("GOOGLETRANSLATE(B338,""en"",""ru"")"),"Таблица лидеров")</f>
        <v>Таблица лидеров</v>
      </c>
      <c r="O338" s="4" t="str">
        <f>IFERROR(__xludf.DUMMYFUNCTION("GOOGLETRANSLATE(B338,""en"",""tr"")"),"Liderlik tablosu")</f>
        <v>Liderlik tablosu</v>
      </c>
      <c r="P338" s="4" t="str">
        <f>IFERROR(__xludf.DUMMYFUNCTION("GOOGLETRANSLATE(B338,""en"",""ar"")"),"لوحة المتصدرين")</f>
        <v>لوحة المتصدرين</v>
      </c>
      <c r="Q338" s="4" t="str">
        <f>IFERROR(__xludf.DUMMYFUNCTION("GOOGLETRANSLATE(B338,""en"",""mr"")"),"लीडरबोर्ड")</f>
        <v>लीडरबोर्ड</v>
      </c>
      <c r="R338" s="4" t="str">
        <f>IFERROR(__xludf.DUMMYFUNCTION("GOOGLETRANSLATE(B338,""en"",""gu"")"),"લીડરબોર્ડ")</f>
        <v>લીડરબોર્ડ</v>
      </c>
      <c r="S338" s="4" t="str">
        <f>IFERROR(__xludf.DUMMYFUNCTION("GOOGLETRANSLATE(B338,""en"",""bn"")"),"লিডারবোর্ড")</f>
        <v>লিডারবোর্ড</v>
      </c>
      <c r="T338" s="4" t="str">
        <f>IFERROR(__xludf.DUMMYFUNCTION("GOOGLETRANSLATE(B338,""en"",""pa"")"),"ਲੀਡਰਬੋਰਡ")</f>
        <v>ਲੀਡਰਬੋਰਡ</v>
      </c>
      <c r="U338" s="4" t="str">
        <f>IFERROR(__xludf.DUMMYFUNCTION("GOOGLETRANSLATE(B338,""en"",""te"")"),"లీడర్‌బోర్డ్")</f>
        <v>లీడర్‌బోర్డ్</v>
      </c>
      <c r="V338" s="4" t="str">
        <f>IFERROR(__xludf.DUMMYFUNCTION("GOOGLETRANSLATE(B338,""en"",""kn"")"),"ಲೀಡರ್‌ಬೋರ್ಡ್")</f>
        <v>ಲೀಡರ್‌ಬೋರ್ಡ್</v>
      </c>
      <c r="W338" s="4" t="str">
        <f>IFERROR(__xludf.DUMMYFUNCTION("GOOGLETRANSLATE(B338,""en"",""ml"")"),"ലീഡർബോർഡ്")</f>
        <v>ലീഡർബോർഡ്</v>
      </c>
      <c r="X338" s="4" t="str">
        <f>IFERROR(__xludf.DUMMYFUNCTION("GOOGLETRANSLATE(B338,""en"",""th"")"),"กระดานผู้นำ")</f>
        <v>กระดานผู้นำ</v>
      </c>
      <c r="Y338" s="4" t="str">
        <f>IFERROR(__xludf.DUMMYFUNCTION("GOOGLETRANSLATE(B338,""en"",""ko"")"),"리더보드")</f>
        <v>리더보드</v>
      </c>
      <c r="Z338" s="4" t="str">
        <f>IFERROR(__xludf.DUMMYFUNCTION("GOOGLETRANSLATE(B338,""en"",""zh"")"),"排行榜")</f>
        <v>排行榜</v>
      </c>
      <c r="AA338" s="4" t="str">
        <f>IFERROR(__xludf.DUMMYFUNCTION("GOOGLETRANSLATE(B338,""en"",""zh-TW"")"),"排行榜")</f>
        <v>排行榜</v>
      </c>
      <c r="AB338" s="4" t="str">
        <f>IFERROR(__xludf.DUMMYFUNCTION("GOOGLETRANSLATE(B338,""en"",""ja"")"),"リーダーボード")</f>
        <v>リーダーボード</v>
      </c>
      <c r="AC338" s="4" t="str">
        <f>IFERROR(__xludf.DUMMYFUNCTION("GOOGLETRANSLATE(B338,""en"",""bg"")"),"класация")</f>
        <v>класация</v>
      </c>
      <c r="AD338" s="4" t="str">
        <f>IFERROR(__xludf.DUMMYFUNCTION("GOOGLETRANSLATE(B338,""en"",""cs"")"),"Žebříček")</f>
        <v>Žebříček</v>
      </c>
      <c r="AE338" s="4" t="str">
        <f>IFERROR(__xludf.DUMMYFUNCTION("GOOGLETRANSLATE(B338,""en"",""da"")"),"Leaderboard")</f>
        <v>Leaderboard</v>
      </c>
      <c r="AF338" s="4" t="str">
        <f>IFERROR(__xludf.DUMMYFUNCTION("GOOGLETRANSLATE(B338,""en"",""el"")"),"Leaderboard")</f>
        <v>Leaderboard</v>
      </c>
      <c r="AG338" s="4" t="str">
        <f>IFERROR(__xludf.DUMMYFUNCTION("GOOGLETRANSLATE(B338,""en"",""et"")"),"Edetabel")</f>
        <v>Edetabel</v>
      </c>
      <c r="AH338" s="4" t="str">
        <f>IFERROR(__xludf.DUMMYFUNCTION("GOOGLETRANSLATE(B338,""en"",""fi"")"),"Tulostaulukko")</f>
        <v>Tulostaulukko</v>
      </c>
      <c r="AI338" s="4" t="str">
        <f>IFERROR(__xludf.DUMMYFUNCTION("GOOGLETRANSLATE(B338,""en"",""hr"")"),"Leaderboard")</f>
        <v>Leaderboard</v>
      </c>
      <c r="AJ338" s="4" t="str">
        <f>IFERROR(__xludf.DUMMYFUNCTION("GOOGLETRANSLATE(B338,""en"",""hu"")"),"Ranglista")</f>
        <v>Ranglista</v>
      </c>
      <c r="AK338" s="4" t="str">
        <f>IFERROR(__xludf.DUMMYFUNCTION("GOOGLETRANSLATE(B338,""en"",""hy"")"),"Առաջատար աղյուսակ")</f>
        <v>Առաջատար աղյուսակ</v>
      </c>
      <c r="AL338" s="4" t="str">
        <f>IFERROR(__xludf.DUMMYFUNCTION("GOOGLETRANSLATE(B338,""en"",""ca"")"),"Tauler de classificació")</f>
        <v>Tauler de classificació</v>
      </c>
      <c r="AM338" s="4" t="str">
        <f>IFERROR(__xludf.DUMMYFUNCTION("GOOGLETRANSLATE(B338,""en"",""nl"")"),"Ranglijst")</f>
        <v>Ranglijst</v>
      </c>
      <c r="AN338" s="4" t="str">
        <f>IFERROR(__xludf.DUMMYFUNCTION("GOOGLETRANSLATE(B338,""en"",""he"")"),"Leaderboard")</f>
        <v>Leaderboard</v>
      </c>
      <c r="AO338" s="4" t="str">
        <f>IFERROR(__xludf.DUMMYFUNCTION("GOOGLETRANSLATE(B338,""en"",""is"")"),"Topplisti")</f>
        <v>Topplisti</v>
      </c>
      <c r="AP338" s="4" t="str">
        <f>IFERROR(__xludf.DUMMYFUNCTION("GOOGLETRANSLATE(B338,""en"",""no"")"),"Leaderboard")</f>
        <v>Leaderboard</v>
      </c>
      <c r="AQ338" s="4" t="str">
        <f>IFERROR(__xludf.DUMMYFUNCTION("GOOGLETRANSLATE(B338,""en"",""fa"")"),"تابلوی امتیازات")</f>
        <v>تابلوی امتیازات</v>
      </c>
      <c r="AR338" s="4" t="str">
        <f>IFERROR(__xludf.DUMMYFUNCTION("GOOGLETRANSLATE(B338,""en"",""pl"")"),"Tabela wyników")</f>
        <v>Tabela wyników</v>
      </c>
      <c r="AS338" s="4" t="str">
        <f>IFERROR(__xludf.DUMMYFUNCTION("GOOGLETRANSLATE(B338,""en"",""sv"")"),"Leaderboard")</f>
        <v>Leaderboard</v>
      </c>
      <c r="AT338" s="4" t="str">
        <f>IFERROR(__xludf.DUMMYFUNCTION("GOOGLETRANSLATE(B338,""en"",""uk"")"),"Таблиця лідерів")</f>
        <v>Таблиця лідерів</v>
      </c>
      <c r="AU338" s="4" t="str">
        <f>IFERROR(__xludf.DUMMYFUNCTION("GOOGLETRANSLATE(B338,""en"",""zu"")"),"Ibhodi yabaphambili")</f>
        <v>Ibhodi yabaphambili</v>
      </c>
      <c r="AV338" s="4" t="str">
        <f>IFERROR(__xludf.DUMMYFUNCTION("GOOGLETRANSLATE(B338,""en"",""sr"")"),"Леадербоард")</f>
        <v>Леадербоард</v>
      </c>
    </row>
    <row r="339">
      <c r="A339" s="3" t="s">
        <v>672</v>
      </c>
      <c r="B339" s="3" t="s">
        <v>673</v>
      </c>
      <c r="C339" s="4" t="str">
        <f>IFERROR(__xludf.DUMMYFUNCTION("GOOGLETRANSLATE(B339,""en"",""ta"")"),"முதல் 50 சிகரங்கள்")</f>
        <v>முதல் 50 சிகரங்கள்</v>
      </c>
      <c r="D339" s="4" t="str">
        <f>IFERROR(__xludf.DUMMYFUNCTION("GOOGLETRANSLATE(B339,""en"",""hi"")"),"शीर्ष 50 चोटियाँ")</f>
        <v>शीर्ष 50 चोटियाँ</v>
      </c>
      <c r="E339" s="4" t="str">
        <f>IFERROR(__xludf.DUMMYFUNCTION("GOOGLETRANSLATE(B339,""en"",""id"")"),"50 Puncak Teratas")</f>
        <v>50 Puncak Teratas</v>
      </c>
      <c r="F339" s="4" t="str">
        <f>IFERROR(__xludf.DUMMYFUNCTION("GOOGLETRANSLATE(B339,""en"",""ms"")"),"50 Puncak Teratas")</f>
        <v>50 Puncak Teratas</v>
      </c>
      <c r="G339" s="4" t="str">
        <f>IFERROR(__xludf.DUMMYFUNCTION("GOOGLETRANSLATE(B339,""en"",""de"")"),"Top 50 Gipfel")</f>
        <v>Top 50 Gipfel</v>
      </c>
      <c r="H339" s="4" t="str">
        <f>IFERROR(__xludf.DUMMYFUNCTION("GOOGLETRANSLATE(B339,""en"",""es"")"),"Los 50 picos más importantes")</f>
        <v>Los 50 picos más importantes</v>
      </c>
      <c r="I339" s="4" t="str">
        <f>IFERROR(__xludf.DUMMYFUNCTION("GOOGLETRANSLATE(B339,""en"",""fr"")"),"Top 50 des sommets")</f>
        <v>Top 50 des sommets</v>
      </c>
      <c r="J339" s="4" t="str">
        <f>IFERROR(__xludf.DUMMYFUNCTION("GOOGLETRANSLATE(B339,""en"",""it"")"),"Le 50 vette più alte")</f>
        <v>Le 50 vette più alte</v>
      </c>
      <c r="K339" s="4" t="str">
        <f>IFERROR(__xludf.DUMMYFUNCTION("GOOGLETRANSLATE(B339,""en"",""pt"")"),"Os 50 principais picos")</f>
        <v>Os 50 principais picos</v>
      </c>
      <c r="L339" s="4" t="str">
        <f>IFERROR(__xludf.DUMMYFUNCTION("GOOGLETRANSLATE(B339,""en"",""ro"")"),"Top 50 de vârfuri")</f>
        <v>Top 50 de vârfuri</v>
      </c>
      <c r="M339" s="4" t="str">
        <f>IFERROR(__xludf.DUMMYFUNCTION("GOOGLETRANSLATE(B339,""en"",""vi"")"),"50 đỉnh núi hàng đầu")</f>
        <v>50 đỉnh núi hàng đầu</v>
      </c>
      <c r="N339" s="4" t="str">
        <f>IFERROR(__xludf.DUMMYFUNCTION("GOOGLETRANSLATE(B339,""en"",""ru"")"),"50 лучших вершин")</f>
        <v>50 лучших вершин</v>
      </c>
      <c r="O339" s="4" t="str">
        <f>IFERROR(__xludf.DUMMYFUNCTION("GOOGLETRANSLATE(B339,""en"",""tr"")"),"En İyi 50 Zirve")</f>
        <v>En İyi 50 Zirve</v>
      </c>
      <c r="P339" s="4" t="str">
        <f>IFERROR(__xludf.DUMMYFUNCTION("GOOGLETRANSLATE(B339,""en"",""ar"")"),"أفضل 50 قمة")</f>
        <v>أفضل 50 قمة</v>
      </c>
      <c r="Q339" s="4" t="str">
        <f>IFERROR(__xludf.DUMMYFUNCTION("GOOGLETRANSLATE(B339,""en"",""mr"")"),"शीर्ष 50 शिखरे")</f>
        <v>शीर्ष 50 शिखरे</v>
      </c>
      <c r="R339" s="4" t="str">
        <f>IFERROR(__xludf.DUMMYFUNCTION("GOOGLETRANSLATE(B339,""en"",""gu"")"),"ટોચના 50 શિખરો")</f>
        <v>ટોચના 50 શિખરો</v>
      </c>
      <c r="S339" s="4" t="str">
        <f>IFERROR(__xludf.DUMMYFUNCTION("GOOGLETRANSLATE(B339,""en"",""bn"")"),"শীর্ষ 50 শিখর")</f>
        <v>শীর্ষ 50 শিখর</v>
      </c>
      <c r="T339" s="4" t="str">
        <f>IFERROR(__xludf.DUMMYFUNCTION("GOOGLETRANSLATE(B339,""en"",""pa"")"),"ਚੋਟੀ ਦੀਆਂ 50 ਚੋਟੀਆਂ")</f>
        <v>ਚੋਟੀ ਦੀਆਂ 50 ਚੋਟੀਆਂ</v>
      </c>
      <c r="U339" s="4" t="str">
        <f>IFERROR(__xludf.DUMMYFUNCTION("GOOGLETRANSLATE(B339,""en"",""te"")"),"టాప్ 50 శిఖరాలు")</f>
        <v>టాప్ 50 శిఖరాలు</v>
      </c>
      <c r="V339" s="4" t="str">
        <f>IFERROR(__xludf.DUMMYFUNCTION("GOOGLETRANSLATE(B339,""en"",""kn"")"),"ಟಾಪ್ 50 ಶಿಖರಗಳು")</f>
        <v>ಟಾಪ್ 50 ಶಿಖರಗಳು</v>
      </c>
      <c r="W339" s="4" t="str">
        <f>IFERROR(__xludf.DUMMYFUNCTION("GOOGLETRANSLATE(B339,""en"",""ml"")"),"മികച്ച 50 കൊടുമുടികൾ")</f>
        <v>മികച്ച 50 കൊടുമുടികൾ</v>
      </c>
      <c r="X339" s="4" t="str">
        <f>IFERROR(__xludf.DUMMYFUNCTION("GOOGLETRANSLATE(B339,""en"",""th"")"),"ยอดเขา 50 อันดับแรก")</f>
        <v>ยอดเขา 50 อันดับแรก</v>
      </c>
      <c r="Y339" s="4" t="str">
        <f>IFERROR(__xludf.DUMMYFUNCTION("GOOGLETRANSLATE(B339,""en"",""ko"")"),"상위 50개 봉우리")</f>
        <v>상위 50개 봉우리</v>
      </c>
      <c r="Z339" s="4" t="str">
        <f>IFERROR(__xludf.DUMMYFUNCTION("GOOGLETRANSLATE(B339,""en"",""zh"")"),"前50座山峰")</f>
        <v>前50座山峰</v>
      </c>
      <c r="AA339" s="4" t="str">
        <f>IFERROR(__xludf.DUMMYFUNCTION("GOOGLETRANSLATE(B339,""en"",""zh-TW"")"),"前50座山峰")</f>
        <v>前50座山峰</v>
      </c>
      <c r="AB339" s="4" t="str">
        <f>IFERROR(__xludf.DUMMYFUNCTION("GOOGLETRANSLATE(B339,""en"",""ja"")"),"トップ50の山")</f>
        <v>トップ50の山</v>
      </c>
      <c r="AC339" s="4" t="str">
        <f>IFERROR(__xludf.DUMMYFUNCTION("GOOGLETRANSLATE(B339,""en"",""bg"")"),"Топ 50 върха")</f>
        <v>Топ 50 върха</v>
      </c>
      <c r="AD339" s="4" t="str">
        <f>IFERROR(__xludf.DUMMYFUNCTION("GOOGLETRANSLATE(B339,""en"",""cs"")"),"Top 50 vrcholů")</f>
        <v>Top 50 vrcholů</v>
      </c>
      <c r="AE339" s="4" t="str">
        <f>IFERROR(__xludf.DUMMYFUNCTION("GOOGLETRANSLATE(B339,""en"",""da"")"),"Top 50 toppe")</f>
        <v>Top 50 toppe</v>
      </c>
      <c r="AF339" s="4" t="str">
        <f>IFERROR(__xludf.DUMMYFUNCTION("GOOGLETRANSLATE(B339,""en"",""el"")"),"Top 50 Peaks")</f>
        <v>Top 50 Peaks</v>
      </c>
      <c r="AG339" s="4" t="str">
        <f>IFERROR(__xludf.DUMMYFUNCTION("GOOGLETRANSLATE(B339,""en"",""et"")"),"50 parimat tippu")</f>
        <v>50 parimat tippu</v>
      </c>
      <c r="AH339" s="4" t="str">
        <f>IFERROR(__xludf.DUMMYFUNCTION("GOOGLETRANSLATE(B339,""en"",""fi"")"),"Top 50 huippua")</f>
        <v>Top 50 huippua</v>
      </c>
      <c r="AI339" s="4" t="str">
        <f>IFERROR(__xludf.DUMMYFUNCTION("GOOGLETRANSLATE(B339,""en"",""hr"")"),"50 najboljih vrhova")</f>
        <v>50 najboljih vrhova</v>
      </c>
      <c r="AJ339" s="4" t="str">
        <f>IFERROR(__xludf.DUMMYFUNCTION("GOOGLETRANSLATE(B339,""en"",""hu"")"),"Top 50 csúcs")</f>
        <v>Top 50 csúcs</v>
      </c>
      <c r="AK339" s="4" t="str">
        <f>IFERROR(__xludf.DUMMYFUNCTION("GOOGLETRANSLATE(B339,""en"",""hy"")"),"Top 50 Peaks")</f>
        <v>Top 50 Peaks</v>
      </c>
      <c r="AL339" s="4" t="str">
        <f>IFERROR(__xludf.DUMMYFUNCTION("GOOGLETRANSLATE(B339,""en"",""ca"")"),"Top 50 Cims")</f>
        <v>Top 50 Cims</v>
      </c>
      <c r="AM339" s="4" t="str">
        <f>IFERROR(__xludf.DUMMYFUNCTION("GOOGLETRANSLATE(B339,""en"",""nl"")"),"Top 50 pieken")</f>
        <v>Top 50 pieken</v>
      </c>
      <c r="AN339" s="4" t="str">
        <f>IFERROR(__xludf.DUMMYFUNCTION("GOOGLETRANSLATE(B339,""en"",""he"")"),"50 הפסגות המובילות")</f>
        <v>50 הפסגות המובילות</v>
      </c>
      <c r="AO339" s="4" t="str">
        <f>IFERROR(__xludf.DUMMYFUNCTION("GOOGLETRANSLATE(B339,""en"",""is"")"),"Topp 50 toppar")</f>
        <v>Topp 50 toppar</v>
      </c>
      <c r="AP339" s="4" t="str">
        <f>IFERROR(__xludf.DUMMYFUNCTION("GOOGLETRANSLATE(B339,""en"",""no"")"),"Topp 50 topper")</f>
        <v>Topp 50 topper</v>
      </c>
      <c r="AQ339" s="4" t="str">
        <f>IFERROR(__xludf.DUMMYFUNCTION("GOOGLETRANSLATE(B339,""en"",""fa"")"),"50 قله برتر")</f>
        <v>50 قله برتر</v>
      </c>
      <c r="AR339" s="4" t="str">
        <f>IFERROR(__xludf.DUMMYFUNCTION("GOOGLETRANSLATE(B339,""en"",""pl"")"),"50 najlepszych szczytów")</f>
        <v>50 najlepszych szczytów</v>
      </c>
      <c r="AS339" s="4" t="str">
        <f>IFERROR(__xludf.DUMMYFUNCTION("GOOGLETRANSLATE(B339,""en"",""sv"")"),"Topp 50 toppar")</f>
        <v>Topp 50 toppar</v>
      </c>
      <c r="AT339" s="4" t="str">
        <f>IFERROR(__xludf.DUMMYFUNCTION("GOOGLETRANSLATE(B339,""en"",""uk"")"),"Топ-50 вершин")</f>
        <v>Топ-50 вершин</v>
      </c>
      <c r="AU339" s="4" t="str">
        <f>IFERROR(__xludf.DUMMYFUNCTION("GOOGLETRANSLATE(B339,""en"",""zu"")"),"Iziqongo Eziphezulu ezingama-50")</f>
        <v>Iziqongo Eziphezulu ezingama-50</v>
      </c>
      <c r="AV339" s="4" t="str">
        <f>IFERROR(__xludf.DUMMYFUNCTION("GOOGLETRANSLATE(B339,""en"",""sr"")"),"Топ 50 врхова")</f>
        <v>Топ 50 врхова</v>
      </c>
    </row>
    <row r="340">
      <c r="A340" s="3" t="s">
        <v>674</v>
      </c>
      <c r="B340" s="3" t="s">
        <v>675</v>
      </c>
      <c r="C340" s="4" t="str">
        <f>IFERROR(__xludf.DUMMYFUNCTION("GOOGLETRANSLATE(B340,""en"",""ta"")"),"வாரந்தோறும்")</f>
        <v>வாரந்தோறும்</v>
      </c>
      <c r="D340" s="4" t="str">
        <f>IFERROR(__xludf.DUMMYFUNCTION("GOOGLETRANSLATE(B340,""en"",""hi"")"),"साप्ताहिक")</f>
        <v>साप्ताहिक</v>
      </c>
      <c r="E340" s="4" t="str">
        <f>IFERROR(__xludf.DUMMYFUNCTION("GOOGLETRANSLATE(B340,""en"",""id"")"),"MINGGUAN")</f>
        <v>MINGGUAN</v>
      </c>
      <c r="F340" s="4" t="str">
        <f>IFERROR(__xludf.DUMMYFUNCTION("GOOGLETRANSLATE(B340,""en"",""ms"")"),"MINGGUAN")</f>
        <v>MINGGUAN</v>
      </c>
      <c r="G340" s="4" t="str">
        <f>IFERROR(__xludf.DUMMYFUNCTION("GOOGLETRANSLATE(B340,""en"",""de"")"),"WÖCHENTLICH")</f>
        <v>WÖCHENTLICH</v>
      </c>
      <c r="H340" s="4" t="str">
        <f>IFERROR(__xludf.DUMMYFUNCTION("GOOGLETRANSLATE(B340,""en"",""es"")"),"SEMANALMENTE")</f>
        <v>SEMANALMENTE</v>
      </c>
      <c r="I340" s="4" t="str">
        <f>IFERROR(__xludf.DUMMYFUNCTION("GOOGLETRANSLATE(B340,""en"",""fr"")"),"HEBDOMADAIRE")</f>
        <v>HEBDOMADAIRE</v>
      </c>
      <c r="J340" s="4" t="str">
        <f>IFERROR(__xludf.DUMMYFUNCTION("GOOGLETRANSLATE(B340,""en"",""it"")"),"SETTIMANALE")</f>
        <v>SETTIMANALE</v>
      </c>
      <c r="K340" s="4" t="str">
        <f>IFERROR(__xludf.DUMMYFUNCTION("GOOGLETRANSLATE(B340,""en"",""pt"")"),"SEMANALMENTE")</f>
        <v>SEMANALMENTE</v>
      </c>
      <c r="L340" s="4" t="str">
        <f>IFERROR(__xludf.DUMMYFUNCTION("GOOGLETRANSLATE(B340,""en"",""ro"")"),"SĂPTĂMÂNAL")</f>
        <v>SĂPTĂMÂNAL</v>
      </c>
      <c r="M340" s="4" t="str">
        <f>IFERROR(__xludf.DUMMYFUNCTION("GOOGLETRANSLATE(B340,""en"",""vi"")"),"HÀNG TUẦN")</f>
        <v>HÀNG TUẦN</v>
      </c>
      <c r="N340" s="4" t="str">
        <f>IFERROR(__xludf.DUMMYFUNCTION("GOOGLETRANSLATE(B340,""en"",""ru"")"),"ЕЖЕНЕДЕЛЬНО")</f>
        <v>ЕЖЕНЕДЕЛЬНО</v>
      </c>
      <c r="O340" s="4" t="str">
        <f>IFERROR(__xludf.DUMMYFUNCTION("GOOGLETRANSLATE(B340,""en"",""tr"")"),"HAFTALIK")</f>
        <v>HAFTALIK</v>
      </c>
      <c r="P340" s="4" t="str">
        <f>IFERROR(__xludf.DUMMYFUNCTION("GOOGLETRANSLATE(B340,""en"",""ar"")"),"أسبوعي")</f>
        <v>أسبوعي</v>
      </c>
      <c r="Q340" s="4" t="str">
        <f>IFERROR(__xludf.DUMMYFUNCTION("GOOGLETRANSLATE(B340,""en"",""mr"")"),"साप्ताहिक")</f>
        <v>साप्ताहिक</v>
      </c>
      <c r="R340" s="4" t="str">
        <f>IFERROR(__xludf.DUMMYFUNCTION("GOOGLETRANSLATE(B340,""en"",""gu"")"),"સાપ્તાહિક")</f>
        <v>સાપ્તાહિક</v>
      </c>
      <c r="S340" s="4" t="str">
        <f>IFERROR(__xludf.DUMMYFUNCTION("GOOGLETRANSLATE(B340,""en"",""bn"")"),"সাপ্তাহিক")</f>
        <v>সাপ্তাহিক</v>
      </c>
      <c r="T340" s="4" t="str">
        <f>IFERROR(__xludf.DUMMYFUNCTION("GOOGLETRANSLATE(B340,""en"",""pa"")"),"ਹਫ਼ਤਾਵਾਰੀ")</f>
        <v>ਹਫ਼ਤਾਵਾਰੀ</v>
      </c>
      <c r="U340" s="4" t="str">
        <f>IFERROR(__xludf.DUMMYFUNCTION("GOOGLETRANSLATE(B340,""en"",""te"")"),"వారానికోసారి")</f>
        <v>వారానికోసారి</v>
      </c>
      <c r="V340" s="4" t="str">
        <f>IFERROR(__xludf.DUMMYFUNCTION("GOOGLETRANSLATE(B340,""en"",""kn"")"),"ಸಾಪ್ತಾಹಿಕ")</f>
        <v>ಸಾಪ್ತಾಹಿಕ</v>
      </c>
      <c r="W340" s="4" t="str">
        <f>IFERROR(__xludf.DUMMYFUNCTION("GOOGLETRANSLATE(B340,""en"",""ml"")"),"പ്രതിവാരം")</f>
        <v>പ്രതിവാരം</v>
      </c>
      <c r="X340" s="4" t="str">
        <f>IFERROR(__xludf.DUMMYFUNCTION("GOOGLETRANSLATE(B340,""en"",""th"")"),"รายสัปดาห์")</f>
        <v>รายสัปดาห์</v>
      </c>
      <c r="Y340" s="4" t="str">
        <f>IFERROR(__xludf.DUMMYFUNCTION("GOOGLETRANSLATE(B340,""en"",""ko"")"),"주간")</f>
        <v>주간</v>
      </c>
      <c r="Z340" s="4" t="str">
        <f>IFERROR(__xludf.DUMMYFUNCTION("GOOGLETRANSLATE(B340,""en"",""zh"")"),"每周")</f>
        <v>每周</v>
      </c>
      <c r="AA340" s="4" t="str">
        <f>IFERROR(__xludf.DUMMYFUNCTION("GOOGLETRANSLATE(B340,""en"",""zh-TW"")"),"每週")</f>
        <v>每週</v>
      </c>
      <c r="AB340" s="4" t="str">
        <f>IFERROR(__xludf.DUMMYFUNCTION("GOOGLETRANSLATE(B340,""en"",""ja"")"),"週刊")</f>
        <v>週刊</v>
      </c>
      <c r="AC340" s="4" t="str">
        <f>IFERROR(__xludf.DUMMYFUNCTION("GOOGLETRANSLATE(B340,""en"",""bg"")"),"СЕДМИЧНО")</f>
        <v>СЕДМИЧНО</v>
      </c>
      <c r="AD340" s="4" t="str">
        <f>IFERROR(__xludf.DUMMYFUNCTION("GOOGLETRANSLATE(B340,""en"",""cs"")"),"TÝDNĚ")</f>
        <v>TÝDNĚ</v>
      </c>
      <c r="AE340" s="4" t="str">
        <f>IFERROR(__xludf.DUMMYFUNCTION("GOOGLETRANSLATE(B340,""en"",""da"")"),"UGENTLIG")</f>
        <v>UGENTLIG</v>
      </c>
      <c r="AF340" s="4" t="str">
        <f>IFERROR(__xludf.DUMMYFUNCTION("GOOGLETRANSLATE(B340,""en"",""el"")"),"ΕΒΔΟΜΑΔΙΑΙΟΣ")</f>
        <v>ΕΒΔΟΜΑΔΙΑΙΟΣ</v>
      </c>
      <c r="AG340" s="4" t="str">
        <f>IFERROR(__xludf.DUMMYFUNCTION("GOOGLETRANSLATE(B340,""en"",""et"")"),"NÄDAL")</f>
        <v>NÄDAL</v>
      </c>
      <c r="AH340" s="4" t="str">
        <f>IFERROR(__xludf.DUMMYFUNCTION("GOOGLETRANSLATE(B340,""en"",""fi"")"),"VIIKOITTAIN")</f>
        <v>VIIKOITTAIN</v>
      </c>
      <c r="AI340" s="4" t="str">
        <f>IFERROR(__xludf.DUMMYFUNCTION("GOOGLETRANSLATE(B340,""en"",""hr"")"),"TJEDNIK")</f>
        <v>TJEDNIK</v>
      </c>
      <c r="AJ340" s="4" t="str">
        <f>IFERROR(__xludf.DUMMYFUNCTION("GOOGLETRANSLATE(B340,""en"",""hu"")"),"HETI")</f>
        <v>HETI</v>
      </c>
      <c r="AK340" s="4" t="str">
        <f>IFERROR(__xludf.DUMMYFUNCTION("GOOGLETRANSLATE(B340,""en"",""hy"")"),"ՇԱԲԱԹԱԿԱՆ")</f>
        <v>ՇԱԲԱԹԱԿԱՆ</v>
      </c>
      <c r="AL340" s="4" t="str">
        <f>IFERROR(__xludf.DUMMYFUNCTION("GOOGLETRANSLATE(B340,""en"",""ca"")"),"SETMANAL")</f>
        <v>SETMANAL</v>
      </c>
      <c r="AM340" s="4" t="str">
        <f>IFERROR(__xludf.DUMMYFUNCTION("GOOGLETRANSLATE(B340,""en"",""nl"")"),"WEKELIJKS")</f>
        <v>WEKELIJKS</v>
      </c>
      <c r="AN340" s="4" t="str">
        <f>IFERROR(__xludf.DUMMYFUNCTION("GOOGLETRANSLATE(B340,""en"",""he"")"),"שְׁבוּעִי")</f>
        <v>שְׁבוּעִי</v>
      </c>
      <c r="AO340" s="4" t="str">
        <f>IFERROR(__xludf.DUMMYFUNCTION("GOOGLETRANSLATE(B340,""en"",""is"")"),"VIKULEGA")</f>
        <v>VIKULEGA</v>
      </c>
      <c r="AP340" s="4" t="str">
        <f>IFERROR(__xludf.DUMMYFUNCTION("GOOGLETRANSLATE(B340,""en"",""no"")"),"UKENTLIG")</f>
        <v>UKENTLIG</v>
      </c>
      <c r="AQ340" s="4" t="str">
        <f>IFERROR(__xludf.DUMMYFUNCTION("GOOGLETRANSLATE(B340,""en"",""fa"")"),"هفتگی")</f>
        <v>هفتگی</v>
      </c>
      <c r="AR340" s="4" t="str">
        <f>IFERROR(__xludf.DUMMYFUNCTION("GOOGLETRANSLATE(B340,""en"",""pl"")"),"TYGODNIK")</f>
        <v>TYGODNIK</v>
      </c>
      <c r="AS340" s="4" t="str">
        <f>IFERROR(__xludf.DUMMYFUNCTION("GOOGLETRANSLATE(B340,""en"",""sv"")"),"VARJE VECKA")</f>
        <v>VARJE VECKA</v>
      </c>
      <c r="AT340" s="4" t="str">
        <f>IFERROR(__xludf.DUMMYFUNCTION("GOOGLETRANSLATE(B340,""en"",""uk"")"),"ТИЖНЕВИЙ")</f>
        <v>ТИЖНЕВИЙ</v>
      </c>
      <c r="AU340" s="4" t="str">
        <f>IFERROR(__xludf.DUMMYFUNCTION("GOOGLETRANSLATE(B340,""en"",""zu"")"),"MASONTO")</f>
        <v>MASONTO</v>
      </c>
      <c r="AV340" s="4" t="str">
        <f>IFERROR(__xludf.DUMMYFUNCTION("GOOGLETRANSLATE(B340,""en"",""sr"")"),"НЕДЕЉНО")</f>
        <v>НЕДЕЉНО</v>
      </c>
    </row>
    <row r="341">
      <c r="A341" s="3" t="s">
        <v>676</v>
      </c>
      <c r="B341" s="3" t="s">
        <v>677</v>
      </c>
      <c r="C341" s="4" t="str">
        <f>IFERROR(__xludf.DUMMYFUNCTION("GOOGLETRANSLATE(B341,""en"",""ta"")"),"மாதாந்திர")</f>
        <v>மாதாந்திர</v>
      </c>
      <c r="D341" s="4" t="str">
        <f>IFERROR(__xludf.DUMMYFUNCTION("GOOGLETRANSLATE(B341,""en"",""hi"")"),"महीने के")</f>
        <v>महीने के</v>
      </c>
      <c r="E341" s="4" t="str">
        <f>IFERROR(__xludf.DUMMYFUNCTION("GOOGLETRANSLATE(B341,""en"",""id"")"),"BULANAN")</f>
        <v>BULANAN</v>
      </c>
      <c r="F341" s="4" t="str">
        <f>IFERROR(__xludf.DUMMYFUNCTION("GOOGLETRANSLATE(B341,""en"",""ms"")"),"BULANAN")</f>
        <v>BULANAN</v>
      </c>
      <c r="G341" s="4" t="str">
        <f>IFERROR(__xludf.DUMMYFUNCTION("GOOGLETRANSLATE(B341,""en"",""de"")"),"MONATLICH")</f>
        <v>MONATLICH</v>
      </c>
      <c r="H341" s="4" t="str">
        <f>IFERROR(__xludf.DUMMYFUNCTION("GOOGLETRANSLATE(B341,""en"",""es"")"),"MENSUAL")</f>
        <v>MENSUAL</v>
      </c>
      <c r="I341" s="4" t="str">
        <f>IFERROR(__xludf.DUMMYFUNCTION("GOOGLETRANSLATE(B341,""en"",""fr"")"),"MENSUEL")</f>
        <v>MENSUEL</v>
      </c>
      <c r="J341" s="4" t="str">
        <f>IFERROR(__xludf.DUMMYFUNCTION("GOOGLETRANSLATE(B341,""en"",""it"")"),"MENSILE")</f>
        <v>MENSILE</v>
      </c>
      <c r="K341" s="4" t="str">
        <f>IFERROR(__xludf.DUMMYFUNCTION("GOOGLETRANSLATE(B341,""en"",""pt"")"),"MENSAL")</f>
        <v>MENSAL</v>
      </c>
      <c r="L341" s="4" t="str">
        <f>IFERROR(__xludf.DUMMYFUNCTION("GOOGLETRANSLATE(B341,""en"",""ro"")"),"LUNAR")</f>
        <v>LUNAR</v>
      </c>
      <c r="M341" s="4" t="str">
        <f>IFERROR(__xludf.DUMMYFUNCTION("GOOGLETRANSLATE(B341,""en"",""vi"")"),"HÀNG THÁNG")</f>
        <v>HÀNG THÁNG</v>
      </c>
      <c r="N341" s="4" t="str">
        <f>IFERROR(__xludf.DUMMYFUNCTION("GOOGLETRANSLATE(B341,""en"",""ru"")"),"ЕЖЕМЕСЯЧНО")</f>
        <v>ЕЖЕМЕСЯЧНО</v>
      </c>
      <c r="O341" s="4" t="str">
        <f>IFERROR(__xludf.DUMMYFUNCTION("GOOGLETRANSLATE(B341,""en"",""tr"")"),"AYLIK")</f>
        <v>AYLIK</v>
      </c>
      <c r="P341" s="4" t="str">
        <f>IFERROR(__xludf.DUMMYFUNCTION("GOOGLETRANSLATE(B341,""en"",""ar"")"),"شهريا")</f>
        <v>شهريا</v>
      </c>
      <c r="Q341" s="4" t="str">
        <f>IFERROR(__xludf.DUMMYFUNCTION("GOOGLETRANSLATE(B341,""en"",""mr"")"),"मासिक")</f>
        <v>मासिक</v>
      </c>
      <c r="R341" s="4" t="str">
        <f>IFERROR(__xludf.DUMMYFUNCTION("GOOGLETRANSLATE(B341,""en"",""gu"")"),"માસિક")</f>
        <v>માસિક</v>
      </c>
      <c r="S341" s="4" t="str">
        <f>IFERROR(__xludf.DUMMYFUNCTION("GOOGLETRANSLATE(B341,""en"",""bn"")"),"মাসিক")</f>
        <v>মাসিক</v>
      </c>
      <c r="T341" s="4" t="str">
        <f>IFERROR(__xludf.DUMMYFUNCTION("GOOGLETRANSLATE(B341,""en"",""pa"")"),"ਮਹੀਨਾਵਾਰ")</f>
        <v>ਮਹੀਨਾਵਾਰ</v>
      </c>
      <c r="U341" s="4" t="str">
        <f>IFERROR(__xludf.DUMMYFUNCTION("GOOGLETRANSLATE(B341,""en"",""te"")"),"నెలవారీ")</f>
        <v>నెలవారీ</v>
      </c>
      <c r="V341" s="4" t="str">
        <f>IFERROR(__xludf.DUMMYFUNCTION("GOOGLETRANSLATE(B341,""en"",""kn"")"),"ಮಾಸಿಕ")</f>
        <v>ಮಾಸಿಕ</v>
      </c>
      <c r="W341" s="4" t="str">
        <f>IFERROR(__xludf.DUMMYFUNCTION("GOOGLETRANSLATE(B341,""en"",""ml"")"),"പ്രതിമാസ")</f>
        <v>പ്രതിമാസ</v>
      </c>
      <c r="X341" s="4" t="str">
        <f>IFERROR(__xludf.DUMMYFUNCTION("GOOGLETRANSLATE(B341,""en"",""th"")"),"รายเดือน")</f>
        <v>รายเดือน</v>
      </c>
      <c r="Y341" s="4" t="str">
        <f>IFERROR(__xludf.DUMMYFUNCTION("GOOGLETRANSLATE(B341,""en"",""ko"")"),"월간 간행물")</f>
        <v>월간 간행물</v>
      </c>
      <c r="Z341" s="4" t="str">
        <f>IFERROR(__xludf.DUMMYFUNCTION("GOOGLETRANSLATE(B341,""en"",""zh"")"),"每月")</f>
        <v>每月</v>
      </c>
      <c r="AA341" s="4" t="str">
        <f>IFERROR(__xludf.DUMMYFUNCTION("GOOGLETRANSLATE(B341,""en"",""zh-TW"")"),"每月")</f>
        <v>每月</v>
      </c>
      <c r="AB341" s="4" t="str">
        <f>IFERROR(__xludf.DUMMYFUNCTION("GOOGLETRANSLATE(B341,""en"",""ja"")"),"毎月")</f>
        <v>毎月</v>
      </c>
      <c r="AC341" s="4" t="str">
        <f>IFERROR(__xludf.DUMMYFUNCTION("GOOGLETRANSLATE(B341,""en"",""bg"")"),"МЕСЕЧНО")</f>
        <v>МЕСЕЧНО</v>
      </c>
      <c r="AD341" s="4" t="str">
        <f>IFERROR(__xludf.DUMMYFUNCTION("GOOGLETRANSLATE(B341,""en"",""cs"")"),"MĚSÍČNÍ")</f>
        <v>MĚSÍČNÍ</v>
      </c>
      <c r="AE341" s="4" t="str">
        <f>IFERROR(__xludf.DUMMYFUNCTION("GOOGLETRANSLATE(B341,""en"",""da"")"),"MÅNEDLIG")</f>
        <v>MÅNEDLIG</v>
      </c>
      <c r="AF341" s="4" t="str">
        <f>IFERROR(__xludf.DUMMYFUNCTION("GOOGLETRANSLATE(B341,""en"",""el"")"),"ΜΗΝΙΑΙΟΣ")</f>
        <v>ΜΗΝΙΑΙΟΣ</v>
      </c>
      <c r="AG341" s="4" t="str">
        <f>IFERROR(__xludf.DUMMYFUNCTION("GOOGLETRANSLATE(B341,""en"",""et"")"),"KUUS")</f>
        <v>KUUS</v>
      </c>
      <c r="AH341" s="4" t="str">
        <f>IFERROR(__xludf.DUMMYFUNCTION("GOOGLETRANSLATE(B341,""en"",""fi"")"),"KUUKAUSITTAIN")</f>
        <v>KUUKAUSITTAIN</v>
      </c>
      <c r="AI341" s="4" t="str">
        <f>IFERROR(__xludf.DUMMYFUNCTION("GOOGLETRANSLATE(B341,""en"",""hr"")"),"MJESEČNO")</f>
        <v>MJESEČNO</v>
      </c>
      <c r="AJ341" s="4" t="str">
        <f>IFERROR(__xludf.DUMMYFUNCTION("GOOGLETRANSLATE(B341,""en"",""hu"")"),"HAVI")</f>
        <v>HAVI</v>
      </c>
      <c r="AK341" s="4" t="str">
        <f>IFERROR(__xludf.DUMMYFUNCTION("GOOGLETRANSLATE(B341,""en"",""hy"")"),"ԱՄՍԱԿԱՆ")</f>
        <v>ԱՄՍԱԿԱՆ</v>
      </c>
      <c r="AL341" s="4" t="str">
        <f>IFERROR(__xludf.DUMMYFUNCTION("GOOGLETRANSLATE(B341,""en"",""ca"")"),"MENSUALMENT")</f>
        <v>MENSUALMENT</v>
      </c>
      <c r="AM341" s="4" t="str">
        <f>IFERROR(__xludf.DUMMYFUNCTION("GOOGLETRANSLATE(B341,""en"",""nl"")"),"MAANDELIJKS")</f>
        <v>MAANDELIJKS</v>
      </c>
      <c r="AN341" s="4" t="str">
        <f>IFERROR(__xludf.DUMMYFUNCTION("GOOGLETRANSLATE(B341,""en"",""he"")"),"יַרחוֹן")</f>
        <v>יַרחוֹן</v>
      </c>
      <c r="AO341" s="4" t="str">
        <f>IFERROR(__xludf.DUMMYFUNCTION("GOOGLETRANSLATE(B341,""en"",""is"")"),"MÁNAÐARLEGA")</f>
        <v>MÁNAÐARLEGA</v>
      </c>
      <c r="AP341" s="4" t="str">
        <f>IFERROR(__xludf.DUMMYFUNCTION("GOOGLETRANSLATE(B341,""en"",""no"")"),"MÅNEDLIG")</f>
        <v>MÅNEDLIG</v>
      </c>
      <c r="AQ341" s="4" t="str">
        <f>IFERROR(__xludf.DUMMYFUNCTION("GOOGLETRANSLATE(B341,""en"",""fa"")"),"ماهانه")</f>
        <v>ماهانه</v>
      </c>
      <c r="AR341" s="4" t="str">
        <f>IFERROR(__xludf.DUMMYFUNCTION("GOOGLETRANSLATE(B341,""en"",""pl"")"),"MIESIĘCZNY")</f>
        <v>MIESIĘCZNY</v>
      </c>
      <c r="AS341" s="4" t="str">
        <f>IFERROR(__xludf.DUMMYFUNCTION("GOOGLETRANSLATE(B341,""en"",""sv"")"),"MÅNATLIG")</f>
        <v>MÅNATLIG</v>
      </c>
      <c r="AT341" s="4" t="str">
        <f>IFERROR(__xludf.DUMMYFUNCTION("GOOGLETRANSLATE(B341,""en"",""uk"")"),"ЩОМІСЯЧНО")</f>
        <v>ЩОМІСЯЧНО</v>
      </c>
      <c r="AU341" s="4" t="str">
        <f>IFERROR(__xludf.DUMMYFUNCTION("GOOGLETRANSLATE(B341,""en"",""zu"")"),"INYANGA NGENYANGA")</f>
        <v>INYANGA NGENYANGA</v>
      </c>
      <c r="AV341" s="4" t="str">
        <f>IFERROR(__xludf.DUMMYFUNCTION("GOOGLETRANSLATE(B341,""en"",""sr"")"),"МОНТХЛИ")</f>
        <v>МОНТХЛИ</v>
      </c>
    </row>
    <row r="342">
      <c r="A342" s="3" t="s">
        <v>678</v>
      </c>
      <c r="B342" s="3" t="s">
        <v>679</v>
      </c>
      <c r="C342" s="4" t="str">
        <f>IFERROR(__xludf.DUMMYFUNCTION("GOOGLETRANSLATE(B342,""en"",""ta"")"),"எல்லா நேரமும்")</f>
        <v>எல்லா நேரமும்</v>
      </c>
      <c r="D342" s="4" t="str">
        <f>IFERROR(__xludf.DUMMYFUNCTION("GOOGLETRANSLATE(B342,""en"",""hi"")"),"पूरे समय")</f>
        <v>पूरे समय</v>
      </c>
      <c r="E342" s="4" t="str">
        <f>IFERROR(__xludf.DUMMYFUNCTION("GOOGLETRANSLATE(B342,""en"",""id"")"),"SEPANJANG MASA")</f>
        <v>SEPANJANG MASA</v>
      </c>
      <c r="F342" s="4" t="str">
        <f>IFERROR(__xludf.DUMMYFUNCTION("GOOGLETRANSLATE(B342,""en"",""ms"")"),"SEPANJANG MASA")</f>
        <v>SEPANJANG MASA</v>
      </c>
      <c r="G342" s="4" t="str">
        <f>IFERROR(__xludf.DUMMYFUNCTION("GOOGLETRANSLATE(B342,""en"",""de"")"),"ALLE ZEITEN")</f>
        <v>ALLE ZEITEN</v>
      </c>
      <c r="H342" s="4" t="str">
        <f>IFERROR(__xludf.DUMMYFUNCTION("GOOGLETRANSLATE(B342,""en"",""es"")"),"TODOS LOS TIEMPOS")</f>
        <v>TODOS LOS TIEMPOS</v>
      </c>
      <c r="I342" s="4" t="str">
        <f>IFERROR(__xludf.DUMMYFUNCTION("GOOGLETRANSLATE(B342,""en"",""fr"")"),"TOUS LES TEMPS")</f>
        <v>TOUS LES TEMPS</v>
      </c>
      <c r="J342" s="4" t="str">
        <f>IFERROR(__xludf.DUMMYFUNCTION("GOOGLETRANSLATE(B342,""en"",""it"")"),"DI SEMPRE")</f>
        <v>DI SEMPRE</v>
      </c>
      <c r="K342" s="4" t="str">
        <f>IFERROR(__xludf.DUMMYFUNCTION("GOOGLETRANSLATE(B342,""en"",""pt"")"),"TODOS OS TEMPOS")</f>
        <v>TODOS OS TEMPOS</v>
      </c>
      <c r="L342" s="4" t="str">
        <f>IFERROR(__xludf.DUMMYFUNCTION("GOOGLETRANSLATE(B342,""en"",""ro"")"),"TOATA TIMPUL")</f>
        <v>TOATA TIMPUL</v>
      </c>
      <c r="M342" s="4" t="str">
        <f>IFERROR(__xludf.DUMMYFUNCTION("GOOGLETRANSLATE(B342,""en"",""vi"")"),"MỌI LÚC")</f>
        <v>MỌI LÚC</v>
      </c>
      <c r="N342" s="4" t="str">
        <f>IFERROR(__xludf.DUMMYFUNCTION("GOOGLETRANSLATE(B342,""en"",""ru"")"),"ВСЕ ВРЕМЯ")</f>
        <v>ВСЕ ВРЕМЯ</v>
      </c>
      <c r="O342" s="4" t="str">
        <f>IFERROR(__xludf.DUMMYFUNCTION("GOOGLETRANSLATE(B342,""en"",""tr"")"),"HER ZAMAN")</f>
        <v>HER ZAMAN</v>
      </c>
      <c r="P342" s="4" t="str">
        <f>IFERROR(__xludf.DUMMYFUNCTION("GOOGLETRANSLATE(B342,""en"",""ar"")"),"كل الأوقات")</f>
        <v>كل الأوقات</v>
      </c>
      <c r="Q342" s="4" t="str">
        <f>IFERROR(__xludf.DUMMYFUNCTION("GOOGLETRANSLATE(B342,""en"",""mr"")"),"सर्व वेळ")</f>
        <v>सर्व वेळ</v>
      </c>
      <c r="R342" s="4" t="str">
        <f>IFERROR(__xludf.DUMMYFUNCTION("GOOGLETRANSLATE(B342,""en"",""gu"")"),"બધા સમય")</f>
        <v>બધા સમય</v>
      </c>
      <c r="S342" s="4" t="str">
        <f>IFERROR(__xludf.DUMMYFUNCTION("GOOGLETRANSLATE(B342,""en"",""bn"")"),"সব সময়")</f>
        <v>সব সময়</v>
      </c>
      <c r="T342" s="4" t="str">
        <f>IFERROR(__xludf.DUMMYFUNCTION("GOOGLETRANSLATE(B342,""en"",""pa"")"),"ਹਰ ਸਮੇਂ")</f>
        <v>ਹਰ ਸਮੇਂ</v>
      </c>
      <c r="U342" s="4" t="str">
        <f>IFERROR(__xludf.DUMMYFUNCTION("GOOGLETRANSLATE(B342,""en"",""te"")"),"అన్ని సమయాలలో")</f>
        <v>అన్ని సమయాలలో</v>
      </c>
      <c r="V342" s="4" t="str">
        <f>IFERROR(__xludf.DUMMYFUNCTION("GOOGLETRANSLATE(B342,""en"",""kn"")"),"ಎಲ್ಲಾ ಸಮಯದಲ್ಲೂ")</f>
        <v>ಎಲ್ಲಾ ಸಮಯದಲ್ಲೂ</v>
      </c>
      <c r="W342" s="4" t="str">
        <f>IFERROR(__xludf.DUMMYFUNCTION("GOOGLETRANSLATE(B342,""en"",""ml"")"),"എല്ലാ സമയത്തും")</f>
        <v>എല്ലാ സമയത്തും</v>
      </c>
      <c r="X342" s="4" t="str">
        <f>IFERROR(__xludf.DUMMYFUNCTION("GOOGLETRANSLATE(B342,""en"",""th"")"),"ตลอดเวลา")</f>
        <v>ตลอดเวลา</v>
      </c>
      <c r="Y342" s="4" t="str">
        <f>IFERROR(__xludf.DUMMYFUNCTION("GOOGLETRANSLATE(B342,""en"",""ko"")"),"모든 시간")</f>
        <v>모든 시간</v>
      </c>
      <c r="Z342" s="4" t="str">
        <f>IFERROR(__xludf.DUMMYFUNCTION("GOOGLETRANSLATE(B342,""en"",""zh"")"),"所有时间")</f>
        <v>所有时间</v>
      </c>
      <c r="AA342" s="4" t="str">
        <f>IFERROR(__xludf.DUMMYFUNCTION("GOOGLETRANSLATE(B342,""en"",""zh-TW"")"),"所有時間")</f>
        <v>所有時間</v>
      </c>
      <c r="AB342" s="4" t="str">
        <f>IFERROR(__xludf.DUMMYFUNCTION("GOOGLETRANSLATE(B342,""en"",""ja"")"),"オールタイム")</f>
        <v>オールタイム</v>
      </c>
      <c r="AC342" s="4" t="str">
        <f>IFERROR(__xludf.DUMMYFUNCTION("GOOGLETRANSLATE(B342,""en"",""bg"")"),"ВСИЧКО ВРЕМЕ")</f>
        <v>ВСИЧКО ВРЕМЕ</v>
      </c>
      <c r="AD342" s="4" t="str">
        <f>IFERROR(__xludf.DUMMYFUNCTION("GOOGLETRANSLATE(B342,""en"",""cs"")"),"PO CELOU DOBU")</f>
        <v>PO CELOU DOBU</v>
      </c>
      <c r="AE342" s="4" t="str">
        <f>IFERROR(__xludf.DUMMYFUNCTION("GOOGLETRANSLATE(B342,""en"",""da"")"),"HELE TIDEN")</f>
        <v>HELE TIDEN</v>
      </c>
      <c r="AF342" s="4" t="str">
        <f>IFERROR(__xludf.DUMMYFUNCTION("GOOGLETRANSLATE(B342,""en"",""el"")"),"ΟΛΕΣ ΤΙΣ ΩΡΑ")</f>
        <v>ΟΛΕΣ ΤΙΣ ΩΡΑ</v>
      </c>
      <c r="AG342" s="4" t="str">
        <f>IFERROR(__xludf.DUMMYFUNCTION("GOOGLETRANSLATE(B342,""en"",""et"")"),"KOGU AEG")</f>
        <v>KOGU AEG</v>
      </c>
      <c r="AH342" s="4" t="str">
        <f>IFERROR(__xludf.DUMMYFUNCTION("GOOGLETRANSLATE(B342,""en"",""fi"")"),"KAIKKI AIKAT")</f>
        <v>KAIKKI AIKAT</v>
      </c>
      <c r="AI342" s="4" t="str">
        <f>IFERROR(__xludf.DUMMYFUNCTION("GOOGLETRANSLATE(B342,""en"",""hr"")"),"SVO VRIJEME")</f>
        <v>SVO VRIJEME</v>
      </c>
      <c r="AJ342" s="4" t="str">
        <f>IFERROR(__xludf.DUMMYFUNCTION("GOOGLETRANSLATE(B342,""en"",""hu"")"),"MINDIG")</f>
        <v>MINDIG</v>
      </c>
      <c r="AK342" s="4" t="str">
        <f>IFERROR(__xludf.DUMMYFUNCTION("GOOGLETRANSLATE(B342,""en"",""hy"")"),"ԲՈԼՈՐ ԺԱՄԱՆԱԿ")</f>
        <v>ԲՈԼՈՐ ԺԱՄԱՆԱԿ</v>
      </c>
      <c r="AL342" s="4" t="str">
        <f>IFERROR(__xludf.DUMMYFUNCTION("GOOGLETRANSLATE(B342,""en"",""ca"")"),"TOT EL TEMPS")</f>
        <v>TOT EL TEMPS</v>
      </c>
      <c r="AM342" s="4" t="str">
        <f>IFERROR(__xludf.DUMMYFUNCTION("GOOGLETRANSLATE(B342,""en"",""nl"")"),"ALTIJD")</f>
        <v>ALTIJD</v>
      </c>
      <c r="AN342" s="4" t="str">
        <f>IFERROR(__xludf.DUMMYFUNCTION("GOOGLETRANSLATE(B342,""en"",""he"")"),"כל הזמן")</f>
        <v>כל הזמן</v>
      </c>
      <c r="AO342" s="4" t="str">
        <f>IFERROR(__xludf.DUMMYFUNCTION("GOOGLETRANSLATE(B342,""en"",""is"")"),"ALLA TÍMA")</f>
        <v>ALLA TÍMA</v>
      </c>
      <c r="AP342" s="4" t="str">
        <f>IFERROR(__xludf.DUMMYFUNCTION("GOOGLETRANSLATE(B342,""en"",""no"")"),"HELE TIDEN")</f>
        <v>HELE TIDEN</v>
      </c>
      <c r="AQ342" s="4" t="str">
        <f>IFERROR(__xludf.DUMMYFUNCTION("GOOGLETRANSLATE(B342,""en"",""fa"")"),"تمام زمان")</f>
        <v>تمام زمان</v>
      </c>
      <c r="AR342" s="4" t="str">
        <f>IFERROR(__xludf.DUMMYFUNCTION("GOOGLETRANSLATE(B342,""en"",""pl"")"),"CAŁY CZAS")</f>
        <v>CAŁY CZAS</v>
      </c>
      <c r="AS342" s="4" t="str">
        <f>IFERROR(__xludf.DUMMYFUNCTION("GOOGLETRANSLATE(B342,""en"",""sv"")"),"HELA TIDEN")</f>
        <v>HELA TIDEN</v>
      </c>
      <c r="AT342" s="4" t="str">
        <f>IFERROR(__xludf.DUMMYFUNCTION("GOOGLETRANSLATE(B342,""en"",""uk"")"),"ВЕСЬ ЧАС")</f>
        <v>ВЕСЬ ЧАС</v>
      </c>
      <c r="AU342" s="4" t="str">
        <f>IFERROR(__xludf.DUMMYFUNCTION("GOOGLETRANSLATE(B342,""en"",""zu"")"),"SONKE ISIKHATHI")</f>
        <v>SONKE ISIKHATHI</v>
      </c>
      <c r="AV342" s="4" t="str">
        <f>IFERROR(__xludf.DUMMYFUNCTION("GOOGLETRANSLATE(B342,""en"",""sr"")"),"СВА ВРЕМЕНА")</f>
        <v>СВА ВРЕМЕНА</v>
      </c>
    </row>
    <row r="343">
      <c r="A343" s="3" t="s">
        <v>680</v>
      </c>
      <c r="B343" s="3" t="s">
        <v>681</v>
      </c>
      <c r="C343" s="4" t="str">
        <f>IFERROR(__xludf.DUMMYFUNCTION("GOOGLETRANSLATE(B343,""en"",""ta"")"),"மீ")</f>
        <v>மீ</v>
      </c>
      <c r="D343" s="4" t="str">
        <f>IFERROR(__xludf.DUMMYFUNCTION("GOOGLETRANSLATE(B343,""en"",""hi"")"),"एम")</f>
        <v>एम</v>
      </c>
      <c r="E343" s="4" t="str">
        <f>IFERROR(__xludf.DUMMYFUNCTION("GOOGLETRANSLATE(B343,""en"",""id"")"),"M")</f>
        <v>M</v>
      </c>
      <c r="F343" s="4" t="str">
        <f>IFERROR(__xludf.DUMMYFUNCTION("GOOGLETRANSLATE(B343,""en"",""ms"")"),"m")</f>
        <v>m</v>
      </c>
      <c r="G343" s="4" t="str">
        <f>IFERROR(__xludf.DUMMYFUNCTION("GOOGLETRANSLATE(B343,""en"",""de"")"),"M")</f>
        <v>M</v>
      </c>
      <c r="H343" s="4" t="str">
        <f>IFERROR(__xludf.DUMMYFUNCTION("GOOGLETRANSLATE(B343,""en"",""es"")"),"metro")</f>
        <v>metro</v>
      </c>
      <c r="I343" s="4" t="str">
        <f>IFERROR(__xludf.DUMMYFUNCTION("GOOGLETRANSLATE(B343,""en"",""fr"")"),"m")</f>
        <v>m</v>
      </c>
      <c r="J343" s="4" t="str">
        <f>IFERROR(__xludf.DUMMYFUNCTION("GOOGLETRANSLATE(B343,""en"",""it"")"),"M")</f>
        <v>M</v>
      </c>
      <c r="K343" s="4" t="str">
        <f>IFERROR(__xludf.DUMMYFUNCTION("GOOGLETRANSLATE(B343,""en"",""pt"")"),"m")</f>
        <v>m</v>
      </c>
      <c r="L343" s="4" t="str">
        <f>IFERROR(__xludf.DUMMYFUNCTION("GOOGLETRANSLATE(B343,""en"",""ro"")"),"m")</f>
        <v>m</v>
      </c>
      <c r="M343" s="4" t="str">
        <f>IFERROR(__xludf.DUMMYFUNCTION("GOOGLETRANSLATE(B343,""en"",""vi"")"),"tôi")</f>
        <v>tôi</v>
      </c>
      <c r="N343" s="4" t="str">
        <f>IFERROR(__xludf.DUMMYFUNCTION("GOOGLETRANSLATE(B343,""en"",""ru"")"),"м")</f>
        <v>м</v>
      </c>
      <c r="O343" s="4" t="str">
        <f>IFERROR(__xludf.DUMMYFUNCTION("GOOGLETRANSLATE(B343,""en"",""tr"")"),"M")</f>
        <v>M</v>
      </c>
      <c r="P343" s="4" t="str">
        <f>IFERROR(__xludf.DUMMYFUNCTION("GOOGLETRANSLATE(B343,""en"",""ar"")"),"م")</f>
        <v>م</v>
      </c>
      <c r="Q343" s="4" t="str">
        <f>IFERROR(__xludf.DUMMYFUNCTION("GOOGLETRANSLATE(B343,""en"",""mr"")"),"मी")</f>
        <v>मी</v>
      </c>
      <c r="R343" s="4" t="str">
        <f>IFERROR(__xludf.DUMMYFUNCTION("GOOGLETRANSLATE(B343,""en"",""gu"")"),"m")</f>
        <v>m</v>
      </c>
      <c r="S343" s="4" t="str">
        <f>IFERROR(__xludf.DUMMYFUNCTION("GOOGLETRANSLATE(B343,""en"",""bn"")"),"মি")</f>
        <v>মি</v>
      </c>
      <c r="T343" s="4" t="str">
        <f>IFERROR(__xludf.DUMMYFUNCTION("GOOGLETRANSLATE(B343,""en"",""pa"")"),"m")</f>
        <v>m</v>
      </c>
      <c r="U343" s="4" t="str">
        <f>IFERROR(__xludf.DUMMYFUNCTION("GOOGLETRANSLATE(B343,""en"",""te"")"),"m")</f>
        <v>m</v>
      </c>
      <c r="V343" s="4" t="str">
        <f>IFERROR(__xludf.DUMMYFUNCTION("GOOGLETRANSLATE(B343,""en"",""kn"")"),"ಮೀ")</f>
        <v>ಮೀ</v>
      </c>
      <c r="W343" s="4" t="str">
        <f>IFERROR(__xludf.DUMMYFUNCTION("GOOGLETRANSLATE(B343,""en"",""ml"")"),"എം")</f>
        <v>എം</v>
      </c>
      <c r="X343" s="4" t="str">
        <f>IFERROR(__xludf.DUMMYFUNCTION("GOOGLETRANSLATE(B343,""en"",""th"")"),"ม.")</f>
        <v>ม.</v>
      </c>
      <c r="Y343" s="4" t="str">
        <f>IFERROR(__xludf.DUMMYFUNCTION("GOOGLETRANSLATE(B343,""en"",""ko"")"),"중")</f>
        <v>중</v>
      </c>
      <c r="Z343" s="4" t="str">
        <f>IFERROR(__xludf.DUMMYFUNCTION("GOOGLETRANSLATE(B343,""en"",""zh"")"),"米")</f>
        <v>米</v>
      </c>
      <c r="AA343" s="4" t="str">
        <f>IFERROR(__xludf.DUMMYFUNCTION("GOOGLETRANSLATE(B343,""en"",""zh-TW"")"),"米")</f>
        <v>米</v>
      </c>
      <c r="AB343" s="4" t="str">
        <f>IFERROR(__xludf.DUMMYFUNCTION("GOOGLETRANSLATE(B343,""en"",""ja"")"),"メートル")</f>
        <v>メートル</v>
      </c>
      <c r="AC343" s="4" t="str">
        <f>IFERROR(__xludf.DUMMYFUNCTION("GOOGLETRANSLATE(B343,""en"",""bg"")"),"м")</f>
        <v>м</v>
      </c>
      <c r="AD343" s="4" t="str">
        <f>IFERROR(__xludf.DUMMYFUNCTION("GOOGLETRANSLATE(B343,""en"",""cs"")"),"m")</f>
        <v>m</v>
      </c>
      <c r="AE343" s="4" t="str">
        <f>IFERROR(__xludf.DUMMYFUNCTION("GOOGLETRANSLATE(B343,""en"",""da"")"),"m")</f>
        <v>m</v>
      </c>
      <c r="AF343" s="4" t="str">
        <f>IFERROR(__xludf.DUMMYFUNCTION("GOOGLETRANSLATE(B343,""en"",""el"")"),"m")</f>
        <v>m</v>
      </c>
      <c r="AG343" s="4" t="str">
        <f>IFERROR(__xludf.DUMMYFUNCTION("GOOGLETRANSLATE(B343,""en"",""et"")"),"m")</f>
        <v>m</v>
      </c>
      <c r="AH343" s="4" t="str">
        <f>IFERROR(__xludf.DUMMYFUNCTION("GOOGLETRANSLATE(B343,""en"",""fi"")"),"m")</f>
        <v>m</v>
      </c>
      <c r="AI343" s="4" t="str">
        <f>IFERROR(__xludf.DUMMYFUNCTION("GOOGLETRANSLATE(B343,""en"",""hr"")"),"m")</f>
        <v>m</v>
      </c>
      <c r="AJ343" s="4" t="str">
        <f>IFERROR(__xludf.DUMMYFUNCTION("GOOGLETRANSLATE(B343,""en"",""hu"")"),"m")</f>
        <v>m</v>
      </c>
      <c r="AK343" s="4" t="str">
        <f>IFERROR(__xludf.DUMMYFUNCTION("GOOGLETRANSLATE(B343,""en"",""hy"")"),"մ")</f>
        <v>մ</v>
      </c>
      <c r="AL343" s="4" t="str">
        <f>IFERROR(__xludf.DUMMYFUNCTION("GOOGLETRANSLATE(B343,""en"",""ca"")"),"m")</f>
        <v>m</v>
      </c>
      <c r="AM343" s="4" t="str">
        <f>IFERROR(__xludf.DUMMYFUNCTION("GOOGLETRANSLATE(B343,""en"",""nl"")"),"M")</f>
        <v>M</v>
      </c>
      <c r="AN343" s="4" t="str">
        <f>IFERROR(__xludf.DUMMYFUNCTION("GOOGLETRANSLATE(B343,""en"",""he"")"),"מ")</f>
        <v>מ</v>
      </c>
      <c r="AO343" s="4" t="str">
        <f>IFERROR(__xludf.DUMMYFUNCTION("GOOGLETRANSLATE(B343,""en"",""is"")"),"m")</f>
        <v>m</v>
      </c>
      <c r="AP343" s="4" t="str">
        <f>IFERROR(__xludf.DUMMYFUNCTION("GOOGLETRANSLATE(B343,""en"",""no"")"),"m")</f>
        <v>m</v>
      </c>
      <c r="AQ343" s="4" t="str">
        <f>IFERROR(__xludf.DUMMYFUNCTION("GOOGLETRANSLATE(B343,""en"",""fa"")"),"متر")</f>
        <v>متر</v>
      </c>
      <c r="AR343" s="4" t="str">
        <f>IFERROR(__xludf.DUMMYFUNCTION("GOOGLETRANSLATE(B343,""en"",""pl"")"),"M")</f>
        <v>M</v>
      </c>
      <c r="AS343" s="4" t="str">
        <f>IFERROR(__xludf.DUMMYFUNCTION("GOOGLETRANSLATE(B343,""en"",""sv"")"),"m")</f>
        <v>m</v>
      </c>
      <c r="AT343" s="4" t="str">
        <f>IFERROR(__xludf.DUMMYFUNCTION("GOOGLETRANSLATE(B343,""en"",""uk"")"),"м")</f>
        <v>м</v>
      </c>
      <c r="AU343" s="4" t="str">
        <f>IFERROR(__xludf.DUMMYFUNCTION("GOOGLETRANSLATE(B343,""en"",""zu"")"),"m")</f>
        <v>m</v>
      </c>
      <c r="AV343" s="4" t="str">
        <f>IFERROR(__xludf.DUMMYFUNCTION("GOOGLETRANSLATE(B343,""en"",""sr"")"),"м")</f>
        <v>м</v>
      </c>
    </row>
    <row r="344">
      <c r="A344" s="3" t="s">
        <v>682</v>
      </c>
      <c r="B344" s="3" t="s">
        <v>101</v>
      </c>
      <c r="C344" s="4" t="str">
        <f>IFERROR(__xludf.DUMMYFUNCTION("GOOGLETRANSLATE(B344,""en"",""ta"")"),"மலையேற்றம் முடிந்தது")</f>
        <v>மலையேற்றம் முடிந்தது</v>
      </c>
      <c r="D344" s="4" t="str">
        <f>IFERROR(__xludf.DUMMYFUNCTION("GOOGLETRANSLATE(B344,""en"",""hi"")"),"ट्रेक पूरा हुआ")</f>
        <v>ट्रेक पूरा हुआ</v>
      </c>
      <c r="E344" s="4" t="str">
        <f>IFERROR(__xludf.DUMMYFUNCTION("GOOGLETRANSLATE(B344,""en"",""id"")"),"Trek Selesai")</f>
        <v>Trek Selesai</v>
      </c>
      <c r="F344" s="4" t="str">
        <f>IFERROR(__xludf.DUMMYFUNCTION("GOOGLETRANSLATE(B344,""en"",""ms"")"),"Trek Selesai")</f>
        <v>Trek Selesai</v>
      </c>
      <c r="G344" s="4" t="str">
        <f>IFERROR(__xludf.DUMMYFUNCTION("GOOGLETRANSLATE(B344,""en"",""de"")"),"Wanderung abgeschlossen")</f>
        <v>Wanderung abgeschlossen</v>
      </c>
      <c r="H344" s="4" t="str">
        <f>IFERROR(__xludf.DUMMYFUNCTION("GOOGLETRANSLATE(B344,""en"",""es"")"),"Caminata completada")</f>
        <v>Caminata completada</v>
      </c>
      <c r="I344" s="4" t="str">
        <f>IFERROR(__xludf.DUMMYFUNCTION("GOOGLETRANSLATE(B344,""en"",""fr"")"),"Trek terminé")</f>
        <v>Trek terminé</v>
      </c>
      <c r="J344" s="4" t="str">
        <f>IFERROR(__xludf.DUMMYFUNCTION("GOOGLETRANSLATE(B344,""en"",""it"")"),"Trekking completato")</f>
        <v>Trekking completato</v>
      </c>
      <c r="K344" s="4" t="str">
        <f>IFERROR(__xludf.DUMMYFUNCTION("GOOGLETRANSLATE(B344,""en"",""pt"")"),"Caminhada concluída")</f>
        <v>Caminhada concluída</v>
      </c>
      <c r="L344" s="4" t="str">
        <f>IFERROR(__xludf.DUMMYFUNCTION("GOOGLETRANSLATE(B344,""en"",""ro"")"),"Trek finalizat")</f>
        <v>Trek finalizat</v>
      </c>
      <c r="M344" s="4" t="str">
        <f>IFERROR(__xludf.DUMMYFUNCTION("GOOGLETRANSLATE(B344,""en"",""vi"")"),"Chuyến đi đã hoàn thành")</f>
        <v>Chuyến đi đã hoàn thành</v>
      </c>
      <c r="N344" s="4" t="str">
        <f>IFERROR(__xludf.DUMMYFUNCTION("GOOGLETRANSLATE(B344,""en"",""ru"")"),"Поход завершен")</f>
        <v>Поход завершен</v>
      </c>
      <c r="O344" s="4" t="str">
        <f>IFERROR(__xludf.DUMMYFUNCTION("GOOGLETRANSLATE(B344,""en"",""tr"")"),"Trek Tamamlandı")</f>
        <v>Trek Tamamlandı</v>
      </c>
      <c r="P344" s="4" t="str">
        <f>IFERROR(__xludf.DUMMYFUNCTION("GOOGLETRANSLATE(B344,""en"",""ar"")"),"تم إكمال الرحلة")</f>
        <v>تم إكمال الرحلة</v>
      </c>
      <c r="Q344" s="4" t="str">
        <f>IFERROR(__xludf.DUMMYFUNCTION("GOOGLETRANSLATE(B344,""en"",""mr"")"),"ट्रेक पूर्ण झाला")</f>
        <v>ट्रेक पूर्ण झाला</v>
      </c>
      <c r="R344" s="4" t="str">
        <f>IFERROR(__xludf.DUMMYFUNCTION("GOOGLETRANSLATE(B344,""en"",""gu"")"),"ટ્રેક પૂર્ણ")</f>
        <v>ટ્રેક પૂર્ણ</v>
      </c>
      <c r="S344" s="4" t="str">
        <f>IFERROR(__xludf.DUMMYFUNCTION("GOOGLETRANSLATE(B344,""en"",""bn"")"),"ট্রেক সম্পন্ন")</f>
        <v>ট্রেক সম্পন্ন</v>
      </c>
      <c r="T344" s="4" t="str">
        <f>IFERROR(__xludf.DUMMYFUNCTION("GOOGLETRANSLATE(B344,""en"",""pa"")"),"ਟ੍ਰੈਕ ਪੂਰਾ ਹੋਇਆ")</f>
        <v>ਟ੍ਰੈਕ ਪੂਰਾ ਹੋਇਆ</v>
      </c>
      <c r="U344" s="4" t="str">
        <f>IFERROR(__xludf.DUMMYFUNCTION("GOOGLETRANSLATE(B344,""en"",""te"")"),"ట్రెక్ పూర్తయింది")</f>
        <v>ట్రెక్ పూర్తయింది</v>
      </c>
      <c r="V344" s="4" t="str">
        <f>IFERROR(__xludf.DUMMYFUNCTION("GOOGLETRANSLATE(B344,""en"",""kn"")"),"ಟ್ರೆಕ್ ಪೂರ್ಣಗೊಂಡಿದೆ")</f>
        <v>ಟ್ರೆಕ್ ಪೂರ್ಣಗೊಂಡಿದೆ</v>
      </c>
      <c r="W344" s="4" t="str">
        <f>IFERROR(__xludf.DUMMYFUNCTION("GOOGLETRANSLATE(B344,""en"",""ml"")"),"ട്രെക്ക് പൂർത്തിയാക്കി")</f>
        <v>ട്രെക്ക് പൂർത്തിയാക്കി</v>
      </c>
      <c r="X344" s="4" t="str">
        <f>IFERROR(__xludf.DUMMYFUNCTION("GOOGLETRANSLATE(B344,""en"",""th"")"),"การเดินป่าเสร็จสิ้นแล้ว")</f>
        <v>การเดินป่าเสร็จสิ้นแล้ว</v>
      </c>
      <c r="Y344" s="4" t="str">
        <f>IFERROR(__xludf.DUMMYFUNCTION("GOOGLETRANSLATE(B344,""en"",""ko"")"),"트렉 완료")</f>
        <v>트렉 완료</v>
      </c>
      <c r="Z344" s="4" t="str">
        <f>IFERROR(__xludf.DUMMYFUNCTION("GOOGLETRANSLATE(B344,""en"",""zh"")"),"跋涉已完成")</f>
        <v>跋涉已完成</v>
      </c>
      <c r="AA344" s="4" t="str">
        <f>IFERROR(__xludf.DUMMYFUNCTION("GOOGLETRANSLATE(B344,""en"",""zh-TW"")"),"跋涉已完成")</f>
        <v>跋涉已完成</v>
      </c>
      <c r="AB344" s="4" t="str">
        <f>IFERROR(__xludf.DUMMYFUNCTION("GOOGLETRANSLATE(B344,""en"",""ja"")"),"トレッキング完了")</f>
        <v>トレッキング完了</v>
      </c>
      <c r="AC344" s="4" t="str">
        <f>IFERROR(__xludf.DUMMYFUNCTION("GOOGLETRANSLATE(B344,""en"",""bg"")"),"Походът е завършен")</f>
        <v>Походът е завършен</v>
      </c>
      <c r="AD344" s="4" t="str">
        <f>IFERROR(__xludf.DUMMYFUNCTION("GOOGLETRANSLATE(B344,""en"",""cs"")"),"Trek dokončen")</f>
        <v>Trek dokončen</v>
      </c>
      <c r="AE344" s="4" t="str">
        <f>IFERROR(__xludf.DUMMYFUNCTION("GOOGLETRANSLATE(B344,""en"",""da"")"),"Trek afsluttet")</f>
        <v>Trek afsluttet</v>
      </c>
      <c r="AF344" s="4" t="str">
        <f>IFERROR(__xludf.DUMMYFUNCTION("GOOGLETRANSLATE(B344,""en"",""el"")"),"Ολοκληρώθηκε το ταξίδι")</f>
        <v>Ολοκληρώθηκε το ταξίδι</v>
      </c>
      <c r="AG344" s="4" t="str">
        <f>IFERROR(__xludf.DUMMYFUNCTION("GOOGLETRANSLATE(B344,""en"",""et"")"),"Trek lõpetatud")</f>
        <v>Trek lõpetatud</v>
      </c>
      <c r="AH344" s="4" t="str">
        <f>IFERROR(__xludf.DUMMYFUNCTION("GOOGLETRANSLATE(B344,""en"",""fi"")"),"Vaellus suoritettu")</f>
        <v>Vaellus suoritettu</v>
      </c>
      <c r="AI344" s="4" t="str">
        <f>IFERROR(__xludf.DUMMYFUNCTION("GOOGLETRANSLATE(B344,""en"",""hr"")"),"Putovanje završeno")</f>
        <v>Putovanje završeno</v>
      </c>
      <c r="AJ344" s="4" t="str">
        <f>IFERROR(__xludf.DUMMYFUNCTION("GOOGLETRANSLATE(B344,""en"",""hu"")"),"Trek befejezve")</f>
        <v>Trek befejezve</v>
      </c>
      <c r="AK344" s="4" t="str">
        <f>IFERROR(__xludf.DUMMYFUNCTION("GOOGLETRANSLATE(B344,""en"",""hy"")"),"Trek Ավարտված")</f>
        <v>Trek Ավարտված</v>
      </c>
      <c r="AL344" s="4" t="str">
        <f>IFERROR(__xludf.DUMMYFUNCTION("GOOGLETRANSLATE(B344,""en"",""ca"")"),"Trek completat")</f>
        <v>Trek completat</v>
      </c>
      <c r="AM344" s="4" t="str">
        <f>IFERROR(__xludf.DUMMYFUNCTION("GOOGLETRANSLATE(B344,""en"",""nl"")"),"Trek voltooid")</f>
        <v>Trek voltooid</v>
      </c>
      <c r="AN344" s="4" t="str">
        <f>IFERROR(__xludf.DUMMYFUNCTION("GOOGLETRANSLATE(B344,""en"",""he"")"),"טרק הושלם")</f>
        <v>טרק הושלם</v>
      </c>
      <c r="AO344" s="4" t="str">
        <f>IFERROR(__xludf.DUMMYFUNCTION("GOOGLETRANSLATE(B344,""en"",""is"")"),"Túr lokið")</f>
        <v>Túr lokið</v>
      </c>
      <c r="AP344" s="4" t="str">
        <f>IFERROR(__xludf.DUMMYFUNCTION("GOOGLETRANSLATE(B344,""en"",""no"")"),"Trek fullført")</f>
        <v>Trek fullført</v>
      </c>
      <c r="AQ344" s="4" t="str">
        <f>IFERROR(__xludf.DUMMYFUNCTION("GOOGLETRANSLATE(B344,""en"",""fa"")"),"سفر به پایان رسید")</f>
        <v>سفر به پایان رسید</v>
      </c>
      <c r="AR344" s="4" t="str">
        <f>IFERROR(__xludf.DUMMYFUNCTION("GOOGLETRANSLATE(B344,""en"",""pl"")"),"Wędrówka ukończona")</f>
        <v>Wędrówka ukończona</v>
      </c>
      <c r="AS344" s="4" t="str">
        <f>IFERROR(__xludf.DUMMYFUNCTION("GOOGLETRANSLATE(B344,""en"",""sv"")"),"Trek avslutad")</f>
        <v>Trek avslutad</v>
      </c>
      <c r="AT344" s="4" t="str">
        <f>IFERROR(__xludf.DUMMYFUNCTION("GOOGLETRANSLATE(B344,""en"",""uk"")"),"Трек завершено")</f>
        <v>Трек завершено</v>
      </c>
      <c r="AU344" s="4" t="str">
        <f>IFERROR(__xludf.DUMMYFUNCTION("GOOGLETRANSLATE(B344,""en"",""zu"")"),"Uhambo Luphelile")</f>
        <v>Uhambo Luphelile</v>
      </c>
      <c r="AV344" s="4" t="str">
        <f>IFERROR(__xludf.DUMMYFUNCTION("GOOGLETRANSLATE(B344,""en"",""sr"")"),"Трек Цомплетед")</f>
        <v>Трек Цомплетед</v>
      </c>
    </row>
    <row r="345">
      <c r="A345" s="3" t="s">
        <v>683</v>
      </c>
      <c r="B345" s="3" t="s">
        <v>684</v>
      </c>
      <c r="C345" s="4" t="str">
        <f>IFERROR(__xludf.DUMMYFUNCTION("GOOGLETRANSLATE(B345,""en"",""ta"")"),"உயர வரைபடத்தைக் காட்டு")</f>
        <v>உயர வரைபடத்தைக் காட்டு</v>
      </c>
      <c r="D345" s="4" t="str">
        <f>IFERROR(__xludf.DUMMYFUNCTION("GOOGLETRANSLATE(B345,""en"",""hi"")"),"ऊंचाई ग्राफ दिखाएं")</f>
        <v>ऊंचाई ग्राफ दिखाएं</v>
      </c>
      <c r="E345" s="4" t="str">
        <f>IFERROR(__xludf.DUMMYFUNCTION("GOOGLETRANSLATE(B345,""en"",""id"")"),"Tampilkan Grafik Ketinggian")</f>
        <v>Tampilkan Grafik Ketinggian</v>
      </c>
      <c r="F345" s="4" t="str">
        <f>IFERROR(__xludf.DUMMYFUNCTION("GOOGLETRANSLATE(B345,""en"",""ms"")"),"Tunjukkan Graf Ketinggian")</f>
        <v>Tunjukkan Graf Ketinggian</v>
      </c>
      <c r="G345" s="4" t="str">
        <f>IFERROR(__xludf.DUMMYFUNCTION("GOOGLETRANSLATE(B345,""en"",""de"")"),"Höhendiagramm anzeigen")</f>
        <v>Höhendiagramm anzeigen</v>
      </c>
      <c r="H345" s="4" t="str">
        <f>IFERROR(__xludf.DUMMYFUNCTION("GOOGLETRANSLATE(B345,""en"",""es"")"),"Mostrar gráfico de elevación")</f>
        <v>Mostrar gráfico de elevación</v>
      </c>
      <c r="I345" s="4" t="str">
        <f>IFERROR(__xludf.DUMMYFUNCTION("GOOGLETRANSLATE(B345,""en"",""fr"")"),"Afficher le graphique d'élévation")</f>
        <v>Afficher le graphique d'élévation</v>
      </c>
      <c r="J345" s="4" t="str">
        <f>IFERROR(__xludf.DUMMYFUNCTION("GOOGLETRANSLATE(B345,""en"",""it"")"),"Mostra grafico di elevazione")</f>
        <v>Mostra grafico di elevazione</v>
      </c>
      <c r="K345" s="4" t="str">
        <f>IFERROR(__xludf.DUMMYFUNCTION("GOOGLETRANSLATE(B345,""en"",""pt"")"),"Mostrar gráfico de elevação")</f>
        <v>Mostrar gráfico de elevação</v>
      </c>
      <c r="L345" s="4" t="str">
        <f>IFERROR(__xludf.DUMMYFUNCTION("GOOGLETRANSLATE(B345,""en"",""ro"")"),"Afișați graficul de altitudine")</f>
        <v>Afișați graficul de altitudine</v>
      </c>
      <c r="M345" s="4" t="str">
        <f>IFERROR(__xludf.DUMMYFUNCTION("GOOGLETRANSLATE(B345,""en"",""vi"")"),"Hiển thị biểu đồ độ cao")</f>
        <v>Hiển thị biểu đồ độ cao</v>
      </c>
      <c r="N345" s="4" t="str">
        <f>IFERROR(__xludf.DUMMYFUNCTION("GOOGLETRANSLATE(B345,""en"",""ru"")"),"Показать график высоты")</f>
        <v>Показать график высоты</v>
      </c>
      <c r="O345" s="4" t="str">
        <f>IFERROR(__xludf.DUMMYFUNCTION("GOOGLETRANSLATE(B345,""en"",""tr"")"),"Yükseklik Grafiğini Göster")</f>
        <v>Yükseklik Grafiğini Göster</v>
      </c>
      <c r="P345" s="4" t="str">
        <f>IFERROR(__xludf.DUMMYFUNCTION("GOOGLETRANSLATE(B345,""en"",""ar"")"),"إظهار الرسم البياني للارتفاع")</f>
        <v>إظهار الرسم البياني للارتفاع</v>
      </c>
      <c r="Q345" s="4" t="str">
        <f>IFERROR(__xludf.DUMMYFUNCTION("GOOGLETRANSLATE(B345,""en"",""mr"")"),"उंची आलेख दाखवा")</f>
        <v>उंची आलेख दाखवा</v>
      </c>
      <c r="R345" s="4" t="str">
        <f>IFERROR(__xludf.DUMMYFUNCTION("GOOGLETRANSLATE(B345,""en"",""gu"")"),"એલિવેશન ગ્રાફ બતાવો")</f>
        <v>એલિવેશન ગ્રાફ બતાવો</v>
      </c>
      <c r="S345" s="4" t="str">
        <f>IFERROR(__xludf.DUMMYFUNCTION("GOOGLETRANSLATE(B345,""en"",""bn"")"),"উচ্চতা গ্রাফ দেখান")</f>
        <v>উচ্চতা গ্রাফ দেখান</v>
      </c>
      <c r="T345" s="4" t="str">
        <f>IFERROR(__xludf.DUMMYFUNCTION("GOOGLETRANSLATE(B345,""en"",""pa"")"),"ਉਚਾਈ ਗ੍ਰਾਫ਼ ਦਿਖਾਓ")</f>
        <v>ਉਚਾਈ ਗ੍ਰਾਫ਼ ਦਿਖਾਓ</v>
      </c>
      <c r="U345" s="4" t="str">
        <f>IFERROR(__xludf.DUMMYFUNCTION("GOOGLETRANSLATE(B345,""en"",""te"")"),"ఎలివేషన్ గ్రాఫ్ చూపించు")</f>
        <v>ఎలివేషన్ గ్రాఫ్ చూపించు</v>
      </c>
      <c r="V345" s="4" t="str">
        <f>IFERROR(__xludf.DUMMYFUNCTION("GOOGLETRANSLATE(B345,""en"",""kn"")"),"ಎಲಿವೇಶನ್ ಗ್ರಾಫ್ ತೋರಿಸಿ")</f>
        <v>ಎಲಿವೇಶನ್ ಗ್ರಾಫ್ ತೋರಿಸಿ</v>
      </c>
      <c r="W345" s="4" t="str">
        <f>IFERROR(__xludf.DUMMYFUNCTION("GOOGLETRANSLATE(B345,""en"",""ml"")"),"എലവേഷൻ ഗ്രാഫ് കാണിക്കുക")</f>
        <v>എലവേഷൻ ഗ്രാഫ് കാണിക്കുക</v>
      </c>
      <c r="X345" s="4" t="str">
        <f>IFERROR(__xludf.DUMMYFUNCTION("GOOGLETRANSLATE(B345,""en"",""th"")"),"แสดงกราฟระดับความสูง")</f>
        <v>แสดงกราฟระดับความสูง</v>
      </c>
      <c r="Y345" s="4" t="str">
        <f>IFERROR(__xludf.DUMMYFUNCTION("GOOGLETRANSLATE(B345,""en"",""ko"")"),"고도 그래프 표시")</f>
        <v>고도 그래프 표시</v>
      </c>
      <c r="Z345" s="4" t="str">
        <f>IFERROR(__xludf.DUMMYFUNCTION("GOOGLETRANSLATE(B345,""en"",""zh"")"),"显示海拔图")</f>
        <v>显示海拔图</v>
      </c>
      <c r="AA345" s="4" t="str">
        <f>IFERROR(__xludf.DUMMYFUNCTION("GOOGLETRANSLATE(B345,""en"",""zh-TW"")"),"顯示海拔圖")</f>
        <v>顯示海拔圖</v>
      </c>
      <c r="AB345" s="4" t="str">
        <f>IFERROR(__xludf.DUMMYFUNCTION("GOOGLETRANSLATE(B345,""en"",""ja"")"),"標高グラフを表示")</f>
        <v>標高グラフを表示</v>
      </c>
      <c r="AC345" s="4" t="str">
        <f>IFERROR(__xludf.DUMMYFUNCTION("GOOGLETRANSLATE(B345,""en"",""bg"")"),"Показване на графика на надморската височина")</f>
        <v>Показване на графика на надморската височина</v>
      </c>
      <c r="AD345" s="4" t="str">
        <f>IFERROR(__xludf.DUMMYFUNCTION("GOOGLETRANSLATE(B345,""en"",""cs"")"),"Zobrazit graf nadmořské výšky")</f>
        <v>Zobrazit graf nadmořské výšky</v>
      </c>
      <c r="AE345" s="4" t="str">
        <f>IFERROR(__xludf.DUMMYFUNCTION("GOOGLETRANSLATE(B345,""en"",""da"")"),"Vis højdegraf")</f>
        <v>Vis højdegraf</v>
      </c>
      <c r="AF345" s="4" t="str">
        <f>IFERROR(__xludf.DUMMYFUNCTION("GOOGLETRANSLATE(B345,""en"",""el"")"),"Εμφάνιση γραφήματος υψομέτρου")</f>
        <v>Εμφάνιση γραφήματος υψομέτρου</v>
      </c>
      <c r="AG345" s="4" t="str">
        <f>IFERROR(__xludf.DUMMYFUNCTION("GOOGLETRANSLATE(B345,""en"",""et"")"),"Näita kõrgusgraafikut")</f>
        <v>Näita kõrgusgraafikut</v>
      </c>
      <c r="AH345" s="4" t="str">
        <f>IFERROR(__xludf.DUMMYFUNCTION("GOOGLETRANSLATE(B345,""en"",""fi"")"),"Näytä korkeuskaavio")</f>
        <v>Näytä korkeuskaavio</v>
      </c>
      <c r="AI345" s="4" t="str">
        <f>IFERROR(__xludf.DUMMYFUNCTION("GOOGLETRANSLATE(B345,""en"",""hr"")"),"Prikaži grafikon nadmorske visine")</f>
        <v>Prikaži grafikon nadmorske visine</v>
      </c>
      <c r="AJ345" s="4" t="str">
        <f>IFERROR(__xludf.DUMMYFUNCTION("GOOGLETRANSLATE(B345,""en"",""hu"")"),"Magassági grafikon megjelenítése")</f>
        <v>Magassági grafikon megjelenítése</v>
      </c>
      <c r="AK345" s="4" t="str">
        <f>IFERROR(__xludf.DUMMYFUNCTION("GOOGLETRANSLATE(B345,""en"",""hy"")"),"Ցույց տալ բարձրության գրաֆիկը")</f>
        <v>Ցույց տալ բարձրության գրաֆիկը</v>
      </c>
      <c r="AL345" s="4" t="str">
        <f>IFERROR(__xludf.DUMMYFUNCTION("GOOGLETRANSLATE(B345,""en"",""ca"")"),"Mostra el gràfic d'elevació")</f>
        <v>Mostra el gràfic d'elevació</v>
      </c>
      <c r="AM345" s="4" t="str">
        <f>IFERROR(__xludf.DUMMYFUNCTION("GOOGLETRANSLATE(B345,""en"",""nl"")"),"Hoogtegrafiek weergeven")</f>
        <v>Hoogtegrafiek weergeven</v>
      </c>
      <c r="AN345" s="4" t="str">
        <f>IFERROR(__xludf.DUMMYFUNCTION("GOOGLETRANSLATE(B345,""en"",""he"")"),"הצג גרף גובה")</f>
        <v>הצג גרף גובה</v>
      </c>
      <c r="AO345" s="4" t="str">
        <f>IFERROR(__xludf.DUMMYFUNCTION("GOOGLETRANSLATE(B345,""en"",""is"")"),"Sýna hæðargraf")</f>
        <v>Sýna hæðargraf</v>
      </c>
      <c r="AP345" s="4" t="str">
        <f>IFERROR(__xludf.DUMMYFUNCTION("GOOGLETRANSLATE(B345,""en"",""no"")"),"Vis høydegraf")</f>
        <v>Vis høydegraf</v>
      </c>
      <c r="AQ345" s="4" t="str">
        <f>IFERROR(__xludf.DUMMYFUNCTION("GOOGLETRANSLATE(B345,""en"",""fa"")"),"نمایش نمودار ارتفاع")</f>
        <v>نمایش نمودار ارتفاع</v>
      </c>
      <c r="AR345" s="4" t="str">
        <f>IFERROR(__xludf.DUMMYFUNCTION("GOOGLETRANSLATE(B345,""en"",""pl"")"),"Pokaż wykres wysokości")</f>
        <v>Pokaż wykres wysokości</v>
      </c>
      <c r="AS345" s="4" t="str">
        <f>IFERROR(__xludf.DUMMYFUNCTION("GOOGLETRANSLATE(B345,""en"",""sv"")"),"Visa höjddiagram")</f>
        <v>Visa höjddiagram</v>
      </c>
      <c r="AT345" s="4" t="str">
        <f>IFERROR(__xludf.DUMMYFUNCTION("GOOGLETRANSLATE(B345,""en"",""uk"")"),"Показати графік висоти")</f>
        <v>Показати графік висоти</v>
      </c>
      <c r="AU345" s="4" t="str">
        <f>IFERROR(__xludf.DUMMYFUNCTION("GOOGLETRANSLATE(B345,""en"",""zu"")"),"Bonisa igrafu yokuphakama")</f>
        <v>Bonisa igrafu yokuphakama</v>
      </c>
      <c r="AV345" s="4" t="str">
        <f>IFERROR(__xludf.DUMMYFUNCTION("GOOGLETRANSLATE(B345,""en"",""sr"")"),"Прикажи график надморске висине")</f>
        <v>Прикажи график надморске висине</v>
      </c>
    </row>
    <row r="346">
      <c r="A346" s="3" t="s">
        <v>685</v>
      </c>
      <c r="B346" s="3" t="s">
        <v>686</v>
      </c>
      <c r="C346" s="4" t="str">
        <f>IFERROR(__xludf.DUMMYFUNCTION("GOOGLETRANSLATE(B346,""en"",""ta"")"),"எனது ட்ரெக் குறிப்புகளைப் பார்க்கவும்")</f>
        <v>எனது ட்ரெக் குறிப்புகளைப் பார்க்கவும்</v>
      </c>
      <c r="D346" s="4" t="str">
        <f>IFERROR(__xludf.DUMMYFUNCTION("GOOGLETRANSLATE(B346,""en"",""hi"")"),"मेरे ट्रेक नोट्स देखें")</f>
        <v>मेरे ट्रेक नोट्स देखें</v>
      </c>
      <c r="E346" s="4" t="str">
        <f>IFERROR(__xludf.DUMMYFUNCTION("GOOGLETRANSLATE(B346,""en"",""id"")"),"Lihat Catatan Perjalanan Saya")</f>
        <v>Lihat Catatan Perjalanan Saya</v>
      </c>
      <c r="F346" s="4" t="str">
        <f>IFERROR(__xludf.DUMMYFUNCTION("GOOGLETRANSLATE(B346,""en"",""ms"")"),"Lihat Nota Trek Saya")</f>
        <v>Lihat Nota Trek Saya</v>
      </c>
      <c r="G346" s="4" t="str">
        <f>IFERROR(__xludf.DUMMYFUNCTION("GOOGLETRANSLATE(B346,""en"",""de"")"),"Meine Trekkingnotizen anzeigen")</f>
        <v>Meine Trekkingnotizen anzeigen</v>
      </c>
      <c r="H346" s="4" t="str">
        <f>IFERROR(__xludf.DUMMYFUNCTION("GOOGLETRANSLATE(B346,""en"",""es"")"),"Ver mis notas de trekking")</f>
        <v>Ver mis notas de trekking</v>
      </c>
      <c r="I346" s="4" t="str">
        <f>IFERROR(__xludf.DUMMYFUNCTION("GOOGLETRANSLATE(B346,""en"",""fr"")"),"Voir mes notes de randonnée")</f>
        <v>Voir mes notes de randonnée</v>
      </c>
      <c r="J346" s="4" t="str">
        <f>IFERROR(__xludf.DUMMYFUNCTION("GOOGLETRANSLATE(B346,""en"",""it"")"),"Visualizza le note del mio viaggio")</f>
        <v>Visualizza le note del mio viaggio</v>
      </c>
      <c r="K346" s="4" t="str">
        <f>IFERROR(__xludf.DUMMYFUNCTION("GOOGLETRANSLATE(B346,""en"",""pt"")"),"Ver minhas notas de caminhada")</f>
        <v>Ver minhas notas de caminhada</v>
      </c>
      <c r="L346" s="4" t="str">
        <f>IFERROR(__xludf.DUMMYFUNCTION("GOOGLETRANSLATE(B346,""en"",""ro"")"),"Vedeți notele mele de călătorie")</f>
        <v>Vedeți notele mele de călătorie</v>
      </c>
      <c r="M346" s="4" t="str">
        <f>IFERROR(__xludf.DUMMYFUNCTION("GOOGLETRANSLATE(B346,""en"",""vi"")"),"Xem Ghi chú về chuyến đi của tôi")</f>
        <v>Xem Ghi chú về chuyến đi của tôi</v>
      </c>
      <c r="N346" s="4" t="str">
        <f>IFERROR(__xludf.DUMMYFUNCTION("GOOGLETRANSLATE(B346,""en"",""ru"")"),"Посмотреть мои заметки о походе")</f>
        <v>Посмотреть мои заметки о походе</v>
      </c>
      <c r="O346" s="4" t="str">
        <f>IFERROR(__xludf.DUMMYFUNCTION("GOOGLETRANSLATE(B346,""en"",""tr"")"),"Trek Notlarımı Görüntüle")</f>
        <v>Trek Notlarımı Görüntüle</v>
      </c>
      <c r="P346" s="4" t="str">
        <f>IFERROR(__xludf.DUMMYFUNCTION("GOOGLETRANSLATE(B346,""en"",""ar"")"),"عرض ملاحظات رحلتي")</f>
        <v>عرض ملاحظات رحلتي</v>
      </c>
      <c r="Q346" s="4" t="str">
        <f>IFERROR(__xludf.DUMMYFUNCTION("GOOGLETRANSLATE(B346,""en"",""mr"")"),"माझ्या ट्रेक नोट्स पहा")</f>
        <v>माझ्या ट्रेक नोट्स पहा</v>
      </c>
      <c r="R346" s="4" t="str">
        <f>IFERROR(__xludf.DUMMYFUNCTION("GOOGLETRANSLATE(B346,""en"",""gu"")"),"મારી ટ્રેક નોંધો જુઓ")</f>
        <v>મારી ટ્રેક નોંધો જુઓ</v>
      </c>
      <c r="S346" s="4" t="str">
        <f>IFERROR(__xludf.DUMMYFUNCTION("GOOGLETRANSLATE(B346,""en"",""bn"")"),"আমার ট্রেক নোট দেখুন")</f>
        <v>আমার ট্রেক নোট দেখুন</v>
      </c>
      <c r="T346" s="4" t="str">
        <f>IFERROR(__xludf.DUMMYFUNCTION("GOOGLETRANSLATE(B346,""en"",""pa"")"),"ਮੇਰੇ ਟ੍ਰੈਕ ਨੋਟਸ ਵੇਖੋ")</f>
        <v>ਮੇਰੇ ਟ੍ਰੈਕ ਨੋਟਸ ਵੇਖੋ</v>
      </c>
      <c r="U346" s="4" t="str">
        <f>IFERROR(__xludf.DUMMYFUNCTION("GOOGLETRANSLATE(B346,""en"",""te"")"),"నా ట్రెక్ గమనికలను వీక్షించండి")</f>
        <v>నా ట్రెక్ గమనికలను వీక్షించండి</v>
      </c>
      <c r="V346" s="4" t="str">
        <f>IFERROR(__xludf.DUMMYFUNCTION("GOOGLETRANSLATE(B346,""en"",""kn"")"),"ನನ್ನ ಟ್ರೆಕ್ ಟಿಪ್ಪಣಿಗಳನ್ನು ವೀಕ್ಷಿಸಿ")</f>
        <v>ನನ್ನ ಟ್ರೆಕ್ ಟಿಪ್ಪಣಿಗಳನ್ನು ವೀಕ್ಷಿಸಿ</v>
      </c>
      <c r="W346" s="4" t="str">
        <f>IFERROR(__xludf.DUMMYFUNCTION("GOOGLETRANSLATE(B346,""en"",""ml"")"),"എൻ്റെ ട്രെക്ക് കുറിപ്പുകൾ കാണുക")</f>
        <v>എൻ്റെ ട്രെക്ക് കുറിപ്പുകൾ കാണുക</v>
      </c>
      <c r="X346" s="4" t="str">
        <f>IFERROR(__xludf.DUMMYFUNCTION("GOOGLETRANSLATE(B346,""en"",""th"")"),"ดูบันทึกการเดินทางของฉัน")</f>
        <v>ดูบันทึกการเดินทางของฉัน</v>
      </c>
      <c r="Y346" s="4" t="str">
        <f>IFERROR(__xludf.DUMMYFUNCTION("GOOGLETRANSLATE(B346,""en"",""ko"")"),"내 트렉 노트 보기")</f>
        <v>내 트렉 노트 보기</v>
      </c>
      <c r="Z346" s="4" t="str">
        <f>IFERROR(__xludf.DUMMYFUNCTION("GOOGLETRANSLATE(B346,""en"",""zh"")"),"查看我的徒步笔记")</f>
        <v>查看我的徒步笔记</v>
      </c>
      <c r="AA346" s="4" t="str">
        <f>IFERROR(__xludf.DUMMYFUNCTION("GOOGLETRANSLATE(B346,""en"",""zh-TW"")"),"查看我的健行筆記")</f>
        <v>查看我的健行筆記</v>
      </c>
      <c r="AB346" s="4" t="str">
        <f>IFERROR(__xludf.DUMMYFUNCTION("GOOGLETRANSLATE(B346,""en"",""ja"")"),"私のトレックノートを見る")</f>
        <v>私のトレックノートを見る</v>
      </c>
      <c r="AC346" s="4" t="str">
        <f>IFERROR(__xludf.DUMMYFUNCTION("GOOGLETRANSLATE(B346,""en"",""bg"")"),"Вижте My Trek Notes")</f>
        <v>Вижте My Trek Notes</v>
      </c>
      <c r="AD346" s="4" t="str">
        <f>IFERROR(__xludf.DUMMYFUNCTION("GOOGLETRANSLATE(B346,""en"",""cs"")"),"Zobrazit mé poznámky Trek")</f>
        <v>Zobrazit mé poznámky Trek</v>
      </c>
      <c r="AE346" s="4" t="str">
        <f>IFERROR(__xludf.DUMMYFUNCTION("GOOGLETRANSLATE(B346,""en"",""da"")"),"Se Mine Trek-noter")</f>
        <v>Se Mine Trek-noter</v>
      </c>
      <c r="AF346" s="4" t="str">
        <f>IFERROR(__xludf.DUMMYFUNCTION("GOOGLETRANSLATE(B346,""en"",""el"")"),"Προβολή My Trek Notes")</f>
        <v>Προβολή My Trek Notes</v>
      </c>
      <c r="AG346" s="4" t="str">
        <f>IFERROR(__xludf.DUMMYFUNCTION("GOOGLETRANSLATE(B346,""en"",""et"")"),"Vaadake Minu Treki märkmeid")</f>
        <v>Vaadake Minu Treki märkmeid</v>
      </c>
      <c r="AH346" s="4" t="str">
        <f>IFERROR(__xludf.DUMMYFUNCTION("GOOGLETRANSLATE(B346,""en"",""fi"")"),"Katso My Trek Notes")</f>
        <v>Katso My Trek Notes</v>
      </c>
      <c r="AI346" s="4" t="str">
        <f>IFERROR(__xludf.DUMMYFUNCTION("GOOGLETRANSLATE(B346,""en"",""hr"")"),"Pogledajte My Trek Notes")</f>
        <v>Pogledajte My Trek Notes</v>
      </c>
      <c r="AJ346" s="4" t="str">
        <f>IFERROR(__xludf.DUMMYFUNCTION("GOOGLETRANSLATE(B346,""en"",""hu"")"),"Tekintse meg a My Trek Notes-t")</f>
        <v>Tekintse meg a My Trek Notes-t</v>
      </c>
      <c r="AK346" s="4" t="str">
        <f>IFERROR(__xludf.DUMMYFUNCTION("GOOGLETRANSLATE(B346,""en"",""hy"")"),"Դիտեք Իմ արշավի նշումները")</f>
        <v>Դիտեք Իմ արշավի նշումները</v>
      </c>
      <c r="AL346" s="4" t="str">
        <f>IFERROR(__xludf.DUMMYFUNCTION("GOOGLETRANSLATE(B346,""en"",""ca"")"),"Veure les meves notes de viatge")</f>
        <v>Veure les meves notes de viatge</v>
      </c>
      <c r="AM346" s="4" t="str">
        <f>IFERROR(__xludf.DUMMYFUNCTION("GOOGLETRANSLATE(B346,""en"",""nl"")"),"Bekijk mijn trektochtnotities")</f>
        <v>Bekijk mijn trektochtnotities</v>
      </c>
      <c r="AN346" s="4" t="str">
        <f>IFERROR(__xludf.DUMMYFUNCTION("GOOGLETRANSLATE(B346,""en"",""he"")"),"הצג את הערות הטרק שלי")</f>
        <v>הצג את הערות הטרק שלי</v>
      </c>
      <c r="AO346" s="4" t="str">
        <f>IFERROR(__xludf.DUMMYFUNCTION("GOOGLETRANSLATE(B346,""en"",""is"")"),"Skoðaðu My Trek Notes")</f>
        <v>Skoðaðu My Trek Notes</v>
      </c>
      <c r="AP346" s="4" t="str">
        <f>IFERROR(__xludf.DUMMYFUNCTION("GOOGLETRANSLATE(B346,""en"",""no"")"),"Se Mine Trek-notater")</f>
        <v>Se Mine Trek-notater</v>
      </c>
      <c r="AQ346" s="4" t="str">
        <f>IFERROR(__xludf.DUMMYFUNCTION("GOOGLETRANSLATE(B346,""en"",""fa"")"),"مشاهده یادداشت های سفر من")</f>
        <v>مشاهده یادداشت های سفر من</v>
      </c>
      <c r="AR346" s="4" t="str">
        <f>IFERROR(__xludf.DUMMYFUNCTION("GOOGLETRANSLATE(B346,""en"",""pl"")"),"Zobacz moje notatki z wędrówki")</f>
        <v>Zobacz moje notatki z wędrówki</v>
      </c>
      <c r="AS346" s="4" t="str">
        <f>IFERROR(__xludf.DUMMYFUNCTION("GOOGLETRANSLATE(B346,""en"",""sv"")"),"Se Mina Trek-anteckningar")</f>
        <v>Se Mina Trek-anteckningar</v>
      </c>
      <c r="AT346" s="4" t="str">
        <f>IFERROR(__xludf.DUMMYFUNCTION("GOOGLETRANSLATE(B346,""en"",""uk"")"),"Перегляньте нотатки My Trek")</f>
        <v>Перегляньте нотатки My Trek</v>
      </c>
      <c r="AU346" s="4" t="str">
        <f>IFERROR(__xludf.DUMMYFUNCTION("GOOGLETRANSLATE(B346,""en"",""zu"")"),"Buka Amanothi Wami Wohambo")</f>
        <v>Buka Amanothi Wami Wohambo</v>
      </c>
      <c r="AV346" s="4" t="str">
        <f>IFERROR(__xludf.DUMMYFUNCTION("GOOGLETRANSLATE(B346,""en"",""sr"")"),"Прикажи моје Трек белешке")</f>
        <v>Прикажи моје Трек белешке</v>
      </c>
    </row>
    <row r="347">
      <c r="A347" s="3" t="s">
        <v>687</v>
      </c>
      <c r="B347" s="3" t="s">
        <v>524</v>
      </c>
      <c r="C347" s="4" t="str">
        <f>IFERROR(__xludf.DUMMYFUNCTION("GOOGLETRANSLATE(B347,""en"",""ta"")"),"ட்ரெக்கை சேமிக்கவும்")</f>
        <v>ட்ரெக்கை சேமிக்கவும்</v>
      </c>
      <c r="D347" s="4" t="str">
        <f>IFERROR(__xludf.DUMMYFUNCTION("GOOGLETRANSLATE(B347,""en"",""hi"")"),"ट्रेक बचाओ")</f>
        <v>ट्रेक बचाओ</v>
      </c>
      <c r="E347" s="4" t="str">
        <f>IFERROR(__xludf.DUMMYFUNCTION("GOOGLETRANSLATE(B347,""en"",""id"")"),"Simpan Trek")</f>
        <v>Simpan Trek</v>
      </c>
      <c r="F347" s="4" t="str">
        <f>IFERROR(__xludf.DUMMYFUNCTION("GOOGLETRANSLATE(B347,""en"",""ms"")"),"Simpan Trek")</f>
        <v>Simpan Trek</v>
      </c>
      <c r="G347" s="4" t="str">
        <f>IFERROR(__xludf.DUMMYFUNCTION("GOOGLETRANSLATE(B347,""en"",""de"")"),"Save Trek")</f>
        <v>Save Trek</v>
      </c>
      <c r="H347" s="4" t="str">
        <f>IFERROR(__xludf.DUMMYFUNCTION("GOOGLETRANSLATE(B347,""en"",""es"")"),"Salvar a Trek")</f>
        <v>Salvar a Trek</v>
      </c>
      <c r="I347" s="4" t="str">
        <f>IFERROR(__xludf.DUMMYFUNCTION("GOOGLETRANSLATE(B347,""en"",""fr"")"),"Sauver Trek")</f>
        <v>Sauver Trek</v>
      </c>
      <c r="J347" s="4" t="str">
        <f>IFERROR(__xludf.DUMMYFUNCTION("GOOGLETRANSLATE(B347,""en"",""it"")"),"Salva Trek")</f>
        <v>Salva Trek</v>
      </c>
      <c r="K347" s="4" t="str">
        <f>IFERROR(__xludf.DUMMYFUNCTION("GOOGLETRANSLATE(B347,""en"",""pt"")"),"Salvar Trek")</f>
        <v>Salvar Trek</v>
      </c>
      <c r="L347" s="4" t="str">
        <f>IFERROR(__xludf.DUMMYFUNCTION("GOOGLETRANSLATE(B347,""en"",""ro"")"),"Salvați Trek")</f>
        <v>Salvați Trek</v>
      </c>
      <c r="M347" s="4" t="str">
        <f>IFERROR(__xludf.DUMMYFUNCTION("GOOGLETRANSLATE(B347,""en"",""vi"")"),"Lưu Trek")</f>
        <v>Lưu Trek</v>
      </c>
      <c r="N347" s="4" t="str">
        <f>IFERROR(__xludf.DUMMYFUNCTION("GOOGLETRANSLATE(B347,""en"",""ru"")"),"Сохранить Трек")</f>
        <v>Сохранить Трек</v>
      </c>
      <c r="O347" s="4" t="str">
        <f>IFERROR(__xludf.DUMMYFUNCTION("GOOGLETRANSLATE(B347,""en"",""tr"")"),"Trek'i Kurtar")</f>
        <v>Trek'i Kurtar</v>
      </c>
      <c r="P347" s="4" t="str">
        <f>IFERROR(__xludf.DUMMYFUNCTION("GOOGLETRANSLATE(B347,""en"",""ar"")"),"احفظ الرحلة")</f>
        <v>احفظ الرحلة</v>
      </c>
      <c r="Q347" s="4" t="str">
        <f>IFERROR(__xludf.DUMMYFUNCTION("GOOGLETRANSLATE(B347,""en"",""mr"")"),"ट्रेक वाचवा")</f>
        <v>ट्रेक वाचवा</v>
      </c>
      <c r="R347" s="4" t="str">
        <f>IFERROR(__xludf.DUMMYFUNCTION("GOOGLETRANSLATE(B347,""en"",""gu"")"),"ટ્રેક સાચવો")</f>
        <v>ટ્રેક સાચવો</v>
      </c>
      <c r="S347" s="4" t="str">
        <f>IFERROR(__xludf.DUMMYFUNCTION("GOOGLETRANSLATE(B347,""en"",""bn"")"),"ট্রেক সংরক্ষণ করুন")</f>
        <v>ট্রেক সংরক্ষণ করুন</v>
      </c>
      <c r="T347" s="4" t="str">
        <f>IFERROR(__xludf.DUMMYFUNCTION("GOOGLETRANSLATE(B347,""en"",""pa"")"),"ਟ੍ਰੈਕ ਬਚਾਓ")</f>
        <v>ਟ੍ਰੈਕ ਬਚਾਓ</v>
      </c>
      <c r="U347" s="4" t="str">
        <f>IFERROR(__xludf.DUMMYFUNCTION("GOOGLETRANSLATE(B347,""en"",""te"")"),"ట్రెక్‌ను సేవ్ చేయండి")</f>
        <v>ట్రెక్‌ను సేవ్ చేయండి</v>
      </c>
      <c r="V347" s="4" t="str">
        <f>IFERROR(__xludf.DUMMYFUNCTION("GOOGLETRANSLATE(B347,""en"",""kn"")"),"ಟ್ರೆಕ್ ಉಳಿಸಿ")</f>
        <v>ಟ್ರೆಕ್ ಉಳಿಸಿ</v>
      </c>
      <c r="W347" s="4" t="str">
        <f>IFERROR(__xludf.DUMMYFUNCTION("GOOGLETRANSLATE(B347,""en"",""ml"")"),"ട്രെക്ക് സംരക്ഷിക്കുക")</f>
        <v>ട്രെക്ക് സംരക്ഷിക്കുക</v>
      </c>
      <c r="X347" s="4" t="str">
        <f>IFERROR(__xludf.DUMMYFUNCTION("GOOGLETRANSLATE(B347,""en"",""th"")"),"บันทึกการเดินทาง")</f>
        <v>บันทึกการเดินทาง</v>
      </c>
      <c r="Y347" s="4" t="str">
        <f>IFERROR(__xludf.DUMMYFUNCTION("GOOGLETRANSLATE(B347,""en"",""ko"")"),"트렉을 저장하세요")</f>
        <v>트렉을 저장하세요</v>
      </c>
      <c r="Z347" s="4" t="str">
        <f>IFERROR(__xludf.DUMMYFUNCTION("GOOGLETRANSLATE(B347,""en"",""zh"")"),"保存跋涉")</f>
        <v>保存跋涉</v>
      </c>
      <c r="AA347" s="4" t="str">
        <f>IFERROR(__xludf.DUMMYFUNCTION("GOOGLETRANSLATE(B347,""en"",""zh-TW"")"),"保存跋涉")</f>
        <v>保存跋涉</v>
      </c>
      <c r="AB347" s="4" t="str">
        <f>IFERROR(__xludf.DUMMYFUNCTION("GOOGLETRANSLATE(B347,""en"",""ja"")"),"トレックを保存")</f>
        <v>トレックを保存</v>
      </c>
      <c r="AC347" s="4" t="str">
        <f>IFERROR(__xludf.DUMMYFUNCTION("GOOGLETRANSLATE(B347,""en"",""bg"")"),"Запазете Трек")</f>
        <v>Запазете Трек</v>
      </c>
      <c r="AD347" s="4" t="str">
        <f>IFERROR(__xludf.DUMMYFUNCTION("GOOGLETRANSLATE(B347,""en"",""cs"")"),"Zachraňte Trek")</f>
        <v>Zachraňte Trek</v>
      </c>
      <c r="AE347" s="4" t="str">
        <f>IFERROR(__xludf.DUMMYFUNCTION("GOOGLETRANSLATE(B347,""en"",""da"")"),"Gem Trek")</f>
        <v>Gem Trek</v>
      </c>
      <c r="AF347" s="4" t="str">
        <f>IFERROR(__xludf.DUMMYFUNCTION("GOOGLETRANSLATE(B347,""en"",""el"")"),"Save Trek")</f>
        <v>Save Trek</v>
      </c>
      <c r="AG347" s="4" t="str">
        <f>IFERROR(__xludf.DUMMYFUNCTION("GOOGLETRANSLATE(B347,""en"",""et"")"),"Salvesta Trek")</f>
        <v>Salvesta Trek</v>
      </c>
      <c r="AH347" s="4" t="str">
        <f>IFERROR(__xludf.DUMMYFUNCTION("GOOGLETRANSLATE(B347,""en"",""fi"")"),"Tallenna Trek")</f>
        <v>Tallenna Trek</v>
      </c>
      <c r="AI347" s="4" t="str">
        <f>IFERROR(__xludf.DUMMYFUNCTION("GOOGLETRANSLATE(B347,""en"",""hr"")"),"Sačuvaj Trek")</f>
        <v>Sačuvaj Trek</v>
      </c>
      <c r="AJ347" s="4" t="str">
        <f>IFERROR(__xludf.DUMMYFUNCTION("GOOGLETRANSLATE(B347,""en"",""hu"")"),"Mentse a Treket")</f>
        <v>Mentse a Treket</v>
      </c>
      <c r="AK347" s="4" t="str">
        <f>IFERROR(__xludf.DUMMYFUNCTION("GOOGLETRANSLATE(B347,""en"",""hy"")"),"Save Trek-ը")</f>
        <v>Save Trek-ը</v>
      </c>
      <c r="AL347" s="4" t="str">
        <f>IFERROR(__xludf.DUMMYFUNCTION("GOOGLETRANSLATE(B347,""en"",""ca"")"),"Salva Trek")</f>
        <v>Salva Trek</v>
      </c>
      <c r="AM347" s="4" t="str">
        <f>IFERROR(__xludf.DUMMYFUNCTION("GOOGLETRANSLATE(B347,""en"",""nl"")"),"Trek opslaan")</f>
        <v>Trek opslaan</v>
      </c>
      <c r="AN347" s="4" t="str">
        <f>IFERROR(__xludf.DUMMYFUNCTION("GOOGLETRANSLATE(B347,""en"",""he"")"),"שמור טרק")</f>
        <v>שמור טרק</v>
      </c>
      <c r="AO347" s="4" t="str">
        <f>IFERROR(__xludf.DUMMYFUNCTION("GOOGLETRANSLATE(B347,""en"",""is"")"),"Vista Trek")</f>
        <v>Vista Trek</v>
      </c>
      <c r="AP347" s="4" t="str">
        <f>IFERROR(__xludf.DUMMYFUNCTION("GOOGLETRANSLATE(B347,""en"",""no"")"),"Lagre Trek")</f>
        <v>Lagre Trek</v>
      </c>
      <c r="AQ347" s="4" t="str">
        <f>IFERROR(__xludf.DUMMYFUNCTION("GOOGLETRANSLATE(B347,""en"",""fa"")"),"Save Trek")</f>
        <v>Save Trek</v>
      </c>
      <c r="AR347" s="4" t="str">
        <f>IFERROR(__xludf.DUMMYFUNCTION("GOOGLETRANSLATE(B347,""en"",""pl"")"),"Zapisz Trek")</f>
        <v>Zapisz Trek</v>
      </c>
      <c r="AS347" s="4" t="str">
        <f>IFERROR(__xludf.DUMMYFUNCTION("GOOGLETRANSLATE(B347,""en"",""sv"")"),"Rädda Trek")</f>
        <v>Rädda Trek</v>
      </c>
      <c r="AT347" s="4" t="str">
        <f>IFERROR(__xludf.DUMMYFUNCTION("GOOGLETRANSLATE(B347,""en"",""uk"")"),"Зберегти Трек")</f>
        <v>Зберегти Трек</v>
      </c>
      <c r="AU347" s="4" t="str">
        <f>IFERROR(__xludf.DUMMYFUNCTION("GOOGLETRANSLATE(B347,""en"",""zu"")"),"Londoloza i-Trek")</f>
        <v>Londoloza i-Trek</v>
      </c>
      <c r="AV347" s="4" t="str">
        <f>IFERROR(__xludf.DUMMYFUNCTION("GOOGLETRANSLATE(B347,""en"",""sr"")"),"Саве Трек")</f>
        <v>Саве Трек</v>
      </c>
    </row>
    <row r="348">
      <c r="A348" s="3" t="s">
        <v>688</v>
      </c>
      <c r="B348" s="3" t="s">
        <v>689</v>
      </c>
      <c r="C348" s="4" t="str">
        <f>IFERROR(__xludf.DUMMYFUNCTION("GOOGLETRANSLATE(B348,""en"",""ta"")"),"பகிரவும்")</f>
        <v>பகிரவும்</v>
      </c>
      <c r="D348" s="4" t="str">
        <f>IFERROR(__xludf.DUMMYFUNCTION("GOOGLETRANSLATE(B348,""en"",""hi"")"),"शेयर करना")</f>
        <v>शेयर करना</v>
      </c>
      <c r="E348" s="4" t="str">
        <f>IFERROR(__xludf.DUMMYFUNCTION("GOOGLETRANSLATE(B348,""en"",""id"")"),"Membagikan")</f>
        <v>Membagikan</v>
      </c>
      <c r="F348" s="4" t="str">
        <f>IFERROR(__xludf.DUMMYFUNCTION("GOOGLETRANSLATE(B348,""en"",""ms"")"),"Kongsi")</f>
        <v>Kongsi</v>
      </c>
      <c r="G348" s="4" t="str">
        <f>IFERROR(__xludf.DUMMYFUNCTION("GOOGLETRANSLATE(B348,""en"",""de"")"),"Aktie")</f>
        <v>Aktie</v>
      </c>
      <c r="H348" s="4" t="str">
        <f>IFERROR(__xludf.DUMMYFUNCTION("GOOGLETRANSLATE(B348,""en"",""es"")"),"Compartir")</f>
        <v>Compartir</v>
      </c>
      <c r="I348" s="4" t="str">
        <f>IFERROR(__xludf.DUMMYFUNCTION("GOOGLETRANSLATE(B348,""en"",""fr"")"),"Partager")</f>
        <v>Partager</v>
      </c>
      <c r="J348" s="4" t="str">
        <f>IFERROR(__xludf.DUMMYFUNCTION("GOOGLETRANSLATE(B348,""en"",""it"")"),"Condividere")</f>
        <v>Condividere</v>
      </c>
      <c r="K348" s="4" t="str">
        <f>IFERROR(__xludf.DUMMYFUNCTION("GOOGLETRANSLATE(B348,""en"",""pt"")"),"Compartilhar")</f>
        <v>Compartilhar</v>
      </c>
      <c r="L348" s="4" t="str">
        <f>IFERROR(__xludf.DUMMYFUNCTION("GOOGLETRANSLATE(B348,""en"",""ro"")"),"Distribuie")</f>
        <v>Distribuie</v>
      </c>
      <c r="M348" s="4" t="str">
        <f>IFERROR(__xludf.DUMMYFUNCTION("GOOGLETRANSLATE(B348,""en"",""vi"")"),"Chia sẻ")</f>
        <v>Chia sẻ</v>
      </c>
      <c r="N348" s="4" t="str">
        <f>IFERROR(__xludf.DUMMYFUNCTION("GOOGLETRANSLATE(B348,""en"",""ru"")"),"Делиться")</f>
        <v>Делиться</v>
      </c>
      <c r="O348" s="4" t="str">
        <f>IFERROR(__xludf.DUMMYFUNCTION("GOOGLETRANSLATE(B348,""en"",""tr"")"),"Paylaşmak")</f>
        <v>Paylaşmak</v>
      </c>
      <c r="P348" s="4" t="str">
        <f>IFERROR(__xludf.DUMMYFUNCTION("GOOGLETRANSLATE(B348,""en"",""ar"")"),"يشارك")</f>
        <v>يشارك</v>
      </c>
      <c r="Q348" s="4" t="str">
        <f>IFERROR(__xludf.DUMMYFUNCTION("GOOGLETRANSLATE(B348,""en"",""mr"")"),"शेअर करा")</f>
        <v>शेअर करा</v>
      </c>
      <c r="R348" s="4" t="str">
        <f>IFERROR(__xludf.DUMMYFUNCTION("GOOGLETRANSLATE(B348,""en"",""gu"")"),"શેર કરો")</f>
        <v>શેર કરો</v>
      </c>
      <c r="S348" s="4" t="str">
        <f>IFERROR(__xludf.DUMMYFUNCTION("GOOGLETRANSLATE(B348,""en"",""bn"")"),"শেয়ার করুন")</f>
        <v>শেয়ার করুন</v>
      </c>
      <c r="T348" s="4" t="str">
        <f>IFERROR(__xludf.DUMMYFUNCTION("GOOGLETRANSLATE(B348,""en"",""pa"")"),"ਸ਼ੇਅਰ ਕਰੋ")</f>
        <v>ਸ਼ੇਅਰ ਕਰੋ</v>
      </c>
      <c r="U348" s="4" t="str">
        <f>IFERROR(__xludf.DUMMYFUNCTION("GOOGLETRANSLATE(B348,""en"",""te"")"),"షేర్ చేయండి")</f>
        <v>షేర్ చేయండి</v>
      </c>
      <c r="V348" s="4" t="str">
        <f>IFERROR(__xludf.DUMMYFUNCTION("GOOGLETRANSLATE(B348,""en"",""kn"")"),"ಹಂಚಿಕೊಳ್ಳಿ")</f>
        <v>ಹಂಚಿಕೊಳ್ಳಿ</v>
      </c>
      <c r="W348" s="4" t="str">
        <f>IFERROR(__xludf.DUMMYFUNCTION("GOOGLETRANSLATE(B348,""en"",""ml"")"),"പങ്കിടുക")</f>
        <v>പങ്കിടുക</v>
      </c>
      <c r="X348" s="4" t="str">
        <f>IFERROR(__xludf.DUMMYFUNCTION("GOOGLETRANSLATE(B348,""en"",""th"")"),"แบ่งปัน")</f>
        <v>แบ่งปัน</v>
      </c>
      <c r="Y348" s="4" t="str">
        <f>IFERROR(__xludf.DUMMYFUNCTION("GOOGLETRANSLATE(B348,""en"",""ko"")"),"공유하다")</f>
        <v>공유하다</v>
      </c>
      <c r="Z348" s="4" t="str">
        <f>IFERROR(__xludf.DUMMYFUNCTION("GOOGLETRANSLATE(B348,""en"",""zh"")"),"分享")</f>
        <v>分享</v>
      </c>
      <c r="AA348" s="4" t="str">
        <f>IFERROR(__xludf.DUMMYFUNCTION("GOOGLETRANSLATE(B348,""en"",""zh-TW"")"),"分享")</f>
        <v>分享</v>
      </c>
      <c r="AB348" s="4" t="str">
        <f>IFERROR(__xludf.DUMMYFUNCTION("GOOGLETRANSLATE(B348,""en"",""ja"")"),"共有")</f>
        <v>共有</v>
      </c>
      <c r="AC348" s="4" t="str">
        <f>IFERROR(__xludf.DUMMYFUNCTION("GOOGLETRANSLATE(B348,""en"",""bg"")"),"Споделете")</f>
        <v>Споделете</v>
      </c>
      <c r="AD348" s="4" t="str">
        <f>IFERROR(__xludf.DUMMYFUNCTION("GOOGLETRANSLATE(B348,""en"",""cs"")"),"Podíl")</f>
        <v>Podíl</v>
      </c>
      <c r="AE348" s="4" t="str">
        <f>IFERROR(__xludf.DUMMYFUNCTION("GOOGLETRANSLATE(B348,""en"",""da"")"),"Dele")</f>
        <v>Dele</v>
      </c>
      <c r="AF348" s="4" t="str">
        <f>IFERROR(__xludf.DUMMYFUNCTION("GOOGLETRANSLATE(B348,""en"",""el"")"),"Μερίδιο")</f>
        <v>Μερίδιο</v>
      </c>
      <c r="AG348" s="4" t="str">
        <f>IFERROR(__xludf.DUMMYFUNCTION("GOOGLETRANSLATE(B348,""en"",""et"")"),"Jaga")</f>
        <v>Jaga</v>
      </c>
      <c r="AH348" s="4" t="str">
        <f>IFERROR(__xludf.DUMMYFUNCTION("GOOGLETRANSLATE(B348,""en"",""fi"")"),"Jakaa")</f>
        <v>Jakaa</v>
      </c>
      <c r="AI348" s="4" t="str">
        <f>IFERROR(__xludf.DUMMYFUNCTION("GOOGLETRANSLATE(B348,""en"",""hr"")"),"Udio")</f>
        <v>Udio</v>
      </c>
      <c r="AJ348" s="4" t="str">
        <f>IFERROR(__xludf.DUMMYFUNCTION("GOOGLETRANSLATE(B348,""en"",""hu"")"),"Részesedés")</f>
        <v>Részesedés</v>
      </c>
      <c r="AK348" s="4" t="str">
        <f>IFERROR(__xludf.DUMMYFUNCTION("GOOGLETRANSLATE(B348,""en"",""hy"")"),"Կիսվել")</f>
        <v>Կիսվել</v>
      </c>
      <c r="AL348" s="4" t="str">
        <f>IFERROR(__xludf.DUMMYFUNCTION("GOOGLETRANSLATE(B348,""en"",""ca"")"),"Comparteix")</f>
        <v>Comparteix</v>
      </c>
      <c r="AM348" s="4" t="str">
        <f>IFERROR(__xludf.DUMMYFUNCTION("GOOGLETRANSLATE(B348,""en"",""nl"")"),"Deel")</f>
        <v>Deel</v>
      </c>
      <c r="AN348" s="4" t="str">
        <f>IFERROR(__xludf.DUMMYFUNCTION("GOOGLETRANSLATE(B348,""en"",""he"")"),"לַחֲלוֹק")</f>
        <v>לַחֲלוֹק</v>
      </c>
      <c r="AO348" s="4" t="str">
        <f>IFERROR(__xludf.DUMMYFUNCTION("GOOGLETRANSLATE(B348,""en"",""is"")"),"Deila")</f>
        <v>Deila</v>
      </c>
      <c r="AP348" s="4" t="str">
        <f>IFERROR(__xludf.DUMMYFUNCTION("GOOGLETRANSLATE(B348,""en"",""no"")"),"Dele")</f>
        <v>Dele</v>
      </c>
      <c r="AQ348" s="4" t="str">
        <f>IFERROR(__xludf.DUMMYFUNCTION("GOOGLETRANSLATE(B348,""en"",""fa"")"),"به اشتراک بگذارید")</f>
        <v>به اشتراک بگذارید</v>
      </c>
      <c r="AR348" s="4" t="str">
        <f>IFERROR(__xludf.DUMMYFUNCTION("GOOGLETRANSLATE(B348,""en"",""pl"")"),"Udział")</f>
        <v>Udział</v>
      </c>
      <c r="AS348" s="4" t="str">
        <f>IFERROR(__xludf.DUMMYFUNCTION("GOOGLETRANSLATE(B348,""en"",""sv"")"),"Dela")</f>
        <v>Dela</v>
      </c>
      <c r="AT348" s="4" t="str">
        <f>IFERROR(__xludf.DUMMYFUNCTION("GOOGLETRANSLATE(B348,""en"",""uk"")"),"Поділіться")</f>
        <v>Поділіться</v>
      </c>
      <c r="AU348" s="4" t="str">
        <f>IFERROR(__xludf.DUMMYFUNCTION("GOOGLETRANSLATE(B348,""en"",""zu"")"),"Yabelana")</f>
        <v>Yabelana</v>
      </c>
      <c r="AV348" s="4" t="str">
        <f>IFERROR(__xludf.DUMMYFUNCTION("GOOGLETRANSLATE(B348,""en"",""sr"")"),"Схаре")</f>
        <v>Схаре</v>
      </c>
    </row>
    <row r="349">
      <c r="A349" s="3" t="s">
        <v>690</v>
      </c>
      <c r="B349" s="3" t="s">
        <v>691</v>
      </c>
      <c r="C349" s="4" t="str">
        <f>IFERROR(__xludf.DUMMYFUNCTION("GOOGLETRANSLATE(B349,""en"",""ta"")"),"மலையேற்றப் பெயரை உள்ளிடவும்")</f>
        <v>மலையேற்றப் பெயரை உள்ளிடவும்</v>
      </c>
      <c r="D349" s="4" t="str">
        <f>IFERROR(__xludf.DUMMYFUNCTION("GOOGLETRANSLATE(B349,""en"",""hi"")"),"कृपया ट्रेक का नाम दर्ज करें")</f>
        <v>कृपया ट्रेक का नाम दर्ज करें</v>
      </c>
      <c r="E349" s="4" t="str">
        <f>IFERROR(__xludf.DUMMYFUNCTION("GOOGLETRANSLATE(B349,""en"",""id"")"),"Silakan masukkan nama trek")</f>
        <v>Silakan masukkan nama trek</v>
      </c>
      <c r="F349" s="4" t="str">
        <f>IFERROR(__xludf.DUMMYFUNCTION("GOOGLETRANSLATE(B349,""en"",""ms"")"),"Sila masukkan nama trek")</f>
        <v>Sila masukkan nama trek</v>
      </c>
      <c r="G349" s="4" t="str">
        <f>IFERROR(__xludf.DUMMYFUNCTION("GOOGLETRANSLATE(B349,""en"",""de"")"),"Bitte geben Sie einen Trekkingnamen ein")</f>
        <v>Bitte geben Sie einen Trekkingnamen ein</v>
      </c>
      <c r="H349" s="4" t="str">
        <f>IFERROR(__xludf.DUMMYFUNCTION("GOOGLETRANSLATE(B349,""en"",""es"")"),"Por favor, introduzca el nombre de la caminata")</f>
        <v>Por favor, introduzca el nombre de la caminata</v>
      </c>
      <c r="I349" s="4" t="str">
        <f>IFERROR(__xludf.DUMMYFUNCTION("GOOGLETRANSLATE(B349,""en"",""fr"")"),"Veuillez saisir un nom de trek")</f>
        <v>Veuillez saisir un nom de trek</v>
      </c>
      <c r="J349" s="4" t="str">
        <f>IFERROR(__xludf.DUMMYFUNCTION("GOOGLETRANSLATE(B349,""en"",""it"")"),"Inserisci il nome di un trekking")</f>
        <v>Inserisci il nome di un trekking</v>
      </c>
      <c r="K349" s="4" t="str">
        <f>IFERROR(__xludf.DUMMYFUNCTION("GOOGLETRANSLATE(B349,""en"",""pt"")"),"Por favor, insira um nome de caminhada")</f>
        <v>Por favor, insira um nome de caminhada</v>
      </c>
      <c r="L349" s="4" t="str">
        <f>IFERROR(__xludf.DUMMYFUNCTION("GOOGLETRANSLATE(B349,""en"",""ro"")"),"Vă rugăm să introduceți un nume de drum")</f>
        <v>Vă rugăm să introduceți un nume de drum</v>
      </c>
      <c r="M349" s="4" t="str">
        <f>IFERROR(__xludf.DUMMYFUNCTION("GOOGLETRANSLATE(B349,""en"",""vi"")"),"Vui lòng nhập tên chuyến đi")</f>
        <v>Vui lòng nhập tên chuyến đi</v>
      </c>
      <c r="N349" s="4" t="str">
        <f>IFERROR(__xludf.DUMMYFUNCTION("GOOGLETRANSLATE(B349,""en"",""ru"")"),"Введите название похода")</f>
        <v>Введите название похода</v>
      </c>
      <c r="O349" s="4" t="str">
        <f>IFERROR(__xludf.DUMMYFUNCTION("GOOGLETRANSLATE(B349,""en"",""tr"")"),"Lütfen bir yürüyüş adı girin")</f>
        <v>Lütfen bir yürüyüş adı girin</v>
      </c>
      <c r="P349" s="4" t="str">
        <f>IFERROR(__xludf.DUMMYFUNCTION("GOOGLETRANSLATE(B349,""en"",""ar"")"),"الرجاء إدخال اسم الرحلة")</f>
        <v>الرجاء إدخال اسم الرحلة</v>
      </c>
      <c r="Q349" s="4" t="str">
        <f>IFERROR(__xludf.DUMMYFUNCTION("GOOGLETRANSLATE(B349,""en"",""mr"")"),"कृपया ट्रेकचे नाव टाका")</f>
        <v>कृपया ट्रेकचे नाव टाका</v>
      </c>
      <c r="R349" s="4" t="str">
        <f>IFERROR(__xludf.DUMMYFUNCTION("GOOGLETRANSLATE(B349,""en"",""gu"")"),"કૃપા કરીને ટ્રેકનું નામ દાખલ કરો")</f>
        <v>કૃપા કરીને ટ્રેકનું નામ દાખલ કરો</v>
      </c>
      <c r="S349" s="4" t="str">
        <f>IFERROR(__xludf.DUMMYFUNCTION("GOOGLETRANSLATE(B349,""en"",""bn"")"),"একটি ট্রেক নাম লিখুন")</f>
        <v>একটি ট্রেক নাম লিখুন</v>
      </c>
      <c r="T349" s="4" t="str">
        <f>IFERROR(__xludf.DUMMYFUNCTION("GOOGLETRANSLATE(B349,""en"",""pa"")"),"ਕਿਰਪਾ ਕਰਕੇ ਟ੍ਰੈਕ ਦਾ ਨਾਮ ਦਰਜ ਕਰੋ")</f>
        <v>ਕਿਰਪਾ ਕਰਕੇ ਟ੍ਰੈਕ ਦਾ ਨਾਮ ਦਰਜ ਕਰੋ</v>
      </c>
      <c r="U349" s="4" t="str">
        <f>IFERROR(__xludf.DUMMYFUNCTION("GOOGLETRANSLATE(B349,""en"",""te"")"),"దయచేసి ట్రెక్ పేరును నమోదు చేయండి")</f>
        <v>దయచేసి ట్రెక్ పేరును నమోదు చేయండి</v>
      </c>
      <c r="V349" s="4" t="str">
        <f>IFERROR(__xludf.DUMMYFUNCTION("GOOGLETRANSLATE(B349,""en"",""kn"")"),"ದಯವಿಟ್ಟು ಟ್ರೆಕ್ ಹೆಸರನ್ನು ನಮೂದಿಸಿ")</f>
        <v>ದಯವಿಟ್ಟು ಟ್ರೆಕ್ ಹೆಸರನ್ನು ನಮೂದಿಸಿ</v>
      </c>
      <c r="W349" s="4" t="str">
        <f>IFERROR(__xludf.DUMMYFUNCTION("GOOGLETRANSLATE(B349,""en"",""ml"")"),"ദയവായി ഒരു ട്രെക്ക് പേര് നൽകുക")</f>
        <v>ദയവായി ഒരു ട്രെക്ക് പേര് നൽകുക</v>
      </c>
      <c r="X349" s="4" t="str">
        <f>IFERROR(__xludf.DUMMYFUNCTION("GOOGLETRANSLATE(B349,""en"",""th"")"),"กรุณาระบุชื่อเส้นทางการเดินทาง")</f>
        <v>กรุณาระบุชื่อเส้นทางการเดินทาง</v>
      </c>
      <c r="Y349" s="4" t="str">
        <f>IFERROR(__xludf.DUMMYFUNCTION("GOOGLETRANSLATE(B349,""en"",""ko"")"),"트레킹 이름을 입력하세요")</f>
        <v>트레킹 이름을 입력하세요</v>
      </c>
      <c r="Z349" s="4" t="str">
        <f>IFERROR(__xludf.DUMMYFUNCTION("GOOGLETRANSLATE(B349,""en"",""zh"")"),"请输入徒步路线名称")</f>
        <v>请输入徒步路线名称</v>
      </c>
      <c r="AA349" s="4" t="str">
        <f>IFERROR(__xludf.DUMMYFUNCTION("GOOGLETRANSLATE(B349,""en"",""zh-TW"")"),"請輸入健行路線名稱")</f>
        <v>請輸入健行路線名稱</v>
      </c>
      <c r="AB349" s="4" t="str">
        <f>IFERROR(__xludf.DUMMYFUNCTION("GOOGLETRANSLATE(B349,""en"",""ja"")"),"トレッキング名を入力してください")</f>
        <v>トレッキング名を入力してください</v>
      </c>
      <c r="AC349" s="4" t="str">
        <f>IFERROR(__xludf.DUMMYFUNCTION("GOOGLETRANSLATE(B349,""en"",""bg"")"),"Моля, въведете име на похода")</f>
        <v>Моля, въведете име на похода</v>
      </c>
      <c r="AD349" s="4" t="str">
        <f>IFERROR(__xludf.DUMMYFUNCTION("GOOGLETRANSLATE(B349,""en"",""cs"")"),"Zadejte prosím název treku")</f>
        <v>Zadejte prosím název treku</v>
      </c>
      <c r="AE349" s="4" t="str">
        <f>IFERROR(__xludf.DUMMYFUNCTION("GOOGLETRANSLATE(B349,""en"",""da"")"),"Indtast venligst et vandrenavn")</f>
        <v>Indtast venligst et vandrenavn</v>
      </c>
      <c r="AF349" s="4" t="str">
        <f>IFERROR(__xludf.DUMMYFUNCTION("GOOGLETRANSLATE(B349,""en"",""el"")"),"Εισαγάγετε ένα όνομα διαδρομής")</f>
        <v>Εισαγάγετε ένα όνομα διαδρομής</v>
      </c>
      <c r="AG349" s="4" t="str">
        <f>IFERROR(__xludf.DUMMYFUNCTION("GOOGLETRANSLATE(B349,""en"",""et"")"),"Sisestage matka nimi")</f>
        <v>Sisestage matka nimi</v>
      </c>
      <c r="AH349" s="4" t="str">
        <f>IFERROR(__xludf.DUMMYFUNCTION("GOOGLETRANSLATE(B349,""en"",""fi"")"),"Anna vaelluksen nimi")</f>
        <v>Anna vaelluksen nimi</v>
      </c>
      <c r="AI349" s="4" t="str">
        <f>IFERROR(__xludf.DUMMYFUNCTION("GOOGLETRANSLATE(B349,""en"",""hr"")"),"Unesite naziv staze")</f>
        <v>Unesite naziv staze</v>
      </c>
      <c r="AJ349" s="4" t="str">
        <f>IFERROR(__xludf.DUMMYFUNCTION("GOOGLETRANSLATE(B349,""en"",""hu"")"),"Kérjük, adja meg a túra nevét")</f>
        <v>Kérjük, adja meg a túra nevét</v>
      </c>
      <c r="AK349" s="4" t="str">
        <f>IFERROR(__xludf.DUMMYFUNCTION("GOOGLETRANSLATE(B349,""en"",""hy"")"),"Խնդրում ենք մուտքագրել արշավի անունը")</f>
        <v>Խնդրում ենք մուտքագրել արշավի անունը</v>
      </c>
      <c r="AL349" s="4" t="str">
        <f>IFERROR(__xludf.DUMMYFUNCTION("GOOGLETRANSLATE(B349,""en"",""ca"")"),"Si us plau, introduïu un nom de caminada")</f>
        <v>Si us plau, introduïu un nom de caminada</v>
      </c>
      <c r="AM349" s="4" t="str">
        <f>IFERROR(__xludf.DUMMYFUNCTION("GOOGLETRANSLATE(B349,""en"",""nl"")"),"Voer een trektochtnaam in")</f>
        <v>Voer een trektochtnaam in</v>
      </c>
      <c r="AN349" s="4" t="str">
        <f>IFERROR(__xludf.DUMMYFUNCTION("GOOGLETRANSLATE(B349,""en"",""he"")"),"נא להזין שם טרק")</f>
        <v>נא להזין שם טרק</v>
      </c>
      <c r="AO349" s="4" t="str">
        <f>IFERROR(__xludf.DUMMYFUNCTION("GOOGLETRANSLATE(B349,""en"",""is"")"),"Vinsamlega sláðu inn nafn ferðar")</f>
        <v>Vinsamlega sláðu inn nafn ferðar</v>
      </c>
      <c r="AP349" s="4" t="str">
        <f>IFERROR(__xludf.DUMMYFUNCTION("GOOGLETRANSLATE(B349,""en"",""no"")"),"Vennligst skriv inn et turnavn")</f>
        <v>Vennligst skriv inn et turnavn</v>
      </c>
      <c r="AQ349" s="4" t="str">
        <f>IFERROR(__xludf.DUMMYFUNCTION("GOOGLETRANSLATE(B349,""en"",""fa"")"),"لطفا یک نام سفر وارد کنید")</f>
        <v>لطفا یک نام سفر وارد کنید</v>
      </c>
      <c r="AR349" s="4" t="str">
        <f>IFERROR(__xludf.DUMMYFUNCTION("GOOGLETRANSLATE(B349,""en"",""pl"")"),"Proszę wpisać nazwę wędrówki")</f>
        <v>Proszę wpisać nazwę wędrówki</v>
      </c>
      <c r="AS349" s="4" t="str">
        <f>IFERROR(__xludf.DUMMYFUNCTION("GOOGLETRANSLATE(B349,""en"",""sv"")"),"Vänligen ange ett vandringsnamn")</f>
        <v>Vänligen ange ett vandringsnamn</v>
      </c>
      <c r="AT349" s="4" t="str">
        <f>IFERROR(__xludf.DUMMYFUNCTION("GOOGLETRANSLATE(B349,""en"",""uk"")"),"Введіть назву маршруту")</f>
        <v>Введіть назву маршруту</v>
      </c>
      <c r="AU349" s="4" t="str">
        <f>IFERROR(__xludf.DUMMYFUNCTION("GOOGLETRANSLATE(B349,""en"",""zu"")"),"Sicela ufake igama lohambo")</f>
        <v>Sicela ufake igama lohambo</v>
      </c>
      <c r="AV349" s="4" t="str">
        <f>IFERROR(__xludf.DUMMYFUNCTION("GOOGLETRANSLATE(B349,""en"",""sr"")"),"Унесите назив пута")</f>
        <v>Унесите назив пута</v>
      </c>
    </row>
    <row r="350">
      <c r="A350" s="3" t="s">
        <v>692</v>
      </c>
      <c r="B350" s="3" t="s">
        <v>693</v>
      </c>
      <c r="C350" s="4" t="str">
        <f>IFERROR(__xludf.DUMMYFUNCTION("GOOGLETRANSLATE(B350,""en"",""ta"")"),"மலையேற்றத்தை சேமிக்க முடியவில்லை")</f>
        <v>மலையேற்றத்தை சேமிக்க முடியவில்லை</v>
      </c>
      <c r="D350" s="4" t="str">
        <f>IFERROR(__xludf.DUMMYFUNCTION("GOOGLETRANSLATE(B350,""en"",""hi"")"),"ट्रेक को सहेजने में असफल")</f>
        <v>ट्रेक को सहेजने में असफल</v>
      </c>
      <c r="E350" s="4" t="str">
        <f>IFERROR(__xludf.DUMMYFUNCTION("GOOGLETRANSLATE(B350,""en"",""id"")"),"Gagal menyimpan trek")</f>
        <v>Gagal menyimpan trek</v>
      </c>
      <c r="F350" s="4" t="str">
        <f>IFERROR(__xludf.DUMMYFUNCTION("GOOGLETRANSLATE(B350,""en"",""ms"")"),"Gagal menyelamatkan trek")</f>
        <v>Gagal menyelamatkan trek</v>
      </c>
      <c r="G350" s="4" t="str">
        <f>IFERROR(__xludf.DUMMYFUNCTION("GOOGLETRANSLATE(B350,""en"",""de"")"),"Wanderung konnte nicht gespeichert werden")</f>
        <v>Wanderung konnte nicht gespeichert werden</v>
      </c>
      <c r="H350" s="4" t="str">
        <f>IFERROR(__xludf.DUMMYFUNCTION("GOOGLETRANSLATE(B350,""en"",""es"")"),"No se pudo guardar la caminata")</f>
        <v>No se pudo guardar la caminata</v>
      </c>
      <c r="I350" s="4" t="str">
        <f>IFERROR(__xludf.DUMMYFUNCTION("GOOGLETRANSLATE(B350,""en"",""fr"")"),"Impossible de sauvegarder le trek")</f>
        <v>Impossible de sauvegarder le trek</v>
      </c>
      <c r="J350" s="4" t="str">
        <f>IFERROR(__xludf.DUMMYFUNCTION("GOOGLETRANSLATE(B350,""en"",""it"")"),"Impossibile salvare il trekking")</f>
        <v>Impossibile salvare il trekking</v>
      </c>
      <c r="K350" s="4" t="str">
        <f>IFERROR(__xludf.DUMMYFUNCTION("GOOGLETRANSLATE(B350,""en"",""pt"")"),"Falha ao salvar a caminhada")</f>
        <v>Falha ao salvar a caminhada</v>
      </c>
      <c r="L350" s="4" t="str">
        <f>IFERROR(__xludf.DUMMYFUNCTION("GOOGLETRANSLATE(B350,""en"",""ro"")"),"Nu s-a salvat drumul")</f>
        <v>Nu s-a salvat drumul</v>
      </c>
      <c r="M350" s="4" t="str">
        <f>IFERROR(__xludf.DUMMYFUNCTION("GOOGLETRANSLATE(B350,""en"",""vi"")"),"Không lưu được trek")</f>
        <v>Không lưu được trek</v>
      </c>
      <c r="N350" s="4" t="str">
        <f>IFERROR(__xludf.DUMMYFUNCTION("GOOGLETRANSLATE(B350,""en"",""ru"")"),"Не удалось сохранить трек")</f>
        <v>Не удалось сохранить трек</v>
      </c>
      <c r="O350" s="4" t="str">
        <f>IFERROR(__xludf.DUMMYFUNCTION("GOOGLETRANSLATE(B350,""en"",""tr"")"),"Trek kaydedilemedi")</f>
        <v>Trek kaydedilemedi</v>
      </c>
      <c r="P350" s="4" t="str">
        <f>IFERROR(__xludf.DUMMYFUNCTION("GOOGLETRANSLATE(B350,""en"",""ar"")"),"فشل في حفظ الرحلة")</f>
        <v>فشل في حفظ الرحلة</v>
      </c>
      <c r="Q350" s="4" t="str">
        <f>IFERROR(__xludf.DUMMYFUNCTION("GOOGLETRANSLATE(B350,""en"",""mr"")"),"ट्रेक वाचवण्यात अयशस्वी")</f>
        <v>ट्रेक वाचवण्यात अयशस्वी</v>
      </c>
      <c r="R350" s="4" t="str">
        <f>IFERROR(__xludf.DUMMYFUNCTION("GOOGLETRANSLATE(B350,""en"",""gu"")"),"ટ્રેક સાચવવામાં નિષ્ફળ")</f>
        <v>ટ્રેક સાચવવામાં નિષ્ફળ</v>
      </c>
      <c r="S350" s="4" t="str">
        <f>IFERROR(__xludf.DUMMYFUNCTION("GOOGLETRANSLATE(B350,""en"",""bn"")"),"ট্রেক সংরক্ষণ করতে ব্যর্থ")</f>
        <v>ট্রেক সংরক্ষণ করতে ব্যর্থ</v>
      </c>
      <c r="T350" s="4" t="str">
        <f>IFERROR(__xludf.DUMMYFUNCTION("GOOGLETRANSLATE(B350,""en"",""pa"")"),"ਟ੍ਰੈਕ ਨੂੰ ਬਚਾਉਣ ਵਿੱਚ ਅਸਫਲ")</f>
        <v>ਟ੍ਰੈਕ ਨੂੰ ਬਚਾਉਣ ਵਿੱਚ ਅਸਫਲ</v>
      </c>
      <c r="U350" s="4" t="str">
        <f>IFERROR(__xludf.DUMMYFUNCTION("GOOGLETRANSLATE(B350,""en"",""te"")"),"ట్రెక్‌ను సేవ్ చేయడంలో విఫలమైంది")</f>
        <v>ట్రెక్‌ను సేవ్ చేయడంలో విఫలమైంది</v>
      </c>
      <c r="V350" s="4" t="str">
        <f>IFERROR(__xludf.DUMMYFUNCTION("GOOGLETRANSLATE(B350,""en"",""kn"")"),"ಚಾರಣವನ್ನು ಉಳಿಸಲು ವಿಫಲವಾಗಿದೆ")</f>
        <v>ಚಾರಣವನ್ನು ಉಳಿಸಲು ವಿಫಲವಾಗಿದೆ</v>
      </c>
      <c r="W350" s="4" t="str">
        <f>IFERROR(__xludf.DUMMYFUNCTION("GOOGLETRANSLATE(B350,""en"",""ml"")"),"ട്രെക്ക് സംരക്ഷിക്കുന്നതിൽ പരാജയപ്പെട്ടു")</f>
        <v>ട്രെക്ക് സംരക്ഷിക്കുന്നതിൽ പരാജയപ്പെട്ടു</v>
      </c>
      <c r="X350" s="4" t="str">
        <f>IFERROR(__xludf.DUMMYFUNCTION("GOOGLETRANSLATE(B350,""en"",""th"")"),"บันทึกการเดินทางล้มเหลว")</f>
        <v>บันทึกการเดินทางล้มเหลว</v>
      </c>
      <c r="Y350" s="4" t="str">
        <f>IFERROR(__xludf.DUMMYFUNCTION("GOOGLETRANSLATE(B350,""en"",""ko"")"),"트렉 저장에 실패했습니다")</f>
        <v>트렉 저장에 실패했습니다</v>
      </c>
      <c r="Z350" s="4" t="str">
        <f>IFERROR(__xludf.DUMMYFUNCTION("GOOGLETRANSLATE(B350,""en"",""zh"")"),"保存跋涉失败")</f>
        <v>保存跋涉失败</v>
      </c>
      <c r="AA350" s="4" t="str">
        <f>IFERROR(__xludf.DUMMYFUNCTION("GOOGLETRANSLATE(B350,""en"",""zh-TW"")"),"保存跋涉失敗")</f>
        <v>保存跋涉失敗</v>
      </c>
      <c r="AB350" s="4" t="str">
        <f>IFERROR(__xludf.DUMMYFUNCTION("GOOGLETRANSLATE(B350,""en"",""ja"")"),"トレッキングを保存できませんでした")</f>
        <v>トレッキングを保存できませんでした</v>
      </c>
      <c r="AC350" s="4" t="str">
        <f>IFERROR(__xludf.DUMMYFUNCTION("GOOGLETRANSLATE(B350,""en"",""bg"")"),"Запазването на похода не бе успешно")</f>
        <v>Запазването на похода не бе успешно</v>
      </c>
      <c r="AD350" s="4" t="str">
        <f>IFERROR(__xludf.DUMMYFUNCTION("GOOGLETRANSLATE(B350,""en"",""cs"")"),"Trek se nepodařilo uložit")</f>
        <v>Trek se nepodařilo uložit</v>
      </c>
      <c r="AE350" s="4" t="str">
        <f>IFERROR(__xludf.DUMMYFUNCTION("GOOGLETRANSLATE(B350,""en"",""da"")"),"Kunne ikke gemme turen")</f>
        <v>Kunne ikke gemme turen</v>
      </c>
      <c r="AF350" s="4" t="str">
        <f>IFERROR(__xludf.DUMMYFUNCTION("GOOGLETRANSLATE(B350,""en"",""el"")"),"Αποτυχία αποθήκευσης της διαδρομής")</f>
        <v>Αποτυχία αποθήκευσης της διαδρομής</v>
      </c>
      <c r="AG350" s="4" t="str">
        <f>IFERROR(__xludf.DUMMYFUNCTION("GOOGLETRANSLATE(B350,""en"",""et"")"),"Matka salvestamine ebaõnnestus")</f>
        <v>Matka salvestamine ebaõnnestus</v>
      </c>
      <c r="AH350" s="4" t="str">
        <f>IFERROR(__xludf.DUMMYFUNCTION("GOOGLETRANSLATE(B350,""en"",""fi"")"),"Vaelluksen tallentaminen epäonnistui")</f>
        <v>Vaelluksen tallentaminen epäonnistui</v>
      </c>
      <c r="AI350" s="4" t="str">
        <f>IFERROR(__xludf.DUMMYFUNCTION("GOOGLETRANSLATE(B350,""en"",""hr"")"),"Spremanje putovanja nije uspjelo")</f>
        <v>Spremanje putovanja nije uspjelo</v>
      </c>
      <c r="AJ350" s="4" t="str">
        <f>IFERROR(__xludf.DUMMYFUNCTION("GOOGLETRANSLATE(B350,""en"",""hu"")"),"Nem sikerült menteni a túrát")</f>
        <v>Nem sikerült menteni a túrát</v>
      </c>
      <c r="AK350" s="4" t="str">
        <f>IFERROR(__xludf.DUMMYFUNCTION("GOOGLETRANSLATE(B350,""en"",""hy"")"),"Չհաջողվեց պահպանել արշավը")</f>
        <v>Չհաջողվեց պահպանել արշավը</v>
      </c>
      <c r="AL350" s="4" t="str">
        <f>IFERROR(__xludf.DUMMYFUNCTION("GOOGLETRANSLATE(B350,""en"",""ca"")"),"No s'ha pogut desar la caminada")</f>
        <v>No s'ha pogut desar la caminada</v>
      </c>
      <c r="AM350" s="4" t="str">
        <f>IFERROR(__xludf.DUMMYFUNCTION("GOOGLETRANSLATE(B350,""en"",""nl"")"),"Het is niet gelukt om de tocht op te slaan")</f>
        <v>Het is niet gelukt om de tocht op te slaan</v>
      </c>
      <c r="AN350" s="4" t="str">
        <f>IFERROR(__xludf.DUMMYFUNCTION("GOOGLETRANSLATE(B350,""en"",""he"")"),"שמירת הטרק נכשלה")</f>
        <v>שמירת הטרק נכשלה</v>
      </c>
      <c r="AO350" s="4" t="str">
        <f>IFERROR(__xludf.DUMMYFUNCTION("GOOGLETRANSLATE(B350,""en"",""is"")"),"Mistókst að vista trek")</f>
        <v>Mistókst að vista trek</v>
      </c>
      <c r="AP350" s="4" t="str">
        <f>IFERROR(__xludf.DUMMYFUNCTION("GOOGLETRANSLATE(B350,""en"",""no"")"),"Kunne ikke lagre vandringen")</f>
        <v>Kunne ikke lagre vandringen</v>
      </c>
      <c r="AQ350" s="4" t="str">
        <f>IFERROR(__xludf.DUMMYFUNCTION("GOOGLETRANSLATE(B350,""en"",""fa"")"),"سفر ذخیره نشد")</f>
        <v>سفر ذخیره نشد</v>
      </c>
      <c r="AR350" s="4" t="str">
        <f>IFERROR(__xludf.DUMMYFUNCTION("GOOGLETRANSLATE(B350,""en"",""pl"")"),"Nie udało się zapisać wędrówki")</f>
        <v>Nie udało się zapisać wędrówki</v>
      </c>
      <c r="AS350" s="4" t="str">
        <f>IFERROR(__xludf.DUMMYFUNCTION("GOOGLETRANSLATE(B350,""en"",""sv"")"),"Det gick inte att spara vandringen")</f>
        <v>Det gick inte att spara vandringen</v>
      </c>
      <c r="AT350" s="4" t="str">
        <f>IFERROR(__xludf.DUMMYFUNCTION("GOOGLETRANSLATE(B350,""en"",""uk"")"),"Не вдалося зберегти маршрут")</f>
        <v>Не вдалося зберегти маршрут</v>
      </c>
      <c r="AU350" s="4" t="str">
        <f>IFERROR(__xludf.DUMMYFUNCTION("GOOGLETRANSLATE(B350,""en"",""zu"")"),"Yehlulekile ukulondoloza uhambo")</f>
        <v>Yehlulekile ukulondoloza uhambo</v>
      </c>
      <c r="AV350" s="4" t="str">
        <f>IFERROR(__xludf.DUMMYFUNCTION("GOOGLETRANSLATE(B350,""en"",""sr"")"),"Чување пута није успело")</f>
        <v>Чување пута није успело</v>
      </c>
    </row>
    <row r="351">
      <c r="A351" s="3" t="s">
        <v>694</v>
      </c>
      <c r="B351" s="3" t="s">
        <v>695</v>
      </c>
      <c r="C351" s="4" t="str">
        <f>IFERROR(__xludf.DUMMYFUNCTION("GOOGLETRANSLATE(B351,""en"",""ta"")"),"உங்கள் மலையேற்றச் சுருக்கத்தை நாங்கள் தயார் செய்யும் வரை காத்திருக்கவும்...")</f>
        <v>உங்கள் மலையேற்றச் சுருக்கத்தை நாங்கள் தயார் செய்யும் வரை காத்திருக்கவும்...</v>
      </c>
      <c r="D351" s="4" t="str">
        <f>IFERROR(__xludf.DUMMYFUNCTION("GOOGLETRANSLATE(B351,""en"",""hi"")"),"कृपया प्रतीक्षा करें, हम आपका ट्रेक सारांश तैयार कर रहे हैं...")</f>
        <v>कृपया प्रतीक्षा करें, हम आपका ट्रेक सारांश तैयार कर रहे हैं...</v>
      </c>
      <c r="E351" s="4" t="str">
        <f>IFERROR(__xludf.DUMMYFUNCTION("GOOGLETRANSLATE(B351,""en"",""id"")"),"Harap tunggu sementara kami menyiapkan ringkasan perjalanan Anda...")</f>
        <v>Harap tunggu sementara kami menyiapkan ringkasan perjalanan Anda...</v>
      </c>
      <c r="F351" s="4" t="str">
        <f>IFERROR(__xludf.DUMMYFUNCTION("GOOGLETRANSLATE(B351,""en"",""ms"")"),"Sila tunggu sementara kami menyediakan ringkasan perjalanan anda...")</f>
        <v>Sila tunggu sementara kami menyediakan ringkasan perjalanan anda...</v>
      </c>
      <c r="G351" s="4" t="str">
        <f>IFERROR(__xludf.DUMMYFUNCTION("GOOGLETRANSLATE(B351,""en"",""de"")"),"Bitte warten Sie, während wir Ihre Trekkingzusammenfassung vorbereiten …")</f>
        <v>Bitte warten Sie, während wir Ihre Trekkingzusammenfassung vorbereiten …</v>
      </c>
      <c r="H351" s="4" t="str">
        <f>IFERROR(__xludf.DUMMYFUNCTION("GOOGLETRANSLATE(B351,""en"",""es"")"),"Por favor espere mientras preparamos el resumen de su recorrido...")</f>
        <v>Por favor espere mientras preparamos el resumen de su recorrido...</v>
      </c>
      <c r="I351" s="4" t="str">
        <f>IFERROR(__xludf.DUMMYFUNCTION("GOOGLETRANSLATE(B351,""en"",""fr"")"),"Veuillez patienter pendant que nous préparons votre résumé de randonnée...")</f>
        <v>Veuillez patienter pendant que nous préparons votre résumé de randonnée...</v>
      </c>
      <c r="J351" s="4" t="str">
        <f>IFERROR(__xludf.DUMMYFUNCTION("GOOGLETRANSLATE(B351,""en"",""it"")"),"Attendi mentre prepariamo il riepilogo del tuo viaggio...")</f>
        <v>Attendi mentre prepariamo il riepilogo del tuo viaggio...</v>
      </c>
      <c r="K351" s="4" t="str">
        <f>IFERROR(__xludf.DUMMYFUNCTION("GOOGLETRANSLATE(B351,""en"",""pt"")"),"Por favor, aguarde enquanto preparamos o resumo da sua caminhada...")</f>
        <v>Por favor, aguarde enquanto preparamos o resumo da sua caminhada...</v>
      </c>
      <c r="L351" s="4" t="str">
        <f>IFERROR(__xludf.DUMMYFUNCTION("GOOGLETRANSLATE(B351,""en"",""ro"")"),"Vă rugăm să așteptați până vă pregătim rezumatul călătoriei...")</f>
        <v>Vă rugăm să așteptați până vă pregătim rezumatul călătoriei...</v>
      </c>
      <c r="M351" s="4" t="str">
        <f>IFERROR(__xludf.DUMMYFUNCTION("GOOGLETRANSLATE(B351,""en"",""vi"")"),"Vui lòng đợi trong khi chúng tôi chuẩn bị tóm tắt chuyến đi của bạn...")</f>
        <v>Vui lòng đợi trong khi chúng tôi chuẩn bị tóm tắt chuyến đi của bạn...</v>
      </c>
      <c r="N351" s="4" t="str">
        <f>IFERROR(__xludf.DUMMYFUNCTION("GOOGLETRANSLATE(B351,""en"",""ru"")"),"Пожалуйста, подождите, пока мы подготовим краткий обзор вашего похода...")</f>
        <v>Пожалуйста, подождите, пока мы подготовим краткий обзор вашего похода...</v>
      </c>
      <c r="O351" s="4" t="str">
        <f>IFERROR(__xludf.DUMMYFUNCTION("GOOGLETRANSLATE(B351,""en"",""tr"")"),"Trek özetiniz hazırlanırken lütfen bekleyin...")</f>
        <v>Trek özetiniz hazırlanırken lütfen bekleyin...</v>
      </c>
      <c r="P351" s="4" t="str">
        <f>IFERROR(__xludf.DUMMYFUNCTION("GOOGLETRANSLATE(B351,""en"",""ar"")"),"يرجى الانتظار بينما نقوم بإعداد ملخص رحلتك...")</f>
        <v>يرجى الانتظار بينما نقوم بإعداد ملخص رحلتك...</v>
      </c>
      <c r="Q351" s="4" t="str">
        <f>IFERROR(__xludf.DUMMYFUNCTION("GOOGLETRANSLATE(B351,""en"",""mr"")"),"आम्ही तुमचा ट्रेक सारांश तयार करत आहोत तोपर्यंत कृपया प्रतीक्षा करा...")</f>
        <v>आम्ही तुमचा ट्रेक सारांश तयार करत आहोत तोपर्यंत कृपया प्रतीक्षा करा...</v>
      </c>
      <c r="R351" s="4" t="str">
        <f>IFERROR(__xludf.DUMMYFUNCTION("GOOGLETRANSLATE(B351,""en"",""gu"")"),"અમે તમારો ટ્રેક સારાંશ તૈયાર કરીએ ત્યાં સુધી કૃપા કરીને રાહ જુઓ...")</f>
        <v>અમે તમારો ટ્રેક સારાંશ તૈયાર કરીએ ત્યાં સુધી કૃપા કરીને રાહ જુઓ...</v>
      </c>
      <c r="S351" s="4" t="str">
        <f>IFERROR(__xludf.DUMMYFUNCTION("GOOGLETRANSLATE(B351,""en"",""bn"")"),"আমরা আপনার ট্র্যাক সারাংশ প্রস্তুত করার সময় অনুগ্রহ করে অপেক্ষা করুন...")</f>
        <v>আমরা আপনার ট্র্যাক সারাংশ প্রস্তুত করার সময় অনুগ্রহ করে অপেক্ষা করুন...</v>
      </c>
      <c r="T351" s="4" t="str">
        <f>IFERROR(__xludf.DUMMYFUNCTION("GOOGLETRANSLATE(B351,""en"",""pa"")"),"ਕਿਰਪਾ ਕਰਕੇ ਉਡੀਕ ਕਰੋ ਜਦੋਂ ਤੱਕ ਅਸੀਂ ਤੁਹਾਡੇ ਟ੍ਰੈਕ ਦਾ ਸਾਰ ਤਿਆਰ ਕਰਦੇ ਹਾਂ...")</f>
        <v>ਕਿਰਪਾ ਕਰਕੇ ਉਡੀਕ ਕਰੋ ਜਦੋਂ ਤੱਕ ਅਸੀਂ ਤੁਹਾਡੇ ਟ੍ਰੈਕ ਦਾ ਸਾਰ ਤਿਆਰ ਕਰਦੇ ਹਾਂ...</v>
      </c>
      <c r="U351" s="4" t="str">
        <f>IFERROR(__xludf.DUMMYFUNCTION("GOOGLETRANSLATE(B351,""en"",""te"")"),"మేము మీ ట్రెక్ సారాంశాన్ని సిద్ధం చేసే వరకు దయచేసి వేచి ఉండండి...")</f>
        <v>మేము మీ ట్రెక్ సారాంశాన్ని సిద్ధం చేసే వరకు దయచేసి వేచి ఉండండి...</v>
      </c>
      <c r="V351" s="4" t="str">
        <f>IFERROR(__xludf.DUMMYFUNCTION("GOOGLETRANSLATE(B351,""en"",""kn"")"),"ನಿಮ್ಮ ಟ್ರೆಕ್ ಸಾರಾಂಶವನ್ನು ನಾವು ಸಿದ್ಧಪಡಿಸುವವರೆಗೆ ದಯವಿಟ್ಟು ನಿರೀಕ್ಷಿಸಿ...")</f>
        <v>ನಿಮ್ಮ ಟ್ರೆಕ್ ಸಾರಾಂಶವನ್ನು ನಾವು ಸಿದ್ಧಪಡಿಸುವವರೆಗೆ ದಯವಿಟ್ಟು ನಿರೀಕ್ಷಿಸಿ...</v>
      </c>
      <c r="W351" s="4" t="str">
        <f>IFERROR(__xludf.DUMMYFUNCTION("GOOGLETRANSLATE(B351,""en"",""ml"")"),"നിങ്ങളുടെ ട്രെക്ക് സംഗ്രഹം ഞങ്ങൾ തയ്യാറാക്കുന്നത് വരെ കാത്തിരിക്കൂ...")</f>
        <v>നിങ്ങളുടെ ട്രെക്ക് സംഗ്രഹം ഞങ്ങൾ തയ്യാറാക്കുന്നത് വരെ കാത്തിരിക്കൂ...</v>
      </c>
      <c r="X351" s="4" t="str">
        <f>IFERROR(__xludf.DUMMYFUNCTION("GOOGLETRANSLATE(B351,""en"",""th"")"),"กรุณารอสักครู่ ขณะที่เรากำลังจัดเตรียมสรุปรายละเอียดการเดินป่าของคุณ...")</f>
        <v>กรุณารอสักครู่ ขณะที่เรากำลังจัดเตรียมสรุปรายละเอียดการเดินป่าของคุณ...</v>
      </c>
      <c r="Y351" s="4" t="str">
        <f>IFERROR(__xludf.DUMMYFUNCTION("GOOGLETRANSLATE(B351,""en"",""ko"")"),"트레킹 요약을 준비하는 동안 잠시만 기다려 주세요...")</f>
        <v>트레킹 요약을 준비하는 동안 잠시만 기다려 주세요...</v>
      </c>
      <c r="Z351" s="4" t="str">
        <f>IFERROR(__xludf.DUMMYFUNCTION("GOOGLETRANSLATE(B351,""en"",""zh"")"),"我们正在准备您的徒步总结，请稍候...")</f>
        <v>我们正在准备您的徒步总结，请稍候...</v>
      </c>
      <c r="AA351" s="4" t="str">
        <f>IFERROR(__xludf.DUMMYFUNCTION("GOOGLETRANSLATE(B351,""en"",""zh-TW"")"),"我們正在準備您的徒步總結，請稍候...")</f>
        <v>我們正在準備您的徒步總結，請稍候...</v>
      </c>
      <c r="AB351" s="4" t="str">
        <f>IFERROR(__xludf.DUMMYFUNCTION("GOOGLETRANSLATE(B351,""en"",""ja"")"),"トレッキングの概要を準備していますので、お待ちください...")</f>
        <v>トレッキングの概要を準備していますので、お待ちください...</v>
      </c>
      <c r="AC351" s="4" t="str">
        <f>IFERROR(__xludf.DUMMYFUNCTION("GOOGLETRANSLATE(B351,""en"",""bg"")"),"Моля, изчакайте, докато подготвим резюмето на вашето пътуване...")</f>
        <v>Моля, изчакайте, докато подготвим резюмето на вашето пътуване...</v>
      </c>
      <c r="AD351" s="4" t="str">
        <f>IFERROR(__xludf.DUMMYFUNCTION("GOOGLETRANSLATE(B351,""en"",""cs"")"),"Počkejte prosím, než připravíme shrnutí vaší cesty...")</f>
        <v>Počkejte prosím, než připravíme shrnutí vaší cesty...</v>
      </c>
      <c r="AE351" s="4" t="str">
        <f>IFERROR(__xludf.DUMMYFUNCTION("GOOGLETRANSLATE(B351,""en"",""da"")"),"Vent venligst, mens vi forbereder din vandreoversigt...")</f>
        <v>Vent venligst, mens vi forbereder din vandreoversigt...</v>
      </c>
      <c r="AF351" s="4" t="str">
        <f>IFERROR(__xludf.DUMMYFUNCTION("GOOGLETRANSLATE(B351,""en"",""el"")"),"Περιμένετε μέχρι να ετοιμάσουμε τη σύνοψη της διαδρομής σας...")</f>
        <v>Περιμένετε μέχρι να ετοιμάσουμε τη σύνοψη της διαδρομής σας...</v>
      </c>
      <c r="AG351" s="4" t="str">
        <f>IFERROR(__xludf.DUMMYFUNCTION("GOOGLETRANSLATE(B351,""en"",""et"")"),"Palun oodake, kuni koostame teie matka kokkuvõtte...")</f>
        <v>Palun oodake, kuni koostame teie matka kokkuvõtte...</v>
      </c>
      <c r="AH351" s="4" t="str">
        <f>IFERROR(__xludf.DUMMYFUNCTION("GOOGLETRANSLATE(B351,""en"",""fi"")"),"Odota, kun valmistelemme vaelluksen yhteenvetoa...")</f>
        <v>Odota, kun valmistelemme vaelluksen yhteenvetoa...</v>
      </c>
      <c r="AI351" s="4" t="str">
        <f>IFERROR(__xludf.DUMMYFUNCTION("GOOGLETRANSLATE(B351,""en"",""hr"")"),"Molimo pričekajte dok pripremimo sažetak vašeg putovanja...")</f>
        <v>Molimo pričekajte dok pripremimo sažetak vašeg putovanja...</v>
      </c>
      <c r="AJ351" s="4" t="str">
        <f>IFERROR(__xludf.DUMMYFUNCTION("GOOGLETRANSLATE(B351,""en"",""hu"")"),"Kérjük, várjon, amíg elkészítjük a túra összefoglalóját...")</f>
        <v>Kérjük, várjon, amíg elkészítjük a túra összefoglalóját...</v>
      </c>
      <c r="AK351" s="4" t="str">
        <f>IFERROR(__xludf.DUMMYFUNCTION("GOOGLETRANSLATE(B351,""en"",""hy"")"),"Խնդրում ենք սպասել, մինչև մենք պատրաստենք ձեր արշավի ամփոփագիրը...")</f>
        <v>Խնդրում ենք սպասել, մինչև մենք պատրաստենք ձեր արշավի ամփոփագիրը...</v>
      </c>
      <c r="AL351" s="4" t="str">
        <f>IFERROR(__xludf.DUMMYFUNCTION("GOOGLETRANSLATE(B351,""en"",""ca"")"),"Si us plau, espereu mentre preparem el vostre resum de la ruta...")</f>
        <v>Si us plau, espereu mentre preparem el vostre resum de la ruta...</v>
      </c>
      <c r="AM351" s="4" t="str">
        <f>IFERROR(__xludf.DUMMYFUNCTION("GOOGLETRANSLATE(B351,""en"",""nl"")"),"Een ogenblik geduld terwijl wij uw tochtsamenvatting voorbereiden...")</f>
        <v>Een ogenblik geduld terwijl wij uw tochtsamenvatting voorbereiden...</v>
      </c>
      <c r="AN351" s="4" t="str">
        <f>IFERROR(__xludf.DUMMYFUNCTION("GOOGLETRANSLATE(B351,""en"",""he"")"),"אנא המתן בזמן שאנו מכינים את סיכום הטרק שלך...")</f>
        <v>אנא המתן בזמן שאנו מכינים את סיכום הטרק שלך...</v>
      </c>
      <c r="AO351" s="4" t="str">
        <f>IFERROR(__xludf.DUMMYFUNCTION("GOOGLETRANSLATE(B351,""en"",""is"")"),"Vinsamlegast bíddu á meðan við undirbúum gönguyfirlitið þitt...")</f>
        <v>Vinsamlegast bíddu á meðan við undirbúum gönguyfirlitið þitt...</v>
      </c>
      <c r="AP351" s="4" t="str">
        <f>IFERROR(__xludf.DUMMYFUNCTION("GOOGLETRANSLATE(B351,""en"",""no"")"),"Vennligst vent mens vi forbereder reisesammendraget ditt...")</f>
        <v>Vennligst vent mens vi forbereder reisesammendraget ditt...</v>
      </c>
      <c r="AQ351" s="4" t="str">
        <f>IFERROR(__xludf.DUMMYFUNCTION("GOOGLETRANSLATE(B351,""en"",""fa"")"),"لطفا صبر کنید تا خلاصه سفر شما را آماده کنیم...")</f>
        <v>لطفا صبر کنید تا خلاصه سفر شما را آماده کنیم...</v>
      </c>
      <c r="AR351" s="4" t="str">
        <f>IFERROR(__xludf.DUMMYFUNCTION("GOOGLETRANSLATE(B351,""en"",""pl"")"),"Proszę czekać, aż przygotujemy podsumowanie Twojej wędrówki...")</f>
        <v>Proszę czekać, aż przygotujemy podsumowanie Twojej wędrówki...</v>
      </c>
      <c r="AS351" s="4" t="str">
        <f>IFERROR(__xludf.DUMMYFUNCTION("GOOGLETRANSLATE(B351,""en"",""sv"")"),"Vänta medan vi förbereder din vandringssammanfattning...")</f>
        <v>Vänta medan vi förbereder din vandringssammanfattning...</v>
      </c>
      <c r="AT351" s="4" t="str">
        <f>IFERROR(__xludf.DUMMYFUNCTION("GOOGLETRANSLATE(B351,""en"",""uk"")"),"Будь ласка, зачекайте, поки ми підготуємо підсумок вашого маршруту...")</f>
        <v>Будь ласка, зачекайте, поки ми підготуємо підсумок вашого маршруту...</v>
      </c>
      <c r="AU351" s="4" t="str">
        <f>IFERROR(__xludf.DUMMYFUNCTION("GOOGLETRANSLATE(B351,""en"",""zu"")"),"Sicela ulinde ngenkathi silungiselela isifinyezo sohambo lwakho...")</f>
        <v>Sicela ulinde ngenkathi silungiselela isifinyezo sohambo lwakho...</v>
      </c>
      <c r="AV351" s="4" t="str">
        <f>IFERROR(__xludf.DUMMYFUNCTION("GOOGLETRANSLATE(B351,""en"",""sr"")"),"Сачекајте док припремимо резиме вашег путовања...")</f>
        <v>Сачекајте док припремимо резиме вашег путовања...</v>
      </c>
    </row>
    <row r="352">
      <c r="A352" s="3" t="s">
        <v>696</v>
      </c>
      <c r="B352" s="3" t="s">
        <v>697</v>
      </c>
      <c r="C352" s="4" t="str">
        <f>IFERROR(__xludf.DUMMYFUNCTION("GOOGLETRANSLATE(B352,""en"",""ta"")"),"மலையேற்றச் சுருக்கத்தைப் பகிர முடியவில்லை. மீண்டும் முயற்சிக்கவும்.")</f>
        <v>மலையேற்றச் சுருக்கத்தைப் பகிர முடியவில்லை. மீண்டும் முயற்சிக்கவும்.</v>
      </c>
      <c r="D352" s="4" t="str">
        <f>IFERROR(__xludf.DUMMYFUNCTION("GOOGLETRANSLATE(B352,""en"",""hi"")"),"ट्रेक सारांश साझा करने में विफल। कृपया पुनः प्रयास करें।")</f>
        <v>ट्रेक सारांश साझा करने में विफल। कृपया पुनः प्रयास करें।</v>
      </c>
      <c r="E352" s="4" t="str">
        <f>IFERROR(__xludf.DUMMYFUNCTION("GOOGLETRANSLATE(B352,""en"",""id"")"),"Gagal membagikan ringkasan perjalanan. Silakan coba lagi.")</f>
        <v>Gagal membagikan ringkasan perjalanan. Silakan coba lagi.</v>
      </c>
      <c r="F352" s="4" t="str">
        <f>IFERROR(__xludf.DUMMYFUNCTION("GOOGLETRANSLATE(B352,""en"",""ms"")"),"Gagal berkongsi ringkasan perjalanan. Sila cuba lagi.")</f>
        <v>Gagal berkongsi ringkasan perjalanan. Sila cuba lagi.</v>
      </c>
      <c r="G352" s="4" t="str">
        <f>IFERROR(__xludf.DUMMYFUNCTION("GOOGLETRANSLATE(B352,""en"",""de"")"),"Die Zusammenfassung der Wanderung konnte nicht geteilt werden. Bitte versuchen Sie es erneut.")</f>
        <v>Die Zusammenfassung der Wanderung konnte nicht geteilt werden. Bitte versuchen Sie es erneut.</v>
      </c>
      <c r="H352" s="4" t="str">
        <f>IFERROR(__xludf.DUMMYFUNCTION("GOOGLETRANSLATE(B352,""en"",""es"")"),"No se pudo compartir el resumen de la ruta. Inténtalo de nuevo.")</f>
        <v>No se pudo compartir el resumen de la ruta. Inténtalo de nuevo.</v>
      </c>
      <c r="I352" s="4" t="str">
        <f>IFERROR(__xludf.DUMMYFUNCTION("GOOGLETRANSLATE(B352,""en"",""fr"")"),"Impossible de partager le résumé du trek. Veuillez réessayer.")</f>
        <v>Impossible de partager le résumé du trek. Veuillez réessayer.</v>
      </c>
      <c r="J352" s="4" t="str">
        <f>IFERROR(__xludf.DUMMYFUNCTION("GOOGLETRANSLATE(B352,""en"",""it"")"),"Impossibile condividere il riepilogo del trekking. Riprova.")</f>
        <v>Impossibile condividere il riepilogo del trekking. Riprova.</v>
      </c>
      <c r="K352" s="4" t="str">
        <f>IFERROR(__xludf.DUMMYFUNCTION("GOOGLETRANSLATE(B352,""en"",""pt"")"),"Falha ao compartilhar o resumo da trilha. Tente novamente.")</f>
        <v>Falha ao compartilhar o resumo da trilha. Tente novamente.</v>
      </c>
      <c r="L352" s="4" t="str">
        <f>IFERROR(__xludf.DUMMYFUNCTION("GOOGLETRANSLATE(B352,""en"",""ro"")"),"Nu s-a partajat rezumatul călătoriei. Vă rugăm să încercați din nou.")</f>
        <v>Nu s-a partajat rezumatul călătoriei. Vă rugăm să încercați din nou.</v>
      </c>
      <c r="M352" s="4" t="str">
        <f>IFERROR(__xludf.DUMMYFUNCTION("GOOGLETRANSLATE(B352,""en"",""vi"")"),"Không chia sẻ được tóm tắt chuyến đi. Vui lòng thử lại.")</f>
        <v>Không chia sẻ được tóm tắt chuyến đi. Vui lòng thử lại.</v>
      </c>
      <c r="N352" s="4" t="str">
        <f>IFERROR(__xludf.DUMMYFUNCTION("GOOGLETRANSLATE(B352,""en"",""ru"")"),"Не удалось поделиться сводкой похода. Попробуйте еще раз.")</f>
        <v>Не удалось поделиться сводкой похода. Попробуйте еще раз.</v>
      </c>
      <c r="O352" s="4" t="str">
        <f>IFERROR(__xludf.DUMMYFUNCTION("GOOGLETRANSLATE(B352,""en"",""tr"")"),"Trek özeti paylaşılamadı. Lütfen tekrar deneyin.")</f>
        <v>Trek özeti paylaşılamadı. Lütfen tekrar deneyin.</v>
      </c>
      <c r="P352" s="4" t="str">
        <f>IFERROR(__xludf.DUMMYFUNCTION("GOOGLETRANSLATE(B352,""en"",""ar"")"),"تعذّر مشاركة ملخص الرحلة. يُرجى المحاولة مجددًا.")</f>
        <v>تعذّر مشاركة ملخص الرحلة. يُرجى المحاولة مجددًا.</v>
      </c>
      <c r="Q352" s="4" t="str">
        <f>IFERROR(__xludf.DUMMYFUNCTION("GOOGLETRANSLATE(B352,""en"",""mr"")"),"ट्रेकचा सारांश शेअर करण्यात अयशस्वी. कृपया पुन्हा प्रयत्न करा.")</f>
        <v>ट्रेकचा सारांश शेअर करण्यात अयशस्वी. कृपया पुन्हा प्रयत्न करा.</v>
      </c>
      <c r="R352" s="4" t="str">
        <f>IFERROR(__xludf.DUMMYFUNCTION("GOOGLETRANSLATE(B352,""en"",""gu"")"),"ટ્રેક સારાંશ શેર કરવામાં નિષ્ફળ. કૃપા કરીને ફરી પ્રયાસ કરો.")</f>
        <v>ટ્રેક સારાંશ શેર કરવામાં નિષ્ફળ. કૃપા કરીને ફરી પ્રયાસ કરો.</v>
      </c>
      <c r="S352" s="4" t="str">
        <f>IFERROR(__xludf.DUMMYFUNCTION("GOOGLETRANSLATE(B352,""en"",""bn"")"),"ট্রেক সারাংশ শেয়ার করতে ব্যর্থ. আবার চেষ্টা করুন.")</f>
        <v>ট্রেক সারাংশ শেয়ার করতে ব্যর্থ. আবার চেষ্টা করুন.</v>
      </c>
      <c r="T352" s="4" t="str">
        <f>IFERROR(__xludf.DUMMYFUNCTION("GOOGLETRANSLATE(B352,""en"",""pa"")"),"ਟ੍ਰੈਕ ਸਾਰਾਂਸ਼ ਨੂੰ ਸਾਂਝਾ ਕਰਨਾ ਅਸਫਲ ਰਿਹਾ। ਕਿਰਪਾ ਕਰਕੇ ਦੁਬਾਰਾ ਕੋਸ਼ਿਸ਼ ਕਰੋ।")</f>
        <v>ਟ੍ਰੈਕ ਸਾਰਾਂਸ਼ ਨੂੰ ਸਾਂਝਾ ਕਰਨਾ ਅਸਫਲ ਰਿਹਾ। ਕਿਰਪਾ ਕਰਕੇ ਦੁਬਾਰਾ ਕੋਸ਼ਿਸ਼ ਕਰੋ।</v>
      </c>
      <c r="U352" s="4" t="str">
        <f>IFERROR(__xludf.DUMMYFUNCTION("GOOGLETRANSLATE(B352,""en"",""te"")"),"ట్రెక్ సారాంశాన్ని భాగస్వామ్యం చేయడంలో విఫలమైంది. దయచేసి మళ్లీ ప్రయత్నించండి.")</f>
        <v>ట్రెక్ సారాంశాన్ని భాగస్వామ్యం చేయడంలో విఫలమైంది. దయచేసి మళ్లీ ప్రయత్నించండి.</v>
      </c>
      <c r="V352" s="4" t="str">
        <f>IFERROR(__xludf.DUMMYFUNCTION("GOOGLETRANSLATE(B352,""en"",""kn"")"),"ಟ್ರೆಕ್ ಸಾರಾಂಶವನ್ನು ಹಂಚಿಕೊಳ್ಳಲು ವಿಫಲವಾಗಿದೆ. ದಯವಿಟ್ಟು ಮತ್ತೆ ಪ್ರಯತ್ನಿಸಿ.")</f>
        <v>ಟ್ರೆಕ್ ಸಾರಾಂಶವನ್ನು ಹಂಚಿಕೊಳ್ಳಲು ವಿಫಲವಾಗಿದೆ. ದಯವಿಟ್ಟು ಮತ್ತೆ ಪ್ರಯತ್ನಿಸಿ.</v>
      </c>
      <c r="W352" s="4" t="str">
        <f>IFERROR(__xludf.DUMMYFUNCTION("GOOGLETRANSLATE(B352,""en"",""ml"")"),"ട്രെക്ക് സംഗ്രഹം പങ്കിടുന്നതിൽ പരാജയപ്പെട്ടു. ദയവായി വീണ്ടും ശ്രമിക്കുക.")</f>
        <v>ട്രെക്ക് സംഗ്രഹം പങ്കിടുന്നതിൽ പരാജയപ്പെട്ടു. ദയവായി വീണ്ടും ശ്രമിക്കുക.</v>
      </c>
      <c r="X352" s="4" t="str">
        <f>IFERROR(__xludf.DUMMYFUNCTION("GOOGLETRANSLATE(B352,""en"",""th"")"),"ไม่สามารถแชร์สรุปการเดินทางได้ โปรดลองอีกครั้ง")</f>
        <v>ไม่สามารถแชร์สรุปการเดินทางได้ โปรดลองอีกครั้ง</v>
      </c>
      <c r="Y352" s="4" t="str">
        <f>IFERROR(__xludf.DUMMYFUNCTION("GOOGLETRANSLATE(B352,""en"",""ko"")"),"트레킹 요약을 공유하지 못했습니다. 다시 시도해 주세요.")</f>
        <v>트레킹 요약을 공유하지 못했습니다. 다시 시도해 주세요.</v>
      </c>
      <c r="Z352" s="4" t="str">
        <f>IFERROR(__xludf.DUMMYFUNCTION("GOOGLETRANSLATE(B352,""en"",""zh"")"),"未能分享徒步概要。请重试。")</f>
        <v>未能分享徒步概要。请重试。</v>
      </c>
      <c r="AA352" s="4" t="str">
        <f>IFERROR(__xludf.DUMMYFUNCTION("GOOGLETRANSLATE(B352,""en"",""zh-TW"")"),"未能分享徒步概要。請重試。")</f>
        <v>未能分享徒步概要。請重試。</v>
      </c>
      <c r="AB352" s="4" t="str">
        <f>IFERROR(__xludf.DUMMYFUNCTION("GOOGLETRANSLATE(B352,""en"",""ja"")"),"トレッキングの概要を共有できませんでした。もう一度お試しください。")</f>
        <v>トレッキングの概要を共有できませんでした。もう一度お試しください。</v>
      </c>
      <c r="AC352" s="4" t="str">
        <f>IFERROR(__xludf.DUMMYFUNCTION("GOOGLETRANSLATE(B352,""en"",""bg"")"),"Неуспешно споделяне на резюме на похода. Моля, опитайте отново.")</f>
        <v>Неуспешно споделяне на резюме на похода. Моля, опитайте отново.</v>
      </c>
      <c r="AD352" s="4" t="str">
        <f>IFERROR(__xludf.DUMMYFUNCTION("GOOGLETRANSLATE(B352,""en"",""cs"")"),"Sdílení souhrnu treku se nezdařilo. Zkuste to znovu.")</f>
        <v>Sdílení souhrnu treku se nezdařilo. Zkuste to znovu.</v>
      </c>
      <c r="AE352" s="4" t="str">
        <f>IFERROR(__xludf.DUMMYFUNCTION("GOOGLETRANSLATE(B352,""en"",""da"")"),"Kunne ikke dele turoversigten. Prøv venligst igen.")</f>
        <v>Kunne ikke dele turoversigten. Prøv venligst igen.</v>
      </c>
      <c r="AF352" s="4" t="str">
        <f>IFERROR(__xludf.DUMMYFUNCTION("GOOGLETRANSLATE(B352,""en"",""el"")"),"Αποτυχία κοινής χρήσης της σύνοψης της διαδρομής. Δοκιμάστε ξανά.")</f>
        <v>Αποτυχία κοινής χρήσης της σύνοψης της διαδρομής. Δοκιμάστε ξανά.</v>
      </c>
      <c r="AG352" s="4" t="str">
        <f>IFERROR(__xludf.DUMMYFUNCTION("GOOGLETRANSLATE(B352,""en"",""et"")"),"Matka kokkuvõtte jagamine ebaõnnestus. Palun proovi uuesti.")</f>
        <v>Matka kokkuvõtte jagamine ebaõnnestus. Palun proovi uuesti.</v>
      </c>
      <c r="AH352" s="4" t="str">
        <f>IFERROR(__xludf.DUMMYFUNCTION("GOOGLETRANSLATE(B352,""en"",""fi"")"),"Matkan yhteenvedon jakaminen epäonnistui. Yritä uudelleen.")</f>
        <v>Matkan yhteenvedon jakaminen epäonnistui. Yritä uudelleen.</v>
      </c>
      <c r="AI352" s="4" t="str">
        <f>IFERROR(__xludf.DUMMYFUNCTION("GOOGLETRANSLATE(B352,""en"",""hr"")"),"Dijeljenje sažetka putovanja nije uspjelo. Molimo pokušajte ponovo.")</f>
        <v>Dijeljenje sažetka putovanja nije uspjelo. Molimo pokušajte ponovo.</v>
      </c>
      <c r="AJ352" s="4" t="str">
        <f>IFERROR(__xludf.DUMMYFUNCTION("GOOGLETRANSLATE(B352,""en"",""hu"")"),"Nem sikerült megosztani a túra összefoglalóját. Kérjük, próbálja újra.")</f>
        <v>Nem sikerült megosztani a túra összefoglalóját. Kérjük, próbálja újra.</v>
      </c>
      <c r="AK352" s="4" t="str">
        <f>IFERROR(__xludf.DUMMYFUNCTION("GOOGLETRANSLATE(B352,""en"",""hy"")"),"Չհաջողվեց համօգտագործել արշավի ամփոփագիրը: Խնդրում ենք կրկին փորձել:")</f>
        <v>Չհաջողվեց համօգտագործել արշավի ամփոփագիրը: Խնդրում ենք կրկին փորձել:</v>
      </c>
      <c r="AL352" s="4" t="str">
        <f>IFERROR(__xludf.DUMMYFUNCTION("GOOGLETRANSLATE(B352,""en"",""ca"")"),"No s'ha pogut compartir el resum de la ruta. Si us plau, torna-ho a provar.")</f>
        <v>No s'ha pogut compartir el resum de la ruta. Si us plau, torna-ho a provar.</v>
      </c>
      <c r="AM352" s="4" t="str">
        <f>IFERROR(__xludf.DUMMYFUNCTION("GOOGLETRANSLATE(B352,""en"",""nl"")"),"Het delen van de samenvatting van de tocht is mislukt. Probeer het opnieuw.")</f>
        <v>Het delen van de samenvatting van de tocht is mislukt. Probeer het opnieuw.</v>
      </c>
      <c r="AN352" s="4" t="str">
        <f>IFERROR(__xludf.DUMMYFUNCTION("GOOGLETRANSLATE(B352,""en"",""he"")"),"שיתוף סיכום הטרק נכשל. אנא נסה שוב.")</f>
        <v>שיתוף סיכום הטרק נכשל. אנא נסה שוב.</v>
      </c>
      <c r="AO352" s="4" t="str">
        <f>IFERROR(__xludf.DUMMYFUNCTION("GOOGLETRANSLATE(B352,""en"",""is"")"),"Mistókst að deila gönguyfirliti. Vinsamlegast reyndu aftur.")</f>
        <v>Mistókst að deila gönguyfirliti. Vinsamlegast reyndu aftur.</v>
      </c>
      <c r="AP352" s="4" t="str">
        <f>IFERROR(__xludf.DUMMYFUNCTION("GOOGLETRANSLATE(B352,""en"",""no"")"),"Kunne ikke dele tursammendraget. Vennligst prøv igjen.")</f>
        <v>Kunne ikke dele tursammendraget. Vennligst prøv igjen.</v>
      </c>
      <c r="AQ352" s="4" t="str">
        <f>IFERROR(__xludf.DUMMYFUNCTION("GOOGLETRANSLATE(B352,""en"",""fa"")"),"خلاصه سفر به اشتراک گذاشته نشد. لطفا دوباره امتحان کنید.")</f>
        <v>خلاصه سفر به اشتراک گذاشته نشد. لطفا دوباره امتحان کنید.</v>
      </c>
      <c r="AR352" s="4" t="str">
        <f>IFERROR(__xludf.DUMMYFUNCTION("GOOGLETRANSLATE(B352,""en"",""pl"")"),"Nie udało się udostępnić podsumowania wędrówki. Spróbuj ponownie.")</f>
        <v>Nie udało się udostępnić podsumowania wędrówki. Spróbuj ponownie.</v>
      </c>
      <c r="AS352" s="4" t="str">
        <f>IFERROR(__xludf.DUMMYFUNCTION("GOOGLETRANSLATE(B352,""en"",""sv"")"),"Det gick inte att dela vandringssammanfattningen. Försök igen.")</f>
        <v>Det gick inte att dela vandringssammanfattningen. Försök igen.</v>
      </c>
      <c r="AT352" s="4" t="str">
        <f>IFERROR(__xludf.DUMMYFUNCTION("GOOGLETRANSLATE(B352,""en"",""uk"")"),"Не вдалося поділитися підсумком походу. Спробуйте ще раз.")</f>
        <v>Не вдалося поділитися підсумком походу. Спробуйте ще раз.</v>
      </c>
      <c r="AU352" s="4" t="str">
        <f>IFERROR(__xludf.DUMMYFUNCTION("GOOGLETRANSLATE(B352,""en"",""zu"")"),"Yehlulekile ukwabelana ngesifinyezo sohambo. Sicela uzame futhi.")</f>
        <v>Yehlulekile ukwabelana ngesifinyezo sohambo. Sicela uzame futhi.</v>
      </c>
      <c r="AV352" s="4" t="str">
        <f>IFERROR(__xludf.DUMMYFUNCTION("GOOGLETRANSLATE(B352,""en"",""sr"")"),"Дељење резимеа путовања није успело. Покушајте поново.")</f>
        <v>Дељење резимеа путовања није успело. Покушајте поново.</v>
      </c>
    </row>
    <row r="353">
      <c r="A353" s="3" t="s">
        <v>698</v>
      </c>
      <c r="B353" s="3" t="s">
        <v>699</v>
      </c>
      <c r="C353" s="4" t="str">
        <f>IFERROR(__xludf.DUMMYFUNCTION("GOOGLETRANSLATE(B353,""en"",""ta"")"),"மலையேற்றத்தை சேமிக்கவா?")</f>
        <v>மலையேற்றத்தை சேமிக்கவா?</v>
      </c>
      <c r="D353" s="4" t="str">
        <f>IFERROR(__xludf.DUMMYFUNCTION("GOOGLETRANSLATE(B353,""en"",""hi"")"),"ट्रेक बचाओ?")</f>
        <v>ट्रेक बचाओ?</v>
      </c>
      <c r="E353" s="4" t="str">
        <f>IFERROR(__xludf.DUMMYFUNCTION("GOOGLETRANSLATE(B353,""en"",""id"")"),"Simpan Trek?")</f>
        <v>Simpan Trek?</v>
      </c>
      <c r="F353" s="4" t="str">
        <f>IFERROR(__xludf.DUMMYFUNCTION("GOOGLETRANSLATE(B353,""en"",""ms"")"),"Simpan Trek?")</f>
        <v>Simpan Trek?</v>
      </c>
      <c r="G353" s="4" t="str">
        <f>IFERROR(__xludf.DUMMYFUNCTION("GOOGLETRANSLATE(B353,""en"",""de"")"),"Trek retten?")</f>
        <v>Trek retten?</v>
      </c>
      <c r="H353" s="4" t="str">
        <f>IFERROR(__xludf.DUMMYFUNCTION("GOOGLETRANSLATE(B353,""en"",""es"")"),"¿Salvar Trek?")</f>
        <v>¿Salvar Trek?</v>
      </c>
      <c r="I353" s="4" t="str">
        <f>IFERROR(__xludf.DUMMYFUNCTION("GOOGLETRANSLATE(B353,""en"",""fr"")"),"Sauver Trek ?")</f>
        <v>Sauver Trek ?</v>
      </c>
      <c r="J353" s="4" t="str">
        <f>IFERROR(__xludf.DUMMYFUNCTION("GOOGLETRANSLATE(B353,""en"",""it"")"),"Salvare Trek?")</f>
        <v>Salvare Trek?</v>
      </c>
      <c r="K353" s="4" t="str">
        <f>IFERROR(__xludf.DUMMYFUNCTION("GOOGLETRANSLATE(B353,""en"",""pt"")"),"Salvar Trek?")</f>
        <v>Salvar Trek?</v>
      </c>
      <c r="L353" s="4" t="str">
        <f>IFERROR(__xludf.DUMMYFUNCTION("GOOGLETRANSLATE(B353,""en"",""ro"")"),"Salvați Trek?")</f>
        <v>Salvați Trek?</v>
      </c>
      <c r="M353" s="4" t="str">
        <f>IFERROR(__xludf.DUMMYFUNCTION("GOOGLETRANSLATE(B353,""en"",""vi"")"),"Lưu Trek?")</f>
        <v>Lưu Trek?</v>
      </c>
      <c r="N353" s="4" t="str">
        <f>IFERROR(__xludf.DUMMYFUNCTION("GOOGLETRANSLATE(B353,""en"",""ru"")"),"Сохранить Трек?")</f>
        <v>Сохранить Трек?</v>
      </c>
      <c r="O353" s="4" t="str">
        <f>IFERROR(__xludf.DUMMYFUNCTION("GOOGLETRANSLATE(B353,""en"",""tr"")"),"Trek'i kurtar?")</f>
        <v>Trek'i kurtar?</v>
      </c>
      <c r="P353" s="4" t="str">
        <f>IFERROR(__xludf.DUMMYFUNCTION("GOOGLETRANSLATE(B353,""en"",""ar"")"),"احفظ تريك؟")</f>
        <v>احفظ تريك؟</v>
      </c>
      <c r="Q353" s="4" t="str">
        <f>IFERROR(__xludf.DUMMYFUNCTION("GOOGLETRANSLATE(B353,""en"",""mr"")"),"ट्रेक वाचवायचा?")</f>
        <v>ट्रेक वाचवायचा?</v>
      </c>
      <c r="R353" s="4" t="str">
        <f>IFERROR(__xludf.DUMMYFUNCTION("GOOGLETRANSLATE(B353,""en"",""gu"")"),"ટ્રેક સાચવો?")</f>
        <v>ટ્રેક સાચવો?</v>
      </c>
      <c r="S353" s="4" t="str">
        <f>IFERROR(__xludf.DUMMYFUNCTION("GOOGLETRANSLATE(B353,""en"",""bn"")"),"ট্রেক সংরক্ষণ করুন?")</f>
        <v>ট্রেক সংরক্ষণ করুন?</v>
      </c>
      <c r="T353" s="4" t="str">
        <f>IFERROR(__xludf.DUMMYFUNCTION("GOOGLETRANSLATE(B353,""en"",""pa"")"),"ਕੀ ਟ੍ਰੈਕ ਬਚਾਓ?")</f>
        <v>ਕੀ ਟ੍ਰੈਕ ਬਚਾਓ?</v>
      </c>
      <c r="U353" s="4" t="str">
        <f>IFERROR(__xludf.DUMMYFUNCTION("GOOGLETRANSLATE(B353,""en"",""te"")"),"ట్రెక్‌ని సేవ్ చేయాలా?")</f>
        <v>ట్రెక్‌ని సేవ్ చేయాలా?</v>
      </c>
      <c r="V353" s="4" t="str">
        <f>IFERROR(__xludf.DUMMYFUNCTION("GOOGLETRANSLATE(B353,""en"",""kn"")"),"ಟ್ರೆಕ್ ಉಳಿಸುವುದೇ?")</f>
        <v>ಟ್ರೆಕ್ ಉಳಿಸುವುದೇ?</v>
      </c>
      <c r="W353" s="4" t="str">
        <f>IFERROR(__xludf.DUMMYFUNCTION("GOOGLETRANSLATE(B353,""en"",""ml"")"),"ട്രെക്ക് സംരക്ഷിക്കണോ?")</f>
        <v>ട്രെക്ക് സംരക്ഷിക്കണോ?</v>
      </c>
      <c r="X353" s="4" t="str">
        <f>IFERROR(__xludf.DUMMYFUNCTION("GOOGLETRANSLATE(B353,""en"",""th"")"),"บันทึกการเดินทาง?")</f>
        <v>บันทึกการเดินทาง?</v>
      </c>
      <c r="Y353" s="4" t="str">
        <f>IFERROR(__xludf.DUMMYFUNCTION("GOOGLETRANSLATE(B353,""en"",""ko"")"),"트렉을 구할까?")</f>
        <v>트렉을 구할까?</v>
      </c>
      <c r="Z353" s="4" t="str">
        <f>IFERROR(__xludf.DUMMYFUNCTION("GOOGLETRANSLATE(B353,""en"",""zh"")"),"保存 Trek？")</f>
        <v>保存 Trek？</v>
      </c>
      <c r="AA353" s="4" t="str">
        <f>IFERROR(__xludf.DUMMYFUNCTION("GOOGLETRANSLATE(B353,""en"",""zh-TW"")"),"保存 Trek？")</f>
        <v>保存 Trek？</v>
      </c>
      <c r="AB353" s="4" t="str">
        <f>IFERROR(__xludf.DUMMYFUNCTION("GOOGLETRANSLATE(B353,""en"",""ja"")"),"トレックを救いますか？")</f>
        <v>トレックを救いますか？</v>
      </c>
      <c r="AC353" s="4" t="str">
        <f>IFERROR(__xludf.DUMMYFUNCTION("GOOGLETRANSLATE(B353,""en"",""bg"")"),"Запазване на Трек?")</f>
        <v>Запазване на Трек?</v>
      </c>
      <c r="AD353" s="4" t="str">
        <f>IFERROR(__xludf.DUMMYFUNCTION("GOOGLETRANSLATE(B353,""en"",""cs"")"),"Zachránit Trek?")</f>
        <v>Zachránit Trek?</v>
      </c>
      <c r="AE353" s="4" t="str">
        <f>IFERROR(__xludf.DUMMYFUNCTION("GOOGLETRANSLATE(B353,""en"",""da"")"),"Vil du gemme Trek?")</f>
        <v>Vil du gemme Trek?</v>
      </c>
      <c r="AF353" s="4" t="str">
        <f>IFERROR(__xludf.DUMMYFUNCTION("GOOGLETRANSLATE(B353,""en"",""el"")"),"Αποθήκευση Trek;")</f>
        <v>Αποθήκευση Trek;</v>
      </c>
      <c r="AG353" s="4" t="str">
        <f>IFERROR(__xludf.DUMMYFUNCTION("GOOGLETRANSLATE(B353,""en"",""et"")"),"Kas salvestada Trek?")</f>
        <v>Kas salvestada Trek?</v>
      </c>
      <c r="AH353" s="4" t="str">
        <f>IFERROR(__xludf.DUMMYFUNCTION("GOOGLETRANSLATE(B353,""en"",""fi"")"),"Tallenna Trek?")</f>
        <v>Tallenna Trek?</v>
      </c>
      <c r="AI353" s="4" t="str">
        <f>IFERROR(__xludf.DUMMYFUNCTION("GOOGLETRANSLATE(B353,""en"",""hr"")"),"Spremiti Trek?")</f>
        <v>Spremiti Trek?</v>
      </c>
      <c r="AJ353" s="4" t="str">
        <f>IFERROR(__xludf.DUMMYFUNCTION("GOOGLETRANSLATE(B353,""en"",""hu"")"),"Menti a Treket?")</f>
        <v>Menti a Treket?</v>
      </c>
      <c r="AK353" s="4" t="str">
        <f>IFERROR(__xludf.DUMMYFUNCTION("GOOGLETRANSLATE(B353,""en"",""hy"")"),"Պահե՞լ Trek-ը:")</f>
        <v>Պահե՞լ Trek-ը:</v>
      </c>
      <c r="AL353" s="4" t="str">
        <f>IFERROR(__xludf.DUMMYFUNCTION("GOOGLETRANSLATE(B353,""en"",""ca"")"),"Desar Trek?")</f>
        <v>Desar Trek?</v>
      </c>
      <c r="AM353" s="4" t="str">
        <f>IFERROR(__xludf.DUMMYFUNCTION("GOOGLETRANSLATE(B353,""en"",""nl"")"),"Trek redden?")</f>
        <v>Trek redden?</v>
      </c>
      <c r="AN353" s="4" t="str">
        <f>IFERROR(__xludf.DUMMYFUNCTION("GOOGLETRANSLATE(B353,""en"",""he"")"),"להציל את טרק?")</f>
        <v>להציל את טרק?</v>
      </c>
      <c r="AO353" s="4" t="str">
        <f>IFERROR(__xludf.DUMMYFUNCTION("GOOGLETRANSLATE(B353,""en"",""is"")"),"Vista Trek?")</f>
        <v>Vista Trek?</v>
      </c>
      <c r="AP353" s="4" t="str">
        <f>IFERROR(__xludf.DUMMYFUNCTION("GOOGLETRANSLATE(B353,""en"",""no"")"),"Lagre Trek?")</f>
        <v>Lagre Trek?</v>
      </c>
      <c r="AQ353" s="4" t="str">
        <f>IFERROR(__xludf.DUMMYFUNCTION("GOOGLETRANSLATE(B353,""en"",""fa"")"),"Save Trek؟")</f>
        <v>Save Trek؟</v>
      </c>
      <c r="AR353" s="4" t="str">
        <f>IFERROR(__xludf.DUMMYFUNCTION("GOOGLETRANSLATE(B353,""en"",""pl"")"),"Uratować Treka?")</f>
        <v>Uratować Treka?</v>
      </c>
      <c r="AS353" s="4" t="str">
        <f>IFERROR(__xludf.DUMMYFUNCTION("GOOGLETRANSLATE(B353,""en"",""sv"")"),"Rädda Trek?")</f>
        <v>Rädda Trek?</v>
      </c>
      <c r="AT353" s="4" t="str">
        <f>IFERROR(__xludf.DUMMYFUNCTION("GOOGLETRANSLATE(B353,""en"",""uk"")"),"Зберегти Трек?")</f>
        <v>Зберегти Трек?</v>
      </c>
      <c r="AU353" s="4" t="str">
        <f>IFERROR(__xludf.DUMMYFUNCTION("GOOGLETRANSLATE(B353,""en"",""zu"")"),"Londoloza i-Trek?")</f>
        <v>Londoloza i-Trek?</v>
      </c>
      <c r="AV353" s="4" t="str">
        <f>IFERROR(__xludf.DUMMYFUNCTION("GOOGLETRANSLATE(B353,""en"",""sr"")"),"Саве Трек?")</f>
        <v>Саве Трек?</v>
      </c>
    </row>
    <row r="354">
      <c r="A354" s="3" t="s">
        <v>700</v>
      </c>
      <c r="B354" s="3" t="s">
        <v>701</v>
      </c>
      <c r="C354" s="4" t="str">
        <f>IFERROR(__xludf.DUMMYFUNCTION("GOOGLETRANSLATE(B354,""en"",""ta"")"),"இந்த மலையேற்றத்தை மூடுவதற்கு முன் சேமிக்க விரும்புகிறீர்களா?")</f>
        <v>இந்த மலையேற்றத்தை மூடுவதற்கு முன் சேமிக்க விரும்புகிறீர்களா?</v>
      </c>
      <c r="D354" s="4" t="str">
        <f>IFERROR(__xludf.DUMMYFUNCTION("GOOGLETRANSLATE(B354,""en"",""hi"")"),"क्या आप बंद होने से पहले इस ट्रेक को बचाना चाहते हैं?")</f>
        <v>क्या आप बंद होने से पहले इस ट्रेक को बचाना चाहते हैं?</v>
      </c>
      <c r="E354" s="4" t="str">
        <f>IFERROR(__xludf.DUMMYFUNCTION("GOOGLETRANSLATE(B354,""en"",""id"")"),"Apakah Anda ingin menyimpan perjalanan ini sebelum ditutup?")</f>
        <v>Apakah Anda ingin menyimpan perjalanan ini sebelum ditutup?</v>
      </c>
      <c r="F354" s="4" t="str">
        <f>IFERROR(__xludf.DUMMYFUNCTION("GOOGLETRANSLATE(B354,""en"",""ms"")"),"Adakah anda ingin menyimpan trek ini sebelum ditutup?")</f>
        <v>Adakah anda ingin menyimpan trek ini sebelum ditutup?</v>
      </c>
      <c r="G354" s="4" t="str">
        <f>IFERROR(__xludf.DUMMYFUNCTION("GOOGLETRANSLATE(B354,""en"",""de"")"),"Möchten Sie diesen Trek vor der Schließung speichern?")</f>
        <v>Möchten Sie diesen Trek vor der Schließung speichern?</v>
      </c>
      <c r="H354" s="4" t="str">
        <f>IFERROR(__xludf.DUMMYFUNCTION("GOOGLETRANSLATE(B354,""en"",""es"")"),"¿Quieres guardar este trek antes de cerrar?")</f>
        <v>¿Quieres guardar este trek antes de cerrar?</v>
      </c>
      <c r="I354" s="4" t="str">
        <f>IFERROR(__xludf.DUMMYFUNCTION("GOOGLETRANSLATE(B354,""en"",""fr"")"),"Voulez-vous sauvegarder ce trek avant la fermeture ?")</f>
        <v>Voulez-vous sauvegarder ce trek avant la fermeture ?</v>
      </c>
      <c r="J354" s="4" t="str">
        <f>IFERROR(__xludf.DUMMYFUNCTION("GOOGLETRANSLATE(B354,""en"",""it"")"),"Vuoi salvare questo viaggio prima della chiusura?")</f>
        <v>Vuoi salvare questo viaggio prima della chiusura?</v>
      </c>
      <c r="K354" s="4" t="str">
        <f>IFERROR(__xludf.DUMMYFUNCTION("GOOGLETRANSLATE(B354,""en"",""pt"")"),"Você quer salvar esta trilha antes de fechar?")</f>
        <v>Você quer salvar esta trilha antes de fechar?</v>
      </c>
      <c r="L354" s="4" t="str">
        <f>IFERROR(__xludf.DUMMYFUNCTION("GOOGLETRANSLATE(B354,""en"",""ro"")"),"Doriți să salvați această călătorie înainte de a închide?")</f>
        <v>Doriți să salvați această călătorie înainte de a închide?</v>
      </c>
      <c r="M354" s="4" t="str">
        <f>IFERROR(__xludf.DUMMYFUNCTION("GOOGLETRANSLATE(B354,""en"",""vi"")"),"Bạn có muốn lưu chuyến đi này trước khi đóng không?")</f>
        <v>Bạn có muốn lưu chuyến đi này trước khi đóng không?</v>
      </c>
      <c r="N354" s="4" t="str">
        <f>IFERROR(__xludf.DUMMYFUNCTION("GOOGLETRANSLATE(B354,""en"",""ru"")"),"Хотите сохранить этот маршрут перед закрытием?")</f>
        <v>Хотите сохранить этот маршрут перед закрытием?</v>
      </c>
      <c r="O354" s="4" t="str">
        <f>IFERROR(__xludf.DUMMYFUNCTION("GOOGLETRANSLATE(B354,""en"",""tr"")"),"Kapatmadan önce bu yürüyüşü kaydetmek ister misiniz?")</f>
        <v>Kapatmadan önce bu yürüyüşü kaydetmek ister misiniz?</v>
      </c>
      <c r="P354" s="4" t="str">
        <f>IFERROR(__xludf.DUMMYFUNCTION("GOOGLETRANSLATE(B354,""en"",""ar"")"),"هل تريد حفظ هذه الرحلة قبل إغلاقها؟")</f>
        <v>هل تريد حفظ هذه الرحلة قبل إغلاقها؟</v>
      </c>
      <c r="Q354" s="4" t="str">
        <f>IFERROR(__xludf.DUMMYFUNCTION("GOOGLETRANSLATE(B354,""en"",""mr"")"),"तुम्हाला हा ट्रेक बंद करण्यापूर्वी वाचवायचा आहे का?")</f>
        <v>तुम्हाला हा ट्रेक बंद करण्यापूर्वी वाचवायचा आहे का?</v>
      </c>
      <c r="R354" s="4" t="str">
        <f>IFERROR(__xludf.DUMMYFUNCTION("GOOGLETRANSLATE(B354,""en"",""gu"")"),"શું તમે આ ટ્રેક બંધ કરતા પહેલા સાચવવા માંગો છો?")</f>
        <v>શું તમે આ ટ્રેક બંધ કરતા પહેલા સાચવવા માંગો છો?</v>
      </c>
      <c r="S354" s="4" t="str">
        <f>IFERROR(__xludf.DUMMYFUNCTION("GOOGLETRANSLATE(B354,""en"",""bn"")"),"আপনি বন্ধ করার আগে এই ট্রেক সংরক্ষণ করতে চান?")</f>
        <v>আপনি বন্ধ করার আগে এই ট্রেক সংরক্ষণ করতে চান?</v>
      </c>
      <c r="T354" s="4" t="str">
        <f>IFERROR(__xludf.DUMMYFUNCTION("GOOGLETRANSLATE(B354,""en"",""pa"")"),"ਕੀ ਤੁਸੀਂ ਇਸ ਟ੍ਰੈਕ ਨੂੰ ਬੰਦ ਕਰਨ ਤੋਂ ਪਹਿਲਾਂ ਬਚਾਉਣਾ ਚਾਹੁੰਦੇ ਹੋ?")</f>
        <v>ਕੀ ਤੁਸੀਂ ਇਸ ਟ੍ਰੈਕ ਨੂੰ ਬੰਦ ਕਰਨ ਤੋਂ ਪਹਿਲਾਂ ਬਚਾਉਣਾ ਚਾਹੁੰਦੇ ਹੋ?</v>
      </c>
      <c r="U354" s="4" t="str">
        <f>IFERROR(__xludf.DUMMYFUNCTION("GOOGLETRANSLATE(B354,""en"",""te"")"),"మీరు ఈ ట్రెక్‌ను మూసివేయడానికి ముందు సేవ్ చేయాలనుకుంటున్నారా?")</f>
        <v>మీరు ఈ ట్రెక్‌ను మూసివేయడానికి ముందు సేవ్ చేయాలనుకుంటున్నారా?</v>
      </c>
      <c r="V354" s="4" t="str">
        <f>IFERROR(__xludf.DUMMYFUNCTION("GOOGLETRANSLATE(B354,""en"",""kn"")"),"ನೀವು ಮುಚ್ಚುವ ಮೊದಲು ಈ ಚಾರಣವನ್ನು ಉಳಿಸಲು ಬಯಸುವಿರಾ?")</f>
        <v>ನೀವು ಮುಚ್ಚುವ ಮೊದಲು ಈ ಚಾರಣವನ್ನು ಉಳಿಸಲು ಬಯಸುವಿರಾ?</v>
      </c>
      <c r="W354" s="4" t="str">
        <f>IFERROR(__xludf.DUMMYFUNCTION("GOOGLETRANSLATE(B354,""en"",""ml"")"),"അടയ്‌ക്കുന്നതിന് മുമ്പ് ഈ ട്രെക്ക് സംരക്ഷിക്കണോ?")</f>
        <v>അടയ്‌ക്കുന്നതിന് മുമ്പ് ഈ ട്രെക്ക് സംരക്ഷിക്കണോ?</v>
      </c>
      <c r="X354" s="4" t="str">
        <f>IFERROR(__xludf.DUMMYFUNCTION("GOOGLETRANSLATE(B354,""en"",""th"")"),"คุณต้องการบันทึกการเดินทางครั้งนี้ก่อนที่จะปิดหรือไม่?")</f>
        <v>คุณต้องการบันทึกการเดินทางครั้งนี้ก่อนที่จะปิดหรือไม่?</v>
      </c>
      <c r="Y354" s="4" t="str">
        <f>IFERROR(__xludf.DUMMYFUNCTION("GOOGLETRANSLATE(B354,""en"",""ko"")"),"닫기 전에 이 트레킹을 저장하시겠습니까?")</f>
        <v>닫기 전에 이 트레킹을 저장하시겠습니까?</v>
      </c>
      <c r="Z354" s="4" t="str">
        <f>IFERROR(__xludf.DUMMYFUNCTION("GOOGLETRANSLATE(B354,""en"",""zh"")"),"您想在关闭之前保存这次跋涉吗？")</f>
        <v>您想在关闭之前保存这次跋涉吗？</v>
      </c>
      <c r="AA354" s="4" t="str">
        <f>IFERROR(__xludf.DUMMYFUNCTION("GOOGLETRANSLATE(B354,""en"",""zh-TW"")"),"您想在關閉之前保存這次跋涉嗎？")</f>
        <v>您想在關閉之前保存這次跋涉嗎？</v>
      </c>
      <c r="AB354" s="4" t="str">
        <f>IFERROR(__xludf.DUMMYFUNCTION("GOOGLETRANSLATE(B354,""en"",""ja"")"),"終了する前にこのトレッキングを保存しますか?")</f>
        <v>終了する前にこのトレッキングを保存しますか?</v>
      </c>
      <c r="AC354" s="4" t="str">
        <f>IFERROR(__xludf.DUMMYFUNCTION("GOOGLETRANSLATE(B354,""en"",""bg"")"),"Искате ли да запазите този преход, преди да затворите?")</f>
        <v>Искате ли да запазите този преход, преди да затворите?</v>
      </c>
      <c r="AD354" s="4" t="str">
        <f>IFERROR(__xludf.DUMMYFUNCTION("GOOGLETRANSLATE(B354,""en"",""cs"")"),"Chcete uložit tento trek před uzavřením?")</f>
        <v>Chcete uložit tento trek před uzavřením?</v>
      </c>
      <c r="AE354" s="4" t="str">
        <f>IFERROR(__xludf.DUMMYFUNCTION("GOOGLETRANSLATE(B354,""en"",""da"")"),"Vil du gemme denne tur, før du lukker?")</f>
        <v>Vil du gemme denne tur, før du lukker?</v>
      </c>
      <c r="AF354" s="4" t="str">
        <f>IFERROR(__xludf.DUMMYFUNCTION("GOOGLETRANSLATE(B354,""en"",""el"")"),"Θέλετε να αποθηκεύσετε αυτό το ταξίδι πριν κλείσετε;")</f>
        <v>Θέλετε να αποθηκεύσετε αυτό το ταξίδι πριν κλείσετε;</v>
      </c>
      <c r="AG354" s="4" t="str">
        <f>IFERROR(__xludf.DUMMYFUNCTION("GOOGLETRANSLATE(B354,""en"",""et"")"),"Kas soovite selle matka enne sulgemist salvestada?")</f>
        <v>Kas soovite selle matka enne sulgemist salvestada?</v>
      </c>
      <c r="AH354" s="4" t="str">
        <f>IFERROR(__xludf.DUMMYFUNCTION("GOOGLETRANSLATE(B354,""en"",""fi"")"),"Haluatko tallentaa tämän vaelluksen ennen sulkemista?")</f>
        <v>Haluatko tallentaa tämän vaelluksen ennen sulkemista?</v>
      </c>
      <c r="AI354" s="4" t="str">
        <f>IFERROR(__xludf.DUMMYFUNCTION("GOOGLETRANSLATE(B354,""en"",""hr"")"),"Želite li spremiti ovo putovanje prije zatvaranja?")</f>
        <v>Želite li spremiti ovo putovanje prije zatvaranja?</v>
      </c>
      <c r="AJ354" s="4" t="str">
        <f>IFERROR(__xludf.DUMMYFUNCTION("GOOGLETRANSLATE(B354,""en"",""hu"")"),"Szeretné menteni ezt a túrát a bezárás előtt?")</f>
        <v>Szeretné menteni ezt a túrát a bezárás előtt?</v>
      </c>
      <c r="AK354" s="4" t="str">
        <f>IFERROR(__xludf.DUMMYFUNCTION("GOOGLETRANSLATE(B354,""en"",""hy"")"),"Ցանկանու՞մ եք պահպանել այս արշավը փակվելուց առաջ:")</f>
        <v>Ցանկանու՞մ եք պահպանել այս արշավը փակվելուց առաջ:</v>
      </c>
      <c r="AL354" s="4" t="str">
        <f>IFERROR(__xludf.DUMMYFUNCTION("GOOGLETRANSLATE(B354,""en"",""ca"")"),"Vols desar aquesta caminada abans de tancar-la?")</f>
        <v>Vols desar aquesta caminada abans de tancar-la?</v>
      </c>
      <c r="AM354" s="4" t="str">
        <f>IFERROR(__xludf.DUMMYFUNCTION("GOOGLETRANSLATE(B354,""en"",""nl"")"),"Wilt u deze tocht opslaan voordat u sluit?")</f>
        <v>Wilt u deze tocht opslaan voordat u sluit?</v>
      </c>
      <c r="AN354" s="4" t="str">
        <f>IFERROR(__xludf.DUMMYFUNCTION("GOOGLETRANSLATE(B354,""en"",""he"")"),"האם אתה רוצה לשמור את הטרק הזה לפני הסגירה?")</f>
        <v>האם אתה רוצה לשמור את הטרק הזה לפני הסגירה?</v>
      </c>
      <c r="AO354" s="4" t="str">
        <f>IFERROR(__xludf.DUMMYFUNCTION("GOOGLETRANSLATE(B354,""en"",""is"")"),"Viltu vista þessa ferð áður en þú lokar?")</f>
        <v>Viltu vista þessa ferð áður en þú lokar?</v>
      </c>
      <c r="AP354" s="4" t="str">
        <f>IFERROR(__xludf.DUMMYFUNCTION("GOOGLETRANSLATE(B354,""en"",""no"")"),"Vil du lagre denne vandringen før du stenger?")</f>
        <v>Vil du lagre denne vandringen før du stenger?</v>
      </c>
      <c r="AQ354" s="4" t="str">
        <f>IFERROR(__xludf.DUMMYFUNCTION("GOOGLETRANSLATE(B354,""en"",""fa"")"),"آیا می خواهید این مسیر را قبل از بسته شدن ذخیره کنید؟")</f>
        <v>آیا می خواهید این مسیر را قبل از بسته شدن ذخیره کنید؟</v>
      </c>
      <c r="AR354" s="4" t="str">
        <f>IFERROR(__xludf.DUMMYFUNCTION("GOOGLETRANSLATE(B354,""en"",""pl"")"),"Czy chcesz zapisać tę trasę przed zamknięciem?")</f>
        <v>Czy chcesz zapisać tę trasę przed zamknięciem?</v>
      </c>
      <c r="AS354" s="4" t="str">
        <f>IFERROR(__xludf.DUMMYFUNCTION("GOOGLETRANSLATE(B354,""en"",""sv"")"),"Vill du spara den här vandringen innan du stänger?")</f>
        <v>Vill du spara den här vandringen innan du stänger?</v>
      </c>
      <c r="AT354" s="4" t="str">
        <f>IFERROR(__xludf.DUMMYFUNCTION("GOOGLETRANSLATE(B354,""en"",""uk"")"),"Ви хочете зберегти цей маршрут перед закриттям?")</f>
        <v>Ви хочете зберегти цей маршрут перед закриттям?</v>
      </c>
      <c r="AU354" s="4" t="str">
        <f>IFERROR(__xludf.DUMMYFUNCTION("GOOGLETRANSLATE(B354,""en"",""zu"")"),"Uyafuna ukulondoloza lolu hambo ngaphambi kokuvala?")</f>
        <v>Uyafuna ukulondoloza lolu hambo ngaphambi kokuvala?</v>
      </c>
      <c r="AV354" s="4" t="str">
        <f>IFERROR(__xludf.DUMMYFUNCTION("GOOGLETRANSLATE(B354,""en"",""sr"")"),"Да ли желите да сачувате ово путовање пре затварања?")</f>
        <v>Да ли желите да сачувате ово путовање пре затварања?</v>
      </c>
    </row>
    <row r="355">
      <c r="A355" s="3" t="s">
        <v>702</v>
      </c>
      <c r="B355" s="3" t="s">
        <v>81</v>
      </c>
      <c r="C355" s="4" t="str">
        <f>IFERROR(__xludf.DUMMYFUNCTION("GOOGLETRANSLATE(B355,""en"",""ta"")"),"மூடு")</f>
        <v>மூடு</v>
      </c>
      <c r="D355" s="4" t="str">
        <f>IFERROR(__xludf.DUMMYFUNCTION("GOOGLETRANSLATE(B355,""en"",""hi"")"),"बंद करना")</f>
        <v>बंद करना</v>
      </c>
      <c r="E355" s="4" t="str">
        <f>IFERROR(__xludf.DUMMYFUNCTION("GOOGLETRANSLATE(B355,""en"",""id"")"),"Menutup")</f>
        <v>Menutup</v>
      </c>
      <c r="F355" s="4" t="str">
        <f>IFERROR(__xludf.DUMMYFUNCTION("GOOGLETRANSLATE(B355,""en"",""ms"")"),"tutup")</f>
        <v>tutup</v>
      </c>
      <c r="G355" s="4" t="str">
        <f>IFERROR(__xludf.DUMMYFUNCTION("GOOGLETRANSLATE(B355,""en"",""de"")"),"Schließen")</f>
        <v>Schließen</v>
      </c>
      <c r="H355" s="4" t="str">
        <f>IFERROR(__xludf.DUMMYFUNCTION("GOOGLETRANSLATE(B355,""en"",""es"")"),"Cerca")</f>
        <v>Cerca</v>
      </c>
      <c r="I355" s="4" t="str">
        <f>IFERROR(__xludf.DUMMYFUNCTION("GOOGLETRANSLATE(B355,""en"",""fr"")"),"Fermer")</f>
        <v>Fermer</v>
      </c>
      <c r="J355" s="4" t="str">
        <f>IFERROR(__xludf.DUMMYFUNCTION("GOOGLETRANSLATE(B355,""en"",""it"")"),"Vicino")</f>
        <v>Vicino</v>
      </c>
      <c r="K355" s="4" t="str">
        <f>IFERROR(__xludf.DUMMYFUNCTION("GOOGLETRANSLATE(B355,""en"",""pt"")"),"Fechar")</f>
        <v>Fechar</v>
      </c>
      <c r="L355" s="4" t="str">
        <f>IFERROR(__xludf.DUMMYFUNCTION("GOOGLETRANSLATE(B355,""en"",""ro"")"),"Aproape")</f>
        <v>Aproape</v>
      </c>
      <c r="M355" s="4" t="str">
        <f>IFERROR(__xludf.DUMMYFUNCTION("GOOGLETRANSLATE(B355,""en"",""vi"")"),"Đóng")</f>
        <v>Đóng</v>
      </c>
      <c r="N355" s="4" t="str">
        <f>IFERROR(__xludf.DUMMYFUNCTION("GOOGLETRANSLATE(B355,""en"",""ru"")"),"Закрывать")</f>
        <v>Закрывать</v>
      </c>
      <c r="O355" s="4" t="str">
        <f>IFERROR(__xludf.DUMMYFUNCTION("GOOGLETRANSLATE(B355,""en"",""tr"")"),"Kapalı")</f>
        <v>Kapalı</v>
      </c>
      <c r="P355" s="4" t="str">
        <f>IFERROR(__xludf.DUMMYFUNCTION("GOOGLETRANSLATE(B355,""en"",""ar"")"),"يغلق")</f>
        <v>يغلق</v>
      </c>
      <c r="Q355" s="4" t="str">
        <f>IFERROR(__xludf.DUMMYFUNCTION("GOOGLETRANSLATE(B355,""en"",""mr"")"),"बंद करा")</f>
        <v>बंद करा</v>
      </c>
      <c r="R355" s="4" t="str">
        <f>IFERROR(__xludf.DUMMYFUNCTION("GOOGLETRANSLATE(B355,""en"",""gu"")"),"બંધ કરો")</f>
        <v>બંધ કરો</v>
      </c>
      <c r="S355" s="4" t="str">
        <f>IFERROR(__xludf.DUMMYFUNCTION("GOOGLETRANSLATE(B355,""en"",""bn"")"),"বন্ধ")</f>
        <v>বন্ধ</v>
      </c>
      <c r="T355" s="4" t="str">
        <f>IFERROR(__xludf.DUMMYFUNCTION("GOOGLETRANSLATE(B355,""en"",""pa"")"),"ਬੰਦ ਕਰੋ")</f>
        <v>ਬੰਦ ਕਰੋ</v>
      </c>
      <c r="U355" s="4" t="str">
        <f>IFERROR(__xludf.DUMMYFUNCTION("GOOGLETRANSLATE(B355,""en"",""te"")"),"మూసివేయి")</f>
        <v>మూసివేయి</v>
      </c>
      <c r="V355" s="4" t="str">
        <f>IFERROR(__xludf.DUMMYFUNCTION("GOOGLETRANSLATE(B355,""en"",""kn"")"),"ಮುಚ್ಚಿ")</f>
        <v>ಮುಚ್ಚಿ</v>
      </c>
      <c r="W355" s="4" t="str">
        <f>IFERROR(__xludf.DUMMYFUNCTION("GOOGLETRANSLATE(B355,""en"",""ml"")"),"അടയ്ക്കുക")</f>
        <v>അടയ്ക്കുക</v>
      </c>
      <c r="X355" s="4" t="str">
        <f>IFERROR(__xludf.DUMMYFUNCTION("GOOGLETRANSLATE(B355,""en"",""th"")"),"ปิด")</f>
        <v>ปิด</v>
      </c>
      <c r="Y355" s="4" t="str">
        <f>IFERROR(__xludf.DUMMYFUNCTION("GOOGLETRANSLATE(B355,""en"",""ko"")"),"닫다")</f>
        <v>닫다</v>
      </c>
      <c r="Z355" s="4" t="str">
        <f>IFERROR(__xludf.DUMMYFUNCTION("GOOGLETRANSLATE(B355,""en"",""zh"")"),"关闭")</f>
        <v>关闭</v>
      </c>
      <c r="AA355" s="4" t="str">
        <f>IFERROR(__xludf.DUMMYFUNCTION("GOOGLETRANSLATE(B355,""en"",""zh-TW"")"),"關閉")</f>
        <v>關閉</v>
      </c>
      <c r="AB355" s="4" t="str">
        <f>IFERROR(__xludf.DUMMYFUNCTION("GOOGLETRANSLATE(B355,""en"",""ja"")"),"近い")</f>
        <v>近い</v>
      </c>
      <c r="AC355" s="4" t="str">
        <f>IFERROR(__xludf.DUMMYFUNCTION("GOOGLETRANSLATE(B355,""en"",""bg"")"),"затвори")</f>
        <v>затвори</v>
      </c>
      <c r="AD355" s="4" t="str">
        <f>IFERROR(__xludf.DUMMYFUNCTION("GOOGLETRANSLATE(B355,""en"",""cs"")"),"Blízko")</f>
        <v>Blízko</v>
      </c>
      <c r="AE355" s="4" t="str">
        <f>IFERROR(__xludf.DUMMYFUNCTION("GOOGLETRANSLATE(B355,""en"",""da"")"),"Tæt")</f>
        <v>Tæt</v>
      </c>
      <c r="AF355" s="4" t="str">
        <f>IFERROR(__xludf.DUMMYFUNCTION("GOOGLETRANSLATE(B355,""en"",""el"")"),"Κοντά")</f>
        <v>Κοντά</v>
      </c>
      <c r="AG355" s="4" t="str">
        <f>IFERROR(__xludf.DUMMYFUNCTION("GOOGLETRANSLATE(B355,""en"",""et"")"),"Sule")</f>
        <v>Sule</v>
      </c>
      <c r="AH355" s="4" t="str">
        <f>IFERROR(__xludf.DUMMYFUNCTION("GOOGLETRANSLATE(B355,""en"",""fi"")"),"Lähellä")</f>
        <v>Lähellä</v>
      </c>
      <c r="AI355" s="4" t="str">
        <f>IFERROR(__xludf.DUMMYFUNCTION("GOOGLETRANSLATE(B355,""en"",""hr"")"),"Zatvoriti")</f>
        <v>Zatvoriti</v>
      </c>
      <c r="AJ355" s="4" t="str">
        <f>IFERROR(__xludf.DUMMYFUNCTION("GOOGLETRANSLATE(B355,""en"",""hu"")"),"Közeli")</f>
        <v>Közeli</v>
      </c>
      <c r="AK355" s="4" t="str">
        <f>IFERROR(__xludf.DUMMYFUNCTION("GOOGLETRANSLATE(B355,""en"",""hy"")"),"Փակել")</f>
        <v>Փակել</v>
      </c>
      <c r="AL355" s="4" t="str">
        <f>IFERROR(__xludf.DUMMYFUNCTION("GOOGLETRANSLATE(B355,""en"",""ca"")"),"Tancar")</f>
        <v>Tancar</v>
      </c>
      <c r="AM355" s="4" t="str">
        <f>IFERROR(__xludf.DUMMYFUNCTION("GOOGLETRANSLATE(B355,""en"",""nl"")"),"Dichtbij")</f>
        <v>Dichtbij</v>
      </c>
      <c r="AN355" s="4" t="str">
        <f>IFERROR(__xludf.DUMMYFUNCTION("GOOGLETRANSLATE(B355,""en"",""he"")"),"לִסְגוֹר")</f>
        <v>לִסְגוֹר</v>
      </c>
      <c r="AO355" s="4" t="str">
        <f>IFERROR(__xludf.DUMMYFUNCTION("GOOGLETRANSLATE(B355,""en"",""is"")"),"Loka")</f>
        <v>Loka</v>
      </c>
      <c r="AP355" s="4" t="str">
        <f>IFERROR(__xludf.DUMMYFUNCTION("GOOGLETRANSLATE(B355,""en"",""no"")"),"Lukke")</f>
        <v>Lukke</v>
      </c>
      <c r="AQ355" s="4" t="str">
        <f>IFERROR(__xludf.DUMMYFUNCTION("GOOGLETRANSLATE(B355,""en"",""fa"")"),"بستن")</f>
        <v>بستن</v>
      </c>
      <c r="AR355" s="4" t="str">
        <f>IFERROR(__xludf.DUMMYFUNCTION("GOOGLETRANSLATE(B355,""en"",""pl"")"),"Zamknąć")</f>
        <v>Zamknąć</v>
      </c>
      <c r="AS355" s="4" t="str">
        <f>IFERROR(__xludf.DUMMYFUNCTION("GOOGLETRANSLATE(B355,""en"",""sv"")"),"Nära")</f>
        <v>Nära</v>
      </c>
      <c r="AT355" s="4" t="str">
        <f>IFERROR(__xludf.DUMMYFUNCTION("GOOGLETRANSLATE(B355,""en"",""uk"")"),"Закрити")</f>
        <v>Закрити</v>
      </c>
      <c r="AU355" s="4" t="str">
        <f>IFERROR(__xludf.DUMMYFUNCTION("GOOGLETRANSLATE(B355,""en"",""zu"")"),"Vala")</f>
        <v>Vala</v>
      </c>
      <c r="AV355" s="4" t="str">
        <f>IFERROR(__xludf.DUMMYFUNCTION("GOOGLETRANSLATE(B355,""en"",""sr"")"),"Затвори")</f>
        <v>Затвори</v>
      </c>
    </row>
    <row r="356">
      <c r="A356" s="3" t="s">
        <v>703</v>
      </c>
      <c r="B356" s="3" t="s">
        <v>79</v>
      </c>
      <c r="C356" s="4" t="str">
        <f>IFERROR(__xludf.DUMMYFUNCTION("GOOGLETRANSLATE(B356,""en"",""ta"")"),"சேமிக்கவும்")</f>
        <v>சேமிக்கவும்</v>
      </c>
      <c r="D356" s="4" t="str">
        <f>IFERROR(__xludf.DUMMYFUNCTION("GOOGLETRANSLATE(B356,""en"",""hi"")"),"बचाना")</f>
        <v>बचाना</v>
      </c>
      <c r="E356" s="4" t="str">
        <f>IFERROR(__xludf.DUMMYFUNCTION("GOOGLETRANSLATE(B356,""en"",""id"")"),"Menyimpan")</f>
        <v>Menyimpan</v>
      </c>
      <c r="F356" s="4" t="str">
        <f>IFERROR(__xludf.DUMMYFUNCTION("GOOGLETRANSLATE(B356,""en"",""ms"")"),"Jimat")</f>
        <v>Jimat</v>
      </c>
      <c r="G356" s="4" t="str">
        <f>IFERROR(__xludf.DUMMYFUNCTION("GOOGLETRANSLATE(B356,""en"",""de"")"),"Speichern")</f>
        <v>Speichern</v>
      </c>
      <c r="H356" s="4" t="str">
        <f>IFERROR(__xludf.DUMMYFUNCTION("GOOGLETRANSLATE(B356,""en"",""es"")"),"Ahorrar")</f>
        <v>Ahorrar</v>
      </c>
      <c r="I356" s="4" t="str">
        <f>IFERROR(__xludf.DUMMYFUNCTION("GOOGLETRANSLATE(B356,""en"",""fr"")"),"Sauvegarder")</f>
        <v>Sauvegarder</v>
      </c>
      <c r="J356" s="4" t="str">
        <f>IFERROR(__xludf.DUMMYFUNCTION("GOOGLETRANSLATE(B356,""en"",""it"")"),"Salva")</f>
        <v>Salva</v>
      </c>
      <c r="K356" s="4" t="str">
        <f>IFERROR(__xludf.DUMMYFUNCTION("GOOGLETRANSLATE(B356,""en"",""pt"")"),"Salvar")</f>
        <v>Salvar</v>
      </c>
      <c r="L356" s="4" t="str">
        <f>IFERROR(__xludf.DUMMYFUNCTION("GOOGLETRANSLATE(B356,""en"",""ro"")"),"Salva")</f>
        <v>Salva</v>
      </c>
      <c r="M356" s="4" t="str">
        <f>IFERROR(__xludf.DUMMYFUNCTION("GOOGLETRANSLATE(B356,""en"",""vi"")"),"Cứu")</f>
        <v>Cứu</v>
      </c>
      <c r="N356" s="4" t="str">
        <f>IFERROR(__xludf.DUMMYFUNCTION("GOOGLETRANSLATE(B356,""en"",""ru"")"),"Сохранять")</f>
        <v>Сохранять</v>
      </c>
      <c r="O356" s="4" t="str">
        <f>IFERROR(__xludf.DUMMYFUNCTION("GOOGLETRANSLATE(B356,""en"",""tr"")"),"Kaydetmek")</f>
        <v>Kaydetmek</v>
      </c>
      <c r="P356" s="4" t="str">
        <f>IFERROR(__xludf.DUMMYFUNCTION("GOOGLETRANSLATE(B356,""en"",""ar"")"),"يحفظ")</f>
        <v>يحفظ</v>
      </c>
      <c r="Q356" s="4" t="str">
        <f>IFERROR(__xludf.DUMMYFUNCTION("GOOGLETRANSLATE(B356,""en"",""mr"")"),"जतन करा")</f>
        <v>जतन करा</v>
      </c>
      <c r="R356" s="4" t="str">
        <f>IFERROR(__xludf.DUMMYFUNCTION("GOOGLETRANSLATE(B356,""en"",""gu"")"),"સાચવો")</f>
        <v>સાચવો</v>
      </c>
      <c r="S356" s="4" t="str">
        <f>IFERROR(__xludf.DUMMYFUNCTION("GOOGLETRANSLATE(B356,""en"",""bn"")"),"সংরক্ষণ করুন")</f>
        <v>সংরক্ষণ করুন</v>
      </c>
      <c r="T356" s="4" t="str">
        <f>IFERROR(__xludf.DUMMYFUNCTION("GOOGLETRANSLATE(B356,""en"",""pa"")"),"ਸੇਵ ਕਰੋ")</f>
        <v>ਸੇਵ ਕਰੋ</v>
      </c>
      <c r="U356" s="4" t="str">
        <f>IFERROR(__xludf.DUMMYFUNCTION("GOOGLETRANSLATE(B356,""en"",""te"")"),"సేవ్ చేయండి")</f>
        <v>సేవ్ చేయండి</v>
      </c>
      <c r="V356" s="4" t="str">
        <f>IFERROR(__xludf.DUMMYFUNCTION("GOOGLETRANSLATE(B356,""en"",""kn"")"),"ಉಳಿಸಿ")</f>
        <v>ಉಳಿಸಿ</v>
      </c>
      <c r="W356" s="4" t="str">
        <f>IFERROR(__xludf.DUMMYFUNCTION("GOOGLETRANSLATE(B356,""en"",""ml"")"),"സംരക്ഷിക്കുക")</f>
        <v>സംരക്ഷിക്കുക</v>
      </c>
      <c r="X356" s="4" t="str">
        <f>IFERROR(__xludf.DUMMYFUNCTION("GOOGLETRANSLATE(B356,""en"",""th"")"),"บันทึก")</f>
        <v>บันทึก</v>
      </c>
      <c r="Y356" s="4" t="str">
        <f>IFERROR(__xludf.DUMMYFUNCTION("GOOGLETRANSLATE(B356,""en"",""ko"")"),"구하다")</f>
        <v>구하다</v>
      </c>
      <c r="Z356" s="4" t="str">
        <f>IFERROR(__xludf.DUMMYFUNCTION("GOOGLETRANSLATE(B356,""en"",""zh"")"),"节省")</f>
        <v>节省</v>
      </c>
      <c r="AA356" s="4" t="str">
        <f>IFERROR(__xludf.DUMMYFUNCTION("GOOGLETRANSLATE(B356,""en"",""zh-TW"")"),"節省")</f>
        <v>節省</v>
      </c>
      <c r="AB356" s="4" t="str">
        <f>IFERROR(__xludf.DUMMYFUNCTION("GOOGLETRANSLATE(B356,""en"",""ja"")"),"保存")</f>
        <v>保存</v>
      </c>
      <c r="AC356" s="4" t="str">
        <f>IFERROR(__xludf.DUMMYFUNCTION("GOOGLETRANSLATE(B356,""en"",""bg"")"),"Запазване")</f>
        <v>Запазване</v>
      </c>
      <c r="AD356" s="4" t="str">
        <f>IFERROR(__xludf.DUMMYFUNCTION("GOOGLETRANSLATE(B356,""en"",""cs"")"),"Uložit")</f>
        <v>Uložit</v>
      </c>
      <c r="AE356" s="4" t="str">
        <f>IFERROR(__xludf.DUMMYFUNCTION("GOOGLETRANSLATE(B356,""en"",""da"")"),"Spare")</f>
        <v>Spare</v>
      </c>
      <c r="AF356" s="4" t="str">
        <f>IFERROR(__xludf.DUMMYFUNCTION("GOOGLETRANSLATE(B356,""en"",""el"")"),"Εκτός")</f>
        <v>Εκτός</v>
      </c>
      <c r="AG356" s="4" t="str">
        <f>IFERROR(__xludf.DUMMYFUNCTION("GOOGLETRANSLATE(B356,""en"",""et"")"),"Salvesta")</f>
        <v>Salvesta</v>
      </c>
      <c r="AH356" s="4" t="str">
        <f>IFERROR(__xludf.DUMMYFUNCTION("GOOGLETRANSLATE(B356,""en"",""fi"")"),"Tallentaa")</f>
        <v>Tallentaa</v>
      </c>
      <c r="AI356" s="4" t="str">
        <f>IFERROR(__xludf.DUMMYFUNCTION("GOOGLETRANSLATE(B356,""en"",""hr"")"),"Uštedjeti")</f>
        <v>Uštedjeti</v>
      </c>
      <c r="AJ356" s="4" t="str">
        <f>IFERROR(__xludf.DUMMYFUNCTION("GOOGLETRANSLATE(B356,""en"",""hu"")"),"Megtakarítás")</f>
        <v>Megtakarítás</v>
      </c>
      <c r="AK356" s="4" t="str">
        <f>IFERROR(__xludf.DUMMYFUNCTION("GOOGLETRANSLATE(B356,""en"",""hy"")"),"Պահպանել")</f>
        <v>Պահպանել</v>
      </c>
      <c r="AL356" s="4" t="str">
        <f>IFERROR(__xludf.DUMMYFUNCTION("GOOGLETRANSLATE(B356,""en"",""ca"")"),"Desa")</f>
        <v>Desa</v>
      </c>
      <c r="AM356" s="4" t="str">
        <f>IFERROR(__xludf.DUMMYFUNCTION("GOOGLETRANSLATE(B356,""en"",""nl"")"),"Redden")</f>
        <v>Redden</v>
      </c>
      <c r="AN356" s="4" t="str">
        <f>IFERROR(__xludf.DUMMYFUNCTION("GOOGLETRANSLATE(B356,""en"",""he"")"),"לְהַצִיל")</f>
        <v>לְהַצִיל</v>
      </c>
      <c r="AO356" s="4" t="str">
        <f>IFERROR(__xludf.DUMMYFUNCTION("GOOGLETRANSLATE(B356,""en"",""is"")"),"Vista")</f>
        <v>Vista</v>
      </c>
      <c r="AP356" s="4" t="str">
        <f>IFERROR(__xludf.DUMMYFUNCTION("GOOGLETRANSLATE(B356,""en"",""no"")"),"Spare")</f>
        <v>Spare</v>
      </c>
      <c r="AQ356" s="4" t="str">
        <f>IFERROR(__xludf.DUMMYFUNCTION("GOOGLETRANSLATE(B356,""en"",""fa"")"),"ذخیره کنید")</f>
        <v>ذخیره کنید</v>
      </c>
      <c r="AR356" s="4" t="str">
        <f>IFERROR(__xludf.DUMMYFUNCTION("GOOGLETRANSLATE(B356,""en"",""pl"")"),"Ratować")</f>
        <v>Ratować</v>
      </c>
      <c r="AS356" s="4" t="str">
        <f>IFERROR(__xludf.DUMMYFUNCTION("GOOGLETRANSLATE(B356,""en"",""sv"")"),"Spara")</f>
        <v>Spara</v>
      </c>
      <c r="AT356" s="4" t="str">
        <f>IFERROR(__xludf.DUMMYFUNCTION("GOOGLETRANSLATE(B356,""en"",""uk"")"),"зберегти")</f>
        <v>зберегти</v>
      </c>
      <c r="AU356" s="4" t="str">
        <f>IFERROR(__xludf.DUMMYFUNCTION("GOOGLETRANSLATE(B356,""en"",""zu"")"),"Londoloza")</f>
        <v>Londoloza</v>
      </c>
      <c r="AV356" s="4" t="str">
        <f>IFERROR(__xludf.DUMMYFUNCTION("GOOGLETRANSLATE(B356,""en"",""sr"")"),"Сачувај")</f>
        <v>Сачувај</v>
      </c>
    </row>
    <row r="357">
      <c r="A357" s="3" t="s">
        <v>704</v>
      </c>
      <c r="B357" s="3" t="s">
        <v>357</v>
      </c>
      <c r="C357" s="4" t="str">
        <f>IFERROR(__xludf.DUMMYFUNCTION("GOOGLETRANSLATE(B357,""en"",""ta"")"),"ரத்து செய்")</f>
        <v>ரத்து செய்</v>
      </c>
      <c r="D357" s="4" t="str">
        <f>IFERROR(__xludf.DUMMYFUNCTION("GOOGLETRANSLATE(B357,""en"",""hi"")"),"रद्द करना")</f>
        <v>रद्द करना</v>
      </c>
      <c r="E357" s="4" t="str">
        <f>IFERROR(__xludf.DUMMYFUNCTION("GOOGLETRANSLATE(B357,""en"",""id"")"),"Membatalkan")</f>
        <v>Membatalkan</v>
      </c>
      <c r="F357" s="4" t="str">
        <f>IFERROR(__xludf.DUMMYFUNCTION("GOOGLETRANSLATE(B357,""en"",""ms"")"),"Batal")</f>
        <v>Batal</v>
      </c>
      <c r="G357" s="4" t="str">
        <f>IFERROR(__xludf.DUMMYFUNCTION("GOOGLETRANSLATE(B357,""en"",""de"")"),"Stornieren")</f>
        <v>Stornieren</v>
      </c>
      <c r="H357" s="4" t="str">
        <f>IFERROR(__xludf.DUMMYFUNCTION("GOOGLETRANSLATE(B357,""en"",""es"")"),"Cancelar")</f>
        <v>Cancelar</v>
      </c>
      <c r="I357" s="4" t="str">
        <f>IFERROR(__xludf.DUMMYFUNCTION("GOOGLETRANSLATE(B357,""en"",""fr"")"),"Annuler")</f>
        <v>Annuler</v>
      </c>
      <c r="J357" s="4" t="str">
        <f>IFERROR(__xludf.DUMMYFUNCTION("GOOGLETRANSLATE(B357,""en"",""it"")"),"Cancellare")</f>
        <v>Cancellare</v>
      </c>
      <c r="K357" s="4" t="str">
        <f>IFERROR(__xludf.DUMMYFUNCTION("GOOGLETRANSLATE(B357,""en"",""pt"")"),"Cancelar")</f>
        <v>Cancelar</v>
      </c>
      <c r="L357" s="4" t="str">
        <f>IFERROR(__xludf.DUMMYFUNCTION("GOOGLETRANSLATE(B357,""en"",""ro"")"),"Anula")</f>
        <v>Anula</v>
      </c>
      <c r="M357" s="4" t="str">
        <f>IFERROR(__xludf.DUMMYFUNCTION("GOOGLETRANSLATE(B357,""en"",""vi"")"),"Hủy bỏ")</f>
        <v>Hủy bỏ</v>
      </c>
      <c r="N357" s="4" t="str">
        <f>IFERROR(__xludf.DUMMYFUNCTION("GOOGLETRANSLATE(B357,""en"",""ru"")"),"Отмена")</f>
        <v>Отмена</v>
      </c>
      <c r="O357" s="4" t="str">
        <f>IFERROR(__xludf.DUMMYFUNCTION("GOOGLETRANSLATE(B357,""en"",""tr"")"),"İptal etmek")</f>
        <v>İptal etmek</v>
      </c>
      <c r="P357" s="4" t="str">
        <f>IFERROR(__xludf.DUMMYFUNCTION("GOOGLETRANSLATE(B357,""en"",""ar"")"),"يلغي")</f>
        <v>يلغي</v>
      </c>
      <c r="Q357" s="4" t="str">
        <f>IFERROR(__xludf.DUMMYFUNCTION("GOOGLETRANSLATE(B357,""en"",""mr"")"),"रद्द करा")</f>
        <v>रद्द करा</v>
      </c>
      <c r="R357" s="4" t="str">
        <f>IFERROR(__xludf.DUMMYFUNCTION("GOOGLETRANSLATE(B357,""en"",""gu"")"),"રદ કરો")</f>
        <v>રદ કરો</v>
      </c>
      <c r="S357" s="4" t="str">
        <f>IFERROR(__xludf.DUMMYFUNCTION("GOOGLETRANSLATE(B357,""en"",""bn"")"),"বাতিল করুন")</f>
        <v>বাতিল করুন</v>
      </c>
      <c r="T357" s="4" t="str">
        <f>IFERROR(__xludf.DUMMYFUNCTION("GOOGLETRANSLATE(B357,""en"",""pa"")"),"ਰੱਦ ਕਰੋ")</f>
        <v>ਰੱਦ ਕਰੋ</v>
      </c>
      <c r="U357" s="4" t="str">
        <f>IFERROR(__xludf.DUMMYFUNCTION("GOOGLETRANSLATE(B357,""en"",""te"")"),"రద్దు చేయి")</f>
        <v>రద్దు చేయి</v>
      </c>
      <c r="V357" s="4" t="str">
        <f>IFERROR(__xludf.DUMMYFUNCTION("GOOGLETRANSLATE(B357,""en"",""kn"")"),"ರದ್ದುಮಾಡು")</f>
        <v>ರದ್ದುಮಾಡು</v>
      </c>
      <c r="W357" s="4" t="str">
        <f>IFERROR(__xludf.DUMMYFUNCTION("GOOGLETRANSLATE(B357,""en"",""ml"")"),"റദ്ദാക്കുക")</f>
        <v>റദ്ദാക്കുക</v>
      </c>
      <c r="X357" s="4" t="str">
        <f>IFERROR(__xludf.DUMMYFUNCTION("GOOGLETRANSLATE(B357,""en"",""th"")"),"ยกเลิก")</f>
        <v>ยกเลิก</v>
      </c>
      <c r="Y357" s="4" t="str">
        <f>IFERROR(__xludf.DUMMYFUNCTION("GOOGLETRANSLATE(B357,""en"",""ko"")"),"취소")</f>
        <v>취소</v>
      </c>
      <c r="Z357" s="4" t="str">
        <f>IFERROR(__xludf.DUMMYFUNCTION("GOOGLETRANSLATE(B357,""en"",""zh"")"),"取消")</f>
        <v>取消</v>
      </c>
      <c r="AA357" s="4" t="str">
        <f>IFERROR(__xludf.DUMMYFUNCTION("GOOGLETRANSLATE(B357,""en"",""zh-TW"")"),"取消")</f>
        <v>取消</v>
      </c>
      <c r="AB357" s="4" t="str">
        <f>IFERROR(__xludf.DUMMYFUNCTION("GOOGLETRANSLATE(B357,""en"",""ja"")"),"キャンセル")</f>
        <v>キャンセル</v>
      </c>
      <c r="AC357" s="4" t="str">
        <f>IFERROR(__xludf.DUMMYFUNCTION("GOOGLETRANSLATE(B357,""en"",""bg"")"),"Отказ")</f>
        <v>Отказ</v>
      </c>
      <c r="AD357" s="4" t="str">
        <f>IFERROR(__xludf.DUMMYFUNCTION("GOOGLETRANSLATE(B357,""en"",""cs"")"),"Zrušit")</f>
        <v>Zrušit</v>
      </c>
      <c r="AE357" s="4" t="str">
        <f>IFERROR(__xludf.DUMMYFUNCTION("GOOGLETRANSLATE(B357,""en"",""da"")"),"Ophæve")</f>
        <v>Ophæve</v>
      </c>
      <c r="AF357" s="4" t="str">
        <f>IFERROR(__xludf.DUMMYFUNCTION("GOOGLETRANSLATE(B357,""en"",""el"")"),"Ματαίωση")</f>
        <v>Ματαίωση</v>
      </c>
      <c r="AG357" s="4" t="str">
        <f>IFERROR(__xludf.DUMMYFUNCTION("GOOGLETRANSLATE(B357,""en"",""et"")"),"Tühista")</f>
        <v>Tühista</v>
      </c>
      <c r="AH357" s="4" t="str">
        <f>IFERROR(__xludf.DUMMYFUNCTION("GOOGLETRANSLATE(B357,""en"",""fi"")"),"Peruuttaa")</f>
        <v>Peruuttaa</v>
      </c>
      <c r="AI357" s="4" t="str">
        <f>IFERROR(__xludf.DUMMYFUNCTION("GOOGLETRANSLATE(B357,""en"",""hr"")"),"Otkazati")</f>
        <v>Otkazati</v>
      </c>
      <c r="AJ357" s="4" t="str">
        <f>IFERROR(__xludf.DUMMYFUNCTION("GOOGLETRANSLATE(B357,""en"",""hu"")"),"Mégsem")</f>
        <v>Mégsem</v>
      </c>
      <c r="AK357" s="4" t="str">
        <f>IFERROR(__xludf.DUMMYFUNCTION("GOOGLETRANSLATE(B357,""en"",""hy"")"),"Չեղարկել")</f>
        <v>Չեղարկել</v>
      </c>
      <c r="AL357" s="4" t="str">
        <f>IFERROR(__xludf.DUMMYFUNCTION("GOOGLETRANSLATE(B357,""en"",""ca"")"),"Cancel·la")</f>
        <v>Cancel·la</v>
      </c>
      <c r="AM357" s="4" t="str">
        <f>IFERROR(__xludf.DUMMYFUNCTION("GOOGLETRANSLATE(B357,""en"",""nl"")"),"Annuleren")</f>
        <v>Annuleren</v>
      </c>
      <c r="AN357" s="4" t="str">
        <f>IFERROR(__xludf.DUMMYFUNCTION("GOOGLETRANSLATE(B357,""en"",""he"")"),"לְבַטֵל")</f>
        <v>לְבַטֵל</v>
      </c>
      <c r="AO357" s="4" t="str">
        <f>IFERROR(__xludf.DUMMYFUNCTION("GOOGLETRANSLATE(B357,""en"",""is"")"),"Hætta við")</f>
        <v>Hætta við</v>
      </c>
      <c r="AP357" s="4" t="str">
        <f>IFERROR(__xludf.DUMMYFUNCTION("GOOGLETRANSLATE(B357,""en"",""no"")"),"Kansellere")</f>
        <v>Kansellere</v>
      </c>
      <c r="AQ357" s="4" t="str">
        <f>IFERROR(__xludf.DUMMYFUNCTION("GOOGLETRANSLATE(B357,""en"",""fa"")"),"لغو کنید")</f>
        <v>لغو کنید</v>
      </c>
      <c r="AR357" s="4" t="str">
        <f>IFERROR(__xludf.DUMMYFUNCTION("GOOGLETRANSLATE(B357,""en"",""pl"")"),"Anulować")</f>
        <v>Anulować</v>
      </c>
      <c r="AS357" s="4" t="str">
        <f>IFERROR(__xludf.DUMMYFUNCTION("GOOGLETRANSLATE(B357,""en"",""sv"")"),"Avboka")</f>
        <v>Avboka</v>
      </c>
      <c r="AT357" s="4" t="str">
        <f>IFERROR(__xludf.DUMMYFUNCTION("GOOGLETRANSLATE(B357,""en"",""uk"")"),"Скасувати")</f>
        <v>Скасувати</v>
      </c>
      <c r="AU357" s="4" t="str">
        <f>IFERROR(__xludf.DUMMYFUNCTION("GOOGLETRANSLATE(B357,""en"",""zu"")"),"Khansela")</f>
        <v>Khansela</v>
      </c>
      <c r="AV357" s="4" t="str">
        <f>IFERROR(__xludf.DUMMYFUNCTION("GOOGLETRANSLATE(B357,""en"",""sr"")"),"Откажи")</f>
        <v>Откажи</v>
      </c>
    </row>
    <row r="358">
      <c r="A358" s="3" t="s">
        <v>705</v>
      </c>
      <c r="B358" s="3" t="s">
        <v>706</v>
      </c>
      <c r="C358" s="4" t="str">
        <f>IFERROR(__xludf.DUMMYFUNCTION("GOOGLETRANSLATE(B358,""en"",""ta"")"),"நீங்கள் மலையேற்றத்தை முடித்துவிட்டீர்கள்!")</f>
        <v>நீங்கள் மலையேற்றத்தை முடித்துவிட்டீர்கள்!</v>
      </c>
      <c r="D358" s="4" t="str">
        <f>IFERROR(__xludf.DUMMYFUNCTION("GOOGLETRANSLATE(B358,""en"",""hi"")"),"आपने ट्रेक पूरा कर लिया!")</f>
        <v>आपने ट्रेक पूरा कर लिया!</v>
      </c>
      <c r="E358" s="4" t="str">
        <f>IFERROR(__xludf.DUMMYFUNCTION("GOOGLETRANSLATE(B358,""en"",""id"")"),"Anda Telah Menyelesaikan Trek!")</f>
        <v>Anda Telah Menyelesaikan Trek!</v>
      </c>
      <c r="F358" s="4" t="str">
        <f>IFERROR(__xludf.DUMMYFUNCTION("GOOGLETRANSLATE(B358,""en"",""ms"")"),"Anda Selesai Trek!")</f>
        <v>Anda Selesai Trek!</v>
      </c>
      <c r="G358" s="4" t="str">
        <f>IFERROR(__xludf.DUMMYFUNCTION("GOOGLETRANSLATE(B358,""en"",""de"")"),"Du hast Trek abgeschlossen!")</f>
        <v>Du hast Trek abgeschlossen!</v>
      </c>
      <c r="H358" s="4" t="str">
        <f>IFERROR(__xludf.DUMMYFUNCTION("GOOGLETRANSLATE(B358,""en"",""es"")"),"¡Has completado el Trek!")</f>
        <v>¡Has completado el Trek!</v>
      </c>
      <c r="I358" s="4" t="str">
        <f>IFERROR(__xludf.DUMMYFUNCTION("GOOGLETRANSLATE(B358,""en"",""fr"")"),"Vous avez terminé Trek !")</f>
        <v>Vous avez terminé Trek !</v>
      </c>
      <c r="J358" s="4" t="str">
        <f>IFERROR(__xludf.DUMMYFUNCTION("GOOGLETRANSLATE(B358,""en"",""it"")"),"Hai completato Trek!")</f>
        <v>Hai completato Trek!</v>
      </c>
      <c r="K358" s="4" t="str">
        <f>IFERROR(__xludf.DUMMYFUNCTION("GOOGLETRANSLATE(B358,""en"",""pt"")"),"Você completou a jornada!")</f>
        <v>Você completou a jornada!</v>
      </c>
      <c r="L358" s="4" t="str">
        <f>IFERROR(__xludf.DUMMYFUNCTION("GOOGLETRANSLATE(B358,""en"",""ro"")"),"Ai terminat Trek!")</f>
        <v>Ai terminat Trek!</v>
      </c>
      <c r="M358" s="4" t="str">
        <f>IFERROR(__xludf.DUMMYFUNCTION("GOOGLETRANSLATE(B358,""en"",""vi"")"),"Bạn đã hoàn thành Trek!")</f>
        <v>Bạn đã hoàn thành Trek!</v>
      </c>
      <c r="N358" s="4" t="str">
        <f>IFERROR(__xludf.DUMMYFUNCTION("GOOGLETRANSLATE(B358,""en"",""ru"")"),"Вы завершили поход!")</f>
        <v>Вы завершили поход!</v>
      </c>
      <c r="O358" s="4" t="str">
        <f>IFERROR(__xludf.DUMMYFUNCTION("GOOGLETRANSLATE(B358,""en"",""tr"")"),"Trek'i Tamamladınız!")</f>
        <v>Trek'i Tamamladınız!</v>
      </c>
      <c r="P358" s="4" t="str">
        <f>IFERROR(__xludf.DUMMYFUNCTION("GOOGLETRANSLATE(B358,""en"",""ar"")"),"لقد أكملت الرحلة!")</f>
        <v>لقد أكملت الرحلة!</v>
      </c>
      <c r="Q358" s="4" t="str">
        <f>IFERROR(__xludf.DUMMYFUNCTION("GOOGLETRANSLATE(B358,""en"",""mr"")"),"तुम्ही ट्रेक पूर्ण केला!")</f>
        <v>तुम्ही ट्रेक पूर्ण केला!</v>
      </c>
      <c r="R358" s="4" t="str">
        <f>IFERROR(__xludf.DUMMYFUNCTION("GOOGLETRANSLATE(B358,""en"",""gu"")"),"તમે ટ્રેક પૂર્ણ કર્યો!")</f>
        <v>તમે ટ્રેક પૂર્ણ કર્યો!</v>
      </c>
      <c r="S358" s="4" t="str">
        <f>IFERROR(__xludf.DUMMYFUNCTION("GOOGLETRANSLATE(B358,""en"",""bn"")"),"আপনি ট্রেক সম্পন্ন!")</f>
        <v>আপনি ট্রেক সম্পন্ন!</v>
      </c>
      <c r="T358" s="4" t="str">
        <f>IFERROR(__xludf.DUMMYFUNCTION("GOOGLETRANSLATE(B358,""en"",""pa"")"),"ਤੁਸੀਂ ਟ੍ਰੈਕ ਪੂਰਾ ਕੀਤਾ!")</f>
        <v>ਤੁਸੀਂ ਟ੍ਰੈਕ ਪੂਰਾ ਕੀਤਾ!</v>
      </c>
      <c r="U358" s="4" t="str">
        <f>IFERROR(__xludf.DUMMYFUNCTION("GOOGLETRANSLATE(B358,""en"",""te"")"),"మీరు ట్రెక్ పూర్తి చేసారు!")</f>
        <v>మీరు ట్రెక్ పూర్తి చేసారు!</v>
      </c>
      <c r="V358" s="4" t="str">
        <f>IFERROR(__xludf.DUMMYFUNCTION("GOOGLETRANSLATE(B358,""en"",""kn"")"),"ನೀವು ಟ್ರೆಕ್ ಅನ್ನು ಪೂರ್ಣಗೊಳಿಸಿದ್ದೀರಿ!")</f>
        <v>ನೀವು ಟ್ರೆಕ್ ಅನ್ನು ಪೂರ್ಣಗೊಳಿಸಿದ್ದೀರಿ!</v>
      </c>
      <c r="W358" s="4" t="str">
        <f>IFERROR(__xludf.DUMMYFUNCTION("GOOGLETRANSLATE(B358,""en"",""ml"")"),"നിങ്ങൾ ട്രെക്ക് പൂർത്തിയാക്കി!")</f>
        <v>നിങ്ങൾ ട്രെക്ക് പൂർത്തിയാക്കി!</v>
      </c>
      <c r="X358" s="4" t="str">
        <f>IFERROR(__xludf.DUMMYFUNCTION("GOOGLETRANSLATE(B358,""en"",""th"")"),"คุณเสร็จสิ้นการเดินป่าแล้ว!")</f>
        <v>คุณเสร็จสิ้นการเดินป่าแล้ว!</v>
      </c>
      <c r="Y358" s="4" t="str">
        <f>IFERROR(__xludf.DUMMYFUNCTION("GOOGLETRANSLATE(B358,""en"",""ko"")"),"트레킹을 완료했습니다!")</f>
        <v>트레킹을 완료했습니다!</v>
      </c>
      <c r="Z358" s="4" t="str">
        <f>IFERROR(__xludf.DUMMYFUNCTION("GOOGLETRANSLATE(B358,""en"",""zh"")"),"您已完成跋涉！")</f>
        <v>您已完成跋涉！</v>
      </c>
      <c r="AA358" s="4" t="str">
        <f>IFERROR(__xludf.DUMMYFUNCTION("GOOGLETRANSLATE(B358,""en"",""zh-TW"")"),"您已完成跋涉！")</f>
        <v>您已完成跋涉！</v>
      </c>
      <c r="AB358" s="4" t="str">
        <f>IFERROR(__xludf.DUMMYFUNCTION("GOOGLETRANSLATE(B358,""en"",""ja"")"),"トレックを完了しました!")</f>
        <v>トレックを完了しました!</v>
      </c>
      <c r="AC358" s="4" t="str">
        <f>IFERROR(__xludf.DUMMYFUNCTION("GOOGLETRANSLATE(B358,""en"",""bg"")"),"Завършихте Трека!")</f>
        <v>Завършихте Трека!</v>
      </c>
      <c r="AD358" s="4" t="str">
        <f>IFERROR(__xludf.DUMMYFUNCTION("GOOGLETRANSLATE(B358,""en"",""cs"")"),"Dokončili jste Trek!")</f>
        <v>Dokončili jste Trek!</v>
      </c>
      <c r="AE358" s="4" t="str">
        <f>IFERROR(__xludf.DUMMYFUNCTION("GOOGLETRANSLATE(B358,""en"",""da"")"),"Du gennemførte Trek!")</f>
        <v>Du gennemførte Trek!</v>
      </c>
      <c r="AF358" s="4" t="str">
        <f>IFERROR(__xludf.DUMMYFUNCTION("GOOGLETRANSLATE(B358,""en"",""el"")"),"Ολοκληρώσατε το Trek!")</f>
        <v>Ολοκληρώσατε το Trek!</v>
      </c>
      <c r="AG358" s="4" t="str">
        <f>IFERROR(__xludf.DUMMYFUNCTION("GOOGLETRANSLATE(B358,""en"",""et"")"),"Olete Treki lõpetanud!")</f>
        <v>Olete Treki lõpetanud!</v>
      </c>
      <c r="AH358" s="4" t="str">
        <f>IFERROR(__xludf.DUMMYFUNCTION("GOOGLETRANSLATE(B358,""en"",""fi"")"),"Olet suorittanut Trekin!")</f>
        <v>Olet suorittanut Trekin!</v>
      </c>
      <c r="AI358" s="4" t="str">
        <f>IFERROR(__xludf.DUMMYFUNCTION("GOOGLETRANSLATE(B358,""en"",""hr"")"),"Završili ste Trek!")</f>
        <v>Završili ste Trek!</v>
      </c>
      <c r="AJ358" s="4" t="str">
        <f>IFERROR(__xludf.DUMMYFUNCTION("GOOGLETRANSLATE(B358,""en"",""hu"")"),"Befejezted a Treket!")</f>
        <v>Befejezted a Treket!</v>
      </c>
      <c r="AK358" s="4" t="str">
        <f>IFERROR(__xludf.DUMMYFUNCTION("GOOGLETRANSLATE(B358,""en"",""hy"")"),"Դուք ավարտեցիք արշավը:")</f>
        <v>Դուք ավարտեցիք արշավը:</v>
      </c>
      <c r="AL358" s="4" t="str">
        <f>IFERROR(__xludf.DUMMYFUNCTION("GOOGLETRANSLATE(B358,""en"",""ca"")"),"Has completat el Trek!")</f>
        <v>Has completat el Trek!</v>
      </c>
      <c r="AM358" s="4" t="str">
        <f>IFERROR(__xludf.DUMMYFUNCTION("GOOGLETRANSLATE(B358,""en"",""nl"")"),"Je hebt de tocht voltooid!")</f>
        <v>Je hebt de tocht voltooid!</v>
      </c>
      <c r="AN358" s="4" t="str">
        <f>IFERROR(__xludf.DUMMYFUNCTION("GOOGLETRANSLATE(B358,""en"",""he"")"),"השלמת טרק!")</f>
        <v>השלמת טרק!</v>
      </c>
      <c r="AO358" s="4" t="str">
        <f>IFERROR(__xludf.DUMMYFUNCTION("GOOGLETRANSLATE(B358,""en"",""is"")"),"Þú kláraðir Trek!")</f>
        <v>Þú kláraðir Trek!</v>
      </c>
      <c r="AP358" s="4" t="str">
        <f>IFERROR(__xludf.DUMMYFUNCTION("GOOGLETRANSLATE(B358,""en"",""no"")"),"Du fullførte trek!")</f>
        <v>Du fullførte trek!</v>
      </c>
      <c r="AQ358" s="4" t="str">
        <f>IFERROR(__xludf.DUMMYFUNCTION("GOOGLETRANSLATE(B358,""en"",""fa"")"),"شما راهپیمایی را کامل کردید!")</f>
        <v>شما راهپیمایی را کامل کردید!</v>
      </c>
      <c r="AR358" s="4" t="str">
        <f>IFERROR(__xludf.DUMMYFUNCTION("GOOGLETRANSLATE(B358,""en"",""pl"")"),"Ukończyłeś Trek!")</f>
        <v>Ukończyłeś Trek!</v>
      </c>
      <c r="AS358" s="4" t="str">
        <f>IFERROR(__xludf.DUMMYFUNCTION("GOOGLETRANSLATE(B358,""en"",""sv"")"),"Du har slutfört vandring!")</f>
        <v>Du har slutfört vandring!</v>
      </c>
      <c r="AT358" s="4" t="str">
        <f>IFERROR(__xludf.DUMMYFUNCTION("GOOGLETRANSLATE(B358,""en"",""uk"")"),"Ви завершили Трек!")</f>
        <v>Ви завершили Трек!</v>
      </c>
      <c r="AU358" s="4" t="str">
        <f>IFERROR(__xludf.DUMMYFUNCTION("GOOGLETRANSLATE(B358,""en"",""zu"")"),"Uluqedile Uhambo!")</f>
        <v>Uluqedile Uhambo!</v>
      </c>
      <c r="AV358" s="4" t="str">
        <f>IFERROR(__xludf.DUMMYFUNCTION("GOOGLETRANSLATE(B358,""en"",""sr"")"),"Завршили сте Трек!")</f>
        <v>Завршили сте Трек!</v>
      </c>
    </row>
    <row r="359">
      <c r="A359" s="3" t="s">
        <v>707</v>
      </c>
      <c r="B359" s="3" t="s">
        <v>708</v>
      </c>
      <c r="C359" s="4" t="str">
        <f>IFERROR(__xludf.DUMMYFUNCTION("GOOGLETRANSLATE(B359,""en"",""ta"")"),"நீங்கள் மூடிவிட்டீர்கள்")</f>
        <v>நீங்கள் மூடிவிட்டீர்கள்</v>
      </c>
      <c r="D359" s="4" t="str">
        <f>IFERROR(__xludf.DUMMYFUNCTION("GOOGLETRANSLATE(B359,""en"",""hi"")"),"आपने कवर किया है")</f>
        <v>आपने कवर किया है</v>
      </c>
      <c r="E359" s="4" t="str">
        <f>IFERROR(__xludf.DUMMYFUNCTION("GOOGLETRANSLATE(B359,""en"",""id"")"),"Anda telah meliput")</f>
        <v>Anda telah meliput</v>
      </c>
      <c r="F359" s="4" t="str">
        <f>IFERROR(__xludf.DUMMYFUNCTION("GOOGLETRANSLATE(B359,""en"",""ms"")"),"Anda telah melindungi")</f>
        <v>Anda telah melindungi</v>
      </c>
      <c r="G359" s="4" t="str">
        <f>IFERROR(__xludf.DUMMYFUNCTION("GOOGLETRANSLATE(B359,""en"",""de"")"),"Sie haben abgedeckt")</f>
        <v>Sie haben abgedeckt</v>
      </c>
      <c r="H359" s="4" t="str">
        <f>IFERROR(__xludf.DUMMYFUNCTION("GOOGLETRANSLATE(B359,""en"",""es"")"),"Ya lo tienes cubierto")</f>
        <v>Ya lo tienes cubierto</v>
      </c>
      <c r="I359" s="4" t="str">
        <f>IFERROR(__xludf.DUMMYFUNCTION("GOOGLETRANSLATE(B359,""en"",""fr"")"),"Vous avez couvert")</f>
        <v>Vous avez couvert</v>
      </c>
      <c r="J359" s="4" t="str">
        <f>IFERROR(__xludf.DUMMYFUNCTION("GOOGLETRANSLATE(B359,""en"",""it"")"),"Hai coperto")</f>
        <v>Hai coperto</v>
      </c>
      <c r="K359" s="4" t="str">
        <f>IFERROR(__xludf.DUMMYFUNCTION("GOOGLETRANSLATE(B359,""en"",""pt"")"),"Você cobriu")</f>
        <v>Você cobriu</v>
      </c>
      <c r="L359" s="4" t="str">
        <f>IFERROR(__xludf.DUMMYFUNCTION("GOOGLETRANSLATE(B359,""en"",""ro"")"),"Ai acoperit")</f>
        <v>Ai acoperit</v>
      </c>
      <c r="M359" s="4" t="str">
        <f>IFERROR(__xludf.DUMMYFUNCTION("GOOGLETRANSLATE(B359,""en"",""vi"")"),"Bạn đã che phủ")</f>
        <v>Bạn đã che phủ</v>
      </c>
      <c r="N359" s="4" t="str">
        <f>IFERROR(__xludf.DUMMYFUNCTION("GOOGLETRANSLATE(B359,""en"",""ru"")"),"Вы охватили")</f>
        <v>Вы охватили</v>
      </c>
      <c r="O359" s="4" t="str">
        <f>IFERROR(__xludf.DUMMYFUNCTION("GOOGLETRANSLATE(B359,""en"",""tr"")"),"Sen kapsadın")</f>
        <v>Sen kapsadın</v>
      </c>
      <c r="P359" s="4" t="str">
        <f>IFERROR(__xludf.DUMMYFUNCTION("GOOGLETRANSLATE(B359,""en"",""ar"")"),"لقد قمت بتغطية")</f>
        <v>لقد قمت بتغطية</v>
      </c>
      <c r="Q359" s="4" t="str">
        <f>IFERROR(__xludf.DUMMYFUNCTION("GOOGLETRANSLATE(B359,""en"",""mr"")"),"आपण कव्हर केले आहे")</f>
        <v>आपण कव्हर केले आहे</v>
      </c>
      <c r="R359" s="4" t="str">
        <f>IFERROR(__xludf.DUMMYFUNCTION("GOOGLETRANSLATE(B359,""en"",""gu"")"),"તમે આવરી લીધું છે")</f>
        <v>તમે આવરી લીધું છે</v>
      </c>
      <c r="S359" s="4" t="str">
        <f>IFERROR(__xludf.DUMMYFUNCTION("GOOGLETRANSLATE(B359,""en"",""bn"")"),"আপনি কভার করেছেন")</f>
        <v>আপনি কভার করেছেন</v>
      </c>
      <c r="T359" s="4" t="str">
        <f>IFERROR(__xludf.DUMMYFUNCTION("GOOGLETRANSLATE(B359,""en"",""pa"")"),"ਤੁਸੀਂ ਕਵਰ ਕੀਤਾ ਹੈ")</f>
        <v>ਤੁਸੀਂ ਕਵਰ ਕੀਤਾ ਹੈ</v>
      </c>
      <c r="U359" s="4" t="str">
        <f>IFERROR(__xludf.DUMMYFUNCTION("GOOGLETRANSLATE(B359,""en"",""te"")"),"మీరు కవర్ చేసారు")</f>
        <v>మీరు కవర్ చేసారు</v>
      </c>
      <c r="V359" s="4" t="str">
        <f>IFERROR(__xludf.DUMMYFUNCTION("GOOGLETRANSLATE(B359,""en"",""kn"")"),"ನೀವು ಆವರಿಸಿರುವಿರಿ")</f>
        <v>ನೀವು ಆವರಿಸಿರುವಿರಿ</v>
      </c>
      <c r="W359" s="4" t="str">
        <f>IFERROR(__xludf.DUMMYFUNCTION("GOOGLETRANSLATE(B359,""en"",""ml"")"),"നിങ്ങൾ കവർ ചെയ്തു")</f>
        <v>നിങ്ങൾ കവർ ചെയ്തു</v>
      </c>
      <c r="X359" s="4" t="str">
        <f>IFERROR(__xludf.DUMMYFUNCTION("GOOGLETRANSLATE(B359,""en"",""th"")"),"คุณได้ครอบคลุม")</f>
        <v>คุณได้ครอบคลุม</v>
      </c>
      <c r="Y359" s="4" t="str">
        <f>IFERROR(__xludf.DUMMYFUNCTION("GOOGLETRANSLATE(B359,""en"",""ko"")"),"당신은 덮여있다")</f>
        <v>당신은 덮여있다</v>
      </c>
      <c r="Z359" s="4" t="str">
        <f>IFERROR(__xludf.DUMMYFUNCTION("GOOGLETRANSLATE(B359,""en"",""zh"")"),"您已涵盖")</f>
        <v>您已涵盖</v>
      </c>
      <c r="AA359" s="4" t="str">
        <f>IFERROR(__xludf.DUMMYFUNCTION("GOOGLETRANSLATE(B359,""en"",""zh-TW"")"),"您已涵蓋")</f>
        <v>您已涵蓋</v>
      </c>
      <c r="AB359" s="4" t="str">
        <f>IFERROR(__xludf.DUMMYFUNCTION("GOOGLETRANSLATE(B359,""en"",""ja"")"),"あなたはカバーしました")</f>
        <v>あなたはカバーしました</v>
      </c>
      <c r="AC359" s="4" t="str">
        <f>IFERROR(__xludf.DUMMYFUNCTION("GOOGLETRANSLATE(B359,""en"",""bg"")"),"Вие покрихте")</f>
        <v>Вие покрихте</v>
      </c>
      <c r="AD359" s="4" t="str">
        <f>IFERROR(__xludf.DUMMYFUNCTION("GOOGLETRANSLATE(B359,""en"",""cs"")"),"Máte pokryto")</f>
        <v>Máte pokryto</v>
      </c>
      <c r="AE359" s="4" t="str">
        <f>IFERROR(__xludf.DUMMYFUNCTION("GOOGLETRANSLATE(B359,""en"",""da"")"),"Du har dækket")</f>
        <v>Du har dækket</v>
      </c>
      <c r="AF359" s="4" t="str">
        <f>IFERROR(__xludf.DUMMYFUNCTION("GOOGLETRANSLATE(B359,""en"",""el"")"),"Έχετε καλύψει")</f>
        <v>Έχετε καλύψει</v>
      </c>
      <c r="AG359" s="4" t="str">
        <f>IFERROR(__xludf.DUMMYFUNCTION("GOOGLETRANSLATE(B359,""en"",""et"")"),"Olete kaetud")</f>
        <v>Olete kaetud</v>
      </c>
      <c r="AH359" s="4" t="str">
        <f>IFERROR(__xludf.DUMMYFUNCTION("GOOGLETRANSLATE(B359,""en"",""fi"")"),"Olet kattanut")</f>
        <v>Olet kattanut</v>
      </c>
      <c r="AI359" s="4" t="str">
        <f>IFERROR(__xludf.DUMMYFUNCTION("GOOGLETRANSLATE(B359,""en"",""hr"")"),"Pokrili ste")</f>
        <v>Pokrili ste</v>
      </c>
      <c r="AJ359" s="4" t="str">
        <f>IFERROR(__xludf.DUMMYFUNCTION("GOOGLETRANSLATE(B359,""en"",""hu"")"),"Ön fedezte")</f>
        <v>Ön fedezte</v>
      </c>
      <c r="AK359" s="4" t="str">
        <f>IFERROR(__xludf.DUMMYFUNCTION("GOOGLETRANSLATE(B359,""en"",""hy"")"),"Դուք ծածկել եք")</f>
        <v>Դուք ծածկել եք</v>
      </c>
      <c r="AL359" s="4" t="str">
        <f>IFERROR(__xludf.DUMMYFUNCTION("GOOGLETRANSLATE(B359,""en"",""ca"")"),"Has cobert")</f>
        <v>Has cobert</v>
      </c>
      <c r="AM359" s="4" t="str">
        <f>IFERROR(__xludf.DUMMYFUNCTION("GOOGLETRANSLATE(B359,""en"",""nl"")"),"Je hebt gedekt")</f>
        <v>Je hebt gedekt</v>
      </c>
      <c r="AN359" s="4" t="str">
        <f>IFERROR(__xludf.DUMMYFUNCTION("GOOGLETRANSLATE(B359,""en"",""he"")"),"כיסתת")</f>
        <v>כיסתת</v>
      </c>
      <c r="AO359" s="4" t="str">
        <f>IFERROR(__xludf.DUMMYFUNCTION("GOOGLETRANSLATE(B359,""en"",""is"")"),"Þú hefur dekkað")</f>
        <v>Þú hefur dekkað</v>
      </c>
      <c r="AP359" s="4" t="str">
        <f>IFERROR(__xludf.DUMMYFUNCTION("GOOGLETRANSLATE(B359,""en"",""no"")"),"Du har dekket")</f>
        <v>Du har dekket</v>
      </c>
      <c r="AQ359" s="4" t="str">
        <f>IFERROR(__xludf.DUMMYFUNCTION("GOOGLETRANSLATE(B359,""en"",""fa"")"),"پوشش داده اید")</f>
        <v>پوشش داده اید</v>
      </c>
      <c r="AR359" s="4" t="str">
        <f>IFERROR(__xludf.DUMMYFUNCTION("GOOGLETRANSLATE(B359,""en"",""pl"")"),"Pokryłeś")</f>
        <v>Pokryłeś</v>
      </c>
      <c r="AS359" s="4" t="str">
        <f>IFERROR(__xludf.DUMMYFUNCTION("GOOGLETRANSLATE(B359,""en"",""sv"")"),"Du har täckt")</f>
        <v>Du har täckt</v>
      </c>
      <c r="AT359" s="4" t="str">
        <f>IFERROR(__xludf.DUMMYFUNCTION("GOOGLETRANSLATE(B359,""en"",""uk"")"),"Ви покрили")</f>
        <v>Ви покрили</v>
      </c>
      <c r="AU359" s="4" t="str">
        <f>IFERROR(__xludf.DUMMYFUNCTION("GOOGLETRANSLATE(B359,""en"",""zu"")"),"Ukhavelile")</f>
        <v>Ukhavelile</v>
      </c>
      <c r="AV359" s="4" t="str">
        <f>IFERROR(__xludf.DUMMYFUNCTION("GOOGLETRANSLATE(B359,""en"",""sr"")"),"Покрили сте")</f>
        <v>Покрили сте</v>
      </c>
    </row>
    <row r="360">
      <c r="A360" s="3" t="s">
        <v>709</v>
      </c>
      <c r="B360" s="3" t="s">
        <v>710</v>
      </c>
      <c r="C360" s="4" t="str">
        <f>IFERROR(__xludf.DUMMYFUNCTION("GOOGLETRANSLATE(B360,""en"",""ta"")"),"உள்ளே")</f>
        <v>உள்ளே</v>
      </c>
      <c r="D360" s="4" t="str">
        <f>IFERROR(__xludf.DUMMYFUNCTION("GOOGLETRANSLATE(B360,""en"",""hi"")"),"में")</f>
        <v>में</v>
      </c>
      <c r="E360" s="4" t="str">
        <f>IFERROR(__xludf.DUMMYFUNCTION("GOOGLETRANSLATE(B360,""en"",""id"")"),"di dalam")</f>
        <v>di dalam</v>
      </c>
      <c r="F360" s="4" t="str">
        <f>IFERROR(__xludf.DUMMYFUNCTION("GOOGLETRANSLATE(B360,""en"",""ms"")"),"dalam")</f>
        <v>dalam</v>
      </c>
      <c r="G360" s="4" t="str">
        <f>IFERROR(__xludf.DUMMYFUNCTION("GOOGLETRANSLATE(B360,""en"",""de"")"),"In")</f>
        <v>In</v>
      </c>
      <c r="H360" s="4" t="str">
        <f>IFERROR(__xludf.DUMMYFUNCTION("GOOGLETRANSLATE(B360,""en"",""es"")"),"en")</f>
        <v>en</v>
      </c>
      <c r="I360" s="4" t="str">
        <f>IFERROR(__xludf.DUMMYFUNCTION("GOOGLETRANSLATE(B360,""en"",""fr"")"),"dans")</f>
        <v>dans</v>
      </c>
      <c r="J360" s="4" t="str">
        <f>IFERROR(__xludf.DUMMYFUNCTION("GOOGLETRANSLATE(B360,""en"",""it"")"),"In")</f>
        <v>In</v>
      </c>
      <c r="K360" s="4" t="str">
        <f>IFERROR(__xludf.DUMMYFUNCTION("GOOGLETRANSLATE(B360,""en"",""pt"")"),"em")</f>
        <v>em</v>
      </c>
      <c r="L360" s="4" t="str">
        <f>IFERROR(__xludf.DUMMYFUNCTION("GOOGLETRANSLATE(B360,""en"",""ro"")"),"în")</f>
        <v>în</v>
      </c>
      <c r="M360" s="4" t="str">
        <f>IFERROR(__xludf.DUMMYFUNCTION("GOOGLETRANSLATE(B360,""en"",""vi"")"),"TRONG")</f>
        <v>TRONG</v>
      </c>
      <c r="N360" s="4" t="str">
        <f>IFERROR(__xludf.DUMMYFUNCTION("GOOGLETRANSLATE(B360,""en"",""ru"")"),"в")</f>
        <v>в</v>
      </c>
      <c r="O360" s="4" t="str">
        <f>IFERROR(__xludf.DUMMYFUNCTION("GOOGLETRANSLATE(B360,""en"",""tr"")"),"içinde")</f>
        <v>içinde</v>
      </c>
      <c r="P360" s="4" t="str">
        <f>IFERROR(__xludf.DUMMYFUNCTION("GOOGLETRANSLATE(B360,""en"",""ar"")"),"في")</f>
        <v>في</v>
      </c>
      <c r="Q360" s="4" t="str">
        <f>IFERROR(__xludf.DUMMYFUNCTION("GOOGLETRANSLATE(B360,""en"",""mr"")"),"मध्ये")</f>
        <v>मध्ये</v>
      </c>
      <c r="R360" s="4" t="str">
        <f>IFERROR(__xludf.DUMMYFUNCTION("GOOGLETRANSLATE(B360,""en"",""gu"")"),"માં")</f>
        <v>માં</v>
      </c>
      <c r="S360" s="4" t="str">
        <f>IFERROR(__xludf.DUMMYFUNCTION("GOOGLETRANSLATE(B360,""en"",""bn"")"),"মধ্যে")</f>
        <v>মধ্যে</v>
      </c>
      <c r="T360" s="4" t="str">
        <f>IFERROR(__xludf.DUMMYFUNCTION("GOOGLETRANSLATE(B360,""en"",""pa"")"),"ਵਿੱਚ")</f>
        <v>ਵਿੱਚ</v>
      </c>
      <c r="U360" s="4" t="str">
        <f>IFERROR(__xludf.DUMMYFUNCTION("GOOGLETRANSLATE(B360,""en"",""te"")"),"లో")</f>
        <v>లో</v>
      </c>
      <c r="V360" s="4" t="str">
        <f>IFERROR(__xludf.DUMMYFUNCTION("GOOGLETRANSLATE(B360,""en"",""kn"")"),"ಒಳಗೆ")</f>
        <v>ಒಳಗೆ</v>
      </c>
      <c r="W360" s="4" t="str">
        <f>IFERROR(__xludf.DUMMYFUNCTION("GOOGLETRANSLATE(B360,""en"",""ml"")"),"ഇൻ")</f>
        <v>ഇൻ</v>
      </c>
      <c r="X360" s="4" t="str">
        <f>IFERROR(__xludf.DUMMYFUNCTION("GOOGLETRANSLATE(B360,""en"",""th"")"),"ใน")</f>
        <v>ใน</v>
      </c>
      <c r="Y360" s="4" t="str">
        <f>IFERROR(__xludf.DUMMYFUNCTION("GOOGLETRANSLATE(B360,""en"",""ko"")"),"~에")</f>
        <v>~에</v>
      </c>
      <c r="Z360" s="4" t="str">
        <f>IFERROR(__xludf.DUMMYFUNCTION("GOOGLETRANSLATE(B360,""en"",""zh"")"),"在")</f>
        <v>在</v>
      </c>
      <c r="AA360" s="4" t="str">
        <f>IFERROR(__xludf.DUMMYFUNCTION("GOOGLETRANSLATE(B360,""en"",""zh-TW"")"),"在")</f>
        <v>在</v>
      </c>
      <c r="AB360" s="4" t="str">
        <f>IFERROR(__xludf.DUMMYFUNCTION("GOOGLETRANSLATE(B360,""en"",""ja"")"),"で")</f>
        <v>で</v>
      </c>
      <c r="AC360" s="4" t="str">
        <f>IFERROR(__xludf.DUMMYFUNCTION("GOOGLETRANSLATE(B360,""en"",""bg"")"),"в")</f>
        <v>в</v>
      </c>
      <c r="AD360" s="4" t="str">
        <f>IFERROR(__xludf.DUMMYFUNCTION("GOOGLETRANSLATE(B360,""en"",""cs"")"),"v")</f>
        <v>v</v>
      </c>
      <c r="AE360" s="4" t="str">
        <f>IFERROR(__xludf.DUMMYFUNCTION("GOOGLETRANSLATE(B360,""en"",""da"")"),"i")</f>
        <v>i</v>
      </c>
      <c r="AF360" s="4" t="str">
        <f>IFERROR(__xludf.DUMMYFUNCTION("GOOGLETRANSLATE(B360,""en"",""el"")"),"σε")</f>
        <v>σε</v>
      </c>
      <c r="AG360" s="4" t="str">
        <f>IFERROR(__xludf.DUMMYFUNCTION("GOOGLETRANSLATE(B360,""en"",""et"")"),"sisse")</f>
        <v>sisse</v>
      </c>
      <c r="AH360" s="4" t="str">
        <f>IFERROR(__xludf.DUMMYFUNCTION("GOOGLETRANSLATE(B360,""en"",""fi"")"),"sisään")</f>
        <v>sisään</v>
      </c>
      <c r="AI360" s="4" t="str">
        <f>IFERROR(__xludf.DUMMYFUNCTION("GOOGLETRANSLATE(B360,""en"",""hr"")"),"u")</f>
        <v>u</v>
      </c>
      <c r="AJ360" s="4" t="str">
        <f>IFERROR(__xludf.DUMMYFUNCTION("GOOGLETRANSLATE(B360,""en"",""hu"")"),"be")</f>
        <v>be</v>
      </c>
      <c r="AK360" s="4" t="str">
        <f>IFERROR(__xludf.DUMMYFUNCTION("GOOGLETRANSLATE(B360,""en"",""hy"")"),"մեջ")</f>
        <v>մեջ</v>
      </c>
      <c r="AL360" s="4" t="str">
        <f>IFERROR(__xludf.DUMMYFUNCTION("GOOGLETRANSLATE(B360,""en"",""ca"")"),"en")</f>
        <v>en</v>
      </c>
      <c r="AM360" s="4" t="str">
        <f>IFERROR(__xludf.DUMMYFUNCTION("GOOGLETRANSLATE(B360,""en"",""nl"")"),"in")</f>
        <v>in</v>
      </c>
      <c r="AN360" s="4" t="str">
        <f>IFERROR(__xludf.DUMMYFUNCTION("GOOGLETRANSLATE(B360,""en"",""he"")"),"ב")</f>
        <v>ב</v>
      </c>
      <c r="AO360" s="4" t="str">
        <f>IFERROR(__xludf.DUMMYFUNCTION("GOOGLETRANSLATE(B360,""en"",""is"")"),"inn")</f>
        <v>inn</v>
      </c>
      <c r="AP360" s="4" t="str">
        <f>IFERROR(__xludf.DUMMYFUNCTION("GOOGLETRANSLATE(B360,""en"",""no"")"),"i")</f>
        <v>i</v>
      </c>
      <c r="AQ360" s="4" t="str">
        <f>IFERROR(__xludf.DUMMYFUNCTION("GOOGLETRANSLATE(B360,""en"",""fa"")"),"در")</f>
        <v>در</v>
      </c>
      <c r="AR360" s="4" t="str">
        <f>IFERROR(__xludf.DUMMYFUNCTION("GOOGLETRANSLATE(B360,""en"",""pl"")"),"W")</f>
        <v>W</v>
      </c>
      <c r="AS360" s="4" t="str">
        <f>IFERROR(__xludf.DUMMYFUNCTION("GOOGLETRANSLATE(B360,""en"",""sv"")"),"i")</f>
        <v>i</v>
      </c>
      <c r="AT360" s="4" t="str">
        <f>IFERROR(__xludf.DUMMYFUNCTION("GOOGLETRANSLATE(B360,""en"",""uk"")"),"в")</f>
        <v>в</v>
      </c>
      <c r="AU360" s="4" t="str">
        <f>IFERROR(__xludf.DUMMYFUNCTION("GOOGLETRANSLATE(B360,""en"",""zu"")"),"phakathi")</f>
        <v>phakathi</v>
      </c>
      <c r="AV360" s="4" t="str">
        <f>IFERROR(__xludf.DUMMYFUNCTION("GOOGLETRANSLATE(B360,""en"",""sr"")"),"ин")</f>
        <v>ин</v>
      </c>
    </row>
    <row r="361">
      <c r="A361" s="3" t="s">
        <v>711</v>
      </c>
      <c r="B361" s="3" t="s">
        <v>712</v>
      </c>
      <c r="C361" s="4" t="str">
        <f>IFERROR(__xludf.DUMMYFUNCTION("GOOGLETRANSLATE(B361,""en"",""ta"")"),"விரிவான மலையேற்றப் புள்ளிவிவரங்களைக் காண்க")</f>
        <v>விரிவான மலையேற்றப் புள்ளிவிவரங்களைக் காண்க</v>
      </c>
      <c r="D361" s="4" t="str">
        <f>IFERROR(__xludf.DUMMYFUNCTION("GOOGLETRANSLATE(B361,""en"",""hi"")"),"विस्तृत ट्रेक आँकड़े देखें")</f>
        <v>विस्तृत ट्रेक आँकड़े देखें</v>
      </c>
      <c r="E361" s="4" t="str">
        <f>IFERROR(__xludf.DUMMYFUNCTION("GOOGLETRANSLATE(B361,""en"",""id"")"),"Lihat statistik perjalanan terperinci")</f>
        <v>Lihat statistik perjalanan terperinci</v>
      </c>
      <c r="F361" s="4" t="str">
        <f>IFERROR(__xludf.DUMMYFUNCTION("GOOGLETRANSLATE(B361,""en"",""ms"")"),"Lihat statistik perjalanan terperinci")</f>
        <v>Lihat statistik perjalanan terperinci</v>
      </c>
      <c r="G361" s="4" t="str">
        <f>IFERROR(__xludf.DUMMYFUNCTION("GOOGLETRANSLATE(B361,""en"",""de"")"),"Detaillierte Trekkingstatistiken anzeigen")</f>
        <v>Detaillierte Trekkingstatistiken anzeigen</v>
      </c>
      <c r="H361" s="4" t="str">
        <f>IFERROR(__xludf.DUMMYFUNCTION("GOOGLETRANSLATE(B361,""en"",""es"")"),"Ver estadísticas detalladas de la caminata")</f>
        <v>Ver estadísticas detalladas de la caminata</v>
      </c>
      <c r="I361" s="4" t="str">
        <f>IFERROR(__xludf.DUMMYFUNCTION("GOOGLETRANSLATE(B361,""en"",""fr"")"),"Voir les statistiques détaillées du trek")</f>
        <v>Voir les statistiques détaillées du trek</v>
      </c>
      <c r="J361" s="4" t="str">
        <f>IFERROR(__xludf.DUMMYFUNCTION("GOOGLETRANSLATE(B361,""en"",""it"")"),"Visualizza le statistiche dettagliate del trekking")</f>
        <v>Visualizza le statistiche dettagliate del trekking</v>
      </c>
      <c r="K361" s="4" t="str">
        <f>IFERROR(__xludf.DUMMYFUNCTION("GOOGLETRANSLATE(B361,""en"",""pt"")"),"Veja estatísticas detalhadas da caminhada")</f>
        <v>Veja estatísticas detalhadas da caminhada</v>
      </c>
      <c r="L361" s="4" t="str">
        <f>IFERROR(__xludf.DUMMYFUNCTION("GOOGLETRANSLATE(B361,""en"",""ro"")"),"Vedeți statistici detaliate de călătorie")</f>
        <v>Vedeți statistici detaliate de călătorie</v>
      </c>
      <c r="M361" s="4" t="str">
        <f>IFERROR(__xludf.DUMMYFUNCTION("GOOGLETRANSLATE(B361,""en"",""vi"")"),"Xem số liệu thống kê chi tiết về chuyến đi")</f>
        <v>Xem số liệu thống kê chi tiết về chuyến đi</v>
      </c>
      <c r="N361" s="4" t="str">
        <f>IFERROR(__xludf.DUMMYFUNCTION("GOOGLETRANSLATE(B361,""en"",""ru"")"),"Посмотреть подробную статистику похода")</f>
        <v>Посмотреть подробную статистику похода</v>
      </c>
      <c r="O361" s="4" t="str">
        <f>IFERROR(__xludf.DUMMYFUNCTION("GOOGLETRANSLATE(B361,""en"",""tr"")"),"Ayrıntılı yürüyüş istatistiklerini görüntüle")</f>
        <v>Ayrıntılı yürüyüş istatistiklerini görüntüle</v>
      </c>
      <c r="P361" s="4" t="str">
        <f>IFERROR(__xludf.DUMMYFUNCTION("GOOGLETRANSLATE(B361,""en"",""ar"")"),"عرض إحصائيات الرحلة التفصيلية")</f>
        <v>عرض إحصائيات الرحلة التفصيلية</v>
      </c>
      <c r="Q361" s="4" t="str">
        <f>IFERROR(__xludf.DUMMYFUNCTION("GOOGLETRANSLATE(B361,""en"",""mr"")"),"ट्रेकची तपशीलवार आकडेवारी पहा")</f>
        <v>ट्रेकची तपशीलवार आकडेवारी पहा</v>
      </c>
      <c r="R361" s="4" t="str">
        <f>IFERROR(__xludf.DUMMYFUNCTION("GOOGLETRANSLATE(B361,""en"",""gu"")"),"ટ્રેકના વિગતવાર આંકડા જુઓ")</f>
        <v>ટ્રેકના વિગતવાર આંકડા જુઓ</v>
      </c>
      <c r="S361" s="4" t="str">
        <f>IFERROR(__xludf.DUMMYFUNCTION("GOOGLETRANSLATE(B361,""en"",""bn"")"),"বিস্তারিত ট্রেক পরিসংখ্যান দেখুন")</f>
        <v>বিস্তারিত ট্রেক পরিসংখ্যান দেখুন</v>
      </c>
      <c r="T361" s="4" t="str">
        <f>IFERROR(__xludf.DUMMYFUNCTION("GOOGLETRANSLATE(B361,""en"",""pa"")"),"ਟ੍ਰੈਕ ਦੇ ਵਿਸਤ੍ਰਿਤ ਅੰਕੜੇ ਵੇਖੋ")</f>
        <v>ਟ੍ਰੈਕ ਦੇ ਵਿਸਤ੍ਰਿਤ ਅੰਕੜੇ ਵੇਖੋ</v>
      </c>
      <c r="U361" s="4" t="str">
        <f>IFERROR(__xludf.DUMMYFUNCTION("GOOGLETRANSLATE(B361,""en"",""te"")"),"వివరణాత్మక ట్రెక్ గణాంకాలను వీక్షించండి")</f>
        <v>వివరణాత్మక ట్రెక్ గణాంకాలను వీక్షించండి</v>
      </c>
      <c r="V361" s="4" t="str">
        <f>IFERROR(__xludf.DUMMYFUNCTION("GOOGLETRANSLATE(B361,""en"",""kn"")"),"ವಿವರವಾದ ಚಾರಣ ಅಂಕಿಅಂಶಗಳನ್ನು ವೀಕ್ಷಿಸಿ")</f>
        <v>ವಿವರವಾದ ಚಾರಣ ಅಂಕಿಅಂಶಗಳನ್ನು ವೀಕ್ಷಿಸಿ</v>
      </c>
      <c r="W361" s="4" t="str">
        <f>IFERROR(__xludf.DUMMYFUNCTION("GOOGLETRANSLATE(B361,""en"",""ml"")"),"വിശദമായ ട്രെക്ക് സ്ഥിതിവിവരക്കണക്കുകൾ കാണുക")</f>
        <v>വിശദമായ ട്രെക്ക് സ്ഥിതിവിവരക്കണക്കുകൾ കാണുക</v>
      </c>
      <c r="X361" s="4" t="str">
        <f>IFERROR(__xludf.DUMMYFUNCTION("GOOGLETRANSLATE(B361,""en"",""th"")"),"ดูสถิติการเดินป่าแบบละเอียด")</f>
        <v>ดูสถิติการเดินป่าแบบละเอียด</v>
      </c>
      <c r="Y361" s="4" t="str">
        <f>IFERROR(__xludf.DUMMYFUNCTION("GOOGLETRANSLATE(B361,""en"",""ko"")"),"자세한 트레킹 통계 보기")</f>
        <v>자세한 트레킹 통계 보기</v>
      </c>
      <c r="Z361" s="4" t="str">
        <f>IFERROR(__xludf.DUMMYFUNCTION("GOOGLETRANSLATE(B361,""en"",""zh"")"),"查看详细的徒步统计数据")</f>
        <v>查看详细的徒步统计数据</v>
      </c>
      <c r="AA361" s="4" t="str">
        <f>IFERROR(__xludf.DUMMYFUNCTION("GOOGLETRANSLATE(B361,""en"",""zh-TW"")"),"查看詳細的徒步統計數據")</f>
        <v>查看詳細的徒步統計數據</v>
      </c>
      <c r="AB361" s="4" t="str">
        <f>IFERROR(__xludf.DUMMYFUNCTION("GOOGLETRANSLATE(B361,""en"",""ja"")"),"詳細なトレッキング統計を表示")</f>
        <v>詳細なトレッキング統計を表示</v>
      </c>
      <c r="AC361" s="4" t="str">
        <f>IFERROR(__xludf.DUMMYFUNCTION("GOOGLETRANSLATE(B361,""en"",""bg"")"),"Вижте подробна статистика за прехода")</f>
        <v>Вижте подробна статистика за прехода</v>
      </c>
      <c r="AD361" s="4" t="str">
        <f>IFERROR(__xludf.DUMMYFUNCTION("GOOGLETRANSLATE(B361,""en"",""cs"")"),"Zobrazit podrobné statistiky treků")</f>
        <v>Zobrazit podrobné statistiky treků</v>
      </c>
      <c r="AE361" s="4" t="str">
        <f>IFERROR(__xludf.DUMMYFUNCTION("GOOGLETRANSLATE(B361,""en"",""da"")"),"Se detaljerede trekstatistikker")</f>
        <v>Se detaljerede trekstatistikker</v>
      </c>
      <c r="AF361" s="4" t="str">
        <f>IFERROR(__xludf.DUMMYFUNCTION("GOOGLETRANSLATE(B361,""en"",""el"")"),"Δείτε αναλυτικά στατιστικά του οδοιπορικού")</f>
        <v>Δείτε αναλυτικά στατιστικά του οδοιπορικού</v>
      </c>
      <c r="AG361" s="4" t="str">
        <f>IFERROR(__xludf.DUMMYFUNCTION("GOOGLETRANSLATE(B361,""en"",""et"")"),"Vaadake üksikasjalikku matkastatistikat")</f>
        <v>Vaadake üksikasjalikku matkastatistikat</v>
      </c>
      <c r="AH361" s="4" t="str">
        <f>IFERROR(__xludf.DUMMYFUNCTION("GOOGLETRANSLATE(B361,""en"",""fi"")"),"Katso yksityiskohtaiset vaellustilastot")</f>
        <v>Katso yksityiskohtaiset vaellustilastot</v>
      </c>
      <c r="AI361" s="4" t="str">
        <f>IFERROR(__xludf.DUMMYFUNCTION("GOOGLETRANSLATE(B361,""en"",""hr"")"),"Pogledajte detaljnu statistiku putovanja")</f>
        <v>Pogledajte detaljnu statistiku putovanja</v>
      </c>
      <c r="AJ361" s="4" t="str">
        <f>IFERROR(__xludf.DUMMYFUNCTION("GOOGLETRANSLATE(B361,""en"",""hu"")"),"Tekintse meg a részletes trek statisztikákat")</f>
        <v>Tekintse meg a részletes trek statisztikákat</v>
      </c>
      <c r="AK361" s="4" t="str">
        <f>IFERROR(__xludf.DUMMYFUNCTION("GOOGLETRANSLATE(B361,""en"",""hy"")"),"Դիտեք մանրամասն արշավի վիճակագրությունը")</f>
        <v>Դիտեք մանրամասն արշավի վիճակագրությունը</v>
      </c>
      <c r="AL361" s="4" t="str">
        <f>IFERROR(__xludf.DUMMYFUNCTION("GOOGLETRANSLATE(B361,""en"",""ca"")"),"Consulteu les estadístiques detallades del recorregut")</f>
        <v>Consulteu les estadístiques detallades del recorregut</v>
      </c>
      <c r="AM361" s="4" t="str">
        <f>IFERROR(__xludf.DUMMYFUNCTION("GOOGLETRANSLATE(B361,""en"",""nl"")"),"Bekijk gedetailleerde trekstatistieken")</f>
        <v>Bekijk gedetailleerde trekstatistieken</v>
      </c>
      <c r="AN361" s="4" t="str">
        <f>IFERROR(__xludf.DUMMYFUNCTION("GOOGLETRANSLATE(B361,""en"",""he"")"),"צפה בסטטיסטיקה מפורטת של טרק")</f>
        <v>צפה בסטטיסטיקה מפורטת של טרק</v>
      </c>
      <c r="AO361" s="4" t="str">
        <f>IFERROR(__xludf.DUMMYFUNCTION("GOOGLETRANSLATE(B361,""en"",""is"")"),"Skoðaðu nákvæma tölfræði um ferðalög")</f>
        <v>Skoðaðu nákvæma tölfræði um ferðalög</v>
      </c>
      <c r="AP361" s="4" t="str">
        <f>IFERROR(__xludf.DUMMYFUNCTION("GOOGLETRANSLATE(B361,""en"",""no"")"),"Se detaljert turstatistikk")</f>
        <v>Se detaljert turstatistikk</v>
      </c>
      <c r="AQ361" s="4" t="str">
        <f>IFERROR(__xludf.DUMMYFUNCTION("GOOGLETRANSLATE(B361,""en"",""fa"")"),"مشاهده آمار دقیق سفر")</f>
        <v>مشاهده آمار دقیق سفر</v>
      </c>
      <c r="AR361" s="4" t="str">
        <f>IFERROR(__xludf.DUMMYFUNCTION("GOOGLETRANSLATE(B361,""en"",""pl"")"),"Zobacz szczegółowe statystyki wędrówki")</f>
        <v>Zobacz szczegółowe statystyki wędrówki</v>
      </c>
      <c r="AS361" s="4" t="str">
        <f>IFERROR(__xludf.DUMMYFUNCTION("GOOGLETRANSLATE(B361,""en"",""sv"")"),"Se detaljerad vandringsstatistik")</f>
        <v>Se detaljerad vandringsstatistik</v>
      </c>
      <c r="AT361" s="4" t="str">
        <f>IFERROR(__xludf.DUMMYFUNCTION("GOOGLETRANSLATE(B361,""en"",""uk"")"),"Перегляньте детальну статистику походу")</f>
        <v>Перегляньте детальну статистику походу</v>
      </c>
      <c r="AU361" s="4" t="str">
        <f>IFERROR(__xludf.DUMMYFUNCTION("GOOGLETRANSLATE(B361,""en"",""zu"")"),"Buka izibalo zohambo ezinemininingwane")</f>
        <v>Buka izibalo zohambo ezinemininingwane</v>
      </c>
      <c r="AV361" s="4" t="str">
        <f>IFERROR(__xludf.DUMMYFUNCTION("GOOGLETRANSLATE(B361,""en"",""sr"")"),"Погледајте детаљну статистику путовања")</f>
        <v>Погледајте детаљну статистику путовања</v>
      </c>
    </row>
    <row r="362">
      <c r="A362" s="3" t="s">
        <v>713</v>
      </c>
      <c r="B362" s="3" t="s">
        <v>714</v>
      </c>
      <c r="C362" s="4" t="str">
        <f>IFERROR(__xludf.DUMMYFUNCTION("GOOGLETRANSLATE(B362,""en"",""ta"")"),"எதிர்கால குறிப்புக்காக உங்கள் மலையேற்றத்தை சேமிக்கவும்")</f>
        <v>எதிர்கால குறிப்புக்காக உங்கள் மலையேற்றத்தை சேமிக்கவும்</v>
      </c>
      <c r="D362" s="4" t="str">
        <f>IFERROR(__xludf.DUMMYFUNCTION("GOOGLETRANSLATE(B362,""en"",""hi"")"),"भविष्य के संदर्भ के लिए अपना ट्रेक सहेजें")</f>
        <v>भविष्य के संदर्भ के लिए अपना ट्रेक सहेजें</v>
      </c>
      <c r="E362" s="4" t="str">
        <f>IFERROR(__xludf.DUMMYFUNCTION("GOOGLETRANSLATE(B362,""en"",""id"")"),"Simpan perjalanan Anda untuk referensi di masa mendatang")</f>
        <v>Simpan perjalanan Anda untuk referensi di masa mendatang</v>
      </c>
      <c r="F362" s="4" t="str">
        <f>IFERROR(__xludf.DUMMYFUNCTION("GOOGLETRANSLATE(B362,""en"",""ms"")"),"Simpan perjalanan anda untuk rujukan masa hadapan")</f>
        <v>Simpan perjalanan anda untuk rujukan masa hadapan</v>
      </c>
      <c r="G362" s="4" t="str">
        <f>IFERROR(__xludf.DUMMYFUNCTION("GOOGLETRANSLATE(B362,""en"",""de"")"),"Speichern Sie Ihre Wanderung für spätere Referenz")</f>
        <v>Speichern Sie Ihre Wanderung für spätere Referenz</v>
      </c>
      <c r="H362" s="4" t="str">
        <f>IFERROR(__xludf.DUMMYFUNCTION("GOOGLETRANSLATE(B362,""en"",""es"")"),"Guarda tu recorrido para futuras referencias")</f>
        <v>Guarda tu recorrido para futuras referencias</v>
      </c>
      <c r="I362" s="4" t="str">
        <f>IFERROR(__xludf.DUMMYFUNCTION("GOOGLETRANSLATE(B362,""en"",""fr"")"),"Enregistrez votre randonnée pour référence ultérieure")</f>
        <v>Enregistrez votre randonnée pour référence ultérieure</v>
      </c>
      <c r="J362" s="4" t="str">
        <f>IFERROR(__xludf.DUMMYFUNCTION("GOOGLETRANSLATE(B362,""en"",""it"")"),"Salva il tuo viaggio per riferimento futuro")</f>
        <v>Salva il tuo viaggio per riferimento futuro</v>
      </c>
      <c r="K362" s="4" t="str">
        <f>IFERROR(__xludf.DUMMYFUNCTION("GOOGLETRANSLATE(B362,""en"",""pt"")"),"Salve sua caminhada para referência futura")</f>
        <v>Salve sua caminhada para referência futura</v>
      </c>
      <c r="L362" s="4" t="str">
        <f>IFERROR(__xludf.DUMMYFUNCTION("GOOGLETRANSLATE(B362,""en"",""ro"")"),"Păstrați drumul pentru referințe viitoare")</f>
        <v>Păstrați drumul pentru referințe viitoare</v>
      </c>
      <c r="M362" s="4" t="str">
        <f>IFERROR(__xludf.DUMMYFUNCTION("GOOGLETRANSLATE(B362,""en"",""vi"")"),"Lưu lại chuyến đi của bạn để tham khảo trong tương lai")</f>
        <v>Lưu lại chuyến đi của bạn để tham khảo trong tương lai</v>
      </c>
      <c r="N362" s="4" t="str">
        <f>IFERROR(__xludf.DUMMYFUNCTION("GOOGLETRANSLATE(B362,""en"",""ru"")"),"Сохраните свой маршрут для дальнейшего использования.")</f>
        <v>Сохраните свой маршрут для дальнейшего использования.</v>
      </c>
      <c r="O362" s="4" t="str">
        <f>IFERROR(__xludf.DUMMYFUNCTION("GOOGLETRANSLATE(B362,""en"",""tr"")"),"Gelecekte referans olması için yürüyüşünüzü kaydedin")</f>
        <v>Gelecekte referans olması için yürüyüşünüzü kaydedin</v>
      </c>
      <c r="P362" s="4" t="str">
        <f>IFERROR(__xludf.DUMMYFUNCTION("GOOGLETRANSLATE(B362,""en"",""ar"")"),"احفظ رحلتك للرجوع إليها في المستقبل")</f>
        <v>احفظ رحلتك للرجوع إليها في المستقبل</v>
      </c>
      <c r="Q362" s="4" t="str">
        <f>IFERROR(__xludf.DUMMYFUNCTION("GOOGLETRANSLATE(B362,""en"",""mr"")"),"भविष्यातील संदर्भासाठी तुमचा ट्रेक जतन करा")</f>
        <v>भविष्यातील संदर्भासाठी तुमचा ट्रेक जतन करा</v>
      </c>
      <c r="R362" s="4" t="str">
        <f>IFERROR(__xludf.DUMMYFUNCTION("GOOGLETRANSLATE(B362,""en"",""gu"")"),"ભવિષ્યના સંદર્ભ માટે તમારા ટ્રેકને સાચવો")</f>
        <v>ભવિષ્યના સંદર્ભ માટે તમારા ટ્રેકને સાચવો</v>
      </c>
      <c r="S362" s="4" t="str">
        <f>IFERROR(__xludf.DUMMYFUNCTION("GOOGLETRANSLATE(B362,""en"",""bn"")"),"ভবিষ্যতের রেফারেন্সের জন্য আপনার ট্রেক সংরক্ষণ করুন")</f>
        <v>ভবিষ্যতের রেফারেন্সের জন্য আপনার ট্রেক সংরক্ষণ করুন</v>
      </c>
      <c r="T362" s="4" t="str">
        <f>IFERROR(__xludf.DUMMYFUNCTION("GOOGLETRANSLATE(B362,""en"",""pa"")"),"ਭਵਿੱਖ ਦੇ ਸੰਦਰਭ ਲਈ ਆਪਣੀ ਯਾਤਰਾ ਨੂੰ ਸੁਰੱਖਿਅਤ ਕਰੋ")</f>
        <v>ਭਵਿੱਖ ਦੇ ਸੰਦਰਭ ਲਈ ਆਪਣੀ ਯਾਤਰਾ ਨੂੰ ਸੁਰੱਖਿਅਤ ਕਰੋ</v>
      </c>
      <c r="U362" s="4" t="str">
        <f>IFERROR(__xludf.DUMMYFUNCTION("GOOGLETRANSLATE(B362,""en"",""te"")"),"భవిష్యత్తు సూచన కోసం మీ ట్రెక్‌ను సేవ్ చేయండి")</f>
        <v>భవిష్యత్తు సూచన కోసం మీ ట్రెక్‌ను సేవ్ చేయండి</v>
      </c>
      <c r="V362" s="4" t="str">
        <f>IFERROR(__xludf.DUMMYFUNCTION("GOOGLETRANSLATE(B362,""en"",""kn"")"),"ಭವಿಷ್ಯದ ಉಲ್ಲೇಖಕ್ಕಾಗಿ ನಿಮ್ಮ ಚಾರಣವನ್ನು ಉಳಿಸಿ")</f>
        <v>ಭವಿಷ್ಯದ ಉಲ್ಲೇಖಕ್ಕಾಗಿ ನಿಮ್ಮ ಚಾರಣವನ್ನು ಉಳಿಸಿ</v>
      </c>
      <c r="W362" s="4" t="str">
        <f>IFERROR(__xludf.DUMMYFUNCTION("GOOGLETRANSLATE(B362,""en"",""ml"")"),"ഭാവി റഫറൻസിനായി നിങ്ങളുടെ ട്രെക്ക് സംരക്ഷിക്കുക")</f>
        <v>ഭാവി റഫറൻസിനായി നിങ്ങളുടെ ട്രെക്ക് സംരക്ഷിക്കുക</v>
      </c>
      <c r="X362" s="4" t="str">
        <f>IFERROR(__xludf.DUMMYFUNCTION("GOOGLETRANSLATE(B362,""en"",""th"")"),"บันทึกการเดินทางของคุณไว้เพื่อใช้เป็นข้อมูลอ้างอิงในอนาคต")</f>
        <v>บันทึกการเดินทางของคุณไว้เพื่อใช้เป็นข้อมูลอ้างอิงในอนาคต</v>
      </c>
      <c r="Y362" s="4" t="str">
        <f>IFERROR(__xludf.DUMMYFUNCTION("GOOGLETRANSLATE(B362,""en"",""ko"")"),"나중에 참고할 수 있도록 트레킹 경로를 저장하세요")</f>
        <v>나중에 참고할 수 있도록 트레킹 경로를 저장하세요</v>
      </c>
      <c r="Z362" s="4" t="str">
        <f>IFERROR(__xludf.DUMMYFUNCTION("GOOGLETRANSLATE(B362,""en"",""zh"")"),"保存您的徒步路线以供将来参考")</f>
        <v>保存您的徒步路线以供将来参考</v>
      </c>
      <c r="AA362" s="4" t="str">
        <f>IFERROR(__xludf.DUMMYFUNCTION("GOOGLETRANSLATE(B362,""en"",""zh-TW"")"),"保存您的健行路線以供日後參考")</f>
        <v>保存您的健行路線以供日後參考</v>
      </c>
      <c r="AB362" s="4" t="str">
        <f>IFERROR(__xludf.DUMMYFUNCTION("GOOGLETRANSLATE(B362,""en"",""ja"")"),"今後の参考のためにトレッキングの記録を保存する")</f>
        <v>今後の参考のためにトレッキングの記録を保存する</v>
      </c>
      <c r="AC362" s="4" t="str">
        <f>IFERROR(__xludf.DUMMYFUNCTION("GOOGLETRANSLATE(B362,""en"",""bg"")"),"Запазете вашето пътуване за бъдещи справки")</f>
        <v>Запазете вашето пътуване за бъдещи справки</v>
      </c>
      <c r="AD362" s="4" t="str">
        <f>IFERROR(__xludf.DUMMYFUNCTION("GOOGLETRANSLATE(B362,""en"",""cs"")"),"Uložte si trek pro budoucí použití")</f>
        <v>Uložte si trek pro budoucí použití</v>
      </c>
      <c r="AE362" s="4" t="str">
        <f>IFERROR(__xludf.DUMMYFUNCTION("GOOGLETRANSLATE(B362,""en"",""da"")"),"Gem din tur til fremtidig reference")</f>
        <v>Gem din tur til fremtidig reference</v>
      </c>
      <c r="AF362" s="4" t="str">
        <f>IFERROR(__xludf.DUMMYFUNCTION("GOOGLETRANSLATE(B362,""en"",""el"")"),"Αποθηκεύστε το ταξίδι σας για μελλοντική αναφορά")</f>
        <v>Αποθηκεύστε το ταξίδι σας για μελλοντική αναφορά</v>
      </c>
      <c r="AG362" s="4" t="str">
        <f>IFERROR(__xludf.DUMMYFUNCTION("GOOGLETRANSLATE(B362,""en"",""et"")"),"Salvestage oma retk edaspidiseks kasutamiseks")</f>
        <v>Salvestage oma retk edaspidiseks kasutamiseks</v>
      </c>
      <c r="AH362" s="4" t="str">
        <f>IFERROR(__xludf.DUMMYFUNCTION("GOOGLETRANSLATE(B362,""en"",""fi"")"),"Tallenna vaellus tulevaa tarvetta varten")</f>
        <v>Tallenna vaellus tulevaa tarvetta varten</v>
      </c>
      <c r="AI362" s="4" t="str">
        <f>IFERROR(__xludf.DUMMYFUNCTION("GOOGLETRANSLATE(B362,""en"",""hr"")"),"Spremite svoje putovanje za buduću upotrebu")</f>
        <v>Spremite svoje putovanje za buduću upotrebu</v>
      </c>
      <c r="AJ362" s="4" t="str">
        <f>IFERROR(__xludf.DUMMYFUNCTION("GOOGLETRANSLATE(B362,""en"",""hu"")"),"Mentse el túráját későbbi hivatkozás céljából")</f>
        <v>Mentse el túráját későbbi hivatkozás céljából</v>
      </c>
      <c r="AK362" s="4" t="str">
        <f>IFERROR(__xludf.DUMMYFUNCTION("GOOGLETRANSLATE(B362,""en"",""hy"")"),"Պահպանեք ձեր արշավը հետագա հղումների համար")</f>
        <v>Պահպանեք ձեր արշավը հետագա հղումների համար</v>
      </c>
      <c r="AL362" s="4" t="str">
        <f>IFERROR(__xludf.DUMMYFUNCTION("GOOGLETRANSLATE(B362,""en"",""ca"")"),"Deseu la vostra caminada per a una referència futura")</f>
        <v>Deseu la vostra caminada per a una referència futura</v>
      </c>
      <c r="AM362" s="4" t="str">
        <f>IFERROR(__xludf.DUMMYFUNCTION("GOOGLETRANSLATE(B362,""en"",""nl"")"),"Bewaar uw tocht voor toekomstig gebruik")</f>
        <v>Bewaar uw tocht voor toekomstig gebruik</v>
      </c>
      <c r="AN362" s="4" t="str">
        <f>IFERROR(__xludf.DUMMYFUNCTION("GOOGLETRANSLATE(B362,""en"",""he"")"),"שמור את הטרק שלך לעיון עתידי")</f>
        <v>שמור את הטרק שלך לעיון עתידי</v>
      </c>
      <c r="AO362" s="4" t="str">
        <f>IFERROR(__xludf.DUMMYFUNCTION("GOOGLETRANSLATE(B362,""en"",""is"")"),"Vistaðu ferðina þína til framtíðarviðmiðunar")</f>
        <v>Vistaðu ferðina þína til framtíðarviðmiðunar</v>
      </c>
      <c r="AP362" s="4" t="str">
        <f>IFERROR(__xludf.DUMMYFUNCTION("GOOGLETRANSLATE(B362,""en"",""no"")"),"Lagre turen for fremtidig referanse")</f>
        <v>Lagre turen for fremtidig referanse</v>
      </c>
      <c r="AQ362" s="4" t="str">
        <f>IFERROR(__xludf.DUMMYFUNCTION("GOOGLETRANSLATE(B362,""en"",""fa"")"),"سفر خود را برای مراجعات بعدی ذخیره کنید")</f>
        <v>سفر خود را برای مراجعات بعدی ذخیره کنید</v>
      </c>
      <c r="AR362" s="4" t="str">
        <f>IFERROR(__xludf.DUMMYFUNCTION("GOOGLETRANSLATE(B362,""en"",""pl"")"),"Zapisz swoją wędrówkę, aby móc do niej wrócić w przyszłości")</f>
        <v>Zapisz swoją wędrówkę, aby móc do niej wrócić w przyszłości</v>
      </c>
      <c r="AS362" s="4" t="str">
        <f>IFERROR(__xludf.DUMMYFUNCTION("GOOGLETRANSLATE(B362,""en"",""sv"")"),"Spara din vandring för framtida referens")</f>
        <v>Spara din vandring för framtida referens</v>
      </c>
      <c r="AT362" s="4" t="str">
        <f>IFERROR(__xludf.DUMMYFUNCTION("GOOGLETRANSLATE(B362,""en"",""uk"")"),"Збережіть свій похід для використання в майбутньому")</f>
        <v>Збережіть свій похід для використання в майбутньому</v>
      </c>
      <c r="AU362" s="4" t="str">
        <f>IFERROR(__xludf.DUMMYFUNCTION("GOOGLETRANSLATE(B362,""en"",""zu"")"),"Londoloza uhambo lwakho ukuze uthole inkomba yesikhathi esizayo")</f>
        <v>Londoloza uhambo lwakho ukuze uthole inkomba yesikhathi esizayo</v>
      </c>
      <c r="AV362" s="4" t="str">
        <f>IFERROR(__xludf.DUMMYFUNCTION("GOOGLETRANSLATE(B362,""en"",""sr"")"),"Сачувајте свој пут за будућу употребу")</f>
        <v>Сачувајте свој пут за будућу употребу</v>
      </c>
    </row>
    <row r="363">
      <c r="A363" s="3" t="s">
        <v>715</v>
      </c>
      <c r="B363" s="3" t="s">
        <v>716</v>
      </c>
      <c r="C363" s="4" t="str">
        <f>IFERROR(__xludf.DUMMYFUNCTION("GOOGLETRANSLATE(B363,""en"",""ta"")"),"உங்கள் சாதனையை நண்பர்களுடன் பகிர்ந்து கொள்ளுங்கள்")</f>
        <v>உங்கள் சாதனையை நண்பர்களுடன் பகிர்ந்து கொள்ளுங்கள்</v>
      </c>
      <c r="D363" s="4" t="str">
        <f>IFERROR(__xludf.DUMMYFUNCTION("GOOGLETRANSLATE(B363,""en"",""hi"")"),"अपनी उपलब्धि दोस्तों के साथ साझा करें")</f>
        <v>अपनी उपलब्धि दोस्तों के साथ साझा करें</v>
      </c>
      <c r="E363" s="4" t="str">
        <f>IFERROR(__xludf.DUMMYFUNCTION("GOOGLETRANSLATE(B363,""en"",""id"")"),"Bagikan pencapaian Anda dengan teman-teman")</f>
        <v>Bagikan pencapaian Anda dengan teman-teman</v>
      </c>
      <c r="F363" s="4" t="str">
        <f>IFERROR(__xludf.DUMMYFUNCTION("GOOGLETRANSLATE(B363,""en"",""ms"")"),"Kongsi pencapaian anda dengan rakan-rakan")</f>
        <v>Kongsi pencapaian anda dengan rakan-rakan</v>
      </c>
      <c r="G363" s="4" t="str">
        <f>IFERROR(__xludf.DUMMYFUNCTION("GOOGLETRANSLATE(B363,""en"",""de"")"),"Teile deine Erfolge mit Freunden")</f>
        <v>Teile deine Erfolge mit Freunden</v>
      </c>
      <c r="H363" s="4" t="str">
        <f>IFERROR(__xludf.DUMMYFUNCTION("GOOGLETRANSLATE(B363,""en"",""es"")"),"Comparte tu logro con tus amigos")</f>
        <v>Comparte tu logro con tus amigos</v>
      </c>
      <c r="I363" s="4" t="str">
        <f>IFERROR(__xludf.DUMMYFUNCTION("GOOGLETRANSLATE(B363,""en"",""fr"")"),"Partagez votre réussite avec vos amis")</f>
        <v>Partagez votre réussite avec vos amis</v>
      </c>
      <c r="J363" s="4" t="str">
        <f>IFERROR(__xludf.DUMMYFUNCTION("GOOGLETRANSLATE(B363,""en"",""it"")"),"Condividi il tuo risultato con gli amici")</f>
        <v>Condividi il tuo risultato con gli amici</v>
      </c>
      <c r="K363" s="4" t="str">
        <f>IFERROR(__xludf.DUMMYFUNCTION("GOOGLETRANSLATE(B363,""en"",""pt"")"),"Compartilhe sua conquista com amigos")</f>
        <v>Compartilhe sua conquista com amigos</v>
      </c>
      <c r="L363" s="4" t="str">
        <f>IFERROR(__xludf.DUMMYFUNCTION("GOOGLETRANSLATE(B363,""en"",""ro"")"),"Împărtășește-ți realizările cu prietenii")</f>
        <v>Împărtășește-ți realizările cu prietenii</v>
      </c>
      <c r="M363" s="4" t="str">
        <f>IFERROR(__xludf.DUMMYFUNCTION("GOOGLETRANSLATE(B363,""en"",""vi"")"),"Chia sẻ thành tích của bạn với bạn bè")</f>
        <v>Chia sẻ thành tích của bạn với bạn bè</v>
      </c>
      <c r="N363" s="4" t="str">
        <f>IFERROR(__xludf.DUMMYFUNCTION("GOOGLETRANSLATE(B363,""en"",""ru"")"),"Поделитесь своим достижением с друзьями")</f>
        <v>Поделитесь своим достижением с друзьями</v>
      </c>
      <c r="O363" s="4" t="str">
        <f>IFERROR(__xludf.DUMMYFUNCTION("GOOGLETRANSLATE(B363,""en"",""tr"")"),"Başarınızı arkadaşlarınızla paylaşın")</f>
        <v>Başarınızı arkadaşlarınızla paylaşın</v>
      </c>
      <c r="P363" s="4" t="str">
        <f>IFERROR(__xludf.DUMMYFUNCTION("GOOGLETRANSLATE(B363,""en"",""ar"")"),"شارك إنجازك مع الأصدقاء")</f>
        <v>شارك إنجازك مع الأصدقاء</v>
      </c>
      <c r="Q363" s="4" t="str">
        <f>IFERROR(__xludf.DUMMYFUNCTION("GOOGLETRANSLATE(B363,""en"",""mr"")"),"आपले यश मित्रांसह सामायिक करा")</f>
        <v>आपले यश मित्रांसह सामायिक करा</v>
      </c>
      <c r="R363" s="4" t="str">
        <f>IFERROR(__xludf.DUMMYFUNCTION("GOOGLETRANSLATE(B363,""en"",""gu"")"),"તમારી સિદ્ધિ મિત્રો સાથે શેર કરો")</f>
        <v>તમારી સિદ્ધિ મિત્રો સાથે શેર કરો</v>
      </c>
      <c r="S363" s="4" t="str">
        <f>IFERROR(__xludf.DUMMYFUNCTION("GOOGLETRANSLATE(B363,""en"",""bn"")"),"বন্ধুদের সাথে আপনার অর্জন শেয়ার করুন")</f>
        <v>বন্ধুদের সাথে আপনার অর্জন শেয়ার করুন</v>
      </c>
      <c r="T363" s="4" t="str">
        <f>IFERROR(__xludf.DUMMYFUNCTION("GOOGLETRANSLATE(B363,""en"",""pa"")"),"ਆਪਣੀ ਪ੍ਰਾਪਤੀ ਨੂੰ ਦੋਸਤਾਂ ਨਾਲ ਸਾਂਝਾ ਕਰੋ")</f>
        <v>ਆਪਣੀ ਪ੍ਰਾਪਤੀ ਨੂੰ ਦੋਸਤਾਂ ਨਾਲ ਸਾਂਝਾ ਕਰੋ</v>
      </c>
      <c r="U363" s="4" t="str">
        <f>IFERROR(__xludf.DUMMYFUNCTION("GOOGLETRANSLATE(B363,""en"",""te"")"),"మీ విజయాన్ని స్నేహితులతో పంచుకోండి")</f>
        <v>మీ విజయాన్ని స్నేహితులతో పంచుకోండి</v>
      </c>
      <c r="V363" s="4" t="str">
        <f>IFERROR(__xludf.DUMMYFUNCTION("GOOGLETRANSLATE(B363,""en"",""kn"")"),"ನಿಮ್ಮ ಸಾಧನೆಯನ್ನು ಸ್ನೇಹಿತರೊಂದಿಗೆ ಹಂಚಿಕೊಳ್ಳಿ")</f>
        <v>ನಿಮ್ಮ ಸಾಧನೆಯನ್ನು ಸ್ನೇಹಿತರೊಂದಿಗೆ ಹಂಚಿಕೊಳ್ಳಿ</v>
      </c>
      <c r="W363" s="4" t="str">
        <f>IFERROR(__xludf.DUMMYFUNCTION("GOOGLETRANSLATE(B363,""en"",""ml"")"),"നിങ്ങളുടെ നേട്ടം സുഹൃത്തുക്കളുമായി പങ്കിടുക")</f>
        <v>നിങ്ങളുടെ നേട്ടം സുഹൃത്തുക്കളുമായി പങ്കിടുക</v>
      </c>
      <c r="X363" s="4" t="str">
        <f>IFERROR(__xludf.DUMMYFUNCTION("GOOGLETRANSLATE(B363,""en"",""th"")"),"แบ่งปันความสำเร็จของคุณกับเพื่อนๆ")</f>
        <v>แบ่งปันความสำเร็จของคุณกับเพื่อนๆ</v>
      </c>
      <c r="Y363" s="4" t="str">
        <f>IFERROR(__xludf.DUMMYFUNCTION("GOOGLETRANSLATE(B363,""en"",""ko"")"),"친구들과 성과를 공유하세요")</f>
        <v>친구들과 성과를 공유하세요</v>
      </c>
      <c r="Z363" s="4" t="str">
        <f>IFERROR(__xludf.DUMMYFUNCTION("GOOGLETRANSLATE(B363,""en"",""zh"")"),"与朋友分享你的成就")</f>
        <v>与朋友分享你的成就</v>
      </c>
      <c r="AA363" s="4" t="str">
        <f>IFERROR(__xludf.DUMMYFUNCTION("GOOGLETRANSLATE(B363,""en"",""zh-TW"")"),"與朋友分享你的成就")</f>
        <v>與朋友分享你的成就</v>
      </c>
      <c r="AB363" s="4" t="str">
        <f>IFERROR(__xludf.DUMMYFUNCTION("GOOGLETRANSLATE(B363,""en"",""ja"")"),"友達と成果を共有しましょう")</f>
        <v>友達と成果を共有しましょう</v>
      </c>
      <c r="AC363" s="4" t="str">
        <f>IFERROR(__xludf.DUMMYFUNCTION("GOOGLETRANSLATE(B363,""en"",""bg"")"),"Споделете постижението си с приятели")</f>
        <v>Споделете постижението си с приятели</v>
      </c>
      <c r="AD363" s="4" t="str">
        <f>IFERROR(__xludf.DUMMYFUNCTION("GOOGLETRANSLATE(B363,""en"",""cs"")"),"Podělte se o svůj úspěch s přáteli")</f>
        <v>Podělte se o svůj úspěch s přáteli</v>
      </c>
      <c r="AE363" s="4" t="str">
        <f>IFERROR(__xludf.DUMMYFUNCTION("GOOGLETRANSLATE(B363,""en"",""da"")"),"Del din præstation med venner")</f>
        <v>Del din præstation med venner</v>
      </c>
      <c r="AF363" s="4" t="str">
        <f>IFERROR(__xludf.DUMMYFUNCTION("GOOGLETRANSLATE(B363,""en"",""el"")"),"Μοιραστείτε το επίτευγμά σας με φίλους")</f>
        <v>Μοιραστείτε το επίτευγμά σας με φίλους</v>
      </c>
      <c r="AG363" s="4" t="str">
        <f>IFERROR(__xludf.DUMMYFUNCTION("GOOGLETRANSLATE(B363,""en"",""et"")"),"Jaga oma saavutusi sõpradega")</f>
        <v>Jaga oma saavutusi sõpradega</v>
      </c>
      <c r="AH363" s="4" t="str">
        <f>IFERROR(__xludf.DUMMYFUNCTION("GOOGLETRANSLATE(B363,""en"",""fi"")"),"Jaa saavutuksesi ystäviesi kanssa")</f>
        <v>Jaa saavutuksesi ystäviesi kanssa</v>
      </c>
      <c r="AI363" s="4" t="str">
        <f>IFERROR(__xludf.DUMMYFUNCTION("GOOGLETRANSLATE(B363,""en"",""hr"")"),"Podijelite svoje postignuće s prijateljima")</f>
        <v>Podijelite svoje postignuće s prijateljima</v>
      </c>
      <c r="AJ363" s="4" t="str">
        <f>IFERROR(__xludf.DUMMYFUNCTION("GOOGLETRANSLATE(B363,""en"",""hu"")"),"Ossza meg eredményeit barátaival")</f>
        <v>Ossza meg eredményeit barátaival</v>
      </c>
      <c r="AK363" s="4" t="str">
        <f>IFERROR(__xludf.DUMMYFUNCTION("GOOGLETRANSLATE(B363,""en"",""hy"")"),"Կիսվեք ձեր ձեռքբերումներով ընկերների հետ")</f>
        <v>Կիսվեք ձեր ձեռքբերումներով ընկերների հետ</v>
      </c>
      <c r="AL363" s="4" t="str">
        <f>IFERROR(__xludf.DUMMYFUNCTION("GOOGLETRANSLATE(B363,""en"",""ca"")"),"Comparteix el teu èxit amb els amics")</f>
        <v>Comparteix el teu èxit amb els amics</v>
      </c>
      <c r="AM363" s="4" t="str">
        <f>IFERROR(__xludf.DUMMYFUNCTION("GOOGLETRANSLATE(B363,""en"",""nl"")"),"Deel je prestatie met vrienden")</f>
        <v>Deel je prestatie met vrienden</v>
      </c>
      <c r="AN363" s="4" t="str">
        <f>IFERROR(__xludf.DUMMYFUNCTION("GOOGLETRANSLATE(B363,""en"",""he"")"),"שתף את ההישג שלך עם חברים")</f>
        <v>שתף את ההישג שלך עם חברים</v>
      </c>
      <c r="AO363" s="4" t="str">
        <f>IFERROR(__xludf.DUMMYFUNCTION("GOOGLETRANSLATE(B363,""en"",""is"")"),"Deildu afrekinu þínu með vinum")</f>
        <v>Deildu afrekinu þínu með vinum</v>
      </c>
      <c r="AP363" s="4" t="str">
        <f>IFERROR(__xludf.DUMMYFUNCTION("GOOGLETRANSLATE(B363,""en"",""no"")"),"Del prestasjonen din med venner")</f>
        <v>Del prestasjonen din med venner</v>
      </c>
      <c r="AQ363" s="4" t="str">
        <f>IFERROR(__xludf.DUMMYFUNCTION("GOOGLETRANSLATE(B363,""en"",""fa"")"),"دستاورد خود را با دوستان به اشتراک بگذارید")</f>
        <v>دستاورد خود را با دوستان به اشتراک بگذارید</v>
      </c>
      <c r="AR363" s="4" t="str">
        <f>IFERROR(__xludf.DUMMYFUNCTION("GOOGLETRANSLATE(B363,""en"",""pl"")"),"Podziel się swoim osiągnięciem ze znajomymi")</f>
        <v>Podziel się swoim osiągnięciem ze znajomymi</v>
      </c>
      <c r="AS363" s="4" t="str">
        <f>IFERROR(__xludf.DUMMYFUNCTION("GOOGLETRANSLATE(B363,""en"",""sv"")"),"Dela din prestation med vänner")</f>
        <v>Dela din prestation med vänner</v>
      </c>
      <c r="AT363" s="4" t="str">
        <f>IFERROR(__xludf.DUMMYFUNCTION("GOOGLETRANSLATE(B363,""en"",""uk"")"),"Поділіться своїми досягненнями з друзями")</f>
        <v>Поділіться своїми досягненнями з друзями</v>
      </c>
      <c r="AU363" s="4" t="str">
        <f>IFERROR(__xludf.DUMMYFUNCTION("GOOGLETRANSLATE(B363,""en"",""zu"")"),"Yaba impumelelo yakho nabangani")</f>
        <v>Yaba impumelelo yakho nabangani</v>
      </c>
      <c r="AV363" s="4" t="str">
        <f>IFERROR(__xludf.DUMMYFUNCTION("GOOGLETRANSLATE(B363,""en"",""sr"")"),"Поделите своје достигнуће са пријатељима")</f>
        <v>Поделите своје достигнуће са пријатељима</v>
      </c>
    </row>
    <row r="364">
      <c r="A364" s="3" t="s">
        <v>717</v>
      </c>
      <c r="B364" s="3" t="s">
        <v>718</v>
      </c>
      <c r="C364" s="4" t="str">
        <f>IFERROR(__xludf.DUMMYFUNCTION("GOOGLETRANSLATE(B364,""en"",""ta"")"),"வரைபடத்தில் உங்கள் மலையேற்ற வழியைக் காண்க")</f>
        <v>வரைபடத்தில் உங்கள் மலையேற்ற வழியைக் காண்க</v>
      </c>
      <c r="D364" s="4" t="str">
        <f>IFERROR(__xludf.DUMMYFUNCTION("GOOGLETRANSLATE(B364,""en"",""hi"")"),"मानचित्र पर अपना ट्रेक मार्ग देखें")</f>
        <v>मानचित्र पर अपना ट्रेक मार्ग देखें</v>
      </c>
      <c r="E364" s="4" t="str">
        <f>IFERROR(__xludf.DUMMYFUNCTION("GOOGLETRANSLATE(B364,""en"",""id"")"),"Lihat rute perjalanan Anda di peta")</f>
        <v>Lihat rute perjalanan Anda di peta</v>
      </c>
      <c r="F364" s="4" t="str">
        <f>IFERROR(__xludf.DUMMYFUNCTION("GOOGLETRANSLATE(B364,""en"",""ms"")"),"Lihat laluan pengembaraan anda pada peta")</f>
        <v>Lihat laluan pengembaraan anda pada peta</v>
      </c>
      <c r="G364" s="4" t="str">
        <f>IFERROR(__xludf.DUMMYFUNCTION("GOOGLETRANSLATE(B364,""en"",""de"")"),"Sehen Sie sich Ihre Trekkingroute auf der Karte an")</f>
        <v>Sehen Sie sich Ihre Trekkingroute auf der Karte an</v>
      </c>
      <c r="H364" s="4" t="str">
        <f>IFERROR(__xludf.DUMMYFUNCTION("GOOGLETRANSLATE(B364,""en"",""es"")"),"Ver la ruta de tu trekking en el mapa")</f>
        <v>Ver la ruta de tu trekking en el mapa</v>
      </c>
      <c r="I364" s="4" t="str">
        <f>IFERROR(__xludf.DUMMYFUNCTION("GOOGLETRANSLATE(B364,""en"",""fr"")"),"Visualisez votre itinéraire de randonnée sur la carte")</f>
        <v>Visualisez votre itinéraire de randonnée sur la carte</v>
      </c>
      <c r="J364" s="4" t="str">
        <f>IFERROR(__xludf.DUMMYFUNCTION("GOOGLETRANSLATE(B364,""en"",""it"")"),"Visualizza il percorso del tuo trekking sulla mappa")</f>
        <v>Visualizza il percorso del tuo trekking sulla mappa</v>
      </c>
      <c r="K364" s="4" t="str">
        <f>IFERROR(__xludf.DUMMYFUNCTION("GOOGLETRANSLATE(B364,""en"",""pt"")"),"Veja sua rota de caminhada no mapa")</f>
        <v>Veja sua rota de caminhada no mapa</v>
      </c>
      <c r="L364" s="4" t="str">
        <f>IFERROR(__xludf.DUMMYFUNCTION("GOOGLETRANSLATE(B364,""en"",""ro"")"),"Vizualizați traseul de călătorie pe hartă")</f>
        <v>Vizualizați traseul de călătorie pe hartă</v>
      </c>
      <c r="M364" s="4" t="str">
        <f>IFERROR(__xludf.DUMMYFUNCTION("GOOGLETRANSLATE(B364,""en"",""vi"")"),"Xem lộ trình đi bộ của bạn trên bản đồ")</f>
        <v>Xem lộ trình đi bộ của bạn trên bản đồ</v>
      </c>
      <c r="N364" s="4" t="str">
        <f>IFERROR(__xludf.DUMMYFUNCTION("GOOGLETRANSLATE(B364,""en"",""ru"")"),"Посмотрите маршрут вашего похода на карте")</f>
        <v>Посмотрите маршрут вашего похода на карте</v>
      </c>
      <c r="O364" s="4" t="str">
        <f>IFERROR(__xludf.DUMMYFUNCTION("GOOGLETRANSLATE(B364,""en"",""tr"")"),"Trek rotanızı haritada görüntüleyin")</f>
        <v>Trek rotanızı haritada görüntüleyin</v>
      </c>
      <c r="P364" s="4" t="str">
        <f>IFERROR(__xludf.DUMMYFUNCTION("GOOGLETRANSLATE(B364,""en"",""ar"")"),"عرض مسار رحلتك على الخريطة")</f>
        <v>عرض مسار رحلتك على الخريطة</v>
      </c>
      <c r="Q364" s="4" t="str">
        <f>IFERROR(__xludf.DUMMYFUNCTION("GOOGLETRANSLATE(B364,""en"",""mr"")"),"नकाशावर तुमचा ट्रेक मार्ग पहा")</f>
        <v>नकाशावर तुमचा ट्रेक मार्ग पहा</v>
      </c>
      <c r="R364" s="4" t="str">
        <f>IFERROR(__xludf.DUMMYFUNCTION("GOOGLETRANSLATE(B364,""en"",""gu"")"),"નકશા પર તમારો ટ્રેક રૂટ જુઓ")</f>
        <v>નકશા પર તમારો ટ્રેક રૂટ જુઓ</v>
      </c>
      <c r="S364" s="4" t="str">
        <f>IFERROR(__xludf.DUMMYFUNCTION("GOOGLETRANSLATE(B364,""en"",""bn"")"),"মানচিত্রে আপনার ট্র্যাক রুট দেখুন")</f>
        <v>মানচিত্রে আপনার ট্র্যাক রুট দেখুন</v>
      </c>
      <c r="T364" s="4" t="str">
        <f>IFERROR(__xludf.DUMMYFUNCTION("GOOGLETRANSLATE(B364,""en"",""pa"")"),"ਨਕਸ਼ੇ 'ਤੇ ਆਪਣਾ ਟ੍ਰੈਕ ਰੂਟ ਦੇਖੋ")</f>
        <v>ਨਕਸ਼ੇ 'ਤੇ ਆਪਣਾ ਟ੍ਰੈਕ ਰੂਟ ਦੇਖੋ</v>
      </c>
      <c r="U364" s="4" t="str">
        <f>IFERROR(__xludf.DUMMYFUNCTION("GOOGLETRANSLATE(B364,""en"",""te"")"),"మ్యాప్‌లో మీ ట్రెక్ మార్గాన్ని వీక్షించండి")</f>
        <v>మ్యాప్‌లో మీ ట్రెక్ మార్గాన్ని వీక్షించండి</v>
      </c>
      <c r="V364" s="4" t="str">
        <f>IFERROR(__xludf.DUMMYFUNCTION("GOOGLETRANSLATE(B364,""en"",""kn"")"),"ನಕ್ಷೆಯಲ್ಲಿ ನಿಮ್ಮ ಚಾರಣ ಮಾರ್ಗವನ್ನು ವೀಕ್ಷಿಸಿ")</f>
        <v>ನಕ್ಷೆಯಲ್ಲಿ ನಿಮ್ಮ ಚಾರಣ ಮಾರ್ಗವನ್ನು ವೀಕ್ಷಿಸಿ</v>
      </c>
      <c r="W364" s="4" t="str">
        <f>IFERROR(__xludf.DUMMYFUNCTION("GOOGLETRANSLATE(B364,""en"",""ml"")"),"മാപ്പിൽ നിങ്ങളുടെ ട്രെക്ക് റൂട്ട് കാണുക")</f>
        <v>മാപ്പിൽ നിങ്ങളുടെ ട്രെക്ക് റൂട്ട് കാണുക</v>
      </c>
      <c r="X364" s="4" t="str">
        <f>IFERROR(__xludf.DUMMYFUNCTION("GOOGLETRANSLATE(B364,""en"",""th"")"),"ดูเส้นทางการเดินป่าของคุณบนแผนที่")</f>
        <v>ดูเส้นทางการเดินป่าของคุณบนแผนที่</v>
      </c>
      <c r="Y364" s="4" t="str">
        <f>IFERROR(__xludf.DUMMYFUNCTION("GOOGLETRANSLATE(B364,""en"",""ko"")"),"지도에서 트레킹 경로 보기")</f>
        <v>지도에서 트레킹 경로 보기</v>
      </c>
      <c r="Z364" s="4" t="str">
        <f>IFERROR(__xludf.DUMMYFUNCTION("GOOGLETRANSLATE(B364,""en"",""zh"")"),"在地图上查看您的徒步路线")</f>
        <v>在地图上查看您的徒步路线</v>
      </c>
      <c r="AA364" s="4" t="str">
        <f>IFERROR(__xludf.DUMMYFUNCTION("GOOGLETRANSLATE(B364,""en"",""zh-TW"")"),"在地圖上查看您的健行路線")</f>
        <v>在地圖上查看您的健行路線</v>
      </c>
      <c r="AB364" s="4" t="str">
        <f>IFERROR(__xludf.DUMMYFUNCTION("GOOGLETRANSLATE(B364,""en"",""ja"")"),"地図上でトレッキングルートを表示する")</f>
        <v>地図上でトレッキングルートを表示する</v>
      </c>
      <c r="AC364" s="4" t="str">
        <f>IFERROR(__xludf.DUMMYFUNCTION("GOOGLETRANSLATE(B364,""en"",""bg"")"),"Вижте маршрута си за преход на картата")</f>
        <v>Вижте маршрута си за преход на картата</v>
      </c>
      <c r="AD364" s="4" t="str">
        <f>IFERROR(__xludf.DUMMYFUNCTION("GOOGLETRANSLATE(B364,""en"",""cs"")"),"Zobrazte si trasu treku na mapě")</f>
        <v>Zobrazte si trasu treku na mapě</v>
      </c>
      <c r="AE364" s="4" t="str">
        <f>IFERROR(__xludf.DUMMYFUNCTION("GOOGLETRANSLATE(B364,""en"",""da"")"),"Se din vandrerute på kortet")</f>
        <v>Se din vandrerute på kortet</v>
      </c>
      <c r="AF364" s="4" t="str">
        <f>IFERROR(__xludf.DUMMYFUNCTION("GOOGLETRANSLATE(B364,""en"",""el"")"),"Δείτε τη διαδρομή σας στο χάρτη")</f>
        <v>Δείτε τη διαδρομή σας στο χάρτη</v>
      </c>
      <c r="AG364" s="4" t="str">
        <f>IFERROR(__xludf.DUMMYFUNCTION("GOOGLETRANSLATE(B364,""en"",""et"")"),"Vaadake oma matka marsruuti kaardil")</f>
        <v>Vaadake oma matka marsruuti kaardil</v>
      </c>
      <c r="AH364" s="4" t="str">
        <f>IFERROR(__xludf.DUMMYFUNCTION("GOOGLETRANSLATE(B364,""en"",""fi"")"),"Tarkastele vaellusreittiäsi kartalla")</f>
        <v>Tarkastele vaellusreittiäsi kartalla</v>
      </c>
      <c r="AI364" s="4" t="str">
        <f>IFERROR(__xludf.DUMMYFUNCTION("GOOGLETRANSLATE(B364,""en"",""hr"")"),"Pogledajte svoju rutu trekinga na karti")</f>
        <v>Pogledajte svoju rutu trekinga na karti</v>
      </c>
      <c r="AJ364" s="4" t="str">
        <f>IFERROR(__xludf.DUMMYFUNCTION("GOOGLETRANSLATE(B364,""en"",""hu"")"),"Tekintse meg a túra útvonalát a térképen")</f>
        <v>Tekintse meg a túra útvonalát a térképen</v>
      </c>
      <c r="AK364" s="4" t="str">
        <f>IFERROR(__xludf.DUMMYFUNCTION("GOOGLETRANSLATE(B364,""en"",""hy"")"),"Դիտեք ձեր երթուղին քարտեզի վրա")</f>
        <v>Դիտեք ձեր երթուղին քարտեզի վրա</v>
      </c>
      <c r="AL364" s="4" t="str">
        <f>IFERROR(__xludf.DUMMYFUNCTION("GOOGLETRANSLATE(B364,""en"",""ca"")"),"Visualitza la teva ruta al mapa")</f>
        <v>Visualitza la teva ruta al mapa</v>
      </c>
      <c r="AM364" s="4" t="str">
        <f>IFERROR(__xludf.DUMMYFUNCTION("GOOGLETRANSLATE(B364,""en"",""nl"")"),"Bekijk uw wandelroute op de kaart")</f>
        <v>Bekijk uw wandelroute op de kaart</v>
      </c>
      <c r="AN364" s="4" t="str">
        <f>IFERROR(__xludf.DUMMYFUNCTION("GOOGLETRANSLATE(B364,""en"",""he"")"),"הצג את מסלול הטרק שלך במפה")</f>
        <v>הצג את מסלול הטרק שלך במפה</v>
      </c>
      <c r="AO364" s="4" t="str">
        <f>IFERROR(__xludf.DUMMYFUNCTION("GOOGLETRANSLATE(B364,""en"",""is"")"),"Skoðaðu gönguleiðina þína á kortinu")</f>
        <v>Skoðaðu gönguleiðina þína á kortinu</v>
      </c>
      <c r="AP364" s="4" t="str">
        <f>IFERROR(__xludf.DUMMYFUNCTION("GOOGLETRANSLATE(B364,""en"",""no"")"),"Se turruten din på kartet")</f>
        <v>Se turruten din på kartet</v>
      </c>
      <c r="AQ364" s="4" t="str">
        <f>IFERROR(__xludf.DUMMYFUNCTION("GOOGLETRANSLATE(B364,""en"",""fa"")"),"مسیر پیاده روی خود را روی نقشه مشاهده کنید")</f>
        <v>مسیر پیاده روی خود را روی نقشه مشاهده کنید</v>
      </c>
      <c r="AR364" s="4" t="str">
        <f>IFERROR(__xludf.DUMMYFUNCTION("GOOGLETRANSLATE(B364,""en"",""pl"")"),"Zobacz trasę swojej wędrówki na mapie")</f>
        <v>Zobacz trasę swojej wędrówki na mapie</v>
      </c>
      <c r="AS364" s="4" t="str">
        <f>IFERROR(__xludf.DUMMYFUNCTION("GOOGLETRANSLATE(B364,""en"",""sv"")"),"Se din vandringsrutt på kartan")</f>
        <v>Se din vandringsrutt på kartan</v>
      </c>
      <c r="AT364" s="4" t="str">
        <f>IFERROR(__xludf.DUMMYFUNCTION("GOOGLETRANSLATE(B364,""en"",""uk"")"),"Перегляньте свій маршрут походу на карті")</f>
        <v>Перегляньте свій маршрут походу на карті</v>
      </c>
      <c r="AU364" s="4" t="str">
        <f>IFERROR(__xludf.DUMMYFUNCTION("GOOGLETRANSLATE(B364,""en"",""zu"")"),"Buka umzila wakho wohambo kumephu")</f>
        <v>Buka umzila wakho wohambo kumephu</v>
      </c>
      <c r="AV364" s="4" t="str">
        <f>IFERROR(__xludf.DUMMYFUNCTION("GOOGLETRANSLATE(B364,""en"",""sr"")"),"Погледајте своју руту на мапи")</f>
        <v>Погледајте своју руту на мапи</v>
      </c>
    </row>
    <row r="365">
      <c r="A365" s="3" t="s">
        <v>719</v>
      </c>
      <c r="B365" s="3" t="s">
        <v>720</v>
      </c>
      <c r="C365" s="4" t="str">
        <f>IFERROR(__xludf.DUMMYFUNCTION("GOOGLETRANSLATE(B365,""en"",""ta"")"),"ட்ரெக் சுருக்கத்தைப் பார்க்கவும்")</f>
        <v>ட்ரெக் சுருக்கத்தைப் பார்க்கவும்</v>
      </c>
      <c r="D365" s="4" t="str">
        <f>IFERROR(__xludf.DUMMYFUNCTION("GOOGLETRANSLATE(B365,""en"",""hi"")"),"ट्रेक सारांश देखें")</f>
        <v>ट्रेक सारांश देखें</v>
      </c>
      <c r="E365" s="4" t="str">
        <f>IFERROR(__xludf.DUMMYFUNCTION("GOOGLETRANSLATE(B365,""en"",""id"")"),"Lihat Ringkasan Trek")</f>
        <v>Lihat Ringkasan Trek</v>
      </c>
      <c r="F365" s="4" t="str">
        <f>IFERROR(__xludf.DUMMYFUNCTION("GOOGLETRANSLATE(B365,""en"",""ms"")"),"Lihat Ringkasan Trek")</f>
        <v>Lihat Ringkasan Trek</v>
      </c>
      <c r="G365" s="4" t="str">
        <f>IFERROR(__xludf.DUMMYFUNCTION("GOOGLETRANSLATE(B365,""en"",""de"")"),"Trek-Zusammenfassung anzeigen")</f>
        <v>Trek-Zusammenfassung anzeigen</v>
      </c>
      <c r="H365" s="4" t="str">
        <f>IFERROR(__xludf.DUMMYFUNCTION("GOOGLETRANSLATE(B365,""en"",""es"")"),"Ver resumen del trekking")</f>
        <v>Ver resumen del trekking</v>
      </c>
      <c r="I365" s="4" t="str">
        <f>IFERROR(__xludf.DUMMYFUNCTION("GOOGLETRANSLATE(B365,""en"",""fr"")"),"Voir le résumé du trek")</f>
        <v>Voir le résumé du trek</v>
      </c>
      <c r="J365" s="4" t="str">
        <f>IFERROR(__xludf.DUMMYFUNCTION("GOOGLETRANSLATE(B365,""en"",""it"")"),"Visualizza il riepilogo del trekking")</f>
        <v>Visualizza il riepilogo del trekking</v>
      </c>
      <c r="K365" s="4" t="str">
        <f>IFERROR(__xludf.DUMMYFUNCTION("GOOGLETRANSLATE(B365,""en"",""pt"")"),"Ver resumo da jornada")</f>
        <v>Ver resumo da jornada</v>
      </c>
      <c r="L365" s="4" t="str">
        <f>IFERROR(__xludf.DUMMYFUNCTION("GOOGLETRANSLATE(B365,""en"",""ro"")"),"Vezi rezumatul drumului")</f>
        <v>Vezi rezumatul drumului</v>
      </c>
      <c r="M365" s="4" t="str">
        <f>IFERROR(__xludf.DUMMYFUNCTION("GOOGLETRANSLATE(B365,""en"",""vi"")"),"Xem tóm tắt chuyến đi")</f>
        <v>Xem tóm tắt chuyến đi</v>
      </c>
      <c r="N365" s="4" t="str">
        <f>IFERROR(__xludf.DUMMYFUNCTION("GOOGLETRANSLATE(B365,""en"",""ru"")"),"Просмотреть сводку похода")</f>
        <v>Просмотреть сводку похода</v>
      </c>
      <c r="O365" s="4" t="str">
        <f>IFERROR(__xludf.DUMMYFUNCTION("GOOGLETRANSLATE(B365,""en"",""tr"")"),"Trek Özetini Görüntüle")</f>
        <v>Trek Özetini Görüntüle</v>
      </c>
      <c r="P365" s="4" t="str">
        <f>IFERROR(__xludf.DUMMYFUNCTION("GOOGLETRANSLATE(B365,""en"",""ar"")"),"عرض ملخص الرحلة")</f>
        <v>عرض ملخص الرحلة</v>
      </c>
      <c r="Q365" s="4" t="str">
        <f>IFERROR(__xludf.DUMMYFUNCTION("GOOGLETRANSLATE(B365,""en"",""mr"")"),"ट्रेकचा सारांश पहा")</f>
        <v>ट्रेकचा सारांश पहा</v>
      </c>
      <c r="R365" s="4" t="str">
        <f>IFERROR(__xludf.DUMMYFUNCTION("GOOGLETRANSLATE(B365,""en"",""gu"")"),"ટ્રેક સારાંશ જુઓ")</f>
        <v>ટ્રેક સારાંશ જુઓ</v>
      </c>
      <c r="S365" s="4" t="str">
        <f>IFERROR(__xludf.DUMMYFUNCTION("GOOGLETRANSLATE(B365,""en"",""bn"")"),"ট্রেক সারাংশ দেখুন")</f>
        <v>ট্রেক সারাংশ দেখুন</v>
      </c>
      <c r="T365" s="4" t="str">
        <f>IFERROR(__xludf.DUMMYFUNCTION("GOOGLETRANSLATE(B365,""en"",""pa"")"),"ਟ੍ਰੈਕ ਸੰਖੇਪ ਵੇਖੋ")</f>
        <v>ਟ੍ਰੈਕ ਸੰਖੇਪ ਵੇਖੋ</v>
      </c>
      <c r="U365" s="4" t="str">
        <f>IFERROR(__xludf.DUMMYFUNCTION("GOOGLETRANSLATE(B365,""en"",""te"")"),"ట్రెక్ సారాంశాన్ని వీక్షించండి")</f>
        <v>ట్రెక్ సారాంశాన్ని వీక్షించండి</v>
      </c>
      <c r="V365" s="4" t="str">
        <f>IFERROR(__xludf.DUMMYFUNCTION("GOOGLETRANSLATE(B365,""en"",""kn"")"),"ಟ್ರೆಕ್ ಸಾರಾಂಶವನ್ನು ವೀಕ್ಷಿಸಿ")</f>
        <v>ಟ್ರೆಕ್ ಸಾರಾಂಶವನ್ನು ವೀಕ್ಷಿಸಿ</v>
      </c>
      <c r="W365" s="4" t="str">
        <f>IFERROR(__xludf.DUMMYFUNCTION("GOOGLETRANSLATE(B365,""en"",""ml"")"),"ട്രെക്ക് സംഗ്രഹം കാണുക")</f>
        <v>ട്രെക്ക് സംഗ്രഹം കാണുക</v>
      </c>
      <c r="X365" s="4" t="str">
        <f>IFERROR(__xludf.DUMMYFUNCTION("GOOGLETRANSLATE(B365,""en"",""th"")"),"ดูบทสรุปการเดินทาง")</f>
        <v>ดูบทสรุปการเดินทาง</v>
      </c>
      <c r="Y365" s="4" t="str">
        <f>IFERROR(__xludf.DUMMYFUNCTION("GOOGLETRANSLATE(B365,""en"",""ko"")"),"트렉 요약 보기")</f>
        <v>트렉 요약 보기</v>
      </c>
      <c r="Z365" s="4" t="str">
        <f>IFERROR(__xludf.DUMMYFUNCTION("GOOGLETRANSLATE(B365,""en"",""zh"")"),"查看徒步概要")</f>
        <v>查看徒步概要</v>
      </c>
      <c r="AA365" s="4" t="str">
        <f>IFERROR(__xludf.DUMMYFUNCTION("GOOGLETRANSLATE(B365,""en"",""zh-TW"")"),"查看徒步概要")</f>
        <v>查看徒步概要</v>
      </c>
      <c r="AB365" s="4" t="str">
        <f>IFERROR(__xludf.DUMMYFUNCTION("GOOGLETRANSLATE(B365,""en"",""ja"")"),"トレッキングの概要を見る")</f>
        <v>トレッキングの概要を見る</v>
      </c>
      <c r="AC365" s="4" t="str">
        <f>IFERROR(__xludf.DUMMYFUNCTION("GOOGLETRANSLATE(B365,""en"",""bg"")"),"Вижте резюмето на Trek")</f>
        <v>Вижте резюмето на Trek</v>
      </c>
      <c r="AD365" s="4" t="str">
        <f>IFERROR(__xludf.DUMMYFUNCTION("GOOGLETRANSLATE(B365,""en"",""cs"")"),"Zobrazit souhrn treku")</f>
        <v>Zobrazit souhrn treku</v>
      </c>
      <c r="AE365" s="4" t="str">
        <f>IFERROR(__xludf.DUMMYFUNCTION("GOOGLETRANSLATE(B365,""en"",""da"")"),"Se trækoversigt")</f>
        <v>Se trækoversigt</v>
      </c>
      <c r="AF365" s="4" t="str">
        <f>IFERROR(__xludf.DUMMYFUNCTION("GOOGLETRANSLATE(B365,""en"",""el"")"),"Δείτε τη σύνοψη του Trek")</f>
        <v>Δείτε τη σύνοψη του Trek</v>
      </c>
      <c r="AG365" s="4" t="str">
        <f>IFERROR(__xludf.DUMMYFUNCTION("GOOGLETRANSLATE(B365,""en"",""et"")"),"Vaadake Treki kokkuvõtet")</f>
        <v>Vaadake Treki kokkuvõtet</v>
      </c>
      <c r="AH365" s="4" t="str">
        <f>IFERROR(__xludf.DUMMYFUNCTION("GOOGLETRANSLATE(B365,""en"",""fi"")"),"Katso Trekin yhteenveto")</f>
        <v>Katso Trekin yhteenveto</v>
      </c>
      <c r="AI365" s="4" t="str">
        <f>IFERROR(__xludf.DUMMYFUNCTION("GOOGLETRANSLATE(B365,""en"",""hr"")"),"Pregledajte sažetak staze")</f>
        <v>Pregledajte sažetak staze</v>
      </c>
      <c r="AJ365" s="4" t="str">
        <f>IFERROR(__xludf.DUMMYFUNCTION("GOOGLETRANSLATE(B365,""en"",""hu"")"),"Tekintse meg a Trek összefoglalóját")</f>
        <v>Tekintse meg a Trek összefoglalóját</v>
      </c>
      <c r="AK365" s="4" t="str">
        <f>IFERROR(__xludf.DUMMYFUNCTION("GOOGLETRANSLATE(B365,""en"",""hy"")"),"Դիտեք արշավի ամփոփագիրը")</f>
        <v>Դիտեք արշավի ամփոփագիրը</v>
      </c>
      <c r="AL365" s="4" t="str">
        <f>IFERROR(__xludf.DUMMYFUNCTION("GOOGLETRANSLATE(B365,""en"",""ca"")"),"Veure el resum de la caminada")</f>
        <v>Veure el resum de la caminada</v>
      </c>
      <c r="AM365" s="4" t="str">
        <f>IFERROR(__xludf.DUMMYFUNCTION("GOOGLETRANSLATE(B365,""en"",""nl"")"),"Bekijk Trek Samenvatting")</f>
        <v>Bekijk Trek Samenvatting</v>
      </c>
      <c r="AN365" s="4" t="str">
        <f>IFERROR(__xludf.DUMMYFUNCTION("GOOGLETRANSLATE(B365,""en"",""he"")"),"צפו בסיכום טרק")</f>
        <v>צפו בסיכום טרק</v>
      </c>
      <c r="AO365" s="4" t="str">
        <f>IFERROR(__xludf.DUMMYFUNCTION("GOOGLETRANSLATE(B365,""en"",""is"")"),"Skoða yfirlit yfir ferðalag")</f>
        <v>Skoða yfirlit yfir ferðalag</v>
      </c>
      <c r="AP365" s="4" t="str">
        <f>IFERROR(__xludf.DUMMYFUNCTION("GOOGLETRANSLATE(B365,""en"",""no"")"),"Se Trek-sammendrag")</f>
        <v>Se Trek-sammendrag</v>
      </c>
      <c r="AQ365" s="4" t="str">
        <f>IFERROR(__xludf.DUMMYFUNCTION("GOOGLETRANSLATE(B365,""en"",""fa"")"),"مشاهده خلاصه سفر")</f>
        <v>مشاهده خلاصه سفر</v>
      </c>
      <c r="AR365" s="4" t="str">
        <f>IFERROR(__xludf.DUMMYFUNCTION("GOOGLETRANSLATE(B365,""en"",""pl"")"),"Zobacz podsumowanie wędrówki")</f>
        <v>Zobacz podsumowanie wędrówki</v>
      </c>
      <c r="AS365" s="4" t="str">
        <f>IFERROR(__xludf.DUMMYFUNCTION("GOOGLETRANSLATE(B365,""en"",""sv"")"),"Se vandringssammanfattning")</f>
        <v>Se vandringssammanfattning</v>
      </c>
      <c r="AT365" s="4" t="str">
        <f>IFERROR(__xludf.DUMMYFUNCTION("GOOGLETRANSLATE(B365,""en"",""uk"")"),"Переглянути підсумок походу")</f>
        <v>Переглянути підсумок походу</v>
      </c>
      <c r="AU365" s="4" t="str">
        <f>IFERROR(__xludf.DUMMYFUNCTION("GOOGLETRANSLATE(B365,""en"",""zu"")"),"Buka isifinyezo sohambo")</f>
        <v>Buka isifinyezo sohambo</v>
      </c>
      <c r="AV365" s="4" t="str">
        <f>IFERROR(__xludf.DUMMYFUNCTION("GOOGLETRANSLATE(B365,""en"",""sr"")"),"Погледајте сажетак Трек-а")</f>
        <v>Погледајте сажетак Трек-а</v>
      </c>
    </row>
    <row r="366">
      <c r="A366" s="3" t="s">
        <v>721</v>
      </c>
      <c r="B366" s="3" t="s">
        <v>722</v>
      </c>
      <c r="C366" s="4" t="str">
        <f>IFERROR(__xludf.DUMMYFUNCTION("GOOGLETRANSLATE(B366,""en"",""ta"")"),"மலையேற்ற வரலாறு")</f>
        <v>மலையேற்ற வரலாறு</v>
      </c>
      <c r="D366" s="4" t="str">
        <f>IFERROR(__xludf.DUMMYFUNCTION("GOOGLETRANSLATE(B366,""en"",""hi"")"),"ट्रेक इतिहास")</f>
        <v>ट्रेक इतिहास</v>
      </c>
      <c r="E366" s="4" t="str">
        <f>IFERROR(__xludf.DUMMYFUNCTION("GOOGLETRANSLATE(B366,""en"",""id"")"),"Sejarah Trek")</f>
        <v>Sejarah Trek</v>
      </c>
      <c r="F366" s="4" t="str">
        <f>IFERROR(__xludf.DUMMYFUNCTION("GOOGLETRANSLATE(B366,""en"",""ms"")"),"Sejarah Trek")</f>
        <v>Sejarah Trek</v>
      </c>
      <c r="G366" s="4" t="str">
        <f>IFERROR(__xludf.DUMMYFUNCTION("GOOGLETRANSLATE(B366,""en"",""de"")"),"Trek-Geschichte")</f>
        <v>Trek-Geschichte</v>
      </c>
      <c r="H366" s="4" t="str">
        <f>IFERROR(__xludf.DUMMYFUNCTION("GOOGLETRANSLATE(B366,""en"",""es"")"),"Historia de la caminata")</f>
        <v>Historia de la caminata</v>
      </c>
      <c r="I366" s="4" t="str">
        <f>IFERROR(__xludf.DUMMYFUNCTION("GOOGLETRANSLATE(B366,""en"",""fr"")"),"Histoire du Trek")</f>
        <v>Histoire du Trek</v>
      </c>
      <c r="J366" s="4" t="str">
        <f>IFERROR(__xludf.DUMMYFUNCTION("GOOGLETRANSLATE(B366,""en"",""it"")"),"Storia del Trek")</f>
        <v>Storia del Trek</v>
      </c>
      <c r="K366" s="4" t="str">
        <f>IFERROR(__xludf.DUMMYFUNCTION("GOOGLETRANSLATE(B366,""en"",""pt"")"),"História da Trek")</f>
        <v>História da Trek</v>
      </c>
      <c r="L366" s="4" t="str">
        <f>IFERROR(__xludf.DUMMYFUNCTION("GOOGLETRANSLATE(B366,""en"",""ro"")"),"Istoria drumului")</f>
        <v>Istoria drumului</v>
      </c>
      <c r="M366" s="4" t="str">
        <f>IFERROR(__xludf.DUMMYFUNCTION("GOOGLETRANSLATE(B366,""en"",""vi"")"),"Lịch sử Trek")</f>
        <v>Lịch sử Trek</v>
      </c>
      <c r="N366" s="4" t="str">
        <f>IFERROR(__xludf.DUMMYFUNCTION("GOOGLETRANSLATE(B366,""en"",""ru"")"),"История похода")</f>
        <v>История похода</v>
      </c>
      <c r="O366" s="4" t="str">
        <f>IFERROR(__xludf.DUMMYFUNCTION("GOOGLETRANSLATE(B366,""en"",""tr"")"),"Trek Tarihi")</f>
        <v>Trek Tarihi</v>
      </c>
      <c r="P366" s="4" t="str">
        <f>IFERROR(__xludf.DUMMYFUNCTION("GOOGLETRANSLATE(B366,""en"",""ar"")"),"تاريخ الرحلة")</f>
        <v>تاريخ الرحلة</v>
      </c>
      <c r="Q366" s="4" t="str">
        <f>IFERROR(__xludf.DUMMYFUNCTION("GOOGLETRANSLATE(B366,""en"",""mr"")"),"ट्रेक इतिहास")</f>
        <v>ट्रेक इतिहास</v>
      </c>
      <c r="R366" s="4" t="str">
        <f>IFERROR(__xludf.DUMMYFUNCTION("GOOGLETRANSLATE(B366,""en"",""gu"")"),"ટ્રેક ઇતિહાસ")</f>
        <v>ટ્રેક ઇતિહાસ</v>
      </c>
      <c r="S366" s="4" t="str">
        <f>IFERROR(__xludf.DUMMYFUNCTION("GOOGLETRANSLATE(B366,""en"",""bn"")"),"ট্রেক ইতিহাস")</f>
        <v>ট্রেক ইতিহাস</v>
      </c>
      <c r="T366" s="4" t="str">
        <f>IFERROR(__xludf.DUMMYFUNCTION("GOOGLETRANSLATE(B366,""en"",""pa"")"),"ਟ੍ਰੈਕ ਇਤਿਹਾਸ")</f>
        <v>ਟ੍ਰੈਕ ਇਤਿਹਾਸ</v>
      </c>
      <c r="U366" s="4" t="str">
        <f>IFERROR(__xludf.DUMMYFUNCTION("GOOGLETRANSLATE(B366,""en"",""te"")"),"ట్రెక్ చరిత్ర")</f>
        <v>ట్రెక్ చరిత్ర</v>
      </c>
      <c r="V366" s="4" t="str">
        <f>IFERROR(__xludf.DUMMYFUNCTION("GOOGLETRANSLATE(B366,""en"",""kn"")"),"ಟ್ರೆಕ್ ಇತಿಹಾಸ")</f>
        <v>ಟ್ರೆಕ್ ಇತಿಹಾಸ</v>
      </c>
      <c r="W366" s="4" t="str">
        <f>IFERROR(__xludf.DUMMYFUNCTION("GOOGLETRANSLATE(B366,""en"",""ml"")"),"ട്രെക്ക് ചരിത്രം")</f>
        <v>ട്രെക്ക് ചരിത്രം</v>
      </c>
      <c r="X366" s="4" t="str">
        <f>IFERROR(__xludf.DUMMYFUNCTION("GOOGLETRANSLATE(B366,""en"",""th"")"),"ประวัติศาสตร์การเดินป่า")</f>
        <v>ประวัติศาสตร์การเดินป่า</v>
      </c>
      <c r="Y366" s="4" t="str">
        <f>IFERROR(__xludf.DUMMYFUNCTION("GOOGLETRANSLATE(B366,""en"",""ko"")"),"트렉 역사")</f>
        <v>트렉 역사</v>
      </c>
      <c r="Z366" s="4" t="str">
        <f>IFERROR(__xludf.DUMMYFUNCTION("GOOGLETRANSLATE(B366,""en"",""zh"")"),"Trek历史")</f>
        <v>Trek历史</v>
      </c>
      <c r="AA366" s="4" t="str">
        <f>IFERROR(__xludf.DUMMYFUNCTION("GOOGLETRANSLATE(B366,""en"",""zh-TW"")"),"Trek歷史")</f>
        <v>Trek歷史</v>
      </c>
      <c r="AB366" s="4" t="str">
        <f>IFERROR(__xludf.DUMMYFUNCTION("GOOGLETRANSLATE(B366,""en"",""ja"")"),"トレックの歴史")</f>
        <v>トレックの歴史</v>
      </c>
      <c r="AC366" s="4" t="str">
        <f>IFERROR(__xludf.DUMMYFUNCTION("GOOGLETRANSLATE(B366,""en"",""bg"")"),"История на Трек")</f>
        <v>История на Трек</v>
      </c>
      <c r="AD366" s="4" t="str">
        <f>IFERROR(__xludf.DUMMYFUNCTION("GOOGLETRANSLATE(B366,""en"",""cs"")"),"Historie treku")</f>
        <v>Historie treku</v>
      </c>
      <c r="AE366" s="4" t="str">
        <f>IFERROR(__xludf.DUMMYFUNCTION("GOOGLETRANSLATE(B366,""en"",""da"")"),"Trek historie")</f>
        <v>Trek historie</v>
      </c>
      <c r="AF366" s="4" t="str">
        <f>IFERROR(__xludf.DUMMYFUNCTION("GOOGLETRANSLATE(B366,""en"",""el"")"),"Ιστορία του οδοιπορικού")</f>
        <v>Ιστορία του οδοιπορικού</v>
      </c>
      <c r="AG366" s="4" t="str">
        <f>IFERROR(__xludf.DUMMYFUNCTION("GOOGLETRANSLATE(B366,""en"",""et"")"),"Treki ajalugu")</f>
        <v>Treki ajalugu</v>
      </c>
      <c r="AH366" s="4" t="str">
        <f>IFERROR(__xludf.DUMMYFUNCTION("GOOGLETRANSLATE(B366,""en"",""fi"")"),"Trekin historia")</f>
        <v>Trekin historia</v>
      </c>
      <c r="AI366" s="4" t="str">
        <f>IFERROR(__xludf.DUMMYFUNCTION("GOOGLETRANSLATE(B366,""en"",""hr"")"),"Povijest staze")</f>
        <v>Povijest staze</v>
      </c>
      <c r="AJ366" s="4" t="str">
        <f>IFERROR(__xludf.DUMMYFUNCTION("GOOGLETRANSLATE(B366,""en"",""hu"")"),"Trek története")</f>
        <v>Trek története</v>
      </c>
      <c r="AK366" s="4" t="str">
        <f>IFERROR(__xludf.DUMMYFUNCTION("GOOGLETRANSLATE(B366,""en"",""hy"")"),"Trek պատմություն")</f>
        <v>Trek պատմություն</v>
      </c>
      <c r="AL366" s="4" t="str">
        <f>IFERROR(__xludf.DUMMYFUNCTION("GOOGLETRANSLATE(B366,""en"",""ca"")"),"Història de la caminada")</f>
        <v>Història de la caminada</v>
      </c>
      <c r="AM366" s="4" t="str">
        <f>IFERROR(__xludf.DUMMYFUNCTION("GOOGLETRANSLATE(B366,""en"",""nl"")"),"Trek Geschiedenis")</f>
        <v>Trek Geschiedenis</v>
      </c>
      <c r="AN366" s="4" t="str">
        <f>IFERROR(__xludf.DUMMYFUNCTION("GOOGLETRANSLATE(B366,""en"",""he"")"),"היסטוריה של טרק")</f>
        <v>היסטוריה של טרק</v>
      </c>
      <c r="AO366" s="4" t="str">
        <f>IFERROR(__xludf.DUMMYFUNCTION("GOOGLETRANSLATE(B366,""en"",""is"")"),"Ferðasögu")</f>
        <v>Ferðasögu</v>
      </c>
      <c r="AP366" s="4" t="str">
        <f>IFERROR(__xludf.DUMMYFUNCTION("GOOGLETRANSLATE(B366,""en"",""no"")"),"Trek historie")</f>
        <v>Trek historie</v>
      </c>
      <c r="AQ366" s="4" t="str">
        <f>IFERROR(__xludf.DUMMYFUNCTION("GOOGLETRANSLATE(B366,""en"",""fa"")"),"تاریخچه سفر")</f>
        <v>تاریخچه سفر</v>
      </c>
      <c r="AR366" s="4" t="str">
        <f>IFERROR(__xludf.DUMMYFUNCTION("GOOGLETRANSLATE(B366,""en"",""pl"")"),"Historia Trek")</f>
        <v>Historia Trek</v>
      </c>
      <c r="AS366" s="4" t="str">
        <f>IFERROR(__xludf.DUMMYFUNCTION("GOOGLETRANSLATE(B366,""en"",""sv"")"),"Trek historia")</f>
        <v>Trek historia</v>
      </c>
      <c r="AT366" s="4" t="str">
        <f>IFERROR(__xludf.DUMMYFUNCTION("GOOGLETRANSLATE(B366,""en"",""uk"")"),"Історія походу")</f>
        <v>Історія походу</v>
      </c>
      <c r="AU366" s="4" t="str">
        <f>IFERROR(__xludf.DUMMYFUNCTION("GOOGLETRANSLATE(B366,""en"",""zu"")"),"Umlando Wohambo")</f>
        <v>Umlando Wohambo</v>
      </c>
      <c r="AV366" s="4" t="str">
        <f>IFERROR(__xludf.DUMMYFUNCTION("GOOGLETRANSLATE(B366,""en"",""sr"")"),"Трек Хистори")</f>
        <v>Трек Хистори</v>
      </c>
    </row>
    <row r="367">
      <c r="A367" s="3" t="s">
        <v>723</v>
      </c>
      <c r="B367" s="3" t="s">
        <v>724</v>
      </c>
      <c r="C367" s="4" t="str">
        <f>IFERROR(__xludf.DUMMYFUNCTION("GOOGLETRANSLATE(B367,""en"",""ta"")"),"மலையேற்ற வரலாறு இல்லை")</f>
        <v>மலையேற்ற வரலாறு இல்லை</v>
      </c>
      <c r="D367" s="4" t="str">
        <f>IFERROR(__xludf.DUMMYFUNCTION("GOOGLETRANSLATE(B367,""en"",""hi"")"),"कोई ट्रेक इतिहास उपलब्ध नहीं है")</f>
        <v>कोई ट्रेक इतिहास उपलब्ध नहीं है</v>
      </c>
      <c r="E367" s="4" t="str">
        <f>IFERROR(__xludf.DUMMYFUNCTION("GOOGLETRANSLATE(B367,""en"",""id"")"),"Tidak ada riwayat perjalanan yang tersedia")</f>
        <v>Tidak ada riwayat perjalanan yang tersedia</v>
      </c>
      <c r="F367" s="4" t="str">
        <f>IFERROR(__xludf.DUMMYFUNCTION("GOOGLETRANSLATE(B367,""en"",""ms"")"),"Tiada sejarah perjalanan tersedia")</f>
        <v>Tiada sejarah perjalanan tersedia</v>
      </c>
      <c r="G367" s="4" t="str">
        <f>IFERROR(__xludf.DUMMYFUNCTION("GOOGLETRANSLATE(B367,""en"",""de"")"),"Kein Trekkingverlauf verfügbar")</f>
        <v>Kein Trekkingverlauf verfügbar</v>
      </c>
      <c r="H367" s="4" t="str">
        <f>IFERROR(__xludf.DUMMYFUNCTION("GOOGLETRANSLATE(B367,""en"",""es"")"),"No hay historial de trekking disponible")</f>
        <v>No hay historial de trekking disponible</v>
      </c>
      <c r="I367" s="4" t="str">
        <f>IFERROR(__xludf.DUMMYFUNCTION("GOOGLETRANSLATE(B367,""en"",""fr"")"),"Aucun historique de trek disponible")</f>
        <v>Aucun historique de trek disponible</v>
      </c>
      <c r="J367" s="4" t="str">
        <f>IFERROR(__xludf.DUMMYFUNCTION("GOOGLETRANSLATE(B367,""en"",""it"")"),"Nessuna cronologia del viaggio disponibile")</f>
        <v>Nessuna cronologia del viaggio disponibile</v>
      </c>
      <c r="K367" s="4" t="str">
        <f>IFERROR(__xludf.DUMMYFUNCTION("GOOGLETRANSLATE(B367,""en"",""pt"")"),"Nenhum histórico de caminhada disponível")</f>
        <v>Nenhum histórico de caminhada disponível</v>
      </c>
      <c r="L367" s="4" t="str">
        <f>IFERROR(__xludf.DUMMYFUNCTION("GOOGLETRANSLATE(B367,""en"",""ro"")"),"Nu există istoric de călătorie disponibil")</f>
        <v>Nu există istoric de călătorie disponibil</v>
      </c>
      <c r="M367" s="4" t="str">
        <f>IFERROR(__xludf.DUMMYFUNCTION("GOOGLETRANSLATE(B367,""en"",""vi"")"),"Không có lịch sử chuyến đi nào có sẵn")</f>
        <v>Không có lịch sử chuyến đi nào có sẵn</v>
      </c>
      <c r="N367" s="4" t="str">
        <f>IFERROR(__xludf.DUMMYFUNCTION("GOOGLETRANSLATE(B367,""en"",""ru"")"),"История походов недоступна")</f>
        <v>История походов недоступна</v>
      </c>
      <c r="O367" s="4" t="str">
        <f>IFERROR(__xludf.DUMMYFUNCTION("GOOGLETRANSLATE(B367,""en"",""tr"")"),"Trek geçmişi mevcut değil")</f>
        <v>Trek geçmişi mevcut değil</v>
      </c>
      <c r="P367" s="4" t="str">
        <f>IFERROR(__xludf.DUMMYFUNCTION("GOOGLETRANSLATE(B367,""en"",""ar"")"),"لا يوجد تاريخ الرحلة متاح")</f>
        <v>لا يوجد تاريخ الرحلة متاح</v>
      </c>
      <c r="Q367" s="4" t="str">
        <f>IFERROR(__xludf.DUMMYFUNCTION("GOOGLETRANSLATE(B367,""en"",""mr"")"),"कोणताही ट्रेक इतिहास उपलब्ध नाही")</f>
        <v>कोणताही ट्रेक इतिहास उपलब्ध नाही</v>
      </c>
      <c r="R367" s="4" t="str">
        <f>IFERROR(__xludf.DUMMYFUNCTION("GOOGLETRANSLATE(B367,""en"",""gu"")"),"કોઈ ટ્રેક ઇતિહાસ ઉપલબ્ધ નથી")</f>
        <v>કોઈ ટ્રેક ઇતિહાસ ઉપલબ્ધ નથી</v>
      </c>
      <c r="S367" s="4" t="str">
        <f>IFERROR(__xludf.DUMMYFUNCTION("GOOGLETRANSLATE(B367,""en"",""bn"")"),"কোন ট্রেক ইতিহাস উপলব্ধ")</f>
        <v>কোন ট্রেক ইতিহাস উপলব্ধ</v>
      </c>
      <c r="T367" s="4" t="str">
        <f>IFERROR(__xludf.DUMMYFUNCTION("GOOGLETRANSLATE(B367,""en"",""pa"")"),"ਕੋਈ ਟ੍ਰੈਕ ਇਤਿਹਾਸ ਉਪਲਬਧ ਨਹੀਂ ਹੈ")</f>
        <v>ਕੋਈ ਟ੍ਰੈਕ ਇਤਿਹਾਸ ਉਪਲਬਧ ਨਹੀਂ ਹੈ</v>
      </c>
      <c r="U367" s="4" t="str">
        <f>IFERROR(__xludf.DUMMYFUNCTION("GOOGLETRANSLATE(B367,""en"",""te"")"),"ట్రెక్ చరిత్ర అందుబాటులో లేదు")</f>
        <v>ట్రెక్ చరిత్ర అందుబాటులో లేదు</v>
      </c>
      <c r="V367" s="4" t="str">
        <f>IFERROR(__xludf.DUMMYFUNCTION("GOOGLETRANSLATE(B367,""en"",""kn"")"),"ಯಾವುದೇ ಚಾರಣ ಇತಿಹಾಸ ಲಭ್ಯವಿಲ್ಲ")</f>
        <v>ಯಾವುದೇ ಚಾರಣ ಇತಿಹಾಸ ಲಭ್ಯವಿಲ್ಲ</v>
      </c>
      <c r="W367" s="4" t="str">
        <f>IFERROR(__xludf.DUMMYFUNCTION("GOOGLETRANSLATE(B367,""en"",""ml"")"),"ട്രെക്ക് ചരിത്രമൊന്നും ലഭ്യമല്ല")</f>
        <v>ട്രെക്ക് ചരിത്രമൊന്നും ലഭ്യമല്ല</v>
      </c>
      <c r="X367" s="4" t="str">
        <f>IFERROR(__xludf.DUMMYFUNCTION("GOOGLETRANSLATE(B367,""en"",""th"")"),"ไม่มีประวัติการเดินป่า")</f>
        <v>ไม่มีประวัติการเดินป่า</v>
      </c>
      <c r="Y367" s="4" t="str">
        <f>IFERROR(__xludf.DUMMYFUNCTION("GOOGLETRANSLATE(B367,""en"",""ko"")"),"트레킹 기록이 없습니다")</f>
        <v>트레킹 기록이 없습니다</v>
      </c>
      <c r="Z367" s="4" t="str">
        <f>IFERROR(__xludf.DUMMYFUNCTION("GOOGLETRANSLATE(B367,""en"",""zh"")"),"没有可用的徒步历史记录")</f>
        <v>没有可用的徒步历史记录</v>
      </c>
      <c r="AA367" s="4" t="str">
        <f>IFERROR(__xludf.DUMMYFUNCTION("GOOGLETRANSLATE(B367,""en"",""zh-TW"")"),"沒有可用的徒步歷史記錄")</f>
        <v>沒有可用的徒步歷史記錄</v>
      </c>
      <c r="AB367" s="4" t="str">
        <f>IFERROR(__xludf.DUMMYFUNCTION("GOOGLETRANSLATE(B367,""en"",""ja"")"),"トレッキング履歴はありません")</f>
        <v>トレッキング履歴はありません</v>
      </c>
      <c r="AC367" s="4" t="str">
        <f>IFERROR(__xludf.DUMMYFUNCTION("GOOGLETRANSLATE(B367,""en"",""bg"")"),"Няма налична история на прехода")</f>
        <v>Няма налична история на прехода</v>
      </c>
      <c r="AD367" s="4" t="str">
        <f>IFERROR(__xludf.DUMMYFUNCTION("GOOGLETRANSLATE(B367,""en"",""cs"")"),"Není k dispozici žádná historie treku")</f>
        <v>Není k dispozici žádná historie treku</v>
      </c>
      <c r="AE367" s="4" t="str">
        <f>IFERROR(__xludf.DUMMYFUNCTION("GOOGLETRANSLATE(B367,""en"",""da"")"),"Ingen trekhistorik tilgængelig")</f>
        <v>Ingen trekhistorik tilgængelig</v>
      </c>
      <c r="AF367" s="4" t="str">
        <f>IFERROR(__xludf.DUMMYFUNCTION("GOOGLETRANSLATE(B367,""en"",""el"")"),"Δεν υπάρχει διαθέσιμο ιστορικό οδοιπορίας")</f>
        <v>Δεν υπάρχει διαθέσιμο ιστορικό οδοιπορίας</v>
      </c>
      <c r="AG367" s="4" t="str">
        <f>IFERROR(__xludf.DUMMYFUNCTION("GOOGLETRANSLATE(B367,""en"",""et"")"),"Matkaajalugu pole saadaval")</f>
        <v>Matkaajalugu pole saadaval</v>
      </c>
      <c r="AH367" s="4" t="str">
        <f>IFERROR(__xludf.DUMMYFUNCTION("GOOGLETRANSLATE(B367,""en"",""fi"")"),"Vaellushistoriaa ei ole saatavilla")</f>
        <v>Vaellushistoriaa ei ole saatavilla</v>
      </c>
      <c r="AI367" s="4" t="str">
        <f>IFERROR(__xludf.DUMMYFUNCTION("GOOGLETRANSLATE(B367,""en"",""hr"")"),"Nema dostupne povijesti putovanja")</f>
        <v>Nema dostupne povijesti putovanja</v>
      </c>
      <c r="AJ367" s="4" t="str">
        <f>IFERROR(__xludf.DUMMYFUNCTION("GOOGLETRANSLATE(B367,""en"",""hu"")"),"Nincs elérhető túratörténet")</f>
        <v>Nincs elérhető túratörténet</v>
      </c>
      <c r="AK367" s="4" t="str">
        <f>IFERROR(__xludf.DUMMYFUNCTION("GOOGLETRANSLATE(B367,""en"",""hy"")"),"Արշավի պատմություն չկա")</f>
        <v>Արշավի պատմություն չկա</v>
      </c>
      <c r="AL367" s="4" t="str">
        <f>IFERROR(__xludf.DUMMYFUNCTION("GOOGLETRANSLATE(B367,""en"",""ca"")"),"No hi ha historial de caminades disponible")</f>
        <v>No hi ha historial de caminades disponible</v>
      </c>
      <c r="AM367" s="4" t="str">
        <f>IFERROR(__xludf.DUMMYFUNCTION("GOOGLETRANSLATE(B367,""en"",""nl"")"),"Geen trektochtgeschiedenis beschikbaar")</f>
        <v>Geen trektochtgeschiedenis beschikbaar</v>
      </c>
      <c r="AN367" s="4" t="str">
        <f>IFERROR(__xludf.DUMMYFUNCTION("GOOGLETRANSLATE(B367,""en"",""he"")"),"אין היסטוריית טרק זמינה")</f>
        <v>אין היסטוריית טרק זמינה</v>
      </c>
      <c r="AO367" s="4" t="str">
        <f>IFERROR(__xludf.DUMMYFUNCTION("GOOGLETRANSLATE(B367,""en"",""is"")"),"Engin ferðasaga í boði")</f>
        <v>Engin ferðasaga í boði</v>
      </c>
      <c r="AP367" s="4" t="str">
        <f>IFERROR(__xludf.DUMMYFUNCTION("GOOGLETRANSLATE(B367,""en"",""no"")"),"Ingen turhistorikk tilgjengelig")</f>
        <v>Ingen turhistorikk tilgjengelig</v>
      </c>
      <c r="AQ367" s="4" t="str">
        <f>IFERROR(__xludf.DUMMYFUNCTION("GOOGLETRANSLATE(B367,""en"",""fa"")"),"سابقه سفر در دسترس نیست")</f>
        <v>سابقه سفر در دسترس نیست</v>
      </c>
      <c r="AR367" s="4" t="str">
        <f>IFERROR(__xludf.DUMMYFUNCTION("GOOGLETRANSLATE(B367,""en"",""pl"")"),"Brak dostępnej historii wypraw")</f>
        <v>Brak dostępnej historii wypraw</v>
      </c>
      <c r="AS367" s="4" t="str">
        <f>IFERROR(__xludf.DUMMYFUNCTION("GOOGLETRANSLATE(B367,""en"",""sv"")"),"Ingen vandringshistorik tillgänglig")</f>
        <v>Ingen vandringshistorik tillgänglig</v>
      </c>
      <c r="AT367" s="4" t="str">
        <f>IFERROR(__xludf.DUMMYFUNCTION("GOOGLETRANSLATE(B367,""en"",""uk"")"),"Історія походів недоступна")</f>
        <v>Історія походів недоступна</v>
      </c>
      <c r="AU367" s="4" t="str">
        <f>IFERROR(__xludf.DUMMYFUNCTION("GOOGLETRANSLATE(B367,""en"",""zu"")"),"Awukho umlando wohambo otholakalayo")</f>
        <v>Awukho umlando wohambo otholakalayo</v>
      </c>
      <c r="AV367" s="4" t="str">
        <f>IFERROR(__xludf.DUMMYFUNCTION("GOOGLETRANSLATE(B367,""en"",""sr"")"),"Није доступна историја путовања")</f>
        <v>Није доступна историја путовања</v>
      </c>
    </row>
    <row r="368">
      <c r="A368" s="3" t="s">
        <v>725</v>
      </c>
      <c r="B368" s="3" t="s">
        <v>726</v>
      </c>
      <c r="C368" s="4" t="str">
        <f>IFERROR(__xludf.DUMMYFUNCTION("GOOGLETRANSLATE(B368,""en"",""ta"")"),"ட்ரெக்கை நீக்கு")</f>
        <v>ட்ரெக்கை நீக்கு</v>
      </c>
      <c r="D368" s="4" t="str">
        <f>IFERROR(__xludf.DUMMYFUNCTION("GOOGLETRANSLATE(B368,""en"",""hi"")"),"ट्रेक हटाएँ")</f>
        <v>ट्रेक हटाएँ</v>
      </c>
      <c r="E368" s="4" t="str">
        <f>IFERROR(__xludf.DUMMYFUNCTION("GOOGLETRANSLATE(B368,""en"",""id"")"),"Hapus Trek")</f>
        <v>Hapus Trek</v>
      </c>
      <c r="F368" s="4" t="str">
        <f>IFERROR(__xludf.DUMMYFUNCTION("GOOGLETRANSLATE(B368,""en"",""ms"")"),"Padamkan Trek")</f>
        <v>Padamkan Trek</v>
      </c>
      <c r="G368" s="4" t="str">
        <f>IFERROR(__xludf.DUMMYFUNCTION("GOOGLETRANSLATE(B368,""en"",""de"")"),"Trek löschen")</f>
        <v>Trek löschen</v>
      </c>
      <c r="H368" s="4" t="str">
        <f>IFERROR(__xludf.DUMMYFUNCTION("GOOGLETRANSLATE(B368,""en"",""es"")"),"Eliminar Trek")</f>
        <v>Eliminar Trek</v>
      </c>
      <c r="I368" s="4" t="str">
        <f>IFERROR(__xludf.DUMMYFUNCTION("GOOGLETRANSLATE(B368,""en"",""fr"")"),"Supprimer Trek")</f>
        <v>Supprimer Trek</v>
      </c>
      <c r="J368" s="4" t="str">
        <f>IFERROR(__xludf.DUMMYFUNCTION("GOOGLETRANSLATE(B368,""en"",""it"")"),"Elimina Trek")</f>
        <v>Elimina Trek</v>
      </c>
      <c r="K368" s="4" t="str">
        <f>IFERROR(__xludf.DUMMYFUNCTION("GOOGLETRANSLATE(B368,""en"",""pt"")"),"Excluir Trek")</f>
        <v>Excluir Trek</v>
      </c>
      <c r="L368" s="4" t="str">
        <f>IFERROR(__xludf.DUMMYFUNCTION("GOOGLETRANSLATE(B368,""en"",""ro"")"),"Ștergeți Trek")</f>
        <v>Ștergeți Trek</v>
      </c>
      <c r="M368" s="4" t="str">
        <f>IFERROR(__xludf.DUMMYFUNCTION("GOOGLETRANSLATE(B368,""en"",""vi"")"),"Xóa Trek")</f>
        <v>Xóa Trek</v>
      </c>
      <c r="N368" s="4" t="str">
        <f>IFERROR(__xludf.DUMMYFUNCTION("GOOGLETRANSLATE(B368,""en"",""ru"")"),"Удалить Трек")</f>
        <v>Удалить Трек</v>
      </c>
      <c r="O368" s="4" t="str">
        <f>IFERROR(__xludf.DUMMYFUNCTION("GOOGLETRANSLATE(B368,""en"",""tr"")"),"Trek'i Sil")</f>
        <v>Trek'i Sil</v>
      </c>
      <c r="P368" s="4" t="str">
        <f>IFERROR(__xludf.DUMMYFUNCTION("GOOGLETRANSLATE(B368,""en"",""ar"")"),"حذف تريك")</f>
        <v>حذف تريك</v>
      </c>
      <c r="Q368" s="4" t="str">
        <f>IFERROR(__xludf.DUMMYFUNCTION("GOOGLETRANSLATE(B368,""en"",""mr"")"),"ट्रेक हटवा")</f>
        <v>ट्रेक हटवा</v>
      </c>
      <c r="R368" s="4" t="str">
        <f>IFERROR(__xludf.DUMMYFUNCTION("GOOGLETRANSLATE(B368,""en"",""gu"")"),"ટ્રેક કાઢી નાખો")</f>
        <v>ટ્રેક કાઢી નાખો</v>
      </c>
      <c r="S368" s="4" t="str">
        <f>IFERROR(__xludf.DUMMYFUNCTION("GOOGLETRANSLATE(B368,""en"",""bn"")"),"ট্রেক মুছুন")</f>
        <v>ট্রেক মুছুন</v>
      </c>
      <c r="T368" s="4" t="str">
        <f>IFERROR(__xludf.DUMMYFUNCTION("GOOGLETRANSLATE(B368,""en"",""pa"")"),"ਟ੍ਰੈਕ ਮਿਟਾਓ")</f>
        <v>ਟ੍ਰੈਕ ਮਿਟਾਓ</v>
      </c>
      <c r="U368" s="4" t="str">
        <f>IFERROR(__xludf.DUMMYFUNCTION("GOOGLETRANSLATE(B368,""en"",""te"")"),"ట్రెక్‌ను తొలగించండి")</f>
        <v>ట్రెక్‌ను తొలగించండి</v>
      </c>
      <c r="V368" s="4" t="str">
        <f>IFERROR(__xludf.DUMMYFUNCTION("GOOGLETRANSLATE(B368,""en"",""kn"")"),"ಟ್ರೆಕ್ ಅನ್ನು ಅಳಿಸಿ")</f>
        <v>ಟ್ರೆಕ್ ಅನ್ನು ಅಳಿಸಿ</v>
      </c>
      <c r="W368" s="4" t="str">
        <f>IFERROR(__xludf.DUMMYFUNCTION("GOOGLETRANSLATE(B368,""en"",""ml"")"),"ട്രെക്ക് ഇല്ലാതാക്കുക")</f>
        <v>ട്രെക്ക് ഇല്ലാതാക്കുക</v>
      </c>
      <c r="X368" s="4" t="str">
        <f>IFERROR(__xludf.DUMMYFUNCTION("GOOGLETRANSLATE(B368,""en"",""th"")"),"ลบการเดินทาง")</f>
        <v>ลบการเดินทาง</v>
      </c>
      <c r="Y368" s="4" t="str">
        <f>IFERROR(__xludf.DUMMYFUNCTION("GOOGLETRANSLATE(B368,""en"",""ko"")"),"트렉 삭제")</f>
        <v>트렉 삭제</v>
      </c>
      <c r="Z368" s="4" t="str">
        <f>IFERROR(__xludf.DUMMYFUNCTION("GOOGLETRANSLATE(B368,""en"",""zh"")"),"删除 Trek")</f>
        <v>删除 Trek</v>
      </c>
      <c r="AA368" s="4" t="str">
        <f>IFERROR(__xludf.DUMMYFUNCTION("GOOGLETRANSLATE(B368,""en"",""zh-TW"")"),"刪除 Trek")</f>
        <v>刪除 Trek</v>
      </c>
      <c r="AB368" s="4" t="str">
        <f>IFERROR(__xludf.DUMMYFUNCTION("GOOGLETRANSLATE(B368,""en"",""ja"")"),"トレックを削除")</f>
        <v>トレックを削除</v>
      </c>
      <c r="AC368" s="4" t="str">
        <f>IFERROR(__xludf.DUMMYFUNCTION("GOOGLETRANSLATE(B368,""en"",""bg"")"),"Изтриване на Trek")</f>
        <v>Изтриване на Trek</v>
      </c>
      <c r="AD368" s="4" t="str">
        <f>IFERROR(__xludf.DUMMYFUNCTION("GOOGLETRANSLATE(B368,""en"",""cs"")"),"Smazat Trek")</f>
        <v>Smazat Trek</v>
      </c>
      <c r="AE368" s="4" t="str">
        <f>IFERROR(__xludf.DUMMYFUNCTION("GOOGLETRANSLATE(B368,""en"",""da"")"),"Slet Trek")</f>
        <v>Slet Trek</v>
      </c>
      <c r="AF368" s="4" t="str">
        <f>IFERROR(__xludf.DUMMYFUNCTION("GOOGLETRANSLATE(B368,""en"",""el"")"),"Διαγραφή Trek")</f>
        <v>Διαγραφή Trek</v>
      </c>
      <c r="AG368" s="4" t="str">
        <f>IFERROR(__xludf.DUMMYFUNCTION("GOOGLETRANSLATE(B368,""en"",""et"")"),"Kustuta Trek")</f>
        <v>Kustuta Trek</v>
      </c>
      <c r="AH368" s="4" t="str">
        <f>IFERROR(__xludf.DUMMYFUNCTION("GOOGLETRANSLATE(B368,""en"",""fi"")"),"Poista Trek")</f>
        <v>Poista Trek</v>
      </c>
      <c r="AI368" s="4" t="str">
        <f>IFERROR(__xludf.DUMMYFUNCTION("GOOGLETRANSLATE(B368,""en"",""hr"")"),"Izbriši Trek")</f>
        <v>Izbriši Trek</v>
      </c>
      <c r="AJ368" s="4" t="str">
        <f>IFERROR(__xludf.DUMMYFUNCTION("GOOGLETRANSLATE(B368,""en"",""hu"")"),"Trek törlése")</f>
        <v>Trek törlése</v>
      </c>
      <c r="AK368" s="4" t="str">
        <f>IFERROR(__xludf.DUMMYFUNCTION("GOOGLETRANSLATE(B368,""en"",""hy"")"),"Ջնջել Trek-ը")</f>
        <v>Ջնջել Trek-ը</v>
      </c>
      <c r="AL368" s="4" t="str">
        <f>IFERROR(__xludf.DUMMYFUNCTION("GOOGLETRANSLATE(B368,""en"",""ca"")"),"Suprimeix Trek")</f>
        <v>Suprimeix Trek</v>
      </c>
      <c r="AM368" s="4" t="str">
        <f>IFERROR(__xludf.DUMMYFUNCTION("GOOGLETRANSLATE(B368,""en"",""nl"")"),"Trek verwijderen")</f>
        <v>Trek verwijderen</v>
      </c>
      <c r="AN368" s="4" t="str">
        <f>IFERROR(__xludf.DUMMYFUNCTION("GOOGLETRANSLATE(B368,""en"",""he"")"),"מחק טרק")</f>
        <v>מחק טרק</v>
      </c>
      <c r="AO368" s="4" t="str">
        <f>IFERROR(__xludf.DUMMYFUNCTION("GOOGLETRANSLATE(B368,""en"",""is"")"),"Eyða Trek")</f>
        <v>Eyða Trek</v>
      </c>
      <c r="AP368" s="4" t="str">
        <f>IFERROR(__xludf.DUMMYFUNCTION("GOOGLETRANSLATE(B368,""en"",""no"")"),"Slett Trek")</f>
        <v>Slett Trek</v>
      </c>
      <c r="AQ368" s="4" t="str">
        <f>IFERROR(__xludf.DUMMYFUNCTION("GOOGLETRANSLATE(B368,""en"",""fa"")"),"Trek را حذف کنید")</f>
        <v>Trek را حذف کنید</v>
      </c>
      <c r="AR368" s="4" t="str">
        <f>IFERROR(__xludf.DUMMYFUNCTION("GOOGLETRANSLATE(B368,""en"",""pl"")"),"Usuń Trek")</f>
        <v>Usuń Trek</v>
      </c>
      <c r="AS368" s="4" t="str">
        <f>IFERROR(__xludf.DUMMYFUNCTION("GOOGLETRANSLATE(B368,""en"",""sv"")"),"Ta bort Trek")</f>
        <v>Ta bort Trek</v>
      </c>
      <c r="AT368" s="4" t="str">
        <f>IFERROR(__xludf.DUMMYFUNCTION("GOOGLETRANSLATE(B368,""en"",""uk"")"),"Видалити Trek")</f>
        <v>Видалити Trek</v>
      </c>
      <c r="AU368" s="4" t="str">
        <f>IFERROR(__xludf.DUMMYFUNCTION("GOOGLETRANSLATE(B368,""en"",""zu"")"),"Susa i-Trek")</f>
        <v>Susa i-Trek</v>
      </c>
      <c r="AV368" s="4" t="str">
        <f>IFERROR(__xludf.DUMMYFUNCTION("GOOGLETRANSLATE(B368,""en"",""sr"")"),"Избриши Трек")</f>
        <v>Избриши Трек</v>
      </c>
    </row>
    <row r="369">
      <c r="A369" s="3" t="s">
        <v>727</v>
      </c>
      <c r="B369" s="3" t="s">
        <v>728</v>
      </c>
      <c r="C369" s="4" t="str">
        <f>IFERROR(__xludf.DUMMYFUNCTION("GOOGLETRANSLATE(B369,""en"",""ta"")"),"இந்த மலையேற்றத்தை நிச்சயமாக நீக்க விரும்புகிறீர்களா?")</f>
        <v>இந்த மலையேற்றத்தை நிச்சயமாக நீக்க விரும்புகிறீர்களா?</v>
      </c>
      <c r="D369" s="4" t="str">
        <f>IFERROR(__xludf.DUMMYFUNCTION("GOOGLETRANSLATE(B369,""en"",""hi"")"),"क्या आप वाकई इस ट्रेक को हटाना चाहते हैं?")</f>
        <v>क्या आप वाकई इस ट्रेक को हटाना चाहते हैं?</v>
      </c>
      <c r="E369" s="4" t="str">
        <f>IFERROR(__xludf.DUMMYFUNCTION("GOOGLETRANSLATE(B369,""en"",""id"")"),"Apakah Anda yakin ingin menghapus perjalanan ini?")</f>
        <v>Apakah Anda yakin ingin menghapus perjalanan ini?</v>
      </c>
      <c r="F369" s="4" t="str">
        <f>IFERROR(__xludf.DUMMYFUNCTION("GOOGLETRANSLATE(B369,""en"",""ms"")"),"Adakah anda pasti mahu memadamkan perjalanan ini?")</f>
        <v>Adakah anda pasti mahu memadamkan perjalanan ini?</v>
      </c>
      <c r="G369" s="4" t="str">
        <f>IFERROR(__xludf.DUMMYFUNCTION("GOOGLETRANSLATE(B369,""en"",""de"")"),"Möchten Sie diese Wanderung wirklich löschen?")</f>
        <v>Möchten Sie diese Wanderung wirklich löschen?</v>
      </c>
      <c r="H369" s="4" t="str">
        <f>IFERROR(__xludf.DUMMYFUNCTION("GOOGLETRANSLATE(B369,""en"",""es"")"),"¿Estás seguro que deseas eliminar esta caminata?")</f>
        <v>¿Estás seguro que deseas eliminar esta caminata?</v>
      </c>
      <c r="I369" s="4" t="str">
        <f>IFERROR(__xludf.DUMMYFUNCTION("GOOGLETRANSLATE(B369,""en"",""fr"")"),"Êtes-vous sûr de vouloir supprimer ce trek ?")</f>
        <v>Êtes-vous sûr de vouloir supprimer ce trek ?</v>
      </c>
      <c r="J369" s="4" t="str">
        <f>IFERROR(__xludf.DUMMYFUNCTION("GOOGLETRANSLATE(B369,""en"",""it"")"),"Sei sicuro di voler eliminare questo trekking?")</f>
        <v>Sei sicuro di voler eliminare questo trekking?</v>
      </c>
      <c r="K369" s="4" t="str">
        <f>IFERROR(__xludf.DUMMYFUNCTION("GOOGLETRANSLATE(B369,""en"",""pt"")"),"Tem certeza de que deseja excluir esta trilha?")</f>
        <v>Tem certeza de que deseja excluir esta trilha?</v>
      </c>
      <c r="L369" s="4" t="str">
        <f>IFERROR(__xludf.DUMMYFUNCTION("GOOGLETRANSLATE(B369,""en"",""ro"")"),"Sigur doriți să ștergeți această călătorie?")</f>
        <v>Sigur doriți să ștergeți această călătorie?</v>
      </c>
      <c r="M369" s="4" t="str">
        <f>IFERROR(__xludf.DUMMYFUNCTION("GOOGLETRANSLATE(B369,""en"",""vi"")"),"Bạn có chắc chắn muốn xóa chuyến đi này không?")</f>
        <v>Bạn có chắc chắn muốn xóa chuyến đi này không?</v>
      </c>
      <c r="N369" s="4" t="str">
        <f>IFERROR(__xludf.DUMMYFUNCTION("GOOGLETRANSLATE(B369,""en"",""ru"")"),"Вы уверены, что хотите удалить этот трек?")</f>
        <v>Вы уверены, что хотите удалить этот трек?</v>
      </c>
      <c r="O369" s="4" t="str">
        <f>IFERROR(__xludf.DUMMYFUNCTION("GOOGLETRANSLATE(B369,""en"",""tr"")"),"Bu yürüyüşü silmek istediğinizden emin misiniz?")</f>
        <v>Bu yürüyüşü silmek istediğinizden emin misiniz?</v>
      </c>
      <c r="P369" s="4" t="str">
        <f>IFERROR(__xludf.DUMMYFUNCTION("GOOGLETRANSLATE(B369,""en"",""ar"")"),"هل أنت متأكد أنك تريد حذف هذه الرحلة؟")</f>
        <v>هل أنت متأكد أنك تريد حذف هذه الرحلة؟</v>
      </c>
      <c r="Q369" s="4" t="str">
        <f>IFERROR(__xludf.DUMMYFUNCTION("GOOGLETRANSLATE(B369,""en"",""mr"")"),"तुम्हाला हा ट्रेक नक्की हटवायचा आहे का?")</f>
        <v>तुम्हाला हा ट्रेक नक्की हटवायचा आहे का?</v>
      </c>
      <c r="R369" s="4" t="str">
        <f>IFERROR(__xludf.DUMMYFUNCTION("GOOGLETRANSLATE(B369,""en"",""gu"")"),"શું તમે ખરેખર આ ટ્રેક ડિલીટ કરવા માંગો છો?")</f>
        <v>શું તમે ખરેખર આ ટ્રેક ડિલીટ કરવા માંગો છો?</v>
      </c>
      <c r="S369" s="4" t="str">
        <f>IFERROR(__xludf.DUMMYFUNCTION("GOOGLETRANSLATE(B369,""en"",""bn"")"),"আপনি কি নিশ্চিত আপনি এই ট্রেক মুছে ফেলতে চান?")</f>
        <v>আপনি কি নিশ্চিত আপনি এই ট্রেক মুছে ফেলতে চান?</v>
      </c>
      <c r="T369" s="4" t="str">
        <f>IFERROR(__xludf.DUMMYFUNCTION("GOOGLETRANSLATE(B369,""en"",""pa"")"),"ਕੀ ਤੁਸੀਂ ਯਕੀਨੀ ਤੌਰ 'ਤੇ ਇਸ ਯਾਤਰਾ ਨੂੰ ਮਿਟਾਉਣਾ ਚਾਹੁੰਦੇ ਹੋ?")</f>
        <v>ਕੀ ਤੁਸੀਂ ਯਕੀਨੀ ਤੌਰ 'ਤੇ ਇਸ ਯਾਤਰਾ ਨੂੰ ਮਿਟਾਉਣਾ ਚਾਹੁੰਦੇ ਹੋ?</v>
      </c>
      <c r="U369" s="4" t="str">
        <f>IFERROR(__xludf.DUMMYFUNCTION("GOOGLETRANSLATE(B369,""en"",""te"")"),"మీరు ఖచ్చితంగా ఈ ట్రెక్‌ని తొలగించాలనుకుంటున్నారా?")</f>
        <v>మీరు ఖచ్చితంగా ఈ ట్రెక్‌ని తొలగించాలనుకుంటున్నారా?</v>
      </c>
      <c r="V369" s="4" t="str">
        <f>IFERROR(__xludf.DUMMYFUNCTION("GOOGLETRANSLATE(B369,""en"",""kn"")"),"ಈ ಚಾರಣವನ್ನು ಅಳಿಸಲು ನೀವು ಖಚಿತವಾಗಿ ಬಯಸುವಿರಾ?")</f>
        <v>ಈ ಚಾರಣವನ್ನು ಅಳಿಸಲು ನೀವು ಖಚಿತವಾಗಿ ಬಯಸುವಿರಾ?</v>
      </c>
      <c r="W369" s="4" t="str">
        <f>IFERROR(__xludf.DUMMYFUNCTION("GOOGLETRANSLATE(B369,""en"",""ml"")"),"ഈ ട്രെക്ക് ഇല്ലാതാക്കണമെന്ന് തീർച്ചയാണോ?")</f>
        <v>ഈ ട്രെക്ക് ഇല്ലാതാക്കണമെന്ന് തീർച്ചയാണോ?</v>
      </c>
      <c r="X369" s="4" t="str">
        <f>IFERROR(__xludf.DUMMYFUNCTION("GOOGLETRANSLATE(B369,""en"",""th"")"),"คุณแน่ใจว่าต้องการลบการเดินทางนี้หรือไม่?")</f>
        <v>คุณแน่ใจว่าต้องการลบการเดินทางนี้หรือไม่?</v>
      </c>
      <c r="Y369" s="4" t="str">
        <f>IFERROR(__xludf.DUMMYFUNCTION("GOOGLETRANSLATE(B369,""en"",""ko"")"),"이 트렉을 삭제하시겠습니까?")</f>
        <v>이 트렉을 삭제하시겠습니까?</v>
      </c>
      <c r="Z369" s="4" t="str">
        <f>IFERROR(__xludf.DUMMYFUNCTION("GOOGLETRANSLATE(B369,""en"",""zh"")"),"您确定要删除此行程吗？")</f>
        <v>您确定要删除此行程吗？</v>
      </c>
      <c r="AA369" s="4" t="str">
        <f>IFERROR(__xludf.DUMMYFUNCTION("GOOGLETRANSLATE(B369,""en"",""zh-TW"")"),"您確定要刪除此行程嗎？")</f>
        <v>您確定要刪除此行程嗎？</v>
      </c>
      <c r="AB369" s="4" t="str">
        <f>IFERROR(__xludf.DUMMYFUNCTION("GOOGLETRANSLATE(B369,""en"",""ja"")"),"このトレッキングを削除してもよろしいですか?")</f>
        <v>このトレッキングを削除してもよろしいですか?</v>
      </c>
      <c r="AC369" s="4" t="str">
        <f>IFERROR(__xludf.DUMMYFUNCTION("GOOGLETRANSLATE(B369,""en"",""bg"")"),"Сигурни ли сте, че искате да изтриете това пътуване?")</f>
        <v>Сигурни ли сте, че искате да изтриете това пътуване?</v>
      </c>
      <c r="AD369" s="4" t="str">
        <f>IFERROR(__xludf.DUMMYFUNCTION("GOOGLETRANSLATE(B369,""en"",""cs"")"),"Opravdu chcete tento trek smazat?")</f>
        <v>Opravdu chcete tento trek smazat?</v>
      </c>
      <c r="AE369" s="4" t="str">
        <f>IFERROR(__xludf.DUMMYFUNCTION("GOOGLETRANSLATE(B369,""en"",""da"")"),"Er du sikker på, at du vil slette denne tur?")</f>
        <v>Er du sikker på, at du vil slette denne tur?</v>
      </c>
      <c r="AF369" s="4" t="str">
        <f>IFERROR(__xludf.DUMMYFUNCTION("GOOGLETRANSLATE(B369,""en"",""el"")"),"Είστε βέβαιοι ότι θέλετε να διαγράψετε αυτό το ταξίδι;")</f>
        <v>Είστε βέβαιοι ότι θέλετε να διαγράψετε αυτό το ταξίδι;</v>
      </c>
      <c r="AG369" s="4" t="str">
        <f>IFERROR(__xludf.DUMMYFUNCTION("GOOGLETRANSLATE(B369,""en"",""et"")"),"Kas olete kindel, et soovite selle matka kustutada?")</f>
        <v>Kas olete kindel, et soovite selle matka kustutada?</v>
      </c>
      <c r="AH369" s="4" t="str">
        <f>IFERROR(__xludf.DUMMYFUNCTION("GOOGLETRANSLATE(B369,""en"",""fi"")"),"Haluatko varmasti poistaa tämän vaelluksen?")</f>
        <v>Haluatko varmasti poistaa tämän vaelluksen?</v>
      </c>
      <c r="AI369" s="4" t="str">
        <f>IFERROR(__xludf.DUMMYFUNCTION("GOOGLETRANSLATE(B369,""en"",""hr"")"),"Jeste li sigurni da želite izbrisati ovo putovanje?")</f>
        <v>Jeste li sigurni da želite izbrisati ovo putovanje?</v>
      </c>
      <c r="AJ369" s="4" t="str">
        <f>IFERROR(__xludf.DUMMYFUNCTION("GOOGLETRANSLATE(B369,""en"",""hu"")"),"Biztosan törli ezt a túrát?")</f>
        <v>Biztosan törli ezt a túrát?</v>
      </c>
      <c r="AK369" s="4" t="str">
        <f>IFERROR(__xludf.DUMMYFUNCTION("GOOGLETRANSLATE(B369,""en"",""hy"")"),"Իսկապե՞ս ուզում եք ջնջել այս արշավը:")</f>
        <v>Իսկապե՞ս ուզում եք ջնջել այս արշավը:</v>
      </c>
      <c r="AL369" s="4" t="str">
        <f>IFERROR(__xludf.DUMMYFUNCTION("GOOGLETRANSLATE(B369,""en"",""ca"")"),"Esteu segur que voleu suprimir aquesta ruta?")</f>
        <v>Esteu segur que voleu suprimir aquesta ruta?</v>
      </c>
      <c r="AM369" s="4" t="str">
        <f>IFERROR(__xludf.DUMMYFUNCTION("GOOGLETRANSLATE(B369,""en"",""nl"")"),"Weet u zeker dat u deze tocht wilt verwijderen?")</f>
        <v>Weet u zeker dat u deze tocht wilt verwijderen?</v>
      </c>
      <c r="AN369" s="4" t="str">
        <f>IFERROR(__xludf.DUMMYFUNCTION("GOOGLETRANSLATE(B369,""en"",""he"")"),"האם אתה בטוח שברצונך למחוק את הטרק הזה?")</f>
        <v>האם אתה בטוח שברצונך למחוק את הטרק הזה?</v>
      </c>
      <c r="AO369" s="4" t="str">
        <f>IFERROR(__xludf.DUMMYFUNCTION("GOOGLETRANSLATE(B369,""en"",""is"")"),"Ertu viss um að þú viljir eyða þessari ferð?")</f>
        <v>Ertu viss um að þú viljir eyða þessari ferð?</v>
      </c>
      <c r="AP369" s="4" t="str">
        <f>IFERROR(__xludf.DUMMYFUNCTION("GOOGLETRANSLATE(B369,""en"",""no"")"),"Er du sikker på at du vil slette denne vandringen?")</f>
        <v>Er du sikker på at du vil slette denne vandringen?</v>
      </c>
      <c r="AQ369" s="4" t="str">
        <f>IFERROR(__xludf.DUMMYFUNCTION("GOOGLETRANSLATE(B369,""en"",""fa"")"),"آیا مطمئنید که می خواهید این سفر را حذف کنید؟")</f>
        <v>آیا مطمئنید که می خواهید این سفر را حذف کنید؟</v>
      </c>
      <c r="AR369" s="4" t="str">
        <f>IFERROR(__xludf.DUMMYFUNCTION("GOOGLETRANSLATE(B369,""en"",""pl"")"),"Czy na pewno chcesz usunąć tę trasę?")</f>
        <v>Czy na pewno chcesz usunąć tę trasę?</v>
      </c>
      <c r="AS369" s="4" t="str">
        <f>IFERROR(__xludf.DUMMYFUNCTION("GOOGLETRANSLATE(B369,""en"",""sv"")"),"Är du säker på att du vill ta bort den här vandringen?")</f>
        <v>Är du säker på att du vill ta bort den här vandringen?</v>
      </c>
      <c r="AT369" s="4" t="str">
        <f>IFERROR(__xludf.DUMMYFUNCTION("GOOGLETRANSLATE(B369,""en"",""uk"")"),"Ви впевнені, що хочете видалити цей маршрут?")</f>
        <v>Ви впевнені, що хочете видалити цей маршрут?</v>
      </c>
      <c r="AU369" s="4" t="str">
        <f>IFERROR(__xludf.DUMMYFUNCTION("GOOGLETRANSLATE(B369,""en"",""zu"")"),"Uqinisekile ukuthi ufuna ukususa lolu hambo?")</f>
        <v>Uqinisekile ukuthi ufuna ukususa lolu hambo?</v>
      </c>
      <c r="AV369" s="4" t="str">
        <f>IFERROR(__xludf.DUMMYFUNCTION("GOOGLETRANSLATE(B369,""en"",""sr"")"),"Да ли сте сигурни да желите да избришете овај пут?")</f>
        <v>Да ли сте сигурни да желите да избришете овај пут?</v>
      </c>
    </row>
    <row r="370">
      <c r="A370" s="3" t="s">
        <v>729</v>
      </c>
      <c r="B370" s="3" t="s">
        <v>357</v>
      </c>
      <c r="C370" s="4" t="str">
        <f>IFERROR(__xludf.DUMMYFUNCTION("GOOGLETRANSLATE(B370,""en"",""ta"")"),"ரத்து செய்")</f>
        <v>ரத்து செய்</v>
      </c>
      <c r="D370" s="4" t="str">
        <f>IFERROR(__xludf.DUMMYFUNCTION("GOOGLETRANSLATE(B370,""en"",""hi"")"),"रद्द करना")</f>
        <v>रद्द करना</v>
      </c>
      <c r="E370" s="4" t="str">
        <f>IFERROR(__xludf.DUMMYFUNCTION("GOOGLETRANSLATE(B370,""en"",""id"")"),"Membatalkan")</f>
        <v>Membatalkan</v>
      </c>
      <c r="F370" s="4" t="str">
        <f>IFERROR(__xludf.DUMMYFUNCTION("GOOGLETRANSLATE(B370,""en"",""ms"")"),"Batal")</f>
        <v>Batal</v>
      </c>
      <c r="G370" s="4" t="str">
        <f>IFERROR(__xludf.DUMMYFUNCTION("GOOGLETRANSLATE(B370,""en"",""de"")"),"Stornieren")</f>
        <v>Stornieren</v>
      </c>
      <c r="H370" s="4" t="str">
        <f>IFERROR(__xludf.DUMMYFUNCTION("GOOGLETRANSLATE(B370,""en"",""es"")"),"Cancelar")</f>
        <v>Cancelar</v>
      </c>
      <c r="I370" s="4" t="str">
        <f>IFERROR(__xludf.DUMMYFUNCTION("GOOGLETRANSLATE(B370,""en"",""fr"")"),"Annuler")</f>
        <v>Annuler</v>
      </c>
      <c r="J370" s="4" t="str">
        <f>IFERROR(__xludf.DUMMYFUNCTION("GOOGLETRANSLATE(B370,""en"",""it"")"),"Cancellare")</f>
        <v>Cancellare</v>
      </c>
      <c r="K370" s="4" t="str">
        <f>IFERROR(__xludf.DUMMYFUNCTION("GOOGLETRANSLATE(B370,""en"",""pt"")"),"Cancelar")</f>
        <v>Cancelar</v>
      </c>
      <c r="L370" s="4" t="str">
        <f>IFERROR(__xludf.DUMMYFUNCTION("GOOGLETRANSLATE(B370,""en"",""ro"")"),"Anula")</f>
        <v>Anula</v>
      </c>
      <c r="M370" s="4" t="str">
        <f>IFERROR(__xludf.DUMMYFUNCTION("GOOGLETRANSLATE(B370,""en"",""vi"")"),"Hủy bỏ")</f>
        <v>Hủy bỏ</v>
      </c>
      <c r="N370" s="4" t="str">
        <f>IFERROR(__xludf.DUMMYFUNCTION("GOOGLETRANSLATE(B370,""en"",""ru"")"),"Отмена")</f>
        <v>Отмена</v>
      </c>
      <c r="O370" s="4" t="str">
        <f>IFERROR(__xludf.DUMMYFUNCTION("GOOGLETRANSLATE(B370,""en"",""tr"")"),"İptal etmek")</f>
        <v>İptal etmek</v>
      </c>
      <c r="P370" s="4" t="str">
        <f>IFERROR(__xludf.DUMMYFUNCTION("GOOGLETRANSLATE(B370,""en"",""ar"")"),"يلغي")</f>
        <v>يلغي</v>
      </c>
      <c r="Q370" s="4" t="str">
        <f>IFERROR(__xludf.DUMMYFUNCTION("GOOGLETRANSLATE(B370,""en"",""mr"")"),"रद्द करा")</f>
        <v>रद्द करा</v>
      </c>
      <c r="R370" s="4" t="str">
        <f>IFERROR(__xludf.DUMMYFUNCTION("GOOGLETRANSLATE(B370,""en"",""gu"")"),"રદ કરો")</f>
        <v>રદ કરો</v>
      </c>
      <c r="S370" s="4" t="str">
        <f>IFERROR(__xludf.DUMMYFUNCTION("GOOGLETRANSLATE(B370,""en"",""bn"")"),"বাতিল করুন")</f>
        <v>বাতিল করুন</v>
      </c>
      <c r="T370" s="4" t="str">
        <f>IFERROR(__xludf.DUMMYFUNCTION("GOOGLETRANSLATE(B370,""en"",""pa"")"),"ਰੱਦ ਕਰੋ")</f>
        <v>ਰੱਦ ਕਰੋ</v>
      </c>
      <c r="U370" s="4" t="str">
        <f>IFERROR(__xludf.DUMMYFUNCTION("GOOGLETRANSLATE(B370,""en"",""te"")"),"రద్దు చేయి")</f>
        <v>రద్దు చేయి</v>
      </c>
      <c r="V370" s="4" t="str">
        <f>IFERROR(__xludf.DUMMYFUNCTION("GOOGLETRANSLATE(B370,""en"",""kn"")"),"ರದ್ದುಮಾಡು")</f>
        <v>ರದ್ದುಮಾಡು</v>
      </c>
      <c r="W370" s="4" t="str">
        <f>IFERROR(__xludf.DUMMYFUNCTION("GOOGLETRANSLATE(B370,""en"",""ml"")"),"റദ്ദാക്കുക")</f>
        <v>റദ്ദാക്കുക</v>
      </c>
      <c r="X370" s="4" t="str">
        <f>IFERROR(__xludf.DUMMYFUNCTION("GOOGLETRANSLATE(B370,""en"",""th"")"),"ยกเลิก")</f>
        <v>ยกเลิก</v>
      </c>
      <c r="Y370" s="4" t="str">
        <f>IFERROR(__xludf.DUMMYFUNCTION("GOOGLETRANSLATE(B370,""en"",""ko"")"),"취소")</f>
        <v>취소</v>
      </c>
      <c r="Z370" s="4" t="str">
        <f>IFERROR(__xludf.DUMMYFUNCTION("GOOGLETRANSLATE(B370,""en"",""zh"")"),"取消")</f>
        <v>取消</v>
      </c>
      <c r="AA370" s="4" t="str">
        <f>IFERROR(__xludf.DUMMYFUNCTION("GOOGLETRANSLATE(B370,""en"",""zh-TW"")"),"取消")</f>
        <v>取消</v>
      </c>
      <c r="AB370" s="4" t="str">
        <f>IFERROR(__xludf.DUMMYFUNCTION("GOOGLETRANSLATE(B370,""en"",""ja"")"),"キャンセル")</f>
        <v>キャンセル</v>
      </c>
      <c r="AC370" s="4" t="str">
        <f>IFERROR(__xludf.DUMMYFUNCTION("GOOGLETRANSLATE(B370,""en"",""bg"")"),"Отказ")</f>
        <v>Отказ</v>
      </c>
      <c r="AD370" s="4" t="str">
        <f>IFERROR(__xludf.DUMMYFUNCTION("GOOGLETRANSLATE(B370,""en"",""cs"")"),"Zrušit")</f>
        <v>Zrušit</v>
      </c>
      <c r="AE370" s="4" t="str">
        <f>IFERROR(__xludf.DUMMYFUNCTION("GOOGLETRANSLATE(B370,""en"",""da"")"),"Ophæve")</f>
        <v>Ophæve</v>
      </c>
      <c r="AF370" s="4" t="str">
        <f>IFERROR(__xludf.DUMMYFUNCTION("GOOGLETRANSLATE(B370,""en"",""el"")"),"Ματαίωση")</f>
        <v>Ματαίωση</v>
      </c>
      <c r="AG370" s="4" t="str">
        <f>IFERROR(__xludf.DUMMYFUNCTION("GOOGLETRANSLATE(B370,""en"",""et"")"),"Tühista")</f>
        <v>Tühista</v>
      </c>
      <c r="AH370" s="4" t="str">
        <f>IFERROR(__xludf.DUMMYFUNCTION("GOOGLETRANSLATE(B370,""en"",""fi"")"),"Peruuttaa")</f>
        <v>Peruuttaa</v>
      </c>
      <c r="AI370" s="4" t="str">
        <f>IFERROR(__xludf.DUMMYFUNCTION("GOOGLETRANSLATE(B370,""en"",""hr"")"),"Otkazati")</f>
        <v>Otkazati</v>
      </c>
      <c r="AJ370" s="4" t="str">
        <f>IFERROR(__xludf.DUMMYFUNCTION("GOOGLETRANSLATE(B370,""en"",""hu"")"),"Mégsem")</f>
        <v>Mégsem</v>
      </c>
      <c r="AK370" s="4" t="str">
        <f>IFERROR(__xludf.DUMMYFUNCTION("GOOGLETRANSLATE(B370,""en"",""hy"")"),"Չեղարկել")</f>
        <v>Չեղարկել</v>
      </c>
      <c r="AL370" s="4" t="str">
        <f>IFERROR(__xludf.DUMMYFUNCTION("GOOGLETRANSLATE(B370,""en"",""ca"")"),"Cancel·la")</f>
        <v>Cancel·la</v>
      </c>
      <c r="AM370" s="4" t="str">
        <f>IFERROR(__xludf.DUMMYFUNCTION("GOOGLETRANSLATE(B370,""en"",""nl"")"),"Annuleren")</f>
        <v>Annuleren</v>
      </c>
      <c r="AN370" s="4" t="str">
        <f>IFERROR(__xludf.DUMMYFUNCTION("GOOGLETRANSLATE(B370,""en"",""he"")"),"לְבַטֵל")</f>
        <v>לְבַטֵל</v>
      </c>
      <c r="AO370" s="4" t="str">
        <f>IFERROR(__xludf.DUMMYFUNCTION("GOOGLETRANSLATE(B370,""en"",""is"")"),"Hætta við")</f>
        <v>Hætta við</v>
      </c>
      <c r="AP370" s="4" t="str">
        <f>IFERROR(__xludf.DUMMYFUNCTION("GOOGLETRANSLATE(B370,""en"",""no"")"),"Kansellere")</f>
        <v>Kansellere</v>
      </c>
      <c r="AQ370" s="4" t="str">
        <f>IFERROR(__xludf.DUMMYFUNCTION("GOOGLETRANSLATE(B370,""en"",""fa"")"),"لغو کنید")</f>
        <v>لغو کنید</v>
      </c>
      <c r="AR370" s="4" t="str">
        <f>IFERROR(__xludf.DUMMYFUNCTION("GOOGLETRANSLATE(B370,""en"",""pl"")"),"Anulować")</f>
        <v>Anulować</v>
      </c>
      <c r="AS370" s="4" t="str">
        <f>IFERROR(__xludf.DUMMYFUNCTION("GOOGLETRANSLATE(B370,""en"",""sv"")"),"Avboka")</f>
        <v>Avboka</v>
      </c>
      <c r="AT370" s="4" t="str">
        <f>IFERROR(__xludf.DUMMYFUNCTION("GOOGLETRANSLATE(B370,""en"",""uk"")"),"Скасувати")</f>
        <v>Скасувати</v>
      </c>
      <c r="AU370" s="4" t="str">
        <f>IFERROR(__xludf.DUMMYFUNCTION("GOOGLETRANSLATE(B370,""en"",""zu"")"),"Khansela")</f>
        <v>Khansela</v>
      </c>
      <c r="AV370" s="4" t="str">
        <f>IFERROR(__xludf.DUMMYFUNCTION("GOOGLETRANSLATE(B370,""en"",""sr"")"),"Откажи")</f>
        <v>Откажи</v>
      </c>
    </row>
    <row r="371">
      <c r="A371" s="3" t="s">
        <v>730</v>
      </c>
      <c r="B371" s="3" t="s">
        <v>731</v>
      </c>
      <c r="C371" s="4" t="str">
        <f>IFERROR(__xludf.DUMMYFUNCTION("GOOGLETRANSLATE(B371,""en"",""ta"")"),"நீக்கு")</f>
        <v>நீக்கு</v>
      </c>
      <c r="D371" s="4" t="str">
        <f>IFERROR(__xludf.DUMMYFUNCTION("GOOGLETRANSLATE(B371,""en"",""hi"")"),"मिटाना")</f>
        <v>मिटाना</v>
      </c>
      <c r="E371" s="4" t="str">
        <f>IFERROR(__xludf.DUMMYFUNCTION("GOOGLETRANSLATE(B371,""en"",""id"")"),"Menghapus")</f>
        <v>Menghapus</v>
      </c>
      <c r="F371" s="4" t="str">
        <f>IFERROR(__xludf.DUMMYFUNCTION("GOOGLETRANSLATE(B371,""en"",""ms"")"),"Padam")</f>
        <v>Padam</v>
      </c>
      <c r="G371" s="4" t="str">
        <f>IFERROR(__xludf.DUMMYFUNCTION("GOOGLETRANSLATE(B371,""en"",""de"")"),"Löschen")</f>
        <v>Löschen</v>
      </c>
      <c r="H371" s="4" t="str">
        <f>IFERROR(__xludf.DUMMYFUNCTION("GOOGLETRANSLATE(B371,""en"",""es"")"),"Borrar")</f>
        <v>Borrar</v>
      </c>
      <c r="I371" s="4" t="str">
        <f>IFERROR(__xludf.DUMMYFUNCTION("GOOGLETRANSLATE(B371,""en"",""fr"")"),"Supprimer")</f>
        <v>Supprimer</v>
      </c>
      <c r="J371" s="4" t="str">
        <f>IFERROR(__xludf.DUMMYFUNCTION("GOOGLETRANSLATE(B371,""en"",""it"")"),"Eliminare")</f>
        <v>Eliminare</v>
      </c>
      <c r="K371" s="4" t="str">
        <f>IFERROR(__xludf.DUMMYFUNCTION("GOOGLETRANSLATE(B371,""en"",""pt"")"),"Excluir")</f>
        <v>Excluir</v>
      </c>
      <c r="L371" s="4" t="str">
        <f>IFERROR(__xludf.DUMMYFUNCTION("GOOGLETRANSLATE(B371,""en"",""ro"")"),"Şterge")</f>
        <v>Şterge</v>
      </c>
      <c r="M371" s="4" t="str">
        <f>IFERROR(__xludf.DUMMYFUNCTION("GOOGLETRANSLATE(B371,""en"",""vi"")"),"Xóa bỏ")</f>
        <v>Xóa bỏ</v>
      </c>
      <c r="N371" s="4" t="str">
        <f>IFERROR(__xludf.DUMMYFUNCTION("GOOGLETRANSLATE(B371,""en"",""ru"")"),"Удалить")</f>
        <v>Удалить</v>
      </c>
      <c r="O371" s="4" t="str">
        <f>IFERROR(__xludf.DUMMYFUNCTION("GOOGLETRANSLATE(B371,""en"",""tr"")"),"Silmek")</f>
        <v>Silmek</v>
      </c>
      <c r="P371" s="4" t="str">
        <f>IFERROR(__xludf.DUMMYFUNCTION("GOOGLETRANSLATE(B371,""en"",""ar"")"),"يمسح")</f>
        <v>يمسح</v>
      </c>
      <c r="Q371" s="4" t="str">
        <f>IFERROR(__xludf.DUMMYFUNCTION("GOOGLETRANSLATE(B371,""en"",""mr"")"),"हटवा")</f>
        <v>हटवा</v>
      </c>
      <c r="R371" s="4" t="str">
        <f>IFERROR(__xludf.DUMMYFUNCTION("GOOGLETRANSLATE(B371,""en"",""gu"")"),"કાઢી નાખો")</f>
        <v>કાઢી નાખો</v>
      </c>
      <c r="S371" s="4" t="str">
        <f>IFERROR(__xludf.DUMMYFUNCTION("GOOGLETRANSLATE(B371,""en"",""bn"")"),"মুছে দিন")</f>
        <v>মুছে দিন</v>
      </c>
      <c r="T371" s="4" t="str">
        <f>IFERROR(__xludf.DUMMYFUNCTION("GOOGLETRANSLATE(B371,""en"",""pa"")"),"ਮਿਟਾਓ")</f>
        <v>ਮਿਟਾਓ</v>
      </c>
      <c r="U371" s="4" t="str">
        <f>IFERROR(__xludf.DUMMYFUNCTION("GOOGLETRANSLATE(B371,""en"",""te"")"),"తొలగించు")</f>
        <v>తొలగించు</v>
      </c>
      <c r="V371" s="4" t="str">
        <f>IFERROR(__xludf.DUMMYFUNCTION("GOOGLETRANSLATE(B371,""en"",""kn"")"),"ಅಳಿಸಿ")</f>
        <v>ಅಳಿಸಿ</v>
      </c>
      <c r="W371" s="4" t="str">
        <f>IFERROR(__xludf.DUMMYFUNCTION("GOOGLETRANSLATE(B371,""en"",""ml"")"),"ഇല്ലാതാക്കുക")</f>
        <v>ഇല്ലാതാക്കുക</v>
      </c>
      <c r="X371" s="4" t="str">
        <f>IFERROR(__xludf.DUMMYFUNCTION("GOOGLETRANSLATE(B371,""en"",""th"")"),"ลบ")</f>
        <v>ลบ</v>
      </c>
      <c r="Y371" s="4" t="str">
        <f>IFERROR(__xludf.DUMMYFUNCTION("GOOGLETRANSLATE(B371,""en"",""ko"")"),"삭제")</f>
        <v>삭제</v>
      </c>
      <c r="Z371" s="4" t="str">
        <f>IFERROR(__xludf.DUMMYFUNCTION("GOOGLETRANSLATE(B371,""en"",""zh"")"),"删除")</f>
        <v>删除</v>
      </c>
      <c r="AA371" s="4" t="str">
        <f>IFERROR(__xludf.DUMMYFUNCTION("GOOGLETRANSLATE(B371,""en"",""zh-TW"")"),"刪除")</f>
        <v>刪除</v>
      </c>
      <c r="AB371" s="4" t="str">
        <f>IFERROR(__xludf.DUMMYFUNCTION("GOOGLETRANSLATE(B371,""en"",""ja"")"),"消去")</f>
        <v>消去</v>
      </c>
      <c r="AC371" s="4" t="str">
        <f>IFERROR(__xludf.DUMMYFUNCTION("GOOGLETRANSLATE(B371,""en"",""bg"")"),"Изтриване")</f>
        <v>Изтриване</v>
      </c>
      <c r="AD371" s="4" t="str">
        <f>IFERROR(__xludf.DUMMYFUNCTION("GOOGLETRANSLATE(B371,""en"",""cs"")"),"Vymazat")</f>
        <v>Vymazat</v>
      </c>
      <c r="AE371" s="4" t="str">
        <f>IFERROR(__xludf.DUMMYFUNCTION("GOOGLETRANSLATE(B371,""en"",""da"")"),"Slet")</f>
        <v>Slet</v>
      </c>
      <c r="AF371" s="4" t="str">
        <f>IFERROR(__xludf.DUMMYFUNCTION("GOOGLETRANSLATE(B371,""en"",""el"")"),"Διαγράφω")</f>
        <v>Διαγράφω</v>
      </c>
      <c r="AG371" s="4" t="str">
        <f>IFERROR(__xludf.DUMMYFUNCTION("GOOGLETRANSLATE(B371,""en"",""et"")"),"Kustuta")</f>
        <v>Kustuta</v>
      </c>
      <c r="AH371" s="4" t="str">
        <f>IFERROR(__xludf.DUMMYFUNCTION("GOOGLETRANSLATE(B371,""en"",""fi"")"),"Poistaa")</f>
        <v>Poistaa</v>
      </c>
      <c r="AI371" s="4" t="str">
        <f>IFERROR(__xludf.DUMMYFUNCTION("GOOGLETRANSLATE(B371,""en"",""hr"")"),"Izbrisati")</f>
        <v>Izbrisati</v>
      </c>
      <c r="AJ371" s="4" t="str">
        <f>IFERROR(__xludf.DUMMYFUNCTION("GOOGLETRANSLATE(B371,""en"",""hu"")"),"Töröl")</f>
        <v>Töröl</v>
      </c>
      <c r="AK371" s="4" t="str">
        <f>IFERROR(__xludf.DUMMYFUNCTION("GOOGLETRANSLATE(B371,""en"",""hy"")"),"Ջնջել")</f>
        <v>Ջնջել</v>
      </c>
      <c r="AL371" s="4" t="str">
        <f>IFERROR(__xludf.DUMMYFUNCTION("GOOGLETRANSLATE(B371,""en"",""ca"")"),"Suprimeix")</f>
        <v>Suprimeix</v>
      </c>
      <c r="AM371" s="4" t="str">
        <f>IFERROR(__xludf.DUMMYFUNCTION("GOOGLETRANSLATE(B371,""en"",""nl"")"),"Verwijderen")</f>
        <v>Verwijderen</v>
      </c>
      <c r="AN371" s="4" t="str">
        <f>IFERROR(__xludf.DUMMYFUNCTION("GOOGLETRANSLATE(B371,""en"",""he"")"),"לִמְחוֹק")</f>
        <v>לִמְחוֹק</v>
      </c>
      <c r="AO371" s="4" t="str">
        <f>IFERROR(__xludf.DUMMYFUNCTION("GOOGLETRANSLATE(B371,""en"",""is"")"),"Eyða")</f>
        <v>Eyða</v>
      </c>
      <c r="AP371" s="4" t="str">
        <f>IFERROR(__xludf.DUMMYFUNCTION("GOOGLETRANSLATE(B371,""en"",""no"")"),"Slett")</f>
        <v>Slett</v>
      </c>
      <c r="AQ371" s="4" t="str">
        <f>IFERROR(__xludf.DUMMYFUNCTION("GOOGLETRANSLATE(B371,""en"",""fa"")"),"حذف کنید")</f>
        <v>حذف کنید</v>
      </c>
      <c r="AR371" s="4" t="str">
        <f>IFERROR(__xludf.DUMMYFUNCTION("GOOGLETRANSLATE(B371,""en"",""pl"")"),"Usuwać")</f>
        <v>Usuwać</v>
      </c>
      <c r="AS371" s="4" t="str">
        <f>IFERROR(__xludf.DUMMYFUNCTION("GOOGLETRANSLATE(B371,""en"",""sv"")"),"Radera")</f>
        <v>Radera</v>
      </c>
      <c r="AT371" s="4" t="str">
        <f>IFERROR(__xludf.DUMMYFUNCTION("GOOGLETRANSLATE(B371,""en"",""uk"")"),"Видалити")</f>
        <v>Видалити</v>
      </c>
      <c r="AU371" s="4" t="str">
        <f>IFERROR(__xludf.DUMMYFUNCTION("GOOGLETRANSLATE(B371,""en"",""zu"")"),"Susa")</f>
        <v>Susa</v>
      </c>
      <c r="AV371" s="4" t="str">
        <f>IFERROR(__xludf.DUMMYFUNCTION("GOOGLETRANSLATE(B371,""en"",""sr"")"),"Избриши")</f>
        <v>Избриши</v>
      </c>
    </row>
    <row r="372">
      <c r="A372" s="3" t="s">
        <v>732</v>
      </c>
      <c r="B372" s="3" t="s">
        <v>553</v>
      </c>
      <c r="C372" s="4" t="str">
        <f>IFERROR(__xludf.DUMMYFUNCTION("GOOGLETRANSLATE(B372,""en"",""ta"")"),"கி.மீ")</f>
        <v>கி.மீ</v>
      </c>
      <c r="D372" s="4" t="str">
        <f>IFERROR(__xludf.DUMMYFUNCTION("GOOGLETRANSLATE(B372,""en"",""hi"")"),"किमी")</f>
        <v>किमी</v>
      </c>
      <c r="E372" s="4" t="str">
        <f>IFERROR(__xludf.DUMMYFUNCTION("GOOGLETRANSLATE(B372,""en"",""id"")"),"kilometer")</f>
        <v>kilometer</v>
      </c>
      <c r="F372" s="4" t="str">
        <f>IFERROR(__xludf.DUMMYFUNCTION("GOOGLETRANSLATE(B372,""en"",""ms"")"),"km")</f>
        <v>km</v>
      </c>
      <c r="G372" s="4" t="str">
        <f>IFERROR(__xludf.DUMMYFUNCTION("GOOGLETRANSLATE(B372,""en"",""de"")"),"km")</f>
        <v>km</v>
      </c>
      <c r="H372" s="4" t="str">
        <f>IFERROR(__xludf.DUMMYFUNCTION("GOOGLETRANSLATE(B372,""en"",""es"")"),"kilómetros")</f>
        <v>kilómetros</v>
      </c>
      <c r="I372" s="4" t="str">
        <f>IFERROR(__xludf.DUMMYFUNCTION("GOOGLETRANSLATE(B372,""en"",""fr"")"),"km")</f>
        <v>km</v>
      </c>
      <c r="J372" s="4" t="str">
        <f>IFERROR(__xludf.DUMMYFUNCTION("GOOGLETRANSLATE(B372,""en"",""it"")"),"chilometri")</f>
        <v>chilometri</v>
      </c>
      <c r="K372" s="4" t="str">
        <f>IFERROR(__xludf.DUMMYFUNCTION("GOOGLETRANSLATE(B372,""en"",""pt"")"),"quilômetros")</f>
        <v>quilômetros</v>
      </c>
      <c r="L372" s="4" t="str">
        <f>IFERROR(__xludf.DUMMYFUNCTION("GOOGLETRANSLATE(B372,""en"",""ro"")"),"km")</f>
        <v>km</v>
      </c>
      <c r="M372" s="4" t="str">
        <f>IFERROR(__xludf.DUMMYFUNCTION("GOOGLETRANSLATE(B372,""en"",""vi"")"),"km")</f>
        <v>km</v>
      </c>
      <c r="N372" s="4" t="str">
        <f>IFERROR(__xludf.DUMMYFUNCTION("GOOGLETRANSLATE(B372,""en"",""ru"")"),"км")</f>
        <v>км</v>
      </c>
      <c r="O372" s="4" t="str">
        <f>IFERROR(__xludf.DUMMYFUNCTION("GOOGLETRANSLATE(B372,""en"",""tr"")"),"km")</f>
        <v>km</v>
      </c>
      <c r="P372" s="4" t="str">
        <f>IFERROR(__xludf.DUMMYFUNCTION("GOOGLETRANSLATE(B372,""en"",""ar"")"),"كم")</f>
        <v>كم</v>
      </c>
      <c r="Q372" s="4" t="str">
        <f>IFERROR(__xludf.DUMMYFUNCTION("GOOGLETRANSLATE(B372,""en"",""mr"")"),"किमी")</f>
        <v>किमी</v>
      </c>
      <c r="R372" s="4" t="str">
        <f>IFERROR(__xludf.DUMMYFUNCTION("GOOGLETRANSLATE(B372,""en"",""gu"")"),"કિમી")</f>
        <v>કિમી</v>
      </c>
      <c r="S372" s="4" t="str">
        <f>IFERROR(__xludf.DUMMYFUNCTION("GOOGLETRANSLATE(B372,""en"",""bn"")"),"কিমি")</f>
        <v>কিমি</v>
      </c>
      <c r="T372" s="4" t="str">
        <f>IFERROR(__xludf.DUMMYFUNCTION("GOOGLETRANSLATE(B372,""en"",""pa"")"),"ਕਿਲੋਮੀਟਰ")</f>
        <v>ਕਿਲੋਮੀਟਰ</v>
      </c>
      <c r="U372" s="4" t="str">
        <f>IFERROR(__xludf.DUMMYFUNCTION("GOOGLETRANSLATE(B372,""en"",""te"")"),"కి.మీ")</f>
        <v>కి.మీ</v>
      </c>
      <c r="V372" s="4" t="str">
        <f>IFERROR(__xludf.DUMMYFUNCTION("GOOGLETRANSLATE(B372,""en"",""kn"")"),"ಕಿ.ಮೀ")</f>
        <v>ಕಿ.ಮೀ</v>
      </c>
      <c r="W372" s="4" t="str">
        <f>IFERROR(__xludf.DUMMYFUNCTION("GOOGLETRANSLATE(B372,""en"",""ml"")"),"കി.മീ")</f>
        <v>കി.മീ</v>
      </c>
      <c r="X372" s="4" t="str">
        <f>IFERROR(__xludf.DUMMYFUNCTION("GOOGLETRANSLATE(B372,""en"",""th"")"),"กม.")</f>
        <v>กม.</v>
      </c>
      <c r="Y372" s="4" t="str">
        <f>IFERROR(__xludf.DUMMYFUNCTION("GOOGLETRANSLATE(B372,""en"",""ko"")"),"킬로미터")</f>
        <v>킬로미터</v>
      </c>
      <c r="Z372" s="4" t="str">
        <f>IFERROR(__xludf.DUMMYFUNCTION("GOOGLETRANSLATE(B372,""en"",""zh"")"),"公里")</f>
        <v>公里</v>
      </c>
      <c r="AA372" s="4" t="str">
        <f>IFERROR(__xludf.DUMMYFUNCTION("GOOGLETRANSLATE(B372,""en"",""zh-TW"")"),"公里")</f>
        <v>公里</v>
      </c>
      <c r="AB372" s="4" t="str">
        <f>IFERROR(__xludf.DUMMYFUNCTION("GOOGLETRANSLATE(B372,""en"",""ja"")"),"キロ")</f>
        <v>キロ</v>
      </c>
      <c r="AC372" s="4" t="str">
        <f>IFERROR(__xludf.DUMMYFUNCTION("GOOGLETRANSLATE(B372,""en"",""bg"")"),"км")</f>
        <v>км</v>
      </c>
      <c r="AD372" s="4" t="str">
        <f>IFERROR(__xludf.DUMMYFUNCTION("GOOGLETRANSLATE(B372,""en"",""cs"")"),"km")</f>
        <v>km</v>
      </c>
      <c r="AE372" s="4" t="str">
        <f>IFERROR(__xludf.DUMMYFUNCTION("GOOGLETRANSLATE(B372,""en"",""da"")"),"km")</f>
        <v>km</v>
      </c>
      <c r="AF372" s="4" t="str">
        <f>IFERROR(__xludf.DUMMYFUNCTION("GOOGLETRANSLATE(B372,""en"",""el"")"),"χλμ")</f>
        <v>χλμ</v>
      </c>
      <c r="AG372" s="4" t="str">
        <f>IFERROR(__xludf.DUMMYFUNCTION("GOOGLETRANSLATE(B372,""en"",""et"")"),"km")</f>
        <v>km</v>
      </c>
      <c r="AH372" s="4" t="str">
        <f>IFERROR(__xludf.DUMMYFUNCTION("GOOGLETRANSLATE(B372,""en"",""fi"")"),"km")</f>
        <v>km</v>
      </c>
      <c r="AI372" s="4" t="str">
        <f>IFERROR(__xludf.DUMMYFUNCTION("GOOGLETRANSLATE(B372,""en"",""hr"")"),"km")</f>
        <v>km</v>
      </c>
      <c r="AJ372" s="4" t="str">
        <f>IFERROR(__xludf.DUMMYFUNCTION("GOOGLETRANSLATE(B372,""en"",""hu"")"),"km")</f>
        <v>km</v>
      </c>
      <c r="AK372" s="4" t="str">
        <f>IFERROR(__xludf.DUMMYFUNCTION("GOOGLETRANSLATE(B372,""en"",""hy"")"),"կմ")</f>
        <v>կմ</v>
      </c>
      <c r="AL372" s="4" t="str">
        <f>IFERROR(__xludf.DUMMYFUNCTION("GOOGLETRANSLATE(B372,""en"",""ca"")"),"km")</f>
        <v>km</v>
      </c>
      <c r="AM372" s="4" t="str">
        <f>IFERROR(__xludf.DUMMYFUNCTION("GOOGLETRANSLATE(B372,""en"",""nl"")"),"km")</f>
        <v>km</v>
      </c>
      <c r="AN372" s="4" t="str">
        <f>IFERROR(__xludf.DUMMYFUNCTION("GOOGLETRANSLATE(B372,""en"",""he"")"),"ק""מ")</f>
        <v>ק"מ</v>
      </c>
      <c r="AO372" s="4" t="str">
        <f>IFERROR(__xludf.DUMMYFUNCTION("GOOGLETRANSLATE(B372,""en"",""is"")"),"km")</f>
        <v>km</v>
      </c>
      <c r="AP372" s="4" t="str">
        <f>IFERROR(__xludf.DUMMYFUNCTION("GOOGLETRANSLATE(B372,""en"",""no"")"),"km")</f>
        <v>km</v>
      </c>
      <c r="AQ372" s="4" t="str">
        <f>IFERROR(__xludf.DUMMYFUNCTION("GOOGLETRANSLATE(B372,""en"",""fa"")"),"کیلومتر")</f>
        <v>کیلومتر</v>
      </c>
      <c r="AR372" s="4" t="str">
        <f>IFERROR(__xludf.DUMMYFUNCTION("GOOGLETRANSLATE(B372,""en"",""pl"")"),"km")</f>
        <v>km</v>
      </c>
      <c r="AS372" s="4" t="str">
        <f>IFERROR(__xludf.DUMMYFUNCTION("GOOGLETRANSLATE(B372,""en"",""sv"")"),"km")</f>
        <v>km</v>
      </c>
      <c r="AT372" s="4" t="str">
        <f>IFERROR(__xludf.DUMMYFUNCTION("GOOGLETRANSLATE(B372,""en"",""uk"")"),"км")</f>
        <v>км</v>
      </c>
      <c r="AU372" s="4" t="str">
        <f>IFERROR(__xludf.DUMMYFUNCTION("GOOGLETRANSLATE(B372,""en"",""zu"")"),"km")</f>
        <v>km</v>
      </c>
      <c r="AV372" s="4" t="str">
        <f>IFERROR(__xludf.DUMMYFUNCTION("GOOGLETRANSLATE(B372,""en"",""sr"")"),"км")</f>
        <v>км</v>
      </c>
    </row>
    <row r="373">
      <c r="A373" s="3" t="s">
        <v>733</v>
      </c>
      <c r="B373" s="3" t="s">
        <v>734</v>
      </c>
      <c r="C373" s="4" t="str">
        <f>IFERROR(__xludf.DUMMYFUNCTION("GOOGLETRANSLATE(B373,""en"",""ta"")"),"இன்று அதிகபட்ச வேகம்")</f>
        <v>இன்று அதிகபட்ச வேகம்</v>
      </c>
      <c r="D373" s="4" t="str">
        <f>IFERROR(__xludf.DUMMYFUNCTION("GOOGLETRANSLATE(B373,""en"",""hi"")"),"आज अधिकतम गति")</f>
        <v>आज अधिकतम गति</v>
      </c>
      <c r="E373" s="4" t="str">
        <f>IFERROR(__xludf.DUMMYFUNCTION("GOOGLETRANSLATE(B373,""en"",""id"")"),"Kecepatan Maksimum Hari Ini")</f>
        <v>Kecepatan Maksimum Hari Ini</v>
      </c>
      <c r="F373" s="4" t="str">
        <f>IFERROR(__xludf.DUMMYFUNCTION("GOOGLETRANSLATE(B373,""en"",""ms"")"),"Kelajuan Maks Hari Ini")</f>
        <v>Kelajuan Maks Hari Ini</v>
      </c>
      <c r="G373" s="4" t="str">
        <f>IFERROR(__xludf.DUMMYFUNCTION("GOOGLETRANSLATE(B373,""en"",""de"")"),"Höchstgeschwindigkeit heute")</f>
        <v>Höchstgeschwindigkeit heute</v>
      </c>
      <c r="H373" s="4" t="str">
        <f>IFERROR(__xludf.DUMMYFUNCTION("GOOGLETRANSLATE(B373,""en"",""es"")"),"Velocidad máxima hoy")</f>
        <v>Velocidad máxima hoy</v>
      </c>
      <c r="I373" s="4" t="str">
        <f>IFERROR(__xludf.DUMMYFUNCTION("GOOGLETRANSLATE(B373,""en"",""fr"")"),"Vitesse maximale aujourd'hui")</f>
        <v>Vitesse maximale aujourd'hui</v>
      </c>
      <c r="J373" s="4" t="str">
        <f>IFERROR(__xludf.DUMMYFUNCTION("GOOGLETRANSLATE(B373,""en"",""it"")"),"Velocità massima oggi")</f>
        <v>Velocità massima oggi</v>
      </c>
      <c r="K373" s="4" t="str">
        <f>IFERROR(__xludf.DUMMYFUNCTION("GOOGLETRANSLATE(B373,""en"",""pt"")"),"Velocidade máxima hoje")</f>
        <v>Velocidade máxima hoje</v>
      </c>
      <c r="L373" s="4" t="str">
        <f>IFERROR(__xludf.DUMMYFUNCTION("GOOGLETRANSLATE(B373,""en"",""ro"")"),"Viteza maximă astăzi")</f>
        <v>Viteza maximă astăzi</v>
      </c>
      <c r="M373" s="4" t="str">
        <f>IFERROR(__xludf.DUMMYFUNCTION("GOOGLETRANSLATE(B373,""en"",""vi"")"),"Tốc độ tối đa hôm nay")</f>
        <v>Tốc độ tối đa hôm nay</v>
      </c>
      <c r="N373" s="4" t="str">
        <f>IFERROR(__xludf.DUMMYFUNCTION("GOOGLETRANSLATE(B373,""en"",""ru"")"),"Максимальная скорость сегодня")</f>
        <v>Максимальная скорость сегодня</v>
      </c>
      <c r="O373" s="4" t="str">
        <f>IFERROR(__xludf.DUMMYFUNCTION("GOOGLETRANSLATE(B373,""en"",""tr"")"),"Bugün Maksimum Hız")</f>
        <v>Bugün Maksimum Hız</v>
      </c>
      <c r="P373" s="4" t="str">
        <f>IFERROR(__xludf.DUMMYFUNCTION("GOOGLETRANSLATE(B373,""en"",""ar"")"),"أقصى سرعة اليوم")</f>
        <v>أقصى سرعة اليوم</v>
      </c>
      <c r="Q373" s="4" t="str">
        <f>IFERROR(__xludf.DUMMYFUNCTION("GOOGLETRANSLATE(B373,""en"",""mr"")"),"आज कमाल गती")</f>
        <v>आज कमाल गती</v>
      </c>
      <c r="R373" s="4" t="str">
        <f>IFERROR(__xludf.DUMMYFUNCTION("GOOGLETRANSLATE(B373,""en"",""gu"")"),"આજે મહત્તમ ઝડપ")</f>
        <v>આજે મહત્તમ ઝડપ</v>
      </c>
      <c r="S373" s="4" t="str">
        <f>IFERROR(__xludf.DUMMYFUNCTION("GOOGLETRANSLATE(B373,""en"",""bn"")"),"আজ সর্বোচ্চ গতি")</f>
        <v>আজ সর্বোচ্চ গতি</v>
      </c>
      <c r="T373" s="4" t="str">
        <f>IFERROR(__xludf.DUMMYFUNCTION("GOOGLETRANSLATE(B373,""en"",""pa"")"),"ਅੱਜ ਦੀ ਵੱਧ ਤੋਂ ਵੱਧ ਸਪੀਡ")</f>
        <v>ਅੱਜ ਦੀ ਵੱਧ ਤੋਂ ਵੱਧ ਸਪੀਡ</v>
      </c>
      <c r="U373" s="4" t="str">
        <f>IFERROR(__xludf.DUMMYFUNCTION("GOOGLETRANSLATE(B373,""en"",""te"")"),"ఈరోజు గరిష్ట వేగం")</f>
        <v>ఈరోజు గరిష్ట వేగం</v>
      </c>
      <c r="V373" s="4" t="str">
        <f>IFERROR(__xludf.DUMMYFUNCTION("GOOGLETRANSLATE(B373,""en"",""kn"")"),"ಇಂದು ಗರಿಷ್ಠ ವೇಗ")</f>
        <v>ಇಂದು ಗರಿಷ್ಠ ವೇಗ</v>
      </c>
      <c r="W373" s="4" t="str">
        <f>IFERROR(__xludf.DUMMYFUNCTION("GOOGLETRANSLATE(B373,""en"",""ml"")"),"ഇന്നത്തെ പരമാവധി വേഗത")</f>
        <v>ഇന്നത്തെ പരമാവധി വേഗത</v>
      </c>
      <c r="X373" s="4" t="str">
        <f>IFERROR(__xludf.DUMMYFUNCTION("GOOGLETRANSLATE(B373,""en"",""th"")"),"ความเร็วสูงสุดวันนี้")</f>
        <v>ความเร็วสูงสุดวันนี้</v>
      </c>
      <c r="Y373" s="4" t="str">
        <f>IFERROR(__xludf.DUMMYFUNCTION("GOOGLETRANSLATE(B373,""en"",""ko"")"),"오늘의 최대 속도")</f>
        <v>오늘의 최대 속도</v>
      </c>
      <c r="Z373" s="4" t="str">
        <f>IFERROR(__xludf.DUMMYFUNCTION("GOOGLETRANSLATE(B373,""en"",""zh"")"),"今日最大速度")</f>
        <v>今日最大速度</v>
      </c>
      <c r="AA373" s="4" t="str">
        <f>IFERROR(__xludf.DUMMYFUNCTION("GOOGLETRANSLATE(B373,""en"",""zh-TW"")"),"今日最大速度")</f>
        <v>今日最大速度</v>
      </c>
      <c r="AB373" s="4" t="str">
        <f>IFERROR(__xludf.DUMMYFUNCTION("GOOGLETRANSLATE(B373,""en"",""ja"")"),"今日の最高速度")</f>
        <v>今日の最高速度</v>
      </c>
      <c r="AC373" s="4" t="str">
        <f>IFERROR(__xludf.DUMMYFUNCTION("GOOGLETRANSLATE(B373,""en"",""bg"")"),"Максимална скорост днес")</f>
        <v>Максимална скорост днес</v>
      </c>
      <c r="AD373" s="4" t="str">
        <f>IFERROR(__xludf.DUMMYFUNCTION("GOOGLETRANSLATE(B373,""en"",""cs"")"),"Maximální rychlost dnes")</f>
        <v>Maximální rychlost dnes</v>
      </c>
      <c r="AE373" s="4" t="str">
        <f>IFERROR(__xludf.DUMMYFUNCTION("GOOGLETRANSLATE(B373,""en"",""da"")"),"Max hastighed i dag")</f>
        <v>Max hastighed i dag</v>
      </c>
      <c r="AF373" s="4" t="str">
        <f>IFERROR(__xludf.DUMMYFUNCTION("GOOGLETRANSLATE(B373,""en"",""el"")"),"Μέγιστη ταχύτητα σήμερα")</f>
        <v>Μέγιστη ταχύτητα σήμερα</v>
      </c>
      <c r="AG373" s="4" t="str">
        <f>IFERROR(__xludf.DUMMYFUNCTION("GOOGLETRANSLATE(B373,""en"",""et"")"),"Maksimaalne kiirus täna")</f>
        <v>Maksimaalne kiirus täna</v>
      </c>
      <c r="AH373" s="4" t="str">
        <f>IFERROR(__xludf.DUMMYFUNCTION("GOOGLETRANSLATE(B373,""en"",""fi"")"),"Suurin nopeus tänään")</f>
        <v>Suurin nopeus tänään</v>
      </c>
      <c r="AI373" s="4" t="str">
        <f>IFERROR(__xludf.DUMMYFUNCTION("GOOGLETRANSLATE(B373,""en"",""hr"")"),"Maksimalna brzina danas")</f>
        <v>Maksimalna brzina danas</v>
      </c>
      <c r="AJ373" s="4" t="str">
        <f>IFERROR(__xludf.DUMMYFUNCTION("GOOGLETRANSLATE(B373,""en"",""hu"")"),"Max sebesség ma")</f>
        <v>Max sebesség ma</v>
      </c>
      <c r="AK373" s="4" t="str">
        <f>IFERROR(__xludf.DUMMYFUNCTION("GOOGLETRANSLATE(B373,""en"",""hy"")"),"Առավելագույն արագություն այսօր")</f>
        <v>Առավելագույն արագություն այսօր</v>
      </c>
      <c r="AL373" s="4" t="str">
        <f>IFERROR(__xludf.DUMMYFUNCTION("GOOGLETRANSLATE(B373,""en"",""ca"")"),"Velocitat màxima avui")</f>
        <v>Velocitat màxima avui</v>
      </c>
      <c r="AM373" s="4" t="str">
        <f>IFERROR(__xludf.DUMMYFUNCTION("GOOGLETRANSLATE(B373,""en"",""nl"")"),"Maximale snelheid vandaag")</f>
        <v>Maximale snelheid vandaag</v>
      </c>
      <c r="AN373" s="4" t="str">
        <f>IFERROR(__xludf.DUMMYFUNCTION("GOOGLETRANSLATE(B373,""en"",""he"")"),"מהירות מרבית היום")</f>
        <v>מהירות מרבית היום</v>
      </c>
      <c r="AO373" s="4" t="str">
        <f>IFERROR(__xludf.DUMMYFUNCTION("GOOGLETRANSLATE(B373,""en"",""is"")"),"Hámarkshraði í dag")</f>
        <v>Hámarkshraði í dag</v>
      </c>
      <c r="AP373" s="4" t="str">
        <f>IFERROR(__xludf.DUMMYFUNCTION("GOOGLETRANSLATE(B373,""en"",""no"")"),"Maks hastighet i dag")</f>
        <v>Maks hastighet i dag</v>
      </c>
      <c r="AQ373" s="4" t="str">
        <f>IFERROR(__xludf.DUMMYFUNCTION("GOOGLETRANSLATE(B373,""en"",""fa"")"),"حداکثر سرعت امروز")</f>
        <v>حداکثر سرعت امروز</v>
      </c>
      <c r="AR373" s="4" t="str">
        <f>IFERROR(__xludf.DUMMYFUNCTION("GOOGLETRANSLATE(B373,""en"",""pl"")"),"Maksymalna prędkość dzisiaj")</f>
        <v>Maksymalna prędkość dzisiaj</v>
      </c>
      <c r="AS373" s="4" t="str">
        <f>IFERROR(__xludf.DUMMYFUNCTION("GOOGLETRANSLATE(B373,""en"",""sv"")"),"Max hastighet idag")</f>
        <v>Max hastighet idag</v>
      </c>
      <c r="AT373" s="4" t="str">
        <f>IFERROR(__xludf.DUMMYFUNCTION("GOOGLETRANSLATE(B373,""en"",""uk"")"),"Максимальна швидкість сьогодні")</f>
        <v>Максимальна швидкість сьогодні</v>
      </c>
      <c r="AU373" s="4" t="str">
        <f>IFERROR(__xludf.DUMMYFUNCTION("GOOGLETRANSLATE(B373,""en"",""zu"")"),"Isivinini esiphezulu namuhla")</f>
        <v>Isivinini esiphezulu namuhla</v>
      </c>
      <c r="AV373" s="4" t="str">
        <f>IFERROR(__xludf.DUMMYFUNCTION("GOOGLETRANSLATE(B373,""en"",""sr"")"),"Максимална брзина данас")</f>
        <v>Максимална брзина данас</v>
      </c>
    </row>
    <row r="374">
      <c r="A374" s="3" t="s">
        <v>735</v>
      </c>
      <c r="B374" s="3" t="s">
        <v>736</v>
      </c>
      <c r="C374" s="4" t="str">
        <f>IFERROR(__xludf.DUMMYFUNCTION("GOOGLETRANSLATE(B374,""en"",""ta"")"),"எல்லா நேரத்திலும் அதிகபட்ச வேகம்")</f>
        <v>எல்லா நேரத்திலும் அதிகபட்ச வேகம்</v>
      </c>
      <c r="D374" s="4" t="str">
        <f>IFERROR(__xludf.DUMMYFUNCTION("GOOGLETRANSLATE(B374,""en"",""hi"")"),"अधिकतम गति सभी समय")</f>
        <v>अधिकतम गति सभी समय</v>
      </c>
      <c r="E374" s="4" t="str">
        <f>IFERROR(__xludf.DUMMYFUNCTION("GOOGLETRANSLATE(B374,""en"",""id"")"),"Kecepatan Maksimum Sepanjang Waktu")</f>
        <v>Kecepatan Maksimum Sepanjang Waktu</v>
      </c>
      <c r="F374" s="4" t="str">
        <f>IFERROR(__xludf.DUMMYFUNCTION("GOOGLETRANSLATE(B374,""en"",""ms"")"),"Kelajuan Maks Sepanjang Masa")</f>
        <v>Kelajuan Maks Sepanjang Masa</v>
      </c>
      <c r="G374" s="4" t="str">
        <f>IFERROR(__xludf.DUMMYFUNCTION("GOOGLETRANSLATE(B374,""en"",""de"")"),"Höchstgeschwindigkeit aller Zeiten")</f>
        <v>Höchstgeschwindigkeit aller Zeiten</v>
      </c>
      <c r="H374" s="4" t="str">
        <f>IFERROR(__xludf.DUMMYFUNCTION("GOOGLETRANSLATE(B374,""en"",""es"")"),"Velocidad máxima de todos los tiempos")</f>
        <v>Velocidad máxima de todos los tiempos</v>
      </c>
      <c r="I374" s="4" t="str">
        <f>IFERROR(__xludf.DUMMYFUNCTION("GOOGLETRANSLATE(B374,""en"",""fr"")"),"Vitesse maximale de tous les temps")</f>
        <v>Vitesse maximale de tous les temps</v>
      </c>
      <c r="J374" s="4" t="str">
        <f>IFERROR(__xludf.DUMMYFUNCTION("GOOGLETRANSLATE(B374,""en"",""it"")"),"Velocità massima di sempre")</f>
        <v>Velocità massima di sempre</v>
      </c>
      <c r="K374" s="4" t="str">
        <f>IFERROR(__xludf.DUMMYFUNCTION("GOOGLETRANSLATE(B374,""en"",""pt"")"),"Velocidade máxima de todos os tempos")</f>
        <v>Velocidade máxima de todos os tempos</v>
      </c>
      <c r="L374" s="4" t="str">
        <f>IFERROR(__xludf.DUMMYFUNCTION("GOOGLETRANSLATE(B374,""en"",""ro"")"),"Viteza maximă tot timpul")</f>
        <v>Viteza maximă tot timpul</v>
      </c>
      <c r="M374" s="4" t="str">
        <f>IFERROR(__xludf.DUMMYFUNCTION("GOOGLETRANSLATE(B374,""en"",""vi"")"),"Tốc độ tối đa mọi thời đại")</f>
        <v>Tốc độ tối đa mọi thời đại</v>
      </c>
      <c r="N374" s="4" t="str">
        <f>IFERROR(__xludf.DUMMYFUNCTION("GOOGLETRANSLATE(B374,""en"",""ru"")"),"Максимальная скорость за все время")</f>
        <v>Максимальная скорость за все время</v>
      </c>
      <c r="O374" s="4" t="str">
        <f>IFERROR(__xludf.DUMMYFUNCTION("GOOGLETRANSLATE(B374,""en"",""tr"")"),"Her Zaman Maksimum Hız")</f>
        <v>Her Zaman Maksimum Hız</v>
      </c>
      <c r="P374" s="4" t="str">
        <f>IFERROR(__xludf.DUMMYFUNCTION("GOOGLETRANSLATE(B374,""en"",""ar"")"),"أقصى سرعة في كل الأوقات")</f>
        <v>أقصى سرعة في كل الأوقات</v>
      </c>
      <c r="Q374" s="4" t="str">
        <f>IFERROR(__xludf.DUMMYFUNCTION("GOOGLETRANSLATE(B374,""en"",""mr"")"),"कमाल गती सर्व वेळ")</f>
        <v>कमाल गती सर्व वेळ</v>
      </c>
      <c r="R374" s="4" t="str">
        <f>IFERROR(__xludf.DUMMYFUNCTION("GOOGLETRANSLATE(B374,""en"",""gu"")"),"મેક્સ સ્પીડ ઓલ ટાઇમ")</f>
        <v>મેક્સ સ્પીડ ઓલ ટાઇમ</v>
      </c>
      <c r="S374" s="4" t="str">
        <f>IFERROR(__xludf.DUMMYFUNCTION("GOOGLETRANSLATE(B374,""en"",""bn"")"),"সর্বকালের সর্বোচ্চ গতি")</f>
        <v>সর্বকালের সর্বোচ্চ গতি</v>
      </c>
      <c r="T374" s="4" t="str">
        <f>IFERROR(__xludf.DUMMYFUNCTION("GOOGLETRANSLATE(B374,""en"",""pa"")"),"ਵੱਧ ਤੋਂ ਵੱਧ ਹਰ ਸਮੇਂ ਦੀ ਗਤੀ")</f>
        <v>ਵੱਧ ਤੋਂ ਵੱਧ ਹਰ ਸਮੇਂ ਦੀ ਗਤੀ</v>
      </c>
      <c r="U374" s="4" t="str">
        <f>IFERROR(__xludf.DUMMYFUNCTION("GOOGLETRANSLATE(B374,""en"",""te"")"),"గరిష్ట వేగం ఆల్ టైమ్")</f>
        <v>గరిష్ట వేగం ఆల్ టైమ్</v>
      </c>
      <c r="V374" s="4" t="str">
        <f>IFERROR(__xludf.DUMMYFUNCTION("GOOGLETRANSLATE(B374,""en"",""kn"")"),"ಸಾರ್ವಕಾಲಿಕ ಗರಿಷ್ಠ ವೇಗ")</f>
        <v>ಸಾರ್ವಕಾಲಿಕ ಗರಿಷ್ಠ ವೇಗ</v>
      </c>
      <c r="W374" s="4" t="str">
        <f>IFERROR(__xludf.DUMMYFUNCTION("GOOGLETRANSLATE(B374,""en"",""ml"")"),"എല്ലാ സമയത്തും പരമാവധി വേഗത")</f>
        <v>എല്ലാ സമയത്തും പരമാവധി വേഗത</v>
      </c>
      <c r="X374" s="4" t="str">
        <f>IFERROR(__xludf.DUMMYFUNCTION("GOOGLETRANSLATE(B374,""en"",""th"")"),"ความเร็วสูงสุดตลอดเวลา")</f>
        <v>ความเร็วสูงสุดตลอดเวลา</v>
      </c>
      <c r="Y374" s="4" t="str">
        <f>IFERROR(__xludf.DUMMYFUNCTION("GOOGLETRANSLATE(B374,""en"",""ko"")"),"역대 최고 속도")</f>
        <v>역대 최고 속도</v>
      </c>
      <c r="Z374" s="4" t="str">
        <f>IFERROR(__xludf.DUMMYFUNCTION("GOOGLETRANSLATE(B374,""en"",""zh"")"),"所有时间的最大速度")</f>
        <v>所有时间的最大速度</v>
      </c>
      <c r="AA374" s="4" t="str">
        <f>IFERROR(__xludf.DUMMYFUNCTION("GOOGLETRANSLATE(B374,""en"",""zh-TW"")"),"所有時間的最大速度")</f>
        <v>所有時間的最大速度</v>
      </c>
      <c r="AB374" s="4" t="str">
        <f>IFERROR(__xludf.DUMMYFUNCTION("GOOGLETRANSLATE(B374,""en"",""ja"")"),"史上最高速度")</f>
        <v>史上最高速度</v>
      </c>
      <c r="AC374" s="4" t="str">
        <f>IFERROR(__xludf.DUMMYFUNCTION("GOOGLETRANSLATE(B374,""en"",""bg"")"),"Максимална скорост за всички времена")</f>
        <v>Максимална скорост за всички времена</v>
      </c>
      <c r="AD374" s="4" t="str">
        <f>IFERROR(__xludf.DUMMYFUNCTION("GOOGLETRANSLATE(B374,""en"",""cs"")"),"Maximální rychlost za celou dobu")</f>
        <v>Maximální rychlost za celou dobu</v>
      </c>
      <c r="AE374" s="4" t="str">
        <f>IFERROR(__xludf.DUMMYFUNCTION("GOOGLETRANSLATE(B374,""en"",""da"")"),"Max hastighed hele tiden")</f>
        <v>Max hastighed hele tiden</v>
      </c>
      <c r="AF374" s="4" t="str">
        <f>IFERROR(__xludf.DUMMYFUNCTION("GOOGLETRANSLATE(B374,""en"",""el"")"),"Μέγιστη ταχύτητα όλων των εποχών")</f>
        <v>Μέγιστη ταχύτητα όλων των εποχών</v>
      </c>
      <c r="AG374" s="4" t="str">
        <f>IFERROR(__xludf.DUMMYFUNCTION("GOOGLETRANSLATE(B374,""en"",""et"")"),"Maksimaalne kiirus kogu aeg")</f>
        <v>Maksimaalne kiirus kogu aeg</v>
      </c>
      <c r="AH374" s="4" t="str">
        <f>IFERROR(__xludf.DUMMYFUNCTION("GOOGLETRANSLATE(B374,""en"",""fi"")"),"Kaikkien aikojen maksiminopeus")</f>
        <v>Kaikkien aikojen maksiminopeus</v>
      </c>
      <c r="AI374" s="4" t="str">
        <f>IFERROR(__xludf.DUMMYFUNCTION("GOOGLETRANSLATE(B374,""en"",""hr"")"),"Maksimalna brzina svih vremena")</f>
        <v>Maksimalna brzina svih vremena</v>
      </c>
      <c r="AJ374" s="4" t="str">
        <f>IFERROR(__xludf.DUMMYFUNCTION("GOOGLETRANSLATE(B374,""en"",""hu"")"),"Minden idők maximális sebessége")</f>
        <v>Minden idők maximális sebessége</v>
      </c>
      <c r="AK374" s="4" t="str">
        <f>IFERROR(__xludf.DUMMYFUNCTION("GOOGLETRANSLATE(B374,""en"",""hy"")"),"Առավելագույն արագություն բոլոր ժամանակներում")</f>
        <v>Առավելագույն արագություն բոլոր ժամանակներում</v>
      </c>
      <c r="AL374" s="4" t="str">
        <f>IFERROR(__xludf.DUMMYFUNCTION("GOOGLETRANSLATE(B374,""en"",""ca"")"),"Velocitat màxima tot el temps")</f>
        <v>Velocitat màxima tot el temps</v>
      </c>
      <c r="AM374" s="4" t="str">
        <f>IFERROR(__xludf.DUMMYFUNCTION("GOOGLETRANSLATE(B374,""en"",""nl"")"),"Maximale snelheid aller tijden")</f>
        <v>Maximale snelheid aller tijden</v>
      </c>
      <c r="AN374" s="4" t="str">
        <f>IFERROR(__xludf.DUMMYFUNCTION("GOOGLETRANSLATE(B374,""en"",""he"")"),"מהירות מרבית בכל הזמנים")</f>
        <v>מהירות מרבית בכל הזמנים</v>
      </c>
      <c r="AO374" s="4" t="str">
        <f>IFERROR(__xludf.DUMMYFUNCTION("GOOGLETRANSLATE(B374,""en"",""is"")"),"Hámarkshraði allan tímann")</f>
        <v>Hámarkshraði allan tímann</v>
      </c>
      <c r="AP374" s="4" t="str">
        <f>IFERROR(__xludf.DUMMYFUNCTION("GOOGLETRANSLATE(B374,""en"",""no"")"),"Maks hastighet hele tiden")</f>
        <v>Maks hastighet hele tiden</v>
      </c>
      <c r="AQ374" s="4" t="str">
        <f>IFERROR(__xludf.DUMMYFUNCTION("GOOGLETRANSLATE(B374,""en"",""fa"")"),"حداکثر سرعت در تمام زمان ها")</f>
        <v>حداکثر سرعت در تمام زمان ها</v>
      </c>
      <c r="AR374" s="4" t="str">
        <f>IFERROR(__xludf.DUMMYFUNCTION("GOOGLETRANSLATE(B374,""en"",""pl"")"),"Maksymalna prędkość wszech czasów")</f>
        <v>Maksymalna prędkość wszech czasów</v>
      </c>
      <c r="AS374" s="4" t="str">
        <f>IFERROR(__xludf.DUMMYFUNCTION("GOOGLETRANSLATE(B374,""en"",""sv"")"),"Max hastighet hela tiden")</f>
        <v>Max hastighet hela tiden</v>
      </c>
      <c r="AT374" s="4" t="str">
        <f>IFERROR(__xludf.DUMMYFUNCTION("GOOGLETRANSLATE(B374,""en"",""uk"")"),"Максимальна швидкість за весь час")</f>
        <v>Максимальна швидкість за весь час</v>
      </c>
      <c r="AU374" s="4" t="str">
        <f>IFERROR(__xludf.DUMMYFUNCTION("GOOGLETRANSLATE(B374,""en"",""zu"")"),"Isivinini esiphezulu Sonke Isikhathi")</f>
        <v>Isivinini esiphezulu Sonke Isikhathi</v>
      </c>
      <c r="AV374" s="4" t="str">
        <f>IFERROR(__xludf.DUMMYFUNCTION("GOOGLETRANSLATE(B374,""en"",""sr"")"),"Максимална брзина за све време")</f>
        <v>Максимална брзина за све време</v>
      </c>
    </row>
    <row r="375">
      <c r="A375" s="3" t="s">
        <v>737</v>
      </c>
      <c r="B375" s="3" t="s">
        <v>738</v>
      </c>
      <c r="C375" s="4" t="str">
        <f>IFERROR(__xludf.DUMMYFUNCTION("GOOGLETRANSLATE(B375,""en"",""ta"")"),"வேகத்தை மீட்டமைக்கவும்")</f>
        <v>வேகத்தை மீட்டமைக்கவும்</v>
      </c>
      <c r="D375" s="4" t="str">
        <f>IFERROR(__xludf.DUMMYFUNCTION("GOOGLETRANSLATE(B375,""en"",""hi"")"),"गति रीसेट करें")</f>
        <v>गति रीसेट करें</v>
      </c>
      <c r="E375" s="4" t="str">
        <f>IFERROR(__xludf.DUMMYFUNCTION("GOOGLETRANSLATE(B375,""en"",""id"")"),"Atur Ulang Kecepatan")</f>
        <v>Atur Ulang Kecepatan</v>
      </c>
      <c r="F375" s="4" t="str">
        <f>IFERROR(__xludf.DUMMYFUNCTION("GOOGLETRANSLATE(B375,""en"",""ms"")"),"Tetapkan Semula Kelajuan")</f>
        <v>Tetapkan Semula Kelajuan</v>
      </c>
      <c r="G375" s="4" t="str">
        <f>IFERROR(__xludf.DUMMYFUNCTION("GOOGLETRANSLATE(B375,""en"",""de"")"),"Rücksetzgeschwindigkeit")</f>
        <v>Rücksetzgeschwindigkeit</v>
      </c>
      <c r="H375" s="4" t="str">
        <f>IFERROR(__xludf.DUMMYFUNCTION("GOOGLETRANSLATE(B375,""en"",""es"")"),"Restablecer velocidad")</f>
        <v>Restablecer velocidad</v>
      </c>
      <c r="I375" s="4" t="str">
        <f>IFERROR(__xludf.DUMMYFUNCTION("GOOGLETRANSLATE(B375,""en"",""fr"")"),"Réinitialiser la vitesse")</f>
        <v>Réinitialiser la vitesse</v>
      </c>
      <c r="J375" s="4" t="str">
        <f>IFERROR(__xludf.DUMMYFUNCTION("GOOGLETRANSLATE(B375,""en"",""it"")"),"Ripristina velocità")</f>
        <v>Ripristina velocità</v>
      </c>
      <c r="K375" s="4" t="str">
        <f>IFERROR(__xludf.DUMMYFUNCTION("GOOGLETRANSLATE(B375,""en"",""pt"")"),"Redefinir velocidade")</f>
        <v>Redefinir velocidade</v>
      </c>
      <c r="L375" s="4" t="str">
        <f>IFERROR(__xludf.DUMMYFUNCTION("GOOGLETRANSLATE(B375,""en"",""ro"")"),"Resetați viteza")</f>
        <v>Resetați viteza</v>
      </c>
      <c r="M375" s="4" t="str">
        <f>IFERROR(__xludf.DUMMYFUNCTION("GOOGLETRANSLATE(B375,""en"",""vi"")"),"Đặt lại tốc độ")</f>
        <v>Đặt lại tốc độ</v>
      </c>
      <c r="N375" s="4" t="str">
        <f>IFERROR(__xludf.DUMMYFUNCTION("GOOGLETRANSLATE(B375,""en"",""ru"")"),"Сбросить скорость")</f>
        <v>Сбросить скорость</v>
      </c>
      <c r="O375" s="4" t="str">
        <f>IFERROR(__xludf.DUMMYFUNCTION("GOOGLETRANSLATE(B375,""en"",""tr"")"),"Hızı Sıfırla")</f>
        <v>Hızı Sıfırla</v>
      </c>
      <c r="P375" s="4" t="str">
        <f>IFERROR(__xludf.DUMMYFUNCTION("GOOGLETRANSLATE(B375,""en"",""ar"")"),"سرعة إعادة الضبط")</f>
        <v>سرعة إعادة الضبط</v>
      </c>
      <c r="Q375" s="4" t="str">
        <f>IFERROR(__xludf.DUMMYFUNCTION("GOOGLETRANSLATE(B375,""en"",""mr"")"),"गती रीसेट करा")</f>
        <v>गती रीसेट करा</v>
      </c>
      <c r="R375" s="4" t="str">
        <f>IFERROR(__xludf.DUMMYFUNCTION("GOOGLETRANSLATE(B375,""en"",""gu"")"),"રીસેટ ઝડપ")</f>
        <v>રીસેટ ઝડપ</v>
      </c>
      <c r="S375" s="4" t="str">
        <f>IFERROR(__xludf.DUMMYFUNCTION("GOOGLETRANSLATE(B375,""en"",""bn"")"),"গতি রিসেট করুন")</f>
        <v>গতি রিসেট করুন</v>
      </c>
      <c r="T375" s="4" t="str">
        <f>IFERROR(__xludf.DUMMYFUNCTION("GOOGLETRANSLATE(B375,""en"",""pa"")"),"ਸਪੀਡ ਰੀਸੈਟ ਕਰੋ")</f>
        <v>ਸਪੀਡ ਰੀਸੈਟ ਕਰੋ</v>
      </c>
      <c r="U375" s="4" t="str">
        <f>IFERROR(__xludf.DUMMYFUNCTION("GOOGLETRANSLATE(B375,""en"",""te"")"),"వేగాన్ని రీసెట్ చేయండి")</f>
        <v>వేగాన్ని రీసెట్ చేయండి</v>
      </c>
      <c r="V375" s="4" t="str">
        <f>IFERROR(__xludf.DUMMYFUNCTION("GOOGLETRANSLATE(B375,""en"",""kn"")"),"ವೇಗವನ್ನು ಮರುಹೊಂದಿಸಿ")</f>
        <v>ವೇಗವನ್ನು ಮರುಹೊಂದಿಸಿ</v>
      </c>
      <c r="W375" s="4" t="str">
        <f>IFERROR(__xludf.DUMMYFUNCTION("GOOGLETRANSLATE(B375,""en"",""ml"")"),"വേഗത പുനഃസജ്ജമാക്കുക")</f>
        <v>വേഗത പുനഃസജ്ജമാക്കുക</v>
      </c>
      <c r="X375" s="4" t="str">
        <f>IFERROR(__xludf.DUMMYFUNCTION("GOOGLETRANSLATE(B375,""en"",""th"")"),"รีเซ็ตความเร็ว")</f>
        <v>รีเซ็ตความเร็ว</v>
      </c>
      <c r="Y375" s="4" t="str">
        <f>IFERROR(__xludf.DUMMYFUNCTION("GOOGLETRANSLATE(B375,""en"",""ko"")"),"속도 재설정")</f>
        <v>속도 재설정</v>
      </c>
      <c r="Z375" s="4" t="str">
        <f>IFERROR(__xludf.DUMMYFUNCTION("GOOGLETRANSLATE(B375,""en"",""zh"")"),"重置速度")</f>
        <v>重置速度</v>
      </c>
      <c r="AA375" s="4" t="str">
        <f>IFERROR(__xludf.DUMMYFUNCTION("GOOGLETRANSLATE(B375,""en"",""zh-TW"")"),"重置速度")</f>
        <v>重置速度</v>
      </c>
      <c r="AB375" s="4" t="str">
        <f>IFERROR(__xludf.DUMMYFUNCTION("GOOGLETRANSLATE(B375,""en"",""ja"")"),"速度をリセット")</f>
        <v>速度をリセット</v>
      </c>
      <c r="AC375" s="4" t="str">
        <f>IFERROR(__xludf.DUMMYFUNCTION("GOOGLETRANSLATE(B375,""en"",""bg"")"),"Нулиране на скоростта")</f>
        <v>Нулиране на скоростта</v>
      </c>
      <c r="AD375" s="4" t="str">
        <f>IFERROR(__xludf.DUMMYFUNCTION("GOOGLETRANSLATE(B375,""en"",""cs"")"),"Obnovit rychlost")</f>
        <v>Obnovit rychlost</v>
      </c>
      <c r="AE375" s="4" t="str">
        <f>IFERROR(__xludf.DUMMYFUNCTION("GOOGLETRANSLATE(B375,""en"",""da"")"),"Nulstil hastighed")</f>
        <v>Nulstil hastighed</v>
      </c>
      <c r="AF375" s="4" t="str">
        <f>IFERROR(__xludf.DUMMYFUNCTION("GOOGLETRANSLATE(B375,""en"",""el"")"),"Επαναφορά ταχύτητας")</f>
        <v>Επαναφορά ταχύτητας</v>
      </c>
      <c r="AG375" s="4" t="str">
        <f>IFERROR(__xludf.DUMMYFUNCTION("GOOGLETRANSLATE(B375,""en"",""et"")"),"Lähtestage kiirus")</f>
        <v>Lähtestage kiirus</v>
      </c>
      <c r="AH375" s="4" t="str">
        <f>IFERROR(__xludf.DUMMYFUNCTION("GOOGLETRANSLATE(B375,""en"",""fi"")"),"Nollaa nopeus")</f>
        <v>Nollaa nopeus</v>
      </c>
      <c r="AI375" s="4" t="str">
        <f>IFERROR(__xludf.DUMMYFUNCTION("GOOGLETRANSLATE(B375,""en"",""hr"")"),"Poništi brzinu")</f>
        <v>Poništi brzinu</v>
      </c>
      <c r="AJ375" s="4" t="str">
        <f>IFERROR(__xludf.DUMMYFUNCTION("GOOGLETRANSLATE(B375,""en"",""hu"")"),"Sebesség visszaállítása")</f>
        <v>Sebesség visszaállítása</v>
      </c>
      <c r="AK375" s="4" t="str">
        <f>IFERROR(__xludf.DUMMYFUNCTION("GOOGLETRANSLATE(B375,""en"",""hy"")"),"Վերականգնել արագությունը")</f>
        <v>Վերականգնել արագությունը</v>
      </c>
      <c r="AL375" s="4" t="str">
        <f>IFERROR(__xludf.DUMMYFUNCTION("GOOGLETRANSLATE(B375,""en"",""ca"")"),"Restableix la velocitat")</f>
        <v>Restableix la velocitat</v>
      </c>
      <c r="AM375" s="4" t="str">
        <f>IFERROR(__xludf.DUMMYFUNCTION("GOOGLETRANSLATE(B375,""en"",""nl"")"),"Snelheid resetten")</f>
        <v>Snelheid resetten</v>
      </c>
      <c r="AN375" s="4" t="str">
        <f>IFERROR(__xludf.DUMMYFUNCTION("GOOGLETRANSLATE(B375,""en"",""he"")"),"איפוס מהירות")</f>
        <v>איפוס מהירות</v>
      </c>
      <c r="AO375" s="4" t="str">
        <f>IFERROR(__xludf.DUMMYFUNCTION("GOOGLETRANSLATE(B375,""en"",""is"")"),"Endurstilla hraða")</f>
        <v>Endurstilla hraða</v>
      </c>
      <c r="AP375" s="4" t="str">
        <f>IFERROR(__xludf.DUMMYFUNCTION("GOOGLETRANSLATE(B375,""en"",""no"")"),"Tilbakestill hastighet")</f>
        <v>Tilbakestill hastighet</v>
      </c>
      <c r="AQ375" s="4" t="str">
        <f>IFERROR(__xludf.DUMMYFUNCTION("GOOGLETRANSLATE(B375,""en"",""fa"")"),"تنظیم مجدد سرعت")</f>
        <v>تنظیم مجدد سرعت</v>
      </c>
      <c r="AR375" s="4" t="str">
        <f>IFERROR(__xludf.DUMMYFUNCTION("GOOGLETRANSLATE(B375,""en"",""pl"")"),"Resetuj prędkość")</f>
        <v>Resetuj prędkość</v>
      </c>
      <c r="AS375" s="4" t="str">
        <f>IFERROR(__xludf.DUMMYFUNCTION("GOOGLETRANSLATE(B375,""en"",""sv"")"),"Återställ hastighet")</f>
        <v>Återställ hastighet</v>
      </c>
      <c r="AT375" s="4" t="str">
        <f>IFERROR(__xludf.DUMMYFUNCTION("GOOGLETRANSLATE(B375,""en"",""uk"")"),"Скинути швидкість")</f>
        <v>Скинути швидкість</v>
      </c>
      <c r="AU375" s="4" t="str">
        <f>IFERROR(__xludf.DUMMYFUNCTION("GOOGLETRANSLATE(B375,""en"",""zu"")"),"Setha kabusha isivinini")</f>
        <v>Setha kabusha isivinini</v>
      </c>
      <c r="AV375" s="4" t="str">
        <f>IFERROR(__xludf.DUMMYFUNCTION("GOOGLETRANSLATE(B375,""en"",""sr"")"),"Ресетујте брзину")</f>
        <v>Ресетујте брзину</v>
      </c>
    </row>
    <row r="376">
      <c r="A376" s="3" t="s">
        <v>739</v>
      </c>
      <c r="B376" s="3" t="s">
        <v>689</v>
      </c>
      <c r="C376" s="4" t="str">
        <f>IFERROR(__xludf.DUMMYFUNCTION("GOOGLETRANSLATE(B376,""en"",""ta"")"),"பகிரவும்")</f>
        <v>பகிரவும்</v>
      </c>
      <c r="D376" s="4" t="str">
        <f>IFERROR(__xludf.DUMMYFUNCTION("GOOGLETRANSLATE(B376,""en"",""hi"")"),"शेयर करना")</f>
        <v>शेयर करना</v>
      </c>
      <c r="E376" s="4" t="str">
        <f>IFERROR(__xludf.DUMMYFUNCTION("GOOGLETRANSLATE(B376,""en"",""id"")"),"Membagikan")</f>
        <v>Membagikan</v>
      </c>
      <c r="F376" s="4" t="str">
        <f>IFERROR(__xludf.DUMMYFUNCTION("GOOGLETRANSLATE(B376,""en"",""ms"")"),"Kongsi")</f>
        <v>Kongsi</v>
      </c>
      <c r="G376" s="4" t="str">
        <f>IFERROR(__xludf.DUMMYFUNCTION("GOOGLETRANSLATE(B376,""en"",""de"")"),"Aktie")</f>
        <v>Aktie</v>
      </c>
      <c r="H376" s="4" t="str">
        <f>IFERROR(__xludf.DUMMYFUNCTION("GOOGLETRANSLATE(B376,""en"",""es"")"),"Compartir")</f>
        <v>Compartir</v>
      </c>
      <c r="I376" s="4" t="str">
        <f>IFERROR(__xludf.DUMMYFUNCTION("GOOGLETRANSLATE(B376,""en"",""fr"")"),"Partager")</f>
        <v>Partager</v>
      </c>
      <c r="J376" s="4" t="str">
        <f>IFERROR(__xludf.DUMMYFUNCTION("GOOGLETRANSLATE(B376,""en"",""it"")"),"Condividere")</f>
        <v>Condividere</v>
      </c>
      <c r="K376" s="4" t="str">
        <f>IFERROR(__xludf.DUMMYFUNCTION("GOOGLETRANSLATE(B376,""en"",""pt"")"),"Compartilhar")</f>
        <v>Compartilhar</v>
      </c>
      <c r="L376" s="4" t="str">
        <f>IFERROR(__xludf.DUMMYFUNCTION("GOOGLETRANSLATE(B376,""en"",""ro"")"),"Distribuie")</f>
        <v>Distribuie</v>
      </c>
      <c r="M376" s="4" t="str">
        <f>IFERROR(__xludf.DUMMYFUNCTION("GOOGLETRANSLATE(B376,""en"",""vi"")"),"Chia sẻ")</f>
        <v>Chia sẻ</v>
      </c>
      <c r="N376" s="4" t="str">
        <f>IFERROR(__xludf.DUMMYFUNCTION("GOOGLETRANSLATE(B376,""en"",""ru"")"),"Делиться")</f>
        <v>Делиться</v>
      </c>
      <c r="O376" s="4" t="str">
        <f>IFERROR(__xludf.DUMMYFUNCTION("GOOGLETRANSLATE(B376,""en"",""tr"")"),"Paylaşmak")</f>
        <v>Paylaşmak</v>
      </c>
      <c r="P376" s="4" t="str">
        <f>IFERROR(__xludf.DUMMYFUNCTION("GOOGLETRANSLATE(B376,""en"",""ar"")"),"يشارك")</f>
        <v>يشارك</v>
      </c>
      <c r="Q376" s="4" t="str">
        <f>IFERROR(__xludf.DUMMYFUNCTION("GOOGLETRANSLATE(B376,""en"",""mr"")"),"शेअर करा")</f>
        <v>शेअर करा</v>
      </c>
      <c r="R376" s="4" t="str">
        <f>IFERROR(__xludf.DUMMYFUNCTION("GOOGLETRANSLATE(B376,""en"",""gu"")"),"શેર કરો")</f>
        <v>શેર કરો</v>
      </c>
      <c r="S376" s="4" t="str">
        <f>IFERROR(__xludf.DUMMYFUNCTION("GOOGLETRANSLATE(B376,""en"",""bn"")"),"শেয়ার করুন")</f>
        <v>শেয়ার করুন</v>
      </c>
      <c r="T376" s="4" t="str">
        <f>IFERROR(__xludf.DUMMYFUNCTION("GOOGLETRANSLATE(B376,""en"",""pa"")"),"ਸ਼ੇਅਰ ਕਰੋ")</f>
        <v>ਸ਼ੇਅਰ ਕਰੋ</v>
      </c>
      <c r="U376" s="4" t="str">
        <f>IFERROR(__xludf.DUMMYFUNCTION("GOOGLETRANSLATE(B376,""en"",""te"")"),"షేర్ చేయండి")</f>
        <v>షేర్ చేయండి</v>
      </c>
      <c r="V376" s="4" t="str">
        <f>IFERROR(__xludf.DUMMYFUNCTION("GOOGLETRANSLATE(B376,""en"",""kn"")"),"ಹಂಚಿಕೊಳ್ಳಿ")</f>
        <v>ಹಂಚಿಕೊಳ್ಳಿ</v>
      </c>
      <c r="W376" s="4" t="str">
        <f>IFERROR(__xludf.DUMMYFUNCTION("GOOGLETRANSLATE(B376,""en"",""ml"")"),"പങ്കിടുക")</f>
        <v>പങ്കിടുക</v>
      </c>
      <c r="X376" s="4" t="str">
        <f>IFERROR(__xludf.DUMMYFUNCTION("GOOGLETRANSLATE(B376,""en"",""th"")"),"แบ่งปัน")</f>
        <v>แบ่งปัน</v>
      </c>
      <c r="Y376" s="4" t="str">
        <f>IFERROR(__xludf.DUMMYFUNCTION("GOOGLETRANSLATE(B376,""en"",""ko"")"),"공유하다")</f>
        <v>공유하다</v>
      </c>
      <c r="Z376" s="4" t="str">
        <f>IFERROR(__xludf.DUMMYFUNCTION("GOOGLETRANSLATE(B376,""en"",""zh"")"),"分享")</f>
        <v>分享</v>
      </c>
      <c r="AA376" s="4" t="str">
        <f>IFERROR(__xludf.DUMMYFUNCTION("GOOGLETRANSLATE(B376,""en"",""zh-TW"")"),"分享")</f>
        <v>分享</v>
      </c>
      <c r="AB376" s="4" t="str">
        <f>IFERROR(__xludf.DUMMYFUNCTION("GOOGLETRANSLATE(B376,""en"",""ja"")"),"共有")</f>
        <v>共有</v>
      </c>
      <c r="AC376" s="4" t="str">
        <f>IFERROR(__xludf.DUMMYFUNCTION("GOOGLETRANSLATE(B376,""en"",""bg"")"),"Споделете")</f>
        <v>Споделете</v>
      </c>
      <c r="AD376" s="4" t="str">
        <f>IFERROR(__xludf.DUMMYFUNCTION("GOOGLETRANSLATE(B376,""en"",""cs"")"),"Podíl")</f>
        <v>Podíl</v>
      </c>
      <c r="AE376" s="4" t="str">
        <f>IFERROR(__xludf.DUMMYFUNCTION("GOOGLETRANSLATE(B376,""en"",""da"")"),"Dele")</f>
        <v>Dele</v>
      </c>
      <c r="AF376" s="4" t="str">
        <f>IFERROR(__xludf.DUMMYFUNCTION("GOOGLETRANSLATE(B376,""en"",""el"")"),"Μερίδιο")</f>
        <v>Μερίδιο</v>
      </c>
      <c r="AG376" s="4" t="str">
        <f>IFERROR(__xludf.DUMMYFUNCTION("GOOGLETRANSLATE(B376,""en"",""et"")"),"Jaga")</f>
        <v>Jaga</v>
      </c>
      <c r="AH376" s="4" t="str">
        <f>IFERROR(__xludf.DUMMYFUNCTION("GOOGLETRANSLATE(B376,""en"",""fi"")"),"Jakaa")</f>
        <v>Jakaa</v>
      </c>
      <c r="AI376" s="4" t="str">
        <f>IFERROR(__xludf.DUMMYFUNCTION("GOOGLETRANSLATE(B376,""en"",""hr"")"),"Udio")</f>
        <v>Udio</v>
      </c>
      <c r="AJ376" s="4" t="str">
        <f>IFERROR(__xludf.DUMMYFUNCTION("GOOGLETRANSLATE(B376,""en"",""hu"")"),"Részesedés")</f>
        <v>Részesedés</v>
      </c>
      <c r="AK376" s="4" t="str">
        <f>IFERROR(__xludf.DUMMYFUNCTION("GOOGLETRANSLATE(B376,""en"",""hy"")"),"Կիսվել")</f>
        <v>Կիսվել</v>
      </c>
      <c r="AL376" s="4" t="str">
        <f>IFERROR(__xludf.DUMMYFUNCTION("GOOGLETRANSLATE(B376,""en"",""ca"")"),"Comparteix")</f>
        <v>Comparteix</v>
      </c>
      <c r="AM376" s="4" t="str">
        <f>IFERROR(__xludf.DUMMYFUNCTION("GOOGLETRANSLATE(B376,""en"",""nl"")"),"Deel")</f>
        <v>Deel</v>
      </c>
      <c r="AN376" s="4" t="str">
        <f>IFERROR(__xludf.DUMMYFUNCTION("GOOGLETRANSLATE(B376,""en"",""he"")"),"לַחֲלוֹק")</f>
        <v>לַחֲלוֹק</v>
      </c>
      <c r="AO376" s="4" t="str">
        <f>IFERROR(__xludf.DUMMYFUNCTION("GOOGLETRANSLATE(B376,""en"",""is"")"),"Deila")</f>
        <v>Deila</v>
      </c>
      <c r="AP376" s="4" t="str">
        <f>IFERROR(__xludf.DUMMYFUNCTION("GOOGLETRANSLATE(B376,""en"",""no"")"),"Dele")</f>
        <v>Dele</v>
      </c>
      <c r="AQ376" s="4" t="str">
        <f>IFERROR(__xludf.DUMMYFUNCTION("GOOGLETRANSLATE(B376,""en"",""fa"")"),"به اشتراک بگذارید")</f>
        <v>به اشتراک بگذارید</v>
      </c>
      <c r="AR376" s="4" t="str">
        <f>IFERROR(__xludf.DUMMYFUNCTION("GOOGLETRANSLATE(B376,""en"",""pl"")"),"Udział")</f>
        <v>Udział</v>
      </c>
      <c r="AS376" s="4" t="str">
        <f>IFERROR(__xludf.DUMMYFUNCTION("GOOGLETRANSLATE(B376,""en"",""sv"")"),"Dela")</f>
        <v>Dela</v>
      </c>
      <c r="AT376" s="4" t="str">
        <f>IFERROR(__xludf.DUMMYFUNCTION("GOOGLETRANSLATE(B376,""en"",""uk"")"),"Поділіться")</f>
        <v>Поділіться</v>
      </c>
      <c r="AU376" s="4" t="str">
        <f>IFERROR(__xludf.DUMMYFUNCTION("GOOGLETRANSLATE(B376,""en"",""zu"")"),"Yabelana")</f>
        <v>Yabelana</v>
      </c>
      <c r="AV376" s="4" t="str">
        <f>IFERROR(__xludf.DUMMYFUNCTION("GOOGLETRANSLATE(B376,""en"",""sr"")"),"Схаре")</f>
        <v>Схаре</v>
      </c>
    </row>
    <row r="377">
      <c r="A377" s="3" t="s">
        <v>740</v>
      </c>
      <c r="B377" s="3" t="s">
        <v>741</v>
      </c>
      <c r="C377" s="4" t="str">
        <f>IFERROR(__xludf.DUMMYFUNCTION("GOOGLETRANSLATE(B377,""en"",""ta"")"),"தகவல்")</f>
        <v>தகவல்</v>
      </c>
      <c r="D377" s="4" t="str">
        <f>IFERROR(__xludf.DUMMYFUNCTION("GOOGLETRANSLATE(B377,""en"",""hi"")"),"जानकारी")</f>
        <v>जानकारी</v>
      </c>
      <c r="E377" s="4" t="str">
        <f>IFERROR(__xludf.DUMMYFUNCTION("GOOGLETRANSLATE(B377,""en"",""id"")"),"Informasi")</f>
        <v>Informasi</v>
      </c>
      <c r="F377" s="4" t="str">
        <f>IFERROR(__xludf.DUMMYFUNCTION("GOOGLETRANSLATE(B377,""en"",""ms"")"),"Maklumat")</f>
        <v>Maklumat</v>
      </c>
      <c r="G377" s="4" t="str">
        <f>IFERROR(__xludf.DUMMYFUNCTION("GOOGLETRANSLATE(B377,""en"",""de"")"),"Information")</f>
        <v>Information</v>
      </c>
      <c r="H377" s="4" t="str">
        <f>IFERROR(__xludf.DUMMYFUNCTION("GOOGLETRANSLATE(B377,""en"",""es"")"),"Información")</f>
        <v>Información</v>
      </c>
      <c r="I377" s="4" t="str">
        <f>IFERROR(__xludf.DUMMYFUNCTION("GOOGLETRANSLATE(B377,""en"",""fr"")"),"Information")</f>
        <v>Information</v>
      </c>
      <c r="J377" s="4" t="str">
        <f>IFERROR(__xludf.DUMMYFUNCTION("GOOGLETRANSLATE(B377,""en"",""it"")"),"Informazioni")</f>
        <v>Informazioni</v>
      </c>
      <c r="K377" s="4" t="str">
        <f>IFERROR(__xludf.DUMMYFUNCTION("GOOGLETRANSLATE(B377,""en"",""pt"")"),"Informação")</f>
        <v>Informação</v>
      </c>
      <c r="L377" s="4" t="str">
        <f>IFERROR(__xludf.DUMMYFUNCTION("GOOGLETRANSLATE(B377,""en"",""ro"")"),"Informaţii")</f>
        <v>Informaţii</v>
      </c>
      <c r="M377" s="4" t="str">
        <f>IFERROR(__xludf.DUMMYFUNCTION("GOOGLETRANSLATE(B377,""en"",""vi"")"),"Thông tin")</f>
        <v>Thông tin</v>
      </c>
      <c r="N377" s="4" t="str">
        <f>IFERROR(__xludf.DUMMYFUNCTION("GOOGLETRANSLATE(B377,""en"",""ru"")"),"Информация")</f>
        <v>Информация</v>
      </c>
      <c r="O377" s="4" t="str">
        <f>IFERROR(__xludf.DUMMYFUNCTION("GOOGLETRANSLATE(B377,""en"",""tr"")"),"Bilgi")</f>
        <v>Bilgi</v>
      </c>
      <c r="P377" s="4" t="str">
        <f>IFERROR(__xludf.DUMMYFUNCTION("GOOGLETRANSLATE(B377,""en"",""ar"")"),"معلومة")</f>
        <v>معلومة</v>
      </c>
      <c r="Q377" s="4" t="str">
        <f>IFERROR(__xludf.DUMMYFUNCTION("GOOGLETRANSLATE(B377,""en"",""mr"")"),"माहिती")</f>
        <v>माहिती</v>
      </c>
      <c r="R377" s="4" t="str">
        <f>IFERROR(__xludf.DUMMYFUNCTION("GOOGLETRANSLATE(B377,""en"",""gu"")"),"માહિતી")</f>
        <v>માહિતી</v>
      </c>
      <c r="S377" s="4" t="str">
        <f>IFERROR(__xludf.DUMMYFUNCTION("GOOGLETRANSLATE(B377,""en"",""bn"")"),"তথ্য")</f>
        <v>তথ্য</v>
      </c>
      <c r="T377" s="4" t="str">
        <f>IFERROR(__xludf.DUMMYFUNCTION("GOOGLETRANSLATE(B377,""en"",""pa"")"),"ਜਾਣਕਾਰੀ")</f>
        <v>ਜਾਣਕਾਰੀ</v>
      </c>
      <c r="U377" s="4" t="str">
        <f>IFERROR(__xludf.DUMMYFUNCTION("GOOGLETRANSLATE(B377,""en"",""te"")"),"సమాచారం")</f>
        <v>సమాచారం</v>
      </c>
      <c r="V377" s="4" t="str">
        <f>IFERROR(__xludf.DUMMYFUNCTION("GOOGLETRANSLATE(B377,""en"",""kn"")"),"ಮಾಹಿತಿ")</f>
        <v>ಮಾಹಿತಿ</v>
      </c>
      <c r="W377" s="4" t="str">
        <f>IFERROR(__xludf.DUMMYFUNCTION("GOOGLETRANSLATE(B377,""en"",""ml"")"),"വിവരങ്ങൾ")</f>
        <v>വിവരങ്ങൾ</v>
      </c>
      <c r="X377" s="4" t="str">
        <f>IFERROR(__xludf.DUMMYFUNCTION("GOOGLETRANSLATE(B377,""en"",""th"")"),"ข้อมูล")</f>
        <v>ข้อมูล</v>
      </c>
      <c r="Y377" s="4" t="str">
        <f>IFERROR(__xludf.DUMMYFUNCTION("GOOGLETRANSLATE(B377,""en"",""ko"")"),"정보")</f>
        <v>정보</v>
      </c>
      <c r="Z377" s="4" t="str">
        <f>IFERROR(__xludf.DUMMYFUNCTION("GOOGLETRANSLATE(B377,""en"",""zh"")"),"信息")</f>
        <v>信息</v>
      </c>
      <c r="AA377" s="4" t="str">
        <f>IFERROR(__xludf.DUMMYFUNCTION("GOOGLETRANSLATE(B377,""en"",""zh-TW"")"),"資訊")</f>
        <v>資訊</v>
      </c>
      <c r="AB377" s="4" t="str">
        <f>IFERROR(__xludf.DUMMYFUNCTION("GOOGLETRANSLATE(B377,""en"",""ja"")"),"情報")</f>
        <v>情報</v>
      </c>
      <c r="AC377" s="4" t="str">
        <f>IFERROR(__xludf.DUMMYFUNCTION("GOOGLETRANSLATE(B377,""en"",""bg"")"),"Информация")</f>
        <v>Информация</v>
      </c>
      <c r="AD377" s="4" t="str">
        <f>IFERROR(__xludf.DUMMYFUNCTION("GOOGLETRANSLATE(B377,""en"",""cs"")"),"Informace")</f>
        <v>Informace</v>
      </c>
      <c r="AE377" s="4" t="str">
        <f>IFERROR(__xludf.DUMMYFUNCTION("GOOGLETRANSLATE(B377,""en"",""da"")"),"Information")</f>
        <v>Information</v>
      </c>
      <c r="AF377" s="4" t="str">
        <f>IFERROR(__xludf.DUMMYFUNCTION("GOOGLETRANSLATE(B377,""en"",""el"")"),"Πληροφορίες")</f>
        <v>Πληροφορίες</v>
      </c>
      <c r="AG377" s="4" t="str">
        <f>IFERROR(__xludf.DUMMYFUNCTION("GOOGLETRANSLATE(B377,""en"",""et"")"),"Teave")</f>
        <v>Teave</v>
      </c>
      <c r="AH377" s="4" t="str">
        <f>IFERROR(__xludf.DUMMYFUNCTION("GOOGLETRANSLATE(B377,""en"",""fi"")"),"Tiedot")</f>
        <v>Tiedot</v>
      </c>
      <c r="AI377" s="4" t="str">
        <f>IFERROR(__xludf.DUMMYFUNCTION("GOOGLETRANSLATE(B377,""en"",""hr"")"),"Informacija")</f>
        <v>Informacija</v>
      </c>
      <c r="AJ377" s="4" t="str">
        <f>IFERROR(__xludf.DUMMYFUNCTION("GOOGLETRANSLATE(B377,""en"",""hu"")"),"Információ")</f>
        <v>Információ</v>
      </c>
      <c r="AK377" s="4" t="str">
        <f>IFERROR(__xludf.DUMMYFUNCTION("GOOGLETRANSLATE(B377,""en"",""hy"")"),"Տեղեկություն")</f>
        <v>Տեղեկություն</v>
      </c>
      <c r="AL377" s="4" t="str">
        <f>IFERROR(__xludf.DUMMYFUNCTION("GOOGLETRANSLATE(B377,""en"",""ca"")"),"Informació")</f>
        <v>Informació</v>
      </c>
      <c r="AM377" s="4" t="str">
        <f>IFERROR(__xludf.DUMMYFUNCTION("GOOGLETRANSLATE(B377,""en"",""nl"")"),"Informatie")</f>
        <v>Informatie</v>
      </c>
      <c r="AN377" s="4" t="str">
        <f>IFERROR(__xludf.DUMMYFUNCTION("GOOGLETRANSLATE(B377,""en"",""he"")"),"מֵידָע")</f>
        <v>מֵידָע</v>
      </c>
      <c r="AO377" s="4" t="str">
        <f>IFERROR(__xludf.DUMMYFUNCTION("GOOGLETRANSLATE(B377,""en"",""is"")"),"Upplýsingar")</f>
        <v>Upplýsingar</v>
      </c>
      <c r="AP377" s="4" t="str">
        <f>IFERROR(__xludf.DUMMYFUNCTION("GOOGLETRANSLATE(B377,""en"",""no"")"),"Informasjon")</f>
        <v>Informasjon</v>
      </c>
      <c r="AQ377" s="4" t="str">
        <f>IFERROR(__xludf.DUMMYFUNCTION("GOOGLETRANSLATE(B377,""en"",""fa"")"),"اطلاعات")</f>
        <v>اطلاعات</v>
      </c>
      <c r="AR377" s="4" t="str">
        <f>IFERROR(__xludf.DUMMYFUNCTION("GOOGLETRANSLATE(B377,""en"",""pl"")"),"Informacja")</f>
        <v>Informacja</v>
      </c>
      <c r="AS377" s="4" t="str">
        <f>IFERROR(__xludf.DUMMYFUNCTION("GOOGLETRANSLATE(B377,""en"",""sv"")"),"Information")</f>
        <v>Information</v>
      </c>
      <c r="AT377" s="4" t="str">
        <f>IFERROR(__xludf.DUMMYFUNCTION("GOOGLETRANSLATE(B377,""en"",""uk"")"),"Інформація")</f>
        <v>Інформація</v>
      </c>
      <c r="AU377" s="4" t="str">
        <f>IFERROR(__xludf.DUMMYFUNCTION("GOOGLETRANSLATE(B377,""en"",""zu"")"),"Ulwazi")</f>
        <v>Ulwazi</v>
      </c>
      <c r="AV377" s="4" t="str">
        <f>IFERROR(__xludf.DUMMYFUNCTION("GOOGLETRANSLATE(B377,""en"",""sr"")"),"Информације")</f>
        <v>Информације</v>
      </c>
    </row>
    <row r="378">
      <c r="A378" s="3" t="s">
        <v>742</v>
      </c>
      <c r="B378" s="3" t="s">
        <v>743</v>
      </c>
      <c r="C378" s="4" t="str">
        <f>IFERROR(__xludf.DUMMYFUNCTION("GOOGLETRANSLATE(B378,""en"",""ta"")"),"பயணப் பட்டியல்")</f>
        <v>பயணப் பட்டியல்</v>
      </c>
      <c r="D378" s="4" t="str">
        <f>IFERROR(__xludf.DUMMYFUNCTION("GOOGLETRANSLATE(B378,""en"",""hi"")"),"यात्रा सूची")</f>
        <v>यात्रा सूची</v>
      </c>
      <c r="E378" s="4" t="str">
        <f>IFERROR(__xludf.DUMMYFUNCTION("GOOGLETRANSLATE(B378,""en"",""id"")"),"Daftar Perjalanan")</f>
        <v>Daftar Perjalanan</v>
      </c>
      <c r="F378" s="4" t="str">
        <f>IFERROR(__xludf.DUMMYFUNCTION("GOOGLETRANSLATE(B378,""en"",""ms"")"),"Senarai Perjalanan")</f>
        <v>Senarai Perjalanan</v>
      </c>
      <c r="G378" s="4" t="str">
        <f>IFERROR(__xludf.DUMMYFUNCTION("GOOGLETRANSLATE(B378,""en"",""de"")"),"Reiseliste")</f>
        <v>Reiseliste</v>
      </c>
      <c r="H378" s="4" t="str">
        <f>IFERROR(__xludf.DUMMYFUNCTION("GOOGLETRANSLATE(B378,""en"",""es"")"),"Lista de viajes")</f>
        <v>Lista de viajes</v>
      </c>
      <c r="I378" s="4" t="str">
        <f>IFERROR(__xludf.DUMMYFUNCTION("GOOGLETRANSLATE(B378,""en"",""fr"")"),"Liste de voyages")</f>
        <v>Liste de voyages</v>
      </c>
      <c r="J378" s="4" t="str">
        <f>IFERROR(__xludf.DUMMYFUNCTION("GOOGLETRANSLATE(B378,""en"",""it"")"),"Elenco dei viaggi")</f>
        <v>Elenco dei viaggi</v>
      </c>
      <c r="K378" s="4" t="str">
        <f>IFERROR(__xludf.DUMMYFUNCTION("GOOGLETRANSLATE(B378,""en"",""pt"")"),"Lista de viagens")</f>
        <v>Lista de viagens</v>
      </c>
      <c r="L378" s="4" t="str">
        <f>IFERROR(__xludf.DUMMYFUNCTION("GOOGLETRANSLATE(B378,""en"",""ro"")"),"Lista călătoriilor")</f>
        <v>Lista călătoriilor</v>
      </c>
      <c r="M378" s="4" t="str">
        <f>IFERROR(__xludf.DUMMYFUNCTION("GOOGLETRANSLATE(B378,""en"",""vi"")"),"Danh sách chuyến đi")</f>
        <v>Danh sách chuyến đi</v>
      </c>
      <c r="N378" s="4" t="str">
        <f>IFERROR(__xludf.DUMMYFUNCTION("GOOGLETRANSLATE(B378,""en"",""ru"")"),"Список поездок")</f>
        <v>Список поездок</v>
      </c>
      <c r="O378" s="4" t="str">
        <f>IFERROR(__xludf.DUMMYFUNCTION("GOOGLETRANSLATE(B378,""en"",""tr"")"),"Gezi Listesi")</f>
        <v>Gezi Listesi</v>
      </c>
      <c r="P378" s="4" t="str">
        <f>IFERROR(__xludf.DUMMYFUNCTION("GOOGLETRANSLATE(B378,""en"",""ar"")"),"قائمة الرحلات")</f>
        <v>قائمة الرحلات</v>
      </c>
      <c r="Q378" s="4" t="str">
        <f>IFERROR(__xludf.DUMMYFUNCTION("GOOGLETRANSLATE(B378,""en"",""mr"")"),"ट्रिप यादी")</f>
        <v>ट्रिप यादी</v>
      </c>
      <c r="R378" s="4" t="str">
        <f>IFERROR(__xludf.DUMMYFUNCTION("GOOGLETRANSLATE(B378,""en"",""gu"")"),"ટ્રીપ યાદી")</f>
        <v>ટ્રીપ યાદી</v>
      </c>
      <c r="S378" s="4" t="str">
        <f>IFERROR(__xludf.DUMMYFUNCTION("GOOGLETRANSLATE(B378,""en"",""bn"")"),"ট্রিপ তালিকা")</f>
        <v>ট্রিপ তালিকা</v>
      </c>
      <c r="T378" s="4" t="str">
        <f>IFERROR(__xludf.DUMMYFUNCTION("GOOGLETRANSLATE(B378,""en"",""pa"")"),"ਯਾਤਰਾ ਦੀ ਸੂਚੀ")</f>
        <v>ਯਾਤਰਾ ਦੀ ਸੂਚੀ</v>
      </c>
      <c r="U378" s="4" t="str">
        <f>IFERROR(__xludf.DUMMYFUNCTION("GOOGLETRANSLATE(B378,""en"",""te"")"),"పర్యటన జాబితా")</f>
        <v>పర్యటన జాబితా</v>
      </c>
      <c r="V378" s="4" t="str">
        <f>IFERROR(__xludf.DUMMYFUNCTION("GOOGLETRANSLATE(B378,""en"",""kn"")"),"ಪ್ರವಾಸ ಪಟ್ಟಿ")</f>
        <v>ಪ್ರವಾಸ ಪಟ್ಟಿ</v>
      </c>
      <c r="W378" s="4" t="str">
        <f>IFERROR(__xludf.DUMMYFUNCTION("GOOGLETRANSLATE(B378,""en"",""ml"")"),"യാത്രാ പട്ടിക")</f>
        <v>യാത്രാ പട്ടിക</v>
      </c>
      <c r="X378" s="4" t="str">
        <f>IFERROR(__xludf.DUMMYFUNCTION("GOOGLETRANSLATE(B378,""en"",""th"")"),"รายการท่องเที่ยว")</f>
        <v>รายการท่องเที่ยว</v>
      </c>
      <c r="Y378" s="4" t="str">
        <f>IFERROR(__xludf.DUMMYFUNCTION("GOOGLETRANSLATE(B378,""en"",""ko"")"),"여행 목록")</f>
        <v>여행 목록</v>
      </c>
      <c r="Z378" s="4" t="str">
        <f>IFERROR(__xludf.DUMMYFUNCTION("GOOGLETRANSLATE(B378,""en"",""zh"")"),"旅行清单")</f>
        <v>旅行清单</v>
      </c>
      <c r="AA378" s="4" t="str">
        <f>IFERROR(__xludf.DUMMYFUNCTION("GOOGLETRANSLATE(B378,""en"",""zh-TW"")"),"旅行清單")</f>
        <v>旅行清單</v>
      </c>
      <c r="AB378" s="4" t="str">
        <f>IFERROR(__xludf.DUMMYFUNCTION("GOOGLETRANSLATE(B378,""en"",""ja"")"),"旅行リスト")</f>
        <v>旅行リスト</v>
      </c>
      <c r="AC378" s="4" t="str">
        <f>IFERROR(__xludf.DUMMYFUNCTION("GOOGLETRANSLATE(B378,""en"",""bg"")"),"Списък на пътуванията")</f>
        <v>Списък на пътуванията</v>
      </c>
      <c r="AD378" s="4" t="str">
        <f>IFERROR(__xludf.DUMMYFUNCTION("GOOGLETRANSLATE(B378,""en"",""cs"")"),"Seznam výletů")</f>
        <v>Seznam výletů</v>
      </c>
      <c r="AE378" s="4" t="str">
        <f>IFERROR(__xludf.DUMMYFUNCTION("GOOGLETRANSLATE(B378,""en"",""da"")"),"Rejseliste")</f>
        <v>Rejseliste</v>
      </c>
      <c r="AF378" s="4" t="str">
        <f>IFERROR(__xludf.DUMMYFUNCTION("GOOGLETRANSLATE(B378,""en"",""el"")"),"Λίστα ταξιδιών")</f>
        <v>Λίστα ταξιδιών</v>
      </c>
      <c r="AG378" s="4" t="str">
        <f>IFERROR(__xludf.DUMMYFUNCTION("GOOGLETRANSLATE(B378,""en"",""et"")"),"Reiside nimekiri")</f>
        <v>Reiside nimekiri</v>
      </c>
      <c r="AH378" s="4" t="str">
        <f>IFERROR(__xludf.DUMMYFUNCTION("GOOGLETRANSLATE(B378,""en"",""fi"")"),"Matkaluettelo")</f>
        <v>Matkaluettelo</v>
      </c>
      <c r="AI378" s="4" t="str">
        <f>IFERROR(__xludf.DUMMYFUNCTION("GOOGLETRANSLATE(B378,""en"",""hr"")"),"Popis putovanja")</f>
        <v>Popis putovanja</v>
      </c>
      <c r="AJ378" s="4" t="str">
        <f>IFERROR(__xludf.DUMMYFUNCTION("GOOGLETRANSLATE(B378,""en"",""hu"")"),"Utazási lista")</f>
        <v>Utazási lista</v>
      </c>
      <c r="AK378" s="4" t="str">
        <f>IFERROR(__xludf.DUMMYFUNCTION("GOOGLETRANSLATE(B378,""en"",""hy"")"),"Ուղևորությունների ցուցակ")</f>
        <v>Ուղևորությունների ցուցակ</v>
      </c>
      <c r="AL378" s="4" t="str">
        <f>IFERROR(__xludf.DUMMYFUNCTION("GOOGLETRANSLATE(B378,""en"",""ca"")"),"Llista de viatges")</f>
        <v>Llista de viatges</v>
      </c>
      <c r="AM378" s="4" t="str">
        <f>IFERROR(__xludf.DUMMYFUNCTION("GOOGLETRANSLATE(B378,""en"",""nl"")"),"Reislijst")</f>
        <v>Reislijst</v>
      </c>
      <c r="AN378" s="4" t="str">
        <f>IFERROR(__xludf.DUMMYFUNCTION("GOOGLETRANSLATE(B378,""en"",""he"")"),"רשימת טיולים")</f>
        <v>רשימת טיולים</v>
      </c>
      <c r="AO378" s="4" t="str">
        <f>IFERROR(__xludf.DUMMYFUNCTION("GOOGLETRANSLATE(B378,""en"",""is"")"),"Ferðalisti")</f>
        <v>Ferðalisti</v>
      </c>
      <c r="AP378" s="4" t="str">
        <f>IFERROR(__xludf.DUMMYFUNCTION("GOOGLETRANSLATE(B378,""en"",""no"")"),"Turliste")</f>
        <v>Turliste</v>
      </c>
      <c r="AQ378" s="4" t="str">
        <f>IFERROR(__xludf.DUMMYFUNCTION("GOOGLETRANSLATE(B378,""en"",""fa"")"),"لیست سفر")</f>
        <v>لیست سفر</v>
      </c>
      <c r="AR378" s="4" t="str">
        <f>IFERROR(__xludf.DUMMYFUNCTION("GOOGLETRANSLATE(B378,""en"",""pl"")"),"Lista podróży")</f>
        <v>Lista podróży</v>
      </c>
      <c r="AS378" s="4" t="str">
        <f>IFERROR(__xludf.DUMMYFUNCTION("GOOGLETRANSLATE(B378,""en"",""sv"")"),"Reselista")</f>
        <v>Reselista</v>
      </c>
      <c r="AT378" s="4" t="str">
        <f>IFERROR(__xludf.DUMMYFUNCTION("GOOGLETRANSLATE(B378,""en"",""uk"")"),"Список поїздок")</f>
        <v>Список поїздок</v>
      </c>
      <c r="AU378" s="4" t="str">
        <f>IFERROR(__xludf.DUMMYFUNCTION("GOOGLETRANSLATE(B378,""en"",""zu"")"),"Uhlu Lohambo")</f>
        <v>Uhlu Lohambo</v>
      </c>
      <c r="AV378" s="4" t="str">
        <f>IFERROR(__xludf.DUMMYFUNCTION("GOOGLETRANSLATE(B378,""en"",""sr"")"),"Листа путовања")</f>
        <v>Листа путовања</v>
      </c>
    </row>
    <row r="379">
      <c r="A379" s="3" t="s">
        <v>744</v>
      </c>
      <c r="B379" s="3" t="s">
        <v>745</v>
      </c>
      <c r="C379" s="4" t="str">
        <f>IFERROR(__xludf.DUMMYFUNCTION("GOOGLETRANSLATE(B379,""en"",""ta"")"),"பதிவைத் தொடங்கவும்")</f>
        <v>பதிவைத் தொடங்கவும்</v>
      </c>
      <c r="D379" s="4" t="str">
        <f>IFERROR(__xludf.DUMMYFUNCTION("GOOGLETRANSLATE(B379,""en"",""hi"")"),"रिकॉर्डिंग शुरू करें")</f>
        <v>रिकॉर्डिंग शुरू करें</v>
      </c>
      <c r="E379" s="4" t="str">
        <f>IFERROR(__xludf.DUMMYFUNCTION("GOOGLETRANSLATE(B379,""en"",""id"")"),"Mulai Merekam")</f>
        <v>Mulai Merekam</v>
      </c>
      <c r="F379" s="4" t="str">
        <f>IFERROR(__xludf.DUMMYFUNCTION("GOOGLETRANSLATE(B379,""en"",""ms"")"),"Mulakan Rakaman")</f>
        <v>Mulakan Rakaman</v>
      </c>
      <c r="G379" s="4" t="str">
        <f>IFERROR(__xludf.DUMMYFUNCTION("GOOGLETRANSLATE(B379,""en"",""de"")"),"Aufnahme starten")</f>
        <v>Aufnahme starten</v>
      </c>
      <c r="H379" s="4" t="str">
        <f>IFERROR(__xludf.DUMMYFUNCTION("GOOGLETRANSLATE(B379,""en"",""es"")"),"Iniciar grabación")</f>
        <v>Iniciar grabación</v>
      </c>
      <c r="I379" s="4" t="str">
        <f>IFERROR(__xludf.DUMMYFUNCTION("GOOGLETRANSLATE(B379,""en"",""fr"")"),"Démarrer l'enregistrement")</f>
        <v>Démarrer l'enregistrement</v>
      </c>
      <c r="J379" s="4" t="str">
        <f>IFERROR(__xludf.DUMMYFUNCTION("GOOGLETRANSLATE(B379,""en"",""it"")"),"Inizia la registrazione")</f>
        <v>Inizia la registrazione</v>
      </c>
      <c r="K379" s="4" t="str">
        <f>IFERROR(__xludf.DUMMYFUNCTION("GOOGLETRANSLATE(B379,""en"",""pt"")"),"Iniciar gravação")</f>
        <v>Iniciar gravação</v>
      </c>
      <c r="L379" s="4" t="str">
        <f>IFERROR(__xludf.DUMMYFUNCTION("GOOGLETRANSLATE(B379,""en"",""ro"")"),"Începeți înregistrarea")</f>
        <v>Începeți înregistrarea</v>
      </c>
      <c r="M379" s="4" t="str">
        <f>IFERROR(__xludf.DUMMYFUNCTION("GOOGLETRANSLATE(B379,""en"",""vi"")"),"Bắt đầu ghi âm")</f>
        <v>Bắt đầu ghi âm</v>
      </c>
      <c r="N379" s="4" t="str">
        <f>IFERROR(__xludf.DUMMYFUNCTION("GOOGLETRANSLATE(B379,""en"",""ru"")"),"Начать запись")</f>
        <v>Начать запись</v>
      </c>
      <c r="O379" s="4" t="str">
        <f>IFERROR(__xludf.DUMMYFUNCTION("GOOGLETRANSLATE(B379,""en"",""tr"")"),"Kaydı Başlat")</f>
        <v>Kaydı Başlat</v>
      </c>
      <c r="P379" s="4" t="str">
        <f>IFERROR(__xludf.DUMMYFUNCTION("GOOGLETRANSLATE(B379,""en"",""ar"")"),"بدء التسجيل")</f>
        <v>بدء التسجيل</v>
      </c>
      <c r="Q379" s="4" t="str">
        <f>IFERROR(__xludf.DUMMYFUNCTION("GOOGLETRANSLATE(B379,""en"",""mr"")"),"रेकॉर्डिंग सुरू करा")</f>
        <v>रेकॉर्डिंग सुरू करा</v>
      </c>
      <c r="R379" s="4" t="str">
        <f>IFERROR(__xludf.DUMMYFUNCTION("GOOGLETRANSLATE(B379,""en"",""gu"")"),"રેકોર્ડિંગ શરૂ કરો")</f>
        <v>રેકોર્ડિંગ શરૂ કરો</v>
      </c>
      <c r="S379" s="4" t="str">
        <f>IFERROR(__xludf.DUMMYFUNCTION("GOOGLETRANSLATE(B379,""en"",""bn"")"),"রেকর্ডিং শুরু করুন")</f>
        <v>রেকর্ডিং শুরু করুন</v>
      </c>
      <c r="T379" s="4" t="str">
        <f>IFERROR(__xludf.DUMMYFUNCTION("GOOGLETRANSLATE(B379,""en"",""pa"")"),"ਰਿਕਾਰਡਿੰਗ ਸ਼ੁਰੂ ਕਰੋ")</f>
        <v>ਰਿਕਾਰਡਿੰਗ ਸ਼ੁਰੂ ਕਰੋ</v>
      </c>
      <c r="U379" s="4" t="str">
        <f>IFERROR(__xludf.DUMMYFUNCTION("GOOGLETRANSLATE(B379,""en"",""te"")"),"రికార్డింగ్ ప్రారంభించండి")</f>
        <v>రికార్డింగ్ ప్రారంభించండి</v>
      </c>
      <c r="V379" s="4" t="str">
        <f>IFERROR(__xludf.DUMMYFUNCTION("GOOGLETRANSLATE(B379,""en"",""kn"")"),"ರೆಕಾರ್ಡಿಂಗ್ ಪ್ರಾರಂಭಿಸಿ")</f>
        <v>ರೆಕಾರ್ಡಿಂಗ್ ಪ್ರಾರಂಭಿಸಿ</v>
      </c>
      <c r="W379" s="4" t="str">
        <f>IFERROR(__xludf.DUMMYFUNCTION("GOOGLETRANSLATE(B379,""en"",""ml"")"),"റെക്കോർഡിംഗ് ആരംഭിക്കുക")</f>
        <v>റെക്കോർഡിംഗ് ആരംഭിക്കുക</v>
      </c>
      <c r="X379" s="4" t="str">
        <f>IFERROR(__xludf.DUMMYFUNCTION("GOOGLETRANSLATE(B379,""en"",""th"")"),"เริ่มการบันทึก")</f>
        <v>เริ่มการบันทึก</v>
      </c>
      <c r="Y379" s="4" t="str">
        <f>IFERROR(__xludf.DUMMYFUNCTION("GOOGLETRANSLATE(B379,""en"",""ko"")"),"녹음 시작")</f>
        <v>녹음 시작</v>
      </c>
      <c r="Z379" s="4" t="str">
        <f>IFERROR(__xludf.DUMMYFUNCTION("GOOGLETRANSLATE(B379,""en"",""zh"")"),"开始录制")</f>
        <v>开始录制</v>
      </c>
      <c r="AA379" s="4" t="str">
        <f>IFERROR(__xludf.DUMMYFUNCTION("GOOGLETRANSLATE(B379,""en"",""zh-TW"")"),"開始錄製")</f>
        <v>開始錄製</v>
      </c>
      <c r="AB379" s="4" t="str">
        <f>IFERROR(__xludf.DUMMYFUNCTION("GOOGLETRANSLATE(B379,""en"",""ja"")"),"録画を開始")</f>
        <v>録画を開始</v>
      </c>
      <c r="AC379" s="4" t="str">
        <f>IFERROR(__xludf.DUMMYFUNCTION("GOOGLETRANSLATE(B379,""en"",""bg"")"),"Започнете запис")</f>
        <v>Започнете запис</v>
      </c>
      <c r="AD379" s="4" t="str">
        <f>IFERROR(__xludf.DUMMYFUNCTION("GOOGLETRANSLATE(B379,""en"",""cs"")"),"Spusťte nahrávání")</f>
        <v>Spusťte nahrávání</v>
      </c>
      <c r="AE379" s="4" t="str">
        <f>IFERROR(__xludf.DUMMYFUNCTION("GOOGLETRANSLATE(B379,""en"",""da"")"),"Start optagelse")</f>
        <v>Start optagelse</v>
      </c>
      <c r="AF379" s="4" t="str">
        <f>IFERROR(__xludf.DUMMYFUNCTION("GOOGLETRANSLATE(B379,""en"",""el"")"),"Ξεκινήστε την εγγραφή")</f>
        <v>Ξεκινήστε την εγγραφή</v>
      </c>
      <c r="AG379" s="4" t="str">
        <f>IFERROR(__xludf.DUMMYFUNCTION("GOOGLETRANSLATE(B379,""en"",""et"")"),"Alustage salvestamist")</f>
        <v>Alustage salvestamist</v>
      </c>
      <c r="AH379" s="4" t="str">
        <f>IFERROR(__xludf.DUMMYFUNCTION("GOOGLETRANSLATE(B379,""en"",""fi"")"),"Aloita tallennus")</f>
        <v>Aloita tallennus</v>
      </c>
      <c r="AI379" s="4" t="str">
        <f>IFERROR(__xludf.DUMMYFUNCTION("GOOGLETRANSLATE(B379,""en"",""hr"")"),"Započnite snimanje")</f>
        <v>Započnite snimanje</v>
      </c>
      <c r="AJ379" s="4" t="str">
        <f>IFERROR(__xludf.DUMMYFUNCTION("GOOGLETRANSLATE(B379,""en"",""hu"")"),"Indítsa el a Felvételt")</f>
        <v>Indítsa el a Felvételt</v>
      </c>
      <c r="AK379" s="4" t="str">
        <f>IFERROR(__xludf.DUMMYFUNCTION("GOOGLETRANSLATE(B379,""en"",""hy"")"),"Սկսեք ձայնագրումը")</f>
        <v>Սկսեք ձայնագրումը</v>
      </c>
      <c r="AL379" s="4" t="str">
        <f>IFERROR(__xludf.DUMMYFUNCTION("GOOGLETRANSLATE(B379,""en"",""ca"")"),"Comença a gravar")</f>
        <v>Comença a gravar</v>
      </c>
      <c r="AM379" s="4" t="str">
        <f>IFERROR(__xludf.DUMMYFUNCTION("GOOGLETRANSLATE(B379,""en"",""nl"")"),"Start opname")</f>
        <v>Start opname</v>
      </c>
      <c r="AN379" s="4" t="str">
        <f>IFERROR(__xludf.DUMMYFUNCTION("GOOGLETRANSLATE(B379,""en"",""he"")"),"התחל להקליט")</f>
        <v>התחל להקליט</v>
      </c>
      <c r="AO379" s="4" t="str">
        <f>IFERROR(__xludf.DUMMYFUNCTION("GOOGLETRANSLATE(B379,""en"",""is"")"),"Byrjaðu upptöku")</f>
        <v>Byrjaðu upptöku</v>
      </c>
      <c r="AP379" s="4" t="str">
        <f>IFERROR(__xludf.DUMMYFUNCTION("GOOGLETRANSLATE(B379,""en"",""no"")"),"Start opptak")</f>
        <v>Start opptak</v>
      </c>
      <c r="AQ379" s="4" t="str">
        <f>IFERROR(__xludf.DUMMYFUNCTION("GOOGLETRANSLATE(B379,""en"",""fa"")"),"شروع به ضبط کنید")</f>
        <v>شروع به ضبط کنید</v>
      </c>
      <c r="AR379" s="4" t="str">
        <f>IFERROR(__xludf.DUMMYFUNCTION("GOOGLETRANSLATE(B379,""en"",""pl"")"),"Rozpocznij nagrywanie")</f>
        <v>Rozpocznij nagrywanie</v>
      </c>
      <c r="AS379" s="4" t="str">
        <f>IFERROR(__xludf.DUMMYFUNCTION("GOOGLETRANSLATE(B379,""en"",""sv"")"),"Börja spela in")</f>
        <v>Börja spela in</v>
      </c>
      <c r="AT379" s="4" t="str">
        <f>IFERROR(__xludf.DUMMYFUNCTION("GOOGLETRANSLATE(B379,""en"",""uk"")"),"Почніть запис")</f>
        <v>Почніть запис</v>
      </c>
      <c r="AU379" s="4" t="str">
        <f>IFERROR(__xludf.DUMMYFUNCTION("GOOGLETRANSLATE(B379,""en"",""zu"")"),"Qala Ukuqopha")</f>
        <v>Qala Ukuqopha</v>
      </c>
      <c r="AV379" s="4" t="str">
        <f>IFERROR(__xludf.DUMMYFUNCTION("GOOGLETRANSLATE(B379,""en"",""sr"")"),"Започните снимање")</f>
        <v>Започните снимање</v>
      </c>
    </row>
    <row r="380">
      <c r="A380" s="3" t="s">
        <v>746</v>
      </c>
      <c r="B380" s="3" t="s">
        <v>747</v>
      </c>
      <c r="C380" s="4" t="str">
        <f>IFERROR(__xludf.DUMMYFUNCTION("GOOGLETRANSLATE(B380,""en"",""ta"")"),"பதிவு செய்வதை நிறுத்து")</f>
        <v>பதிவு செய்வதை நிறுத்து</v>
      </c>
      <c r="D380" s="4" t="str">
        <f>IFERROR(__xludf.DUMMYFUNCTION("GOOGLETRANSLATE(B380,""en"",""hi"")"),"रिकॉर्डिंग बंद करें")</f>
        <v>रिकॉर्डिंग बंद करें</v>
      </c>
      <c r="E380" s="4" t="str">
        <f>IFERROR(__xludf.DUMMYFUNCTION("GOOGLETRANSLATE(B380,""en"",""id"")"),"Berhenti Merekam")</f>
        <v>Berhenti Merekam</v>
      </c>
      <c r="F380" s="4" t="str">
        <f>IFERROR(__xludf.DUMMYFUNCTION("GOOGLETRANSLATE(B380,""en"",""ms"")"),"Hentikan Rakaman")</f>
        <v>Hentikan Rakaman</v>
      </c>
      <c r="G380" s="4" t="str">
        <f>IFERROR(__xludf.DUMMYFUNCTION("GOOGLETRANSLATE(B380,""en"",""de"")"),"Aufnahme beenden")</f>
        <v>Aufnahme beenden</v>
      </c>
      <c r="H380" s="4" t="str">
        <f>IFERROR(__xludf.DUMMYFUNCTION("GOOGLETRANSLATE(B380,""en"",""es"")"),"Detener la grabación")</f>
        <v>Detener la grabación</v>
      </c>
      <c r="I380" s="4" t="str">
        <f>IFERROR(__xludf.DUMMYFUNCTION("GOOGLETRANSLATE(B380,""en"",""fr"")"),"Arrêter l'enregistrement")</f>
        <v>Arrêter l'enregistrement</v>
      </c>
      <c r="J380" s="4" t="str">
        <f>IFERROR(__xludf.DUMMYFUNCTION("GOOGLETRANSLATE(B380,""en"",""it"")"),"Interrompi la registrazione")</f>
        <v>Interrompi la registrazione</v>
      </c>
      <c r="K380" s="4" t="str">
        <f>IFERROR(__xludf.DUMMYFUNCTION("GOOGLETRANSLATE(B380,""en"",""pt"")"),"Parar a gravação")</f>
        <v>Parar a gravação</v>
      </c>
      <c r="L380" s="4" t="str">
        <f>IFERROR(__xludf.DUMMYFUNCTION("GOOGLETRANSLATE(B380,""en"",""ro"")"),"Opriți înregistrarea")</f>
        <v>Opriți înregistrarea</v>
      </c>
      <c r="M380" s="4" t="str">
        <f>IFERROR(__xludf.DUMMYFUNCTION("GOOGLETRANSLATE(B380,""en"",""vi"")"),"Dừng ghi âm")</f>
        <v>Dừng ghi âm</v>
      </c>
      <c r="N380" s="4" t="str">
        <f>IFERROR(__xludf.DUMMYFUNCTION("GOOGLETRANSLATE(B380,""en"",""ru"")"),"Остановить запись")</f>
        <v>Остановить запись</v>
      </c>
      <c r="O380" s="4" t="str">
        <f>IFERROR(__xludf.DUMMYFUNCTION("GOOGLETRANSLATE(B380,""en"",""tr"")"),"Kaydı Durdur")</f>
        <v>Kaydı Durdur</v>
      </c>
      <c r="P380" s="4" t="str">
        <f>IFERROR(__xludf.DUMMYFUNCTION("GOOGLETRANSLATE(B380,""en"",""ar"")"),"إيقاف التسجيل")</f>
        <v>إيقاف التسجيل</v>
      </c>
      <c r="Q380" s="4" t="str">
        <f>IFERROR(__xludf.DUMMYFUNCTION("GOOGLETRANSLATE(B380,""en"",""mr"")"),"रेकॉर्डिंग थांबवा")</f>
        <v>रेकॉर्डिंग थांबवा</v>
      </c>
      <c r="R380" s="4" t="str">
        <f>IFERROR(__xludf.DUMMYFUNCTION("GOOGLETRANSLATE(B380,""en"",""gu"")"),"રેકોર્ડિંગ બંધ કરો")</f>
        <v>રેકોર્ડિંગ બંધ કરો</v>
      </c>
      <c r="S380" s="4" t="str">
        <f>IFERROR(__xludf.DUMMYFUNCTION("GOOGLETRANSLATE(B380,""en"",""bn"")"),"রেকর্ডিং বন্ধ করুন")</f>
        <v>রেকর্ডিং বন্ধ করুন</v>
      </c>
      <c r="T380" s="4" t="str">
        <f>IFERROR(__xludf.DUMMYFUNCTION("GOOGLETRANSLATE(B380,""en"",""pa"")"),"ਰਿਕਾਰਡਿੰਗ ਬੰਦ ਕਰੋ")</f>
        <v>ਰਿਕਾਰਡਿੰਗ ਬੰਦ ਕਰੋ</v>
      </c>
      <c r="U380" s="4" t="str">
        <f>IFERROR(__xludf.DUMMYFUNCTION("GOOGLETRANSLATE(B380,""en"",""te"")"),"రికార్డింగ్ ఆపివేయండి")</f>
        <v>రికార్డింగ్ ఆపివేయండి</v>
      </c>
      <c r="V380" s="4" t="str">
        <f>IFERROR(__xludf.DUMMYFUNCTION("GOOGLETRANSLATE(B380,""en"",""kn"")"),"ರೆಕಾರ್ಡಿಂಗ್ ನಿಲ್ಲಿಸಿ")</f>
        <v>ರೆಕಾರ್ಡಿಂಗ್ ನಿಲ್ಲಿಸಿ</v>
      </c>
      <c r="W380" s="4" t="str">
        <f>IFERROR(__xludf.DUMMYFUNCTION("GOOGLETRANSLATE(B380,""en"",""ml"")"),"റെക്കോർഡിംഗ് നിർത്തുക")</f>
        <v>റെക്കോർഡിംഗ് നിർത്തുക</v>
      </c>
      <c r="X380" s="4" t="str">
        <f>IFERROR(__xludf.DUMMYFUNCTION("GOOGLETRANSLATE(B380,""en"",""th"")"),"หยุดการบันทึก")</f>
        <v>หยุดการบันทึก</v>
      </c>
      <c r="Y380" s="4" t="str">
        <f>IFERROR(__xludf.DUMMYFUNCTION("GOOGLETRANSLATE(B380,""en"",""ko"")"),"녹음 중지")</f>
        <v>녹음 중지</v>
      </c>
      <c r="Z380" s="4" t="str">
        <f>IFERROR(__xludf.DUMMYFUNCTION("GOOGLETRANSLATE(B380,""en"",""zh"")"),"停止录制")</f>
        <v>停止录制</v>
      </c>
      <c r="AA380" s="4" t="str">
        <f>IFERROR(__xludf.DUMMYFUNCTION("GOOGLETRANSLATE(B380,""en"",""zh-TW"")"),"停止錄製")</f>
        <v>停止錄製</v>
      </c>
      <c r="AB380" s="4" t="str">
        <f>IFERROR(__xludf.DUMMYFUNCTION("GOOGLETRANSLATE(B380,""en"",""ja"")"),"録画を停止")</f>
        <v>録画を停止</v>
      </c>
      <c r="AC380" s="4" t="str">
        <f>IFERROR(__xludf.DUMMYFUNCTION("GOOGLETRANSLATE(B380,""en"",""bg"")"),"Спиране на записа")</f>
        <v>Спиране на записа</v>
      </c>
      <c r="AD380" s="4" t="str">
        <f>IFERROR(__xludf.DUMMYFUNCTION("GOOGLETRANSLATE(B380,""en"",""cs"")"),"Zastavit nahrávání")</f>
        <v>Zastavit nahrávání</v>
      </c>
      <c r="AE380" s="4" t="str">
        <f>IFERROR(__xludf.DUMMYFUNCTION("GOOGLETRANSLATE(B380,""en"",""da"")"),"Stop optagelse")</f>
        <v>Stop optagelse</v>
      </c>
      <c r="AF380" s="4" t="str">
        <f>IFERROR(__xludf.DUMMYFUNCTION("GOOGLETRANSLATE(B380,""en"",""el"")"),"Διακοπή εγγραφής")</f>
        <v>Διακοπή εγγραφής</v>
      </c>
      <c r="AG380" s="4" t="str">
        <f>IFERROR(__xludf.DUMMYFUNCTION("GOOGLETRANSLATE(B380,""en"",""et"")"),"Lõpeta salvestamine")</f>
        <v>Lõpeta salvestamine</v>
      </c>
      <c r="AH380" s="4" t="str">
        <f>IFERROR(__xludf.DUMMYFUNCTION("GOOGLETRANSLATE(B380,""en"",""fi"")"),"Lopeta tallennus")</f>
        <v>Lopeta tallennus</v>
      </c>
      <c r="AI380" s="4" t="str">
        <f>IFERROR(__xludf.DUMMYFUNCTION("GOOGLETRANSLATE(B380,""en"",""hr"")"),"Zaustavi snimanje")</f>
        <v>Zaustavi snimanje</v>
      </c>
      <c r="AJ380" s="4" t="str">
        <f>IFERROR(__xludf.DUMMYFUNCTION("GOOGLETRANSLATE(B380,""en"",""hu"")"),"Felvétel leállítása")</f>
        <v>Felvétel leállítása</v>
      </c>
      <c r="AK380" s="4" t="str">
        <f>IFERROR(__xludf.DUMMYFUNCTION("GOOGLETRANSLATE(B380,""en"",""hy"")"),"Դադարեցնել ձայնագրումը")</f>
        <v>Դադարեցնել ձայնագրումը</v>
      </c>
      <c r="AL380" s="4" t="str">
        <f>IFERROR(__xludf.DUMMYFUNCTION("GOOGLETRANSLATE(B380,""en"",""ca"")"),"Atura la gravació")</f>
        <v>Atura la gravació</v>
      </c>
      <c r="AM380" s="4" t="str">
        <f>IFERROR(__xludf.DUMMYFUNCTION("GOOGLETRANSLATE(B380,""en"",""nl"")"),"Stop met opnemen")</f>
        <v>Stop met opnemen</v>
      </c>
      <c r="AN380" s="4" t="str">
        <f>IFERROR(__xludf.DUMMYFUNCTION("GOOGLETRANSLATE(B380,""en"",""he"")"),"עצור את ההקלטה")</f>
        <v>עצור את ההקלטה</v>
      </c>
      <c r="AO380" s="4" t="str">
        <f>IFERROR(__xludf.DUMMYFUNCTION("GOOGLETRANSLATE(B380,""en"",""is"")"),"Hætta upptöku")</f>
        <v>Hætta upptöku</v>
      </c>
      <c r="AP380" s="4" t="str">
        <f>IFERROR(__xludf.DUMMYFUNCTION("GOOGLETRANSLATE(B380,""en"",""no"")"),"Stopp opptak")</f>
        <v>Stopp opptak</v>
      </c>
      <c r="AQ380" s="4" t="str">
        <f>IFERROR(__xludf.DUMMYFUNCTION("GOOGLETRANSLATE(B380,""en"",""fa"")"),"ضبط را متوقف کنید")</f>
        <v>ضبط را متوقف کنید</v>
      </c>
      <c r="AR380" s="4" t="str">
        <f>IFERROR(__xludf.DUMMYFUNCTION("GOOGLETRANSLATE(B380,""en"",""pl"")"),"Zatrzymaj nagrywanie")</f>
        <v>Zatrzymaj nagrywanie</v>
      </c>
      <c r="AS380" s="4" t="str">
        <f>IFERROR(__xludf.DUMMYFUNCTION("GOOGLETRANSLATE(B380,""en"",""sv"")"),"Stoppa inspelning")</f>
        <v>Stoppa inspelning</v>
      </c>
      <c r="AT380" s="4" t="str">
        <f>IFERROR(__xludf.DUMMYFUNCTION("GOOGLETRANSLATE(B380,""en"",""uk"")"),"Зупинити запис")</f>
        <v>Зупинити запис</v>
      </c>
      <c r="AU380" s="4" t="str">
        <f>IFERROR(__xludf.DUMMYFUNCTION("GOOGLETRANSLATE(B380,""en"",""zu"")"),"Misa Ukuqopha")</f>
        <v>Misa Ukuqopha</v>
      </c>
      <c r="AV380" s="4" t="str">
        <f>IFERROR(__xludf.DUMMYFUNCTION("GOOGLETRANSLATE(B380,""en"",""sr"")"),"Заустави снимање")</f>
        <v>Заустави снимање</v>
      </c>
    </row>
    <row r="381">
      <c r="A381" s="3" t="s">
        <v>748</v>
      </c>
      <c r="B381" s="3" t="s">
        <v>559</v>
      </c>
      <c r="C381" s="4" t="str">
        <f>IFERROR(__xludf.DUMMYFUNCTION("GOOGLETRANSLATE(B381,""en"",""ta"")"),"இடைநிறுத்தம்")</f>
        <v>இடைநிறுத்தம்</v>
      </c>
      <c r="D381" s="4" t="str">
        <f>IFERROR(__xludf.DUMMYFUNCTION("GOOGLETRANSLATE(B381,""en"",""hi"")"),"विराम")</f>
        <v>विराम</v>
      </c>
      <c r="E381" s="4" t="str">
        <f>IFERROR(__xludf.DUMMYFUNCTION("GOOGLETRANSLATE(B381,""en"",""id"")"),"Berhenti sebentar")</f>
        <v>Berhenti sebentar</v>
      </c>
      <c r="F381" s="4" t="str">
        <f>IFERROR(__xludf.DUMMYFUNCTION("GOOGLETRANSLATE(B381,""en"",""ms"")"),"jeda")</f>
        <v>jeda</v>
      </c>
      <c r="G381" s="4" t="str">
        <f>IFERROR(__xludf.DUMMYFUNCTION("GOOGLETRANSLATE(B381,""en"",""de"")"),"Pause")</f>
        <v>Pause</v>
      </c>
      <c r="H381" s="4" t="str">
        <f>IFERROR(__xludf.DUMMYFUNCTION("GOOGLETRANSLATE(B381,""en"",""es"")"),"Pausa")</f>
        <v>Pausa</v>
      </c>
      <c r="I381" s="4" t="str">
        <f>IFERROR(__xludf.DUMMYFUNCTION("GOOGLETRANSLATE(B381,""en"",""fr"")"),"Pause")</f>
        <v>Pause</v>
      </c>
      <c r="J381" s="4" t="str">
        <f>IFERROR(__xludf.DUMMYFUNCTION("GOOGLETRANSLATE(B381,""en"",""it"")"),"Pausa")</f>
        <v>Pausa</v>
      </c>
      <c r="K381" s="4" t="str">
        <f>IFERROR(__xludf.DUMMYFUNCTION("GOOGLETRANSLATE(B381,""en"",""pt"")"),"Pausa")</f>
        <v>Pausa</v>
      </c>
      <c r="L381" s="4" t="str">
        <f>IFERROR(__xludf.DUMMYFUNCTION("GOOGLETRANSLATE(B381,""en"",""ro"")"),"Pauză")</f>
        <v>Pauză</v>
      </c>
      <c r="M381" s="4" t="str">
        <f>IFERROR(__xludf.DUMMYFUNCTION("GOOGLETRANSLATE(B381,""en"",""vi"")"),"Tạm dừng")</f>
        <v>Tạm dừng</v>
      </c>
      <c r="N381" s="4" t="str">
        <f>IFERROR(__xludf.DUMMYFUNCTION("GOOGLETRANSLATE(B381,""en"",""ru"")"),"Пауза")</f>
        <v>Пауза</v>
      </c>
      <c r="O381" s="4" t="str">
        <f>IFERROR(__xludf.DUMMYFUNCTION("GOOGLETRANSLATE(B381,""en"",""tr"")"),"Duraklama")</f>
        <v>Duraklama</v>
      </c>
      <c r="P381" s="4" t="str">
        <f>IFERROR(__xludf.DUMMYFUNCTION("GOOGLETRANSLATE(B381,""en"",""ar"")"),"يوقف")</f>
        <v>يوقف</v>
      </c>
      <c r="Q381" s="4" t="str">
        <f>IFERROR(__xludf.DUMMYFUNCTION("GOOGLETRANSLATE(B381,""en"",""mr"")"),"विराम द्या")</f>
        <v>विराम द्या</v>
      </c>
      <c r="R381" s="4" t="str">
        <f>IFERROR(__xludf.DUMMYFUNCTION("GOOGLETRANSLATE(B381,""en"",""gu"")"),"વિરામ")</f>
        <v>વિરામ</v>
      </c>
      <c r="S381" s="4" t="str">
        <f>IFERROR(__xludf.DUMMYFUNCTION("GOOGLETRANSLATE(B381,""en"",""bn"")"),"বিরতি")</f>
        <v>বিরতি</v>
      </c>
      <c r="T381" s="4" t="str">
        <f>IFERROR(__xludf.DUMMYFUNCTION("GOOGLETRANSLATE(B381,""en"",""pa"")"),"ਵਿਰਾਮ")</f>
        <v>ਵਿਰਾਮ</v>
      </c>
      <c r="U381" s="4" t="str">
        <f>IFERROR(__xludf.DUMMYFUNCTION("GOOGLETRANSLATE(B381,""en"",""te"")"),"పాజ్ చేయండి")</f>
        <v>పాజ్ చేయండి</v>
      </c>
      <c r="V381" s="4" t="str">
        <f>IFERROR(__xludf.DUMMYFUNCTION("GOOGLETRANSLATE(B381,""en"",""kn"")"),"ವಿರಾಮ")</f>
        <v>ವಿರಾಮ</v>
      </c>
      <c r="W381" s="4" t="str">
        <f>IFERROR(__xludf.DUMMYFUNCTION("GOOGLETRANSLATE(B381,""en"",""ml"")"),"താൽക്കാലികമായി നിർത്തുക")</f>
        <v>താൽക്കാലികമായി നിർത്തുക</v>
      </c>
      <c r="X381" s="4" t="str">
        <f>IFERROR(__xludf.DUMMYFUNCTION("GOOGLETRANSLATE(B381,""en"",""th"")"),"หยุดชั่วคราว")</f>
        <v>หยุดชั่วคราว</v>
      </c>
      <c r="Y381" s="4" t="str">
        <f>IFERROR(__xludf.DUMMYFUNCTION("GOOGLETRANSLATE(B381,""en"",""ko"")"),"정지시키다")</f>
        <v>정지시키다</v>
      </c>
      <c r="Z381" s="4" t="str">
        <f>IFERROR(__xludf.DUMMYFUNCTION("GOOGLETRANSLATE(B381,""en"",""zh"")"),"暂停")</f>
        <v>暂停</v>
      </c>
      <c r="AA381" s="4" t="str">
        <f>IFERROR(__xludf.DUMMYFUNCTION("GOOGLETRANSLATE(B381,""en"",""zh-TW"")"),"暫停")</f>
        <v>暫停</v>
      </c>
      <c r="AB381" s="4" t="str">
        <f>IFERROR(__xludf.DUMMYFUNCTION("GOOGLETRANSLATE(B381,""en"",""ja"")"),"一時停止")</f>
        <v>一時停止</v>
      </c>
      <c r="AC381" s="4" t="str">
        <f>IFERROR(__xludf.DUMMYFUNCTION("GOOGLETRANSLATE(B381,""en"",""bg"")"),"Пауза")</f>
        <v>Пауза</v>
      </c>
      <c r="AD381" s="4" t="str">
        <f>IFERROR(__xludf.DUMMYFUNCTION("GOOGLETRANSLATE(B381,""en"",""cs"")"),"Pauza")</f>
        <v>Pauza</v>
      </c>
      <c r="AE381" s="4" t="str">
        <f>IFERROR(__xludf.DUMMYFUNCTION("GOOGLETRANSLATE(B381,""en"",""da"")"),"Pause")</f>
        <v>Pause</v>
      </c>
      <c r="AF381" s="4" t="str">
        <f>IFERROR(__xludf.DUMMYFUNCTION("GOOGLETRANSLATE(B381,""en"",""el"")"),"Παύση")</f>
        <v>Παύση</v>
      </c>
      <c r="AG381" s="4" t="str">
        <f>IFERROR(__xludf.DUMMYFUNCTION("GOOGLETRANSLATE(B381,""en"",""et"")"),"Paus")</f>
        <v>Paus</v>
      </c>
      <c r="AH381" s="4" t="str">
        <f>IFERROR(__xludf.DUMMYFUNCTION("GOOGLETRANSLATE(B381,""en"",""fi"")"),"Tauko")</f>
        <v>Tauko</v>
      </c>
      <c r="AI381" s="4" t="str">
        <f>IFERROR(__xludf.DUMMYFUNCTION("GOOGLETRANSLATE(B381,""en"",""hr"")"),"Pauza")</f>
        <v>Pauza</v>
      </c>
      <c r="AJ381" s="4" t="str">
        <f>IFERROR(__xludf.DUMMYFUNCTION("GOOGLETRANSLATE(B381,""en"",""hu"")"),"Szünet")</f>
        <v>Szünet</v>
      </c>
      <c r="AK381" s="4" t="str">
        <f>IFERROR(__xludf.DUMMYFUNCTION("GOOGLETRANSLATE(B381,""en"",""hy"")"),"Դադար")</f>
        <v>Դադար</v>
      </c>
      <c r="AL381" s="4" t="str">
        <f>IFERROR(__xludf.DUMMYFUNCTION("GOOGLETRANSLATE(B381,""en"",""ca"")"),"Pausa")</f>
        <v>Pausa</v>
      </c>
      <c r="AM381" s="4" t="str">
        <f>IFERROR(__xludf.DUMMYFUNCTION("GOOGLETRANSLATE(B381,""en"",""nl"")"),"Pauze")</f>
        <v>Pauze</v>
      </c>
      <c r="AN381" s="4" t="str">
        <f>IFERROR(__xludf.DUMMYFUNCTION("GOOGLETRANSLATE(B381,""en"",""he"")"),"הַפסָקָה")</f>
        <v>הַפסָקָה</v>
      </c>
      <c r="AO381" s="4" t="str">
        <f>IFERROR(__xludf.DUMMYFUNCTION("GOOGLETRANSLATE(B381,""en"",""is"")"),"Gera hlé")</f>
        <v>Gera hlé</v>
      </c>
      <c r="AP381" s="4" t="str">
        <f>IFERROR(__xludf.DUMMYFUNCTION("GOOGLETRANSLATE(B381,""en"",""no"")"),"Pause")</f>
        <v>Pause</v>
      </c>
      <c r="AQ381" s="4" t="str">
        <f>IFERROR(__xludf.DUMMYFUNCTION("GOOGLETRANSLATE(B381,""en"",""fa"")"),"مکث کنید")</f>
        <v>مکث کنید</v>
      </c>
      <c r="AR381" s="4" t="str">
        <f>IFERROR(__xludf.DUMMYFUNCTION("GOOGLETRANSLATE(B381,""en"",""pl"")"),"Pauza")</f>
        <v>Pauza</v>
      </c>
      <c r="AS381" s="4" t="str">
        <f>IFERROR(__xludf.DUMMYFUNCTION("GOOGLETRANSLATE(B381,""en"",""sv"")"),"Paus")</f>
        <v>Paus</v>
      </c>
      <c r="AT381" s="4" t="str">
        <f>IFERROR(__xludf.DUMMYFUNCTION("GOOGLETRANSLATE(B381,""en"",""uk"")"),"Пауза")</f>
        <v>Пауза</v>
      </c>
      <c r="AU381" s="4" t="str">
        <f>IFERROR(__xludf.DUMMYFUNCTION("GOOGLETRANSLATE(B381,""en"",""zu"")"),"Misa isikhashana")</f>
        <v>Misa isikhashana</v>
      </c>
      <c r="AV381" s="4" t="str">
        <f>IFERROR(__xludf.DUMMYFUNCTION("GOOGLETRANSLATE(B381,""en"",""sr"")"),"Пауза")</f>
        <v>Пауза</v>
      </c>
    </row>
    <row r="382">
      <c r="A382" s="3" t="s">
        <v>749</v>
      </c>
      <c r="B382" s="3" t="s">
        <v>563</v>
      </c>
      <c r="C382" s="4" t="str">
        <f>IFERROR(__xludf.DUMMYFUNCTION("GOOGLETRANSLATE(B382,""en"",""ta"")"),"ரெஸ்யூம்")</f>
        <v>ரெஸ்யூம்</v>
      </c>
      <c r="D382" s="4" t="str">
        <f>IFERROR(__xludf.DUMMYFUNCTION("GOOGLETRANSLATE(B382,""en"",""hi"")"),"फिर शुरू करना")</f>
        <v>फिर शुरू करना</v>
      </c>
      <c r="E382" s="4" t="str">
        <f>IFERROR(__xludf.DUMMYFUNCTION("GOOGLETRANSLATE(B382,""en"",""id"")"),"Melanjutkan")</f>
        <v>Melanjutkan</v>
      </c>
      <c r="F382" s="4" t="str">
        <f>IFERROR(__xludf.DUMMYFUNCTION("GOOGLETRANSLATE(B382,""en"",""ms"")"),"Sambung semula")</f>
        <v>Sambung semula</v>
      </c>
      <c r="G382" s="4" t="str">
        <f>IFERROR(__xludf.DUMMYFUNCTION("GOOGLETRANSLATE(B382,""en"",""de"")"),"Wieder aufnehmen")</f>
        <v>Wieder aufnehmen</v>
      </c>
      <c r="H382" s="4" t="str">
        <f>IFERROR(__xludf.DUMMYFUNCTION("GOOGLETRANSLATE(B382,""en"",""es"")"),"Reanudar")</f>
        <v>Reanudar</v>
      </c>
      <c r="I382" s="4" t="str">
        <f>IFERROR(__xludf.DUMMYFUNCTION("GOOGLETRANSLATE(B382,""en"",""fr"")"),"CV")</f>
        <v>CV</v>
      </c>
      <c r="J382" s="4" t="str">
        <f>IFERROR(__xludf.DUMMYFUNCTION("GOOGLETRANSLATE(B382,""en"",""it"")"),"Riprendere")</f>
        <v>Riprendere</v>
      </c>
      <c r="K382" s="4" t="str">
        <f>IFERROR(__xludf.DUMMYFUNCTION("GOOGLETRANSLATE(B382,""en"",""pt"")"),"Retomar")</f>
        <v>Retomar</v>
      </c>
      <c r="L382" s="4" t="str">
        <f>IFERROR(__xludf.DUMMYFUNCTION("GOOGLETRANSLATE(B382,""en"",""ro"")"),"Relua")</f>
        <v>Relua</v>
      </c>
      <c r="M382" s="4" t="str">
        <f>IFERROR(__xludf.DUMMYFUNCTION("GOOGLETRANSLATE(B382,""en"",""vi"")"),"Bản tóm tắt")</f>
        <v>Bản tóm tắt</v>
      </c>
      <c r="N382" s="4" t="str">
        <f>IFERROR(__xludf.DUMMYFUNCTION("GOOGLETRANSLATE(B382,""en"",""ru"")"),"Резюме")</f>
        <v>Резюме</v>
      </c>
      <c r="O382" s="4" t="str">
        <f>IFERROR(__xludf.DUMMYFUNCTION("GOOGLETRANSLATE(B382,""en"",""tr"")"),"Sürdürmek")</f>
        <v>Sürdürmek</v>
      </c>
      <c r="P382" s="4" t="str">
        <f>IFERROR(__xludf.DUMMYFUNCTION("GOOGLETRANSLATE(B382,""en"",""ar"")"),"سيرة ذاتية")</f>
        <v>سيرة ذاتية</v>
      </c>
      <c r="Q382" s="4" t="str">
        <f>IFERROR(__xludf.DUMMYFUNCTION("GOOGLETRANSLATE(B382,""en"",""mr"")"),"पुन्हा सुरू करा")</f>
        <v>पुन्हा सुरू करा</v>
      </c>
      <c r="R382" s="4" t="str">
        <f>IFERROR(__xludf.DUMMYFUNCTION("GOOGLETRANSLATE(B382,""en"",""gu"")"),"ફરી શરૂ કરો")</f>
        <v>ફરી શરૂ કરો</v>
      </c>
      <c r="S382" s="4" t="str">
        <f>IFERROR(__xludf.DUMMYFUNCTION("GOOGLETRANSLATE(B382,""en"",""bn"")"),"পুনরায় শুরু করুন")</f>
        <v>পুনরায় শুরু করুন</v>
      </c>
      <c r="T382" s="4" t="str">
        <f>IFERROR(__xludf.DUMMYFUNCTION("GOOGLETRANSLATE(B382,""en"",""pa"")"),"ਮੁੜ ਸ਼ੁਰੂ ਕਰੋ")</f>
        <v>ਮੁੜ ਸ਼ੁਰੂ ਕਰੋ</v>
      </c>
      <c r="U382" s="4" t="str">
        <f>IFERROR(__xludf.DUMMYFUNCTION("GOOGLETRANSLATE(B382,""en"",""te"")"),"పునఃప్రారంభించండి")</f>
        <v>పునఃప్రారంభించండి</v>
      </c>
      <c r="V382" s="4" t="str">
        <f>IFERROR(__xludf.DUMMYFUNCTION("GOOGLETRANSLATE(B382,""en"",""kn"")"),"ಪುನರಾರಂಭಿಸಿ")</f>
        <v>ಪುನರಾರಂಭಿಸಿ</v>
      </c>
      <c r="W382" s="4" t="str">
        <f>IFERROR(__xludf.DUMMYFUNCTION("GOOGLETRANSLATE(B382,""en"",""ml"")"),"പുനരാരംഭിക്കുക")</f>
        <v>പുനരാരംഭിക്കുക</v>
      </c>
      <c r="X382" s="4" t="str">
        <f>IFERROR(__xludf.DUMMYFUNCTION("GOOGLETRANSLATE(B382,""en"",""th"")"),"ประวัติย่อ")</f>
        <v>ประวัติย่อ</v>
      </c>
      <c r="Y382" s="4" t="str">
        <f>IFERROR(__xludf.DUMMYFUNCTION("GOOGLETRANSLATE(B382,""en"",""ko"")"),"재개하다")</f>
        <v>재개하다</v>
      </c>
      <c r="Z382" s="4" t="str">
        <f>IFERROR(__xludf.DUMMYFUNCTION("GOOGLETRANSLATE(B382,""en"",""zh"")"),"恢复")</f>
        <v>恢复</v>
      </c>
      <c r="AA382" s="4" t="str">
        <f>IFERROR(__xludf.DUMMYFUNCTION("GOOGLETRANSLATE(B382,""en"",""zh-TW"")"),"恢復")</f>
        <v>恢復</v>
      </c>
      <c r="AB382" s="4" t="str">
        <f>IFERROR(__xludf.DUMMYFUNCTION("GOOGLETRANSLATE(B382,""en"",""ja"")"),"再開する")</f>
        <v>再開する</v>
      </c>
      <c r="AC382" s="4" t="str">
        <f>IFERROR(__xludf.DUMMYFUNCTION("GOOGLETRANSLATE(B382,""en"",""bg"")"),"Резюме")</f>
        <v>Резюме</v>
      </c>
      <c r="AD382" s="4" t="str">
        <f>IFERROR(__xludf.DUMMYFUNCTION("GOOGLETRANSLATE(B382,""en"",""cs"")"),"Resumé")</f>
        <v>Resumé</v>
      </c>
      <c r="AE382" s="4" t="str">
        <f>IFERROR(__xludf.DUMMYFUNCTION("GOOGLETRANSLATE(B382,""en"",""da"")"),"Genoptage")</f>
        <v>Genoptage</v>
      </c>
      <c r="AF382" s="4" t="str">
        <f>IFERROR(__xludf.DUMMYFUNCTION("GOOGLETRANSLATE(B382,""en"",""el"")"),"Περίληψη")</f>
        <v>Περίληψη</v>
      </c>
      <c r="AG382" s="4" t="str">
        <f>IFERROR(__xludf.DUMMYFUNCTION("GOOGLETRANSLATE(B382,""en"",""et"")"),"Jätka")</f>
        <v>Jätka</v>
      </c>
      <c r="AH382" s="4" t="str">
        <f>IFERROR(__xludf.DUMMYFUNCTION("GOOGLETRANSLATE(B382,""en"",""fi"")"),"Jatkaa")</f>
        <v>Jatkaa</v>
      </c>
      <c r="AI382" s="4" t="str">
        <f>IFERROR(__xludf.DUMMYFUNCTION("GOOGLETRANSLATE(B382,""en"",""hr"")"),"Nastavi")</f>
        <v>Nastavi</v>
      </c>
      <c r="AJ382" s="4" t="str">
        <f>IFERROR(__xludf.DUMMYFUNCTION("GOOGLETRANSLATE(B382,""en"",""hu"")"),"Folytatás")</f>
        <v>Folytatás</v>
      </c>
      <c r="AK382" s="4" t="str">
        <f>IFERROR(__xludf.DUMMYFUNCTION("GOOGLETRANSLATE(B382,""en"",""hy"")"),"Ռեզյումե")</f>
        <v>Ռեզյումե</v>
      </c>
      <c r="AL382" s="4" t="str">
        <f>IFERROR(__xludf.DUMMYFUNCTION("GOOGLETRANSLATE(B382,""en"",""ca"")"),"Currículum")</f>
        <v>Currículum</v>
      </c>
      <c r="AM382" s="4" t="str">
        <f>IFERROR(__xludf.DUMMYFUNCTION("GOOGLETRANSLATE(B382,""en"",""nl"")"),"Cv")</f>
        <v>Cv</v>
      </c>
      <c r="AN382" s="4" t="str">
        <f>IFERROR(__xludf.DUMMYFUNCTION("GOOGLETRANSLATE(B382,""en"",""he"")"),"קוֹרוֹת חַיִים")</f>
        <v>קוֹרוֹת חַיִים</v>
      </c>
      <c r="AO382" s="4" t="str">
        <f>IFERROR(__xludf.DUMMYFUNCTION("GOOGLETRANSLATE(B382,""en"",""is"")"),"Halda áfram")</f>
        <v>Halda áfram</v>
      </c>
      <c r="AP382" s="4" t="str">
        <f>IFERROR(__xludf.DUMMYFUNCTION("GOOGLETRANSLATE(B382,""en"",""no"")"),"Gjenoppta")</f>
        <v>Gjenoppta</v>
      </c>
      <c r="AQ382" s="4" t="str">
        <f>IFERROR(__xludf.DUMMYFUNCTION("GOOGLETRANSLATE(B382,""en"",""fa"")"),"رزومه")</f>
        <v>رزومه</v>
      </c>
      <c r="AR382" s="4" t="str">
        <f>IFERROR(__xludf.DUMMYFUNCTION("GOOGLETRANSLATE(B382,""en"",""pl"")"),"Wznawiać")</f>
        <v>Wznawiać</v>
      </c>
      <c r="AS382" s="4" t="str">
        <f>IFERROR(__xludf.DUMMYFUNCTION("GOOGLETRANSLATE(B382,""en"",""sv"")"),"Resume")</f>
        <v>Resume</v>
      </c>
      <c r="AT382" s="4" t="str">
        <f>IFERROR(__xludf.DUMMYFUNCTION("GOOGLETRANSLATE(B382,""en"",""uk"")"),"Резюме")</f>
        <v>Резюме</v>
      </c>
      <c r="AU382" s="4" t="str">
        <f>IFERROR(__xludf.DUMMYFUNCTION("GOOGLETRANSLATE(B382,""en"",""zu"")"),"Qalisa kabusha")</f>
        <v>Qalisa kabusha</v>
      </c>
      <c r="AV382" s="4" t="str">
        <f>IFERROR(__xludf.DUMMYFUNCTION("GOOGLETRANSLATE(B382,""en"",""sr"")"),"Настави")</f>
        <v>Настави</v>
      </c>
    </row>
    <row r="383">
      <c r="A383" s="3" t="s">
        <v>750</v>
      </c>
      <c r="B383" s="3" t="s">
        <v>751</v>
      </c>
      <c r="C383" s="4" t="str">
        <f>IFERROR(__xludf.DUMMYFUNCTION("GOOGLETRANSLATE(B383,""en"",""ta"")"),"வரைபடத்தைக் காட்டு")</f>
        <v>வரைபடத்தைக் காட்டு</v>
      </c>
      <c r="D383" s="4" t="str">
        <f>IFERROR(__xludf.DUMMYFUNCTION("GOOGLETRANSLATE(B383,""en"",""hi"")"),"नक्शा दिखाएं")</f>
        <v>नक्शा दिखाएं</v>
      </c>
      <c r="E383" s="4" t="str">
        <f>IFERROR(__xludf.DUMMYFUNCTION("GOOGLETRANSLATE(B383,""en"",""id"")"),"Tampilkan Peta")</f>
        <v>Tampilkan Peta</v>
      </c>
      <c r="F383" s="4" t="str">
        <f>IFERROR(__xludf.DUMMYFUNCTION("GOOGLETRANSLATE(B383,""en"",""ms"")"),"Tunjukkan Peta")</f>
        <v>Tunjukkan Peta</v>
      </c>
      <c r="G383" s="4" t="str">
        <f>IFERROR(__xludf.DUMMYFUNCTION("GOOGLETRANSLATE(B383,""en"",""de"")"),"Karte anzeigen")</f>
        <v>Karte anzeigen</v>
      </c>
      <c r="H383" s="4" t="str">
        <f>IFERROR(__xludf.DUMMYFUNCTION("GOOGLETRANSLATE(B383,""en"",""es"")"),"Mostrar mapa")</f>
        <v>Mostrar mapa</v>
      </c>
      <c r="I383" s="4" t="str">
        <f>IFERROR(__xludf.DUMMYFUNCTION("GOOGLETRANSLATE(B383,""en"",""fr"")"),"Afficher la carte")</f>
        <v>Afficher la carte</v>
      </c>
      <c r="J383" s="4" t="str">
        <f>IFERROR(__xludf.DUMMYFUNCTION("GOOGLETRANSLATE(B383,""en"",""it"")"),"Mostra mappa")</f>
        <v>Mostra mappa</v>
      </c>
      <c r="K383" s="4" t="str">
        <f>IFERROR(__xludf.DUMMYFUNCTION("GOOGLETRANSLATE(B383,""en"",""pt"")"),"Mostrar mapa")</f>
        <v>Mostrar mapa</v>
      </c>
      <c r="L383" s="4" t="str">
        <f>IFERROR(__xludf.DUMMYFUNCTION("GOOGLETRANSLATE(B383,""en"",""ro"")"),"Afișați harta")</f>
        <v>Afișați harta</v>
      </c>
      <c r="M383" s="4" t="str">
        <f>IFERROR(__xludf.DUMMYFUNCTION("GOOGLETRANSLATE(B383,""en"",""vi"")"),"Hiển thị bản đồ")</f>
        <v>Hiển thị bản đồ</v>
      </c>
      <c r="N383" s="4" t="str">
        <f>IFERROR(__xludf.DUMMYFUNCTION("GOOGLETRANSLATE(B383,""en"",""ru"")"),"Показать карту")</f>
        <v>Показать карту</v>
      </c>
      <c r="O383" s="4" t="str">
        <f>IFERROR(__xludf.DUMMYFUNCTION("GOOGLETRANSLATE(B383,""en"",""tr"")"),"Haritayı Göster")</f>
        <v>Haritayı Göster</v>
      </c>
      <c r="P383" s="4" t="str">
        <f>IFERROR(__xludf.DUMMYFUNCTION("GOOGLETRANSLATE(B383,""en"",""ar"")"),"إظهار الخريطة")</f>
        <v>إظهار الخريطة</v>
      </c>
      <c r="Q383" s="4" t="str">
        <f>IFERROR(__xludf.DUMMYFUNCTION("GOOGLETRANSLATE(B383,""en"",""mr"")"),"नकाशा दाखवा")</f>
        <v>नकाशा दाखवा</v>
      </c>
      <c r="R383" s="4" t="str">
        <f>IFERROR(__xludf.DUMMYFUNCTION("GOOGLETRANSLATE(B383,""en"",""gu"")"),"નકશો બતાવો")</f>
        <v>નકશો બતાવો</v>
      </c>
      <c r="S383" s="4" t="str">
        <f>IFERROR(__xludf.DUMMYFUNCTION("GOOGLETRANSLATE(B383,""en"",""bn"")"),"মানচিত্র দেখান")</f>
        <v>মানচিত্র দেখান</v>
      </c>
      <c r="T383" s="4" t="str">
        <f>IFERROR(__xludf.DUMMYFUNCTION("GOOGLETRANSLATE(B383,""en"",""pa"")"),"ਨਕਸ਼ਾ ਦਿਖਾਓ")</f>
        <v>ਨਕਸ਼ਾ ਦਿਖਾਓ</v>
      </c>
      <c r="U383" s="4" t="str">
        <f>IFERROR(__xludf.DUMMYFUNCTION("GOOGLETRANSLATE(B383,""en"",""te"")"),"మ్యాప్ చూపించు")</f>
        <v>మ్యాప్ చూపించు</v>
      </c>
      <c r="V383" s="4" t="str">
        <f>IFERROR(__xludf.DUMMYFUNCTION("GOOGLETRANSLATE(B383,""en"",""kn"")"),"ನಕ್ಷೆಯನ್ನು ತೋರಿಸಿ")</f>
        <v>ನಕ್ಷೆಯನ್ನು ತೋರಿಸಿ</v>
      </c>
      <c r="W383" s="4" t="str">
        <f>IFERROR(__xludf.DUMMYFUNCTION("GOOGLETRANSLATE(B383,""en"",""ml"")"),"മാപ്പ് കാണിക്കുക")</f>
        <v>മാപ്പ് കാണിക്കുക</v>
      </c>
      <c r="X383" s="4" t="str">
        <f>IFERROR(__xludf.DUMMYFUNCTION("GOOGLETRANSLATE(B383,""en"",""th"")"),"แสดงแผนที่")</f>
        <v>แสดงแผนที่</v>
      </c>
      <c r="Y383" s="4" t="str">
        <f>IFERROR(__xludf.DUMMYFUNCTION("GOOGLETRANSLATE(B383,""en"",""ko"")"),"지도 보기")</f>
        <v>지도 보기</v>
      </c>
      <c r="Z383" s="4" t="str">
        <f>IFERROR(__xludf.DUMMYFUNCTION("GOOGLETRANSLATE(B383,""en"",""zh"")"),"显示地图")</f>
        <v>显示地图</v>
      </c>
      <c r="AA383" s="4" t="str">
        <f>IFERROR(__xludf.DUMMYFUNCTION("GOOGLETRANSLATE(B383,""en"",""zh-TW"")"),"顯示地圖")</f>
        <v>顯示地圖</v>
      </c>
      <c r="AB383" s="4" t="str">
        <f>IFERROR(__xludf.DUMMYFUNCTION("GOOGLETRANSLATE(B383,""en"",""ja"")"),"地図を表示")</f>
        <v>地図を表示</v>
      </c>
      <c r="AC383" s="4" t="str">
        <f>IFERROR(__xludf.DUMMYFUNCTION("GOOGLETRANSLATE(B383,""en"",""bg"")"),"Показване на картата")</f>
        <v>Показване на картата</v>
      </c>
      <c r="AD383" s="4" t="str">
        <f>IFERROR(__xludf.DUMMYFUNCTION("GOOGLETRANSLATE(B383,""en"",""cs"")"),"Zobrazit mapu")</f>
        <v>Zobrazit mapu</v>
      </c>
      <c r="AE383" s="4" t="str">
        <f>IFERROR(__xludf.DUMMYFUNCTION("GOOGLETRANSLATE(B383,""en"",""da"")"),"Vis kort")</f>
        <v>Vis kort</v>
      </c>
      <c r="AF383" s="4" t="str">
        <f>IFERROR(__xludf.DUMMYFUNCTION("GOOGLETRANSLATE(B383,""en"",""el"")"),"Εμφάνιση χάρτη")</f>
        <v>Εμφάνιση χάρτη</v>
      </c>
      <c r="AG383" s="4" t="str">
        <f>IFERROR(__xludf.DUMMYFUNCTION("GOOGLETRANSLATE(B383,""en"",""et"")"),"Näita kaarti")</f>
        <v>Näita kaarti</v>
      </c>
      <c r="AH383" s="4" t="str">
        <f>IFERROR(__xludf.DUMMYFUNCTION("GOOGLETRANSLATE(B383,""en"",""fi"")"),"Näytä kartta")</f>
        <v>Näytä kartta</v>
      </c>
      <c r="AI383" s="4" t="str">
        <f>IFERROR(__xludf.DUMMYFUNCTION("GOOGLETRANSLATE(B383,""en"",""hr"")"),"Prikaži kartu")</f>
        <v>Prikaži kartu</v>
      </c>
      <c r="AJ383" s="4" t="str">
        <f>IFERROR(__xludf.DUMMYFUNCTION("GOOGLETRANSLATE(B383,""en"",""hu"")"),"Térkép megjelenítése")</f>
        <v>Térkép megjelenítése</v>
      </c>
      <c r="AK383" s="4" t="str">
        <f>IFERROR(__xludf.DUMMYFUNCTION("GOOGLETRANSLATE(B383,""en"",""hy"")"),"Ցույց տալ քարտեզը")</f>
        <v>Ցույց տալ քարտեզը</v>
      </c>
      <c r="AL383" s="4" t="str">
        <f>IFERROR(__xludf.DUMMYFUNCTION("GOOGLETRANSLATE(B383,""en"",""ca"")"),"Mostra el mapa")</f>
        <v>Mostra el mapa</v>
      </c>
      <c r="AM383" s="4" t="str">
        <f>IFERROR(__xludf.DUMMYFUNCTION("GOOGLETRANSLATE(B383,""en"",""nl"")"),"Kaart weergeven")</f>
        <v>Kaart weergeven</v>
      </c>
      <c r="AN383" s="4" t="str">
        <f>IFERROR(__xludf.DUMMYFUNCTION("GOOGLETRANSLATE(B383,""en"",""he"")"),"הצג מפה")</f>
        <v>הצג מפה</v>
      </c>
      <c r="AO383" s="4" t="str">
        <f>IFERROR(__xludf.DUMMYFUNCTION("GOOGLETRANSLATE(B383,""en"",""is"")"),"Sýna kort")</f>
        <v>Sýna kort</v>
      </c>
      <c r="AP383" s="4" t="str">
        <f>IFERROR(__xludf.DUMMYFUNCTION("GOOGLETRANSLATE(B383,""en"",""no"")"),"Vis kart")</f>
        <v>Vis kart</v>
      </c>
      <c r="AQ383" s="4" t="str">
        <f>IFERROR(__xludf.DUMMYFUNCTION("GOOGLETRANSLATE(B383,""en"",""fa"")"),"نمایش نقشه")</f>
        <v>نمایش نقشه</v>
      </c>
      <c r="AR383" s="4" t="str">
        <f>IFERROR(__xludf.DUMMYFUNCTION("GOOGLETRANSLATE(B383,""en"",""pl"")"),"Pokaż mapę")</f>
        <v>Pokaż mapę</v>
      </c>
      <c r="AS383" s="4" t="str">
        <f>IFERROR(__xludf.DUMMYFUNCTION("GOOGLETRANSLATE(B383,""en"",""sv"")"),"Visa karta")</f>
        <v>Visa karta</v>
      </c>
      <c r="AT383" s="4" t="str">
        <f>IFERROR(__xludf.DUMMYFUNCTION("GOOGLETRANSLATE(B383,""en"",""uk"")"),"Показати карту")</f>
        <v>Показати карту</v>
      </c>
      <c r="AU383" s="4" t="str">
        <f>IFERROR(__xludf.DUMMYFUNCTION("GOOGLETRANSLATE(B383,""en"",""zu"")"),"Bonisa imephu")</f>
        <v>Bonisa imephu</v>
      </c>
      <c r="AV383" s="4" t="str">
        <f>IFERROR(__xludf.DUMMYFUNCTION("GOOGLETRANSLATE(B383,""en"",""sr"")"),"Прикажи мапу")</f>
        <v>Прикажи мапу</v>
      </c>
    </row>
    <row r="384">
      <c r="A384" s="3" t="s">
        <v>752</v>
      </c>
      <c r="B384" s="3" t="s">
        <v>753</v>
      </c>
      <c r="C384" s="4" t="str">
        <f>IFERROR(__xludf.DUMMYFUNCTION("GOOGLETRANSLATE(B384,""en"",""ta"")"),"ஸ்பீடோமீட்டரைக் காட்டு")</f>
        <v>ஸ்பீடோமீட்டரைக் காட்டு</v>
      </c>
      <c r="D384" s="4" t="str">
        <f>IFERROR(__xludf.DUMMYFUNCTION("GOOGLETRANSLATE(B384,""en"",""hi"")"),"स्पीडोमीटर दिखाएं")</f>
        <v>स्पीडोमीटर दिखाएं</v>
      </c>
      <c r="E384" s="4" t="str">
        <f>IFERROR(__xludf.DUMMYFUNCTION("GOOGLETRANSLATE(B384,""en"",""id"")"),"Tampilkan Speedometer")</f>
        <v>Tampilkan Speedometer</v>
      </c>
      <c r="F384" s="4" t="str">
        <f>IFERROR(__xludf.DUMMYFUNCTION("GOOGLETRANSLATE(B384,""en"",""ms"")"),"Tunjukkan Speedometer")</f>
        <v>Tunjukkan Speedometer</v>
      </c>
      <c r="G384" s="4" t="str">
        <f>IFERROR(__xludf.DUMMYFUNCTION("GOOGLETRANSLATE(B384,""en"",""de"")"),"Tachometer anzeigen")</f>
        <v>Tachometer anzeigen</v>
      </c>
      <c r="H384" s="4" t="str">
        <f>IFERROR(__xludf.DUMMYFUNCTION("GOOGLETRANSLATE(B384,""en"",""es"")"),"Mostrar velocímetro")</f>
        <v>Mostrar velocímetro</v>
      </c>
      <c r="I384" s="4" t="str">
        <f>IFERROR(__xludf.DUMMYFUNCTION("GOOGLETRANSLATE(B384,""en"",""fr"")"),"Afficher le compteur de vitesse")</f>
        <v>Afficher le compteur de vitesse</v>
      </c>
      <c r="J384" s="4" t="str">
        <f>IFERROR(__xludf.DUMMYFUNCTION("GOOGLETRANSLATE(B384,""en"",""it"")"),"Mostra tachimetro")</f>
        <v>Mostra tachimetro</v>
      </c>
      <c r="K384" s="4" t="str">
        <f>IFERROR(__xludf.DUMMYFUNCTION("GOOGLETRANSLATE(B384,""en"",""pt"")"),"Mostrar velocímetro")</f>
        <v>Mostrar velocímetro</v>
      </c>
      <c r="L384" s="4" t="str">
        <f>IFERROR(__xludf.DUMMYFUNCTION("GOOGLETRANSLATE(B384,""en"",""ro"")"),"Arată vitezometru")</f>
        <v>Arată vitezometru</v>
      </c>
      <c r="M384" s="4" t="str">
        <f>IFERROR(__xludf.DUMMYFUNCTION("GOOGLETRANSLATE(B384,""en"",""vi"")"),"Hiển thị đồng hồ tốc độ")</f>
        <v>Hiển thị đồng hồ tốc độ</v>
      </c>
      <c r="N384" s="4" t="str">
        <f>IFERROR(__xludf.DUMMYFUNCTION("GOOGLETRANSLATE(B384,""en"",""ru"")"),"Показать спидометр")</f>
        <v>Показать спидометр</v>
      </c>
      <c r="O384" s="4" t="str">
        <f>IFERROR(__xludf.DUMMYFUNCTION("GOOGLETRANSLATE(B384,""en"",""tr"")"),"Hızölçeri göster")</f>
        <v>Hızölçeri göster</v>
      </c>
      <c r="P384" s="4" t="str">
        <f>IFERROR(__xludf.DUMMYFUNCTION("GOOGLETRANSLATE(B384,""en"",""ar"")"),"عرض عداد السرعة")</f>
        <v>عرض عداد السرعة</v>
      </c>
      <c r="Q384" s="4" t="str">
        <f>IFERROR(__xludf.DUMMYFUNCTION("GOOGLETRANSLATE(B384,""en"",""mr"")"),"स्पीडोमीटर दाखवा")</f>
        <v>स्पीडोमीटर दाखवा</v>
      </c>
      <c r="R384" s="4" t="str">
        <f>IFERROR(__xludf.DUMMYFUNCTION("GOOGLETRANSLATE(B384,""en"",""gu"")"),"સ્પીડોમીટર બતાવો")</f>
        <v>સ્પીડોમીટર બતાવો</v>
      </c>
      <c r="S384" s="4" t="str">
        <f>IFERROR(__xludf.DUMMYFUNCTION("GOOGLETRANSLATE(B384,""en"",""bn"")"),"স্পিডোমিটার দেখান")</f>
        <v>স্পিডোমিটার দেখান</v>
      </c>
      <c r="T384" s="4" t="str">
        <f>IFERROR(__xludf.DUMMYFUNCTION("GOOGLETRANSLATE(B384,""en"",""pa"")"),"ਸਪੀਡੋਮੀਟਰ ਦਿਖਾਓ")</f>
        <v>ਸਪੀਡੋਮੀਟਰ ਦਿਖਾਓ</v>
      </c>
      <c r="U384" s="4" t="str">
        <f>IFERROR(__xludf.DUMMYFUNCTION("GOOGLETRANSLATE(B384,""en"",""te"")"),"స్పీడోమీటర్ చూపించు")</f>
        <v>స్పీడోమీటర్ చూపించు</v>
      </c>
      <c r="V384" s="4" t="str">
        <f>IFERROR(__xludf.DUMMYFUNCTION("GOOGLETRANSLATE(B384,""en"",""kn"")"),"ಸ್ಪೀಡೋಮೀಟರ್ ತೋರಿಸಿ")</f>
        <v>ಸ್ಪೀಡೋಮೀಟರ್ ತೋರಿಸಿ</v>
      </c>
      <c r="W384" s="4" t="str">
        <f>IFERROR(__xludf.DUMMYFUNCTION("GOOGLETRANSLATE(B384,""en"",""ml"")"),"സ്പീഡോമീറ്റർ കാണിക്കുക")</f>
        <v>സ്പീഡോമീറ്റർ കാണിക്കുക</v>
      </c>
      <c r="X384" s="4" t="str">
        <f>IFERROR(__xludf.DUMMYFUNCTION("GOOGLETRANSLATE(B384,""en"",""th"")"),"แสดงมาตรวัดความเร็ว")</f>
        <v>แสดงมาตรวัดความเร็ว</v>
      </c>
      <c r="Y384" s="4" t="str">
        <f>IFERROR(__xludf.DUMMYFUNCTION("GOOGLETRANSLATE(B384,""en"",""ko"")"),"속도계 표시")</f>
        <v>속도계 표시</v>
      </c>
      <c r="Z384" s="4" t="str">
        <f>IFERROR(__xludf.DUMMYFUNCTION("GOOGLETRANSLATE(B384,""en"",""zh"")"),"显示速度表")</f>
        <v>显示速度表</v>
      </c>
      <c r="AA384" s="4" t="str">
        <f>IFERROR(__xludf.DUMMYFUNCTION("GOOGLETRANSLATE(B384,""en"",""zh-TW"")"),"顯示速度表")</f>
        <v>顯示速度表</v>
      </c>
      <c r="AB384" s="4" t="str">
        <f>IFERROR(__xludf.DUMMYFUNCTION("GOOGLETRANSLATE(B384,""en"",""ja"")"),"スピードメーターを表示")</f>
        <v>スピードメーターを表示</v>
      </c>
      <c r="AC384" s="4" t="str">
        <f>IFERROR(__xludf.DUMMYFUNCTION("GOOGLETRANSLATE(B384,""en"",""bg"")"),"Показване на скоростомера")</f>
        <v>Показване на скоростомера</v>
      </c>
      <c r="AD384" s="4" t="str">
        <f>IFERROR(__xludf.DUMMYFUNCTION("GOOGLETRANSLATE(B384,""en"",""cs"")"),"Zobrazit Rychloměr")</f>
        <v>Zobrazit Rychloměr</v>
      </c>
      <c r="AE384" s="4" t="str">
        <f>IFERROR(__xludf.DUMMYFUNCTION("GOOGLETRANSLATE(B384,""en"",""da"")"),"Vis Speedometer")</f>
        <v>Vis Speedometer</v>
      </c>
      <c r="AF384" s="4" t="str">
        <f>IFERROR(__xludf.DUMMYFUNCTION("GOOGLETRANSLATE(B384,""en"",""el"")"),"Εμφάνιση ταχύμετρου")</f>
        <v>Εμφάνιση ταχύμετρου</v>
      </c>
      <c r="AG384" s="4" t="str">
        <f>IFERROR(__xludf.DUMMYFUNCTION("GOOGLETRANSLATE(B384,""en"",""et"")"),"Näita spidomeetrit")</f>
        <v>Näita spidomeetrit</v>
      </c>
      <c r="AH384" s="4" t="str">
        <f>IFERROR(__xludf.DUMMYFUNCTION("GOOGLETRANSLATE(B384,""en"",""fi"")"),"Näytä nopeusmittari")</f>
        <v>Näytä nopeusmittari</v>
      </c>
      <c r="AI384" s="4" t="str">
        <f>IFERROR(__xludf.DUMMYFUNCTION("GOOGLETRANSLATE(B384,""en"",""hr"")"),"Prikaži brzinomjer")</f>
        <v>Prikaži brzinomjer</v>
      </c>
      <c r="AJ384" s="4" t="str">
        <f>IFERROR(__xludf.DUMMYFUNCTION("GOOGLETRANSLATE(B384,""en"",""hu"")"),"Sebességmérő megjelenítése")</f>
        <v>Sebességmérő megjelenítése</v>
      </c>
      <c r="AK384" s="4" t="str">
        <f>IFERROR(__xludf.DUMMYFUNCTION("GOOGLETRANSLATE(B384,""en"",""hy"")"),"Ցույց տալ արագաչափը")</f>
        <v>Ցույց տալ արագաչափը</v>
      </c>
      <c r="AL384" s="4" t="str">
        <f>IFERROR(__xludf.DUMMYFUNCTION("GOOGLETRANSLATE(B384,""en"",""ca"")"),"Mostra el velocímetre")</f>
        <v>Mostra el velocímetre</v>
      </c>
      <c r="AM384" s="4" t="str">
        <f>IFERROR(__xludf.DUMMYFUNCTION("GOOGLETRANSLATE(B384,""en"",""nl"")"),"Snelheidsmeter weergeven")</f>
        <v>Snelheidsmeter weergeven</v>
      </c>
      <c r="AN384" s="4" t="str">
        <f>IFERROR(__xludf.DUMMYFUNCTION("GOOGLETRANSLATE(B384,""en"",""he"")"),"הצג מד מהירות")</f>
        <v>הצג מד מהירות</v>
      </c>
      <c r="AO384" s="4" t="str">
        <f>IFERROR(__xludf.DUMMYFUNCTION("GOOGLETRANSLATE(B384,""en"",""is"")"),"Sýna hraðamæli")</f>
        <v>Sýna hraðamæli</v>
      </c>
      <c r="AP384" s="4" t="str">
        <f>IFERROR(__xludf.DUMMYFUNCTION("GOOGLETRANSLATE(B384,""en"",""no"")"),"Vis Speedometer")</f>
        <v>Vis Speedometer</v>
      </c>
      <c r="AQ384" s="4" t="str">
        <f>IFERROR(__xludf.DUMMYFUNCTION("GOOGLETRANSLATE(B384,""en"",""fa"")"),"نمایش سرعت سنج")</f>
        <v>نمایش سرعت سنج</v>
      </c>
      <c r="AR384" s="4" t="str">
        <f>IFERROR(__xludf.DUMMYFUNCTION("GOOGLETRANSLATE(B384,""en"",""pl"")"),"Pokaż prędkościomierz")</f>
        <v>Pokaż prędkościomierz</v>
      </c>
      <c r="AS384" s="4" t="str">
        <f>IFERROR(__xludf.DUMMYFUNCTION("GOOGLETRANSLATE(B384,""en"",""sv"")"),"Visa hastighetsmätare")</f>
        <v>Visa hastighetsmätare</v>
      </c>
      <c r="AT384" s="4" t="str">
        <f>IFERROR(__xludf.DUMMYFUNCTION("GOOGLETRANSLATE(B384,""en"",""uk"")"),"Показати спідометр")</f>
        <v>Показати спідометр</v>
      </c>
      <c r="AU384" s="4" t="str">
        <f>IFERROR(__xludf.DUMMYFUNCTION("GOOGLETRANSLATE(B384,""en"",""zu"")"),"Bonisa i-Speedometer")</f>
        <v>Bonisa i-Speedometer</v>
      </c>
      <c r="AV384" s="4" t="str">
        <f>IFERROR(__xludf.DUMMYFUNCTION("GOOGLETRANSLATE(B384,""en"",""sr"")"),"Прикажи брзиномер")</f>
        <v>Прикажи брзиномер</v>
      </c>
    </row>
    <row r="385">
      <c r="A385" s="3" t="s">
        <v>754</v>
      </c>
      <c r="B385" s="3" t="s">
        <v>755</v>
      </c>
      <c r="C385" s="4" t="str">
        <f>IFERROR(__xludf.DUMMYFUNCTION("GOOGLETRANSLATE(B385,""en"",""ta"")"),"வேக வரம்பு")</f>
        <v>வேக வரம்பு</v>
      </c>
      <c r="D385" s="4" t="str">
        <f>IFERROR(__xludf.DUMMYFUNCTION("GOOGLETRANSLATE(B385,""en"",""hi"")"),"गति सीमा")</f>
        <v>गति सीमा</v>
      </c>
      <c r="E385" s="4" t="str">
        <f>IFERROR(__xludf.DUMMYFUNCTION("GOOGLETRANSLATE(B385,""en"",""id"")"),"Batas kecepatan")</f>
        <v>Batas kecepatan</v>
      </c>
      <c r="F385" s="4" t="str">
        <f>IFERROR(__xludf.DUMMYFUNCTION("GOOGLETRANSLATE(B385,""en"",""ms"")"),"Had Kelajuan")</f>
        <v>Had Kelajuan</v>
      </c>
      <c r="G385" s="4" t="str">
        <f>IFERROR(__xludf.DUMMYFUNCTION("GOOGLETRANSLATE(B385,""en"",""de"")"),"Geschwindigkeitsbegrenzung")</f>
        <v>Geschwindigkeitsbegrenzung</v>
      </c>
      <c r="H385" s="4" t="str">
        <f>IFERROR(__xludf.DUMMYFUNCTION("GOOGLETRANSLATE(B385,""en"",""es"")"),"Límite de velocidad")</f>
        <v>Límite de velocidad</v>
      </c>
      <c r="I385" s="4" t="str">
        <f>IFERROR(__xludf.DUMMYFUNCTION("GOOGLETRANSLATE(B385,""en"",""fr"")"),"Limitation de vitesse")</f>
        <v>Limitation de vitesse</v>
      </c>
      <c r="J385" s="4" t="str">
        <f>IFERROR(__xludf.DUMMYFUNCTION("GOOGLETRANSLATE(B385,""en"",""it"")"),"Limite di velocità")</f>
        <v>Limite di velocità</v>
      </c>
      <c r="K385" s="4" t="str">
        <f>IFERROR(__xludf.DUMMYFUNCTION("GOOGLETRANSLATE(B385,""en"",""pt"")"),"limite de velocidade")</f>
        <v>limite de velocidade</v>
      </c>
      <c r="L385" s="4" t="str">
        <f>IFERROR(__xludf.DUMMYFUNCTION("GOOGLETRANSLATE(B385,""en"",""ro"")"),"Limită de viteză")</f>
        <v>Limită de viteză</v>
      </c>
      <c r="M385" s="4" t="str">
        <f>IFERROR(__xludf.DUMMYFUNCTION("GOOGLETRANSLATE(B385,""en"",""vi"")"),"Giới hạn tốc độ")</f>
        <v>Giới hạn tốc độ</v>
      </c>
      <c r="N385" s="4" t="str">
        <f>IFERROR(__xludf.DUMMYFUNCTION("GOOGLETRANSLATE(B385,""en"",""ru"")"),"Ограничение скорости")</f>
        <v>Ограничение скорости</v>
      </c>
      <c r="O385" s="4" t="str">
        <f>IFERROR(__xludf.DUMMYFUNCTION("GOOGLETRANSLATE(B385,""en"",""tr"")"),"Hız Limiti")</f>
        <v>Hız Limiti</v>
      </c>
      <c r="P385" s="4" t="str">
        <f>IFERROR(__xludf.DUMMYFUNCTION("GOOGLETRANSLATE(B385,""en"",""ar"")"),"الحد الأقصى للسرعة")</f>
        <v>الحد الأقصى للسرعة</v>
      </c>
      <c r="Q385" s="4" t="str">
        <f>IFERROR(__xludf.DUMMYFUNCTION("GOOGLETRANSLATE(B385,""en"",""mr"")"),"गती मर्यादा")</f>
        <v>गती मर्यादा</v>
      </c>
      <c r="R385" s="4" t="str">
        <f>IFERROR(__xludf.DUMMYFUNCTION("GOOGLETRANSLATE(B385,""en"",""gu"")"),"ઝડપ મર્યાદા")</f>
        <v>ઝડપ મર્યાદા</v>
      </c>
      <c r="S385" s="4" t="str">
        <f>IFERROR(__xludf.DUMMYFUNCTION("GOOGLETRANSLATE(B385,""en"",""bn"")"),"গতি সীমা")</f>
        <v>গতি সীমা</v>
      </c>
      <c r="T385" s="4" t="str">
        <f>IFERROR(__xludf.DUMMYFUNCTION("GOOGLETRANSLATE(B385,""en"",""pa"")"),"ਰਫ਼ਤਾਰ ਸੀਮਾ")</f>
        <v>ਰਫ਼ਤਾਰ ਸੀਮਾ</v>
      </c>
      <c r="U385" s="4" t="str">
        <f>IFERROR(__xludf.DUMMYFUNCTION("GOOGLETRANSLATE(B385,""en"",""te"")"),"వేగ పరిమితి")</f>
        <v>వేగ పరిమితి</v>
      </c>
      <c r="V385" s="4" t="str">
        <f>IFERROR(__xludf.DUMMYFUNCTION("GOOGLETRANSLATE(B385,""en"",""kn"")"),"ವೇಗದ ಮಿತಿ")</f>
        <v>ವೇಗದ ಮಿತಿ</v>
      </c>
      <c r="W385" s="4" t="str">
        <f>IFERROR(__xludf.DUMMYFUNCTION("GOOGLETRANSLATE(B385,""en"",""ml"")"),"നിശ്ചയിക്കപ്പെട്ട പരമാവധി വേഗത")</f>
        <v>നിശ്ചയിക്കപ്പെട്ട പരമാവധി വേഗത</v>
      </c>
      <c r="X385" s="4" t="str">
        <f>IFERROR(__xludf.DUMMYFUNCTION("GOOGLETRANSLATE(B385,""en"",""th"")"),"จำกัดความเร็ว")</f>
        <v>จำกัดความเร็ว</v>
      </c>
      <c r="Y385" s="4" t="str">
        <f>IFERROR(__xludf.DUMMYFUNCTION("GOOGLETRANSLATE(B385,""en"",""ko"")"),"속도 제한")</f>
        <v>속도 제한</v>
      </c>
      <c r="Z385" s="4" t="str">
        <f>IFERROR(__xludf.DUMMYFUNCTION("GOOGLETRANSLATE(B385,""en"",""zh"")"),"速度极限")</f>
        <v>速度极限</v>
      </c>
      <c r="AA385" s="4" t="str">
        <f>IFERROR(__xludf.DUMMYFUNCTION("GOOGLETRANSLATE(B385,""en"",""zh-TW"")"),"速度極限")</f>
        <v>速度極限</v>
      </c>
      <c r="AB385" s="4" t="str">
        <f>IFERROR(__xludf.DUMMYFUNCTION("GOOGLETRANSLATE(B385,""en"",""ja"")"),"制限速度")</f>
        <v>制限速度</v>
      </c>
      <c r="AC385" s="4" t="str">
        <f>IFERROR(__xludf.DUMMYFUNCTION("GOOGLETRANSLATE(B385,""en"",""bg"")"),"Ограничение на скоростта")</f>
        <v>Ограничение на скоростта</v>
      </c>
      <c r="AD385" s="4" t="str">
        <f>IFERROR(__xludf.DUMMYFUNCTION("GOOGLETRANSLATE(B385,""en"",""cs"")"),"Rychlostní limit")</f>
        <v>Rychlostní limit</v>
      </c>
      <c r="AE385" s="4" t="str">
        <f>IFERROR(__xludf.DUMMYFUNCTION("GOOGLETRANSLATE(B385,""en"",""da"")"),"Hastighedsgrænse")</f>
        <v>Hastighedsgrænse</v>
      </c>
      <c r="AF385" s="4" t="str">
        <f>IFERROR(__xludf.DUMMYFUNCTION("GOOGLETRANSLATE(B385,""en"",""el"")"),"Οριο ταχύτητας")</f>
        <v>Οριο ταχύτητας</v>
      </c>
      <c r="AG385" s="4" t="str">
        <f>IFERROR(__xludf.DUMMYFUNCTION("GOOGLETRANSLATE(B385,""en"",""et"")"),"Kiirusepiirang")</f>
        <v>Kiirusepiirang</v>
      </c>
      <c r="AH385" s="4" t="str">
        <f>IFERROR(__xludf.DUMMYFUNCTION("GOOGLETRANSLATE(B385,""en"",""fi"")"),"Nopeusrajoitus")</f>
        <v>Nopeusrajoitus</v>
      </c>
      <c r="AI385" s="4" t="str">
        <f>IFERROR(__xludf.DUMMYFUNCTION("GOOGLETRANSLATE(B385,""en"",""hr"")"),"Ograničenje brzine")</f>
        <v>Ograničenje brzine</v>
      </c>
      <c r="AJ385" s="4" t="str">
        <f>IFERROR(__xludf.DUMMYFUNCTION("GOOGLETRANSLATE(B385,""en"",""hu"")"),"Sebességhatár")</f>
        <v>Sebességhatár</v>
      </c>
      <c r="AK385" s="4" t="str">
        <f>IFERROR(__xludf.DUMMYFUNCTION("GOOGLETRANSLATE(B385,""en"",""hy"")"),"Արագության սահմանափակում")</f>
        <v>Արագության սահմանափակում</v>
      </c>
      <c r="AL385" s="4" t="str">
        <f>IFERROR(__xludf.DUMMYFUNCTION("GOOGLETRANSLATE(B385,""en"",""ca"")"),"Límit de velocitat")</f>
        <v>Límit de velocitat</v>
      </c>
      <c r="AM385" s="4" t="str">
        <f>IFERROR(__xludf.DUMMYFUNCTION("GOOGLETRANSLATE(B385,""en"",""nl"")"),"Snelheidslimiet")</f>
        <v>Snelheidslimiet</v>
      </c>
      <c r="AN385" s="4" t="str">
        <f>IFERROR(__xludf.DUMMYFUNCTION("GOOGLETRANSLATE(B385,""en"",""he"")"),"הַגבָּלַת מְהִירוּת")</f>
        <v>הַגבָּלַת מְהִירוּת</v>
      </c>
      <c r="AO385" s="4" t="str">
        <f>IFERROR(__xludf.DUMMYFUNCTION("GOOGLETRANSLATE(B385,""en"",""is"")"),"Hraðatakmörkun")</f>
        <v>Hraðatakmörkun</v>
      </c>
      <c r="AP385" s="4" t="str">
        <f>IFERROR(__xludf.DUMMYFUNCTION("GOOGLETRANSLATE(B385,""en"",""no"")"),"Fartsgrense")</f>
        <v>Fartsgrense</v>
      </c>
      <c r="AQ385" s="4" t="str">
        <f>IFERROR(__xludf.DUMMYFUNCTION("GOOGLETRANSLATE(B385,""en"",""fa"")"),"محدودیت سرعت")</f>
        <v>محدودیت سرعت</v>
      </c>
      <c r="AR385" s="4" t="str">
        <f>IFERROR(__xludf.DUMMYFUNCTION("GOOGLETRANSLATE(B385,""en"",""pl"")"),"Ograniczenie prędkości")</f>
        <v>Ograniczenie prędkości</v>
      </c>
      <c r="AS385" s="4" t="str">
        <f>IFERROR(__xludf.DUMMYFUNCTION("GOOGLETRANSLATE(B385,""en"",""sv"")"),"Hastighetsbegränsning")</f>
        <v>Hastighetsbegränsning</v>
      </c>
      <c r="AT385" s="4" t="str">
        <f>IFERROR(__xludf.DUMMYFUNCTION("GOOGLETRANSLATE(B385,""en"",""uk"")"),"Обмеження швидкості")</f>
        <v>Обмеження швидкості</v>
      </c>
      <c r="AU385" s="4" t="str">
        <f>IFERROR(__xludf.DUMMYFUNCTION("GOOGLETRANSLATE(B385,""en"",""zu"")"),"Umkhawulo Wejubane")</f>
        <v>Umkhawulo Wejubane</v>
      </c>
      <c r="AV385" s="4" t="str">
        <f>IFERROR(__xludf.DUMMYFUNCTION("GOOGLETRANSLATE(B385,""en"",""sr"")"),"Ограничење брзине")</f>
        <v>Ограничење брзине</v>
      </c>
    </row>
    <row r="386">
      <c r="A386" s="3" t="s">
        <v>756</v>
      </c>
      <c r="B386" s="3" t="s">
        <v>757</v>
      </c>
      <c r="C386" s="4" t="str">
        <f>IFERROR(__xludf.DUMMYFUNCTION("GOOGLETRANSLATE(B386,""en"",""ta"")"),"வேக வரம்பு எச்சரிக்கை")</f>
        <v>வேக வரம்பு எச்சரிக்கை</v>
      </c>
      <c r="D386" s="4" t="str">
        <f>IFERROR(__xludf.DUMMYFUNCTION("GOOGLETRANSLATE(B386,""en"",""hi"")"),"गति सीमा चेतावनी")</f>
        <v>गति सीमा चेतावनी</v>
      </c>
      <c r="E386" s="4" t="str">
        <f>IFERROR(__xludf.DUMMYFUNCTION("GOOGLETRANSLATE(B386,""en"",""id"")"),"Peringatan Batas Kecepatan")</f>
        <v>Peringatan Batas Kecepatan</v>
      </c>
      <c r="F386" s="4" t="str">
        <f>IFERROR(__xludf.DUMMYFUNCTION("GOOGLETRANSLATE(B386,""en"",""ms"")"),"Amaran Had Kelajuan")</f>
        <v>Amaran Had Kelajuan</v>
      </c>
      <c r="G386" s="4" t="str">
        <f>IFERROR(__xludf.DUMMYFUNCTION("GOOGLETRANSLATE(B386,""en"",""de"")"),"Geschwindigkeitsbegrenzungswarnung")</f>
        <v>Geschwindigkeitsbegrenzungswarnung</v>
      </c>
      <c r="H386" s="4" t="str">
        <f>IFERROR(__xludf.DUMMYFUNCTION("GOOGLETRANSLATE(B386,""en"",""es"")"),"Advertencia de límite de velocidad")</f>
        <v>Advertencia de límite de velocidad</v>
      </c>
      <c r="I386" s="4" t="str">
        <f>IFERROR(__xludf.DUMMYFUNCTION("GOOGLETRANSLATE(B386,""en"",""fr"")"),"Avertissement de limitation de vitesse")</f>
        <v>Avertissement de limitation de vitesse</v>
      </c>
      <c r="J386" s="4" t="str">
        <f>IFERROR(__xludf.DUMMYFUNCTION("GOOGLETRANSLATE(B386,""en"",""it"")"),"Avviso di limite di velocità")</f>
        <v>Avviso di limite di velocità</v>
      </c>
      <c r="K386" s="4" t="str">
        <f>IFERROR(__xludf.DUMMYFUNCTION("GOOGLETRANSLATE(B386,""en"",""pt"")"),"Aviso de limite de velocidade")</f>
        <v>Aviso de limite de velocidade</v>
      </c>
      <c r="L386" s="4" t="str">
        <f>IFERROR(__xludf.DUMMYFUNCTION("GOOGLETRANSLATE(B386,""en"",""ro"")"),"Avertizare privind limita de viteză")</f>
        <v>Avertizare privind limita de viteză</v>
      </c>
      <c r="M386" s="4" t="str">
        <f>IFERROR(__xludf.DUMMYFUNCTION("GOOGLETRANSLATE(B386,""en"",""vi"")"),"Cảnh báo giới hạn tốc độ")</f>
        <v>Cảnh báo giới hạn tốc độ</v>
      </c>
      <c r="N386" s="4" t="str">
        <f>IFERROR(__xludf.DUMMYFUNCTION("GOOGLETRANSLATE(B386,""en"",""ru"")"),"Предупреждение об ограничении скорости")</f>
        <v>Предупреждение об ограничении скорости</v>
      </c>
      <c r="O386" s="4" t="str">
        <f>IFERROR(__xludf.DUMMYFUNCTION("GOOGLETRANSLATE(B386,""en"",""tr"")"),"Hız Sınırı Uyarısı")</f>
        <v>Hız Sınırı Uyarısı</v>
      </c>
      <c r="P386" s="4" t="str">
        <f>IFERROR(__xludf.DUMMYFUNCTION("GOOGLETRANSLATE(B386,""en"",""ar"")"),"تحذير حد السرعة")</f>
        <v>تحذير حد السرعة</v>
      </c>
      <c r="Q386" s="4" t="str">
        <f>IFERROR(__xludf.DUMMYFUNCTION("GOOGLETRANSLATE(B386,""en"",""mr"")"),"गती मर्यादा चेतावणी")</f>
        <v>गती मर्यादा चेतावणी</v>
      </c>
      <c r="R386" s="4" t="str">
        <f>IFERROR(__xludf.DUMMYFUNCTION("GOOGLETRANSLATE(B386,""en"",""gu"")"),"ઝડપ મર્યાદા ચેતવણી")</f>
        <v>ઝડપ મર્યાદા ચેતવણી</v>
      </c>
      <c r="S386" s="4" t="str">
        <f>IFERROR(__xludf.DUMMYFUNCTION("GOOGLETRANSLATE(B386,""en"",""bn"")"),"গতি সীমা সতর্কতা")</f>
        <v>গতি সীমা সতর্কতা</v>
      </c>
      <c r="T386" s="4" t="str">
        <f>IFERROR(__xludf.DUMMYFUNCTION("GOOGLETRANSLATE(B386,""en"",""pa"")"),"ਗਤੀ ਸੀਮਾ ਚੇਤਾਵਨੀ")</f>
        <v>ਗਤੀ ਸੀਮਾ ਚੇਤਾਵਨੀ</v>
      </c>
      <c r="U386" s="4" t="str">
        <f>IFERROR(__xludf.DUMMYFUNCTION("GOOGLETRANSLATE(B386,""en"",""te"")"),"వేగ పరిమితి హెచ్చరిక")</f>
        <v>వేగ పరిమితి హెచ్చరిక</v>
      </c>
      <c r="V386" s="4" t="str">
        <f>IFERROR(__xludf.DUMMYFUNCTION("GOOGLETRANSLATE(B386,""en"",""kn"")"),"ವೇಗ ಮಿತಿ ಎಚ್ಚರಿಕೆ")</f>
        <v>ವೇಗ ಮಿತಿ ಎಚ್ಚರಿಕೆ</v>
      </c>
      <c r="W386" s="4" t="str">
        <f>IFERROR(__xludf.DUMMYFUNCTION("GOOGLETRANSLATE(B386,""en"",""ml"")"),"വേഗപരിധി മുന്നറിയിപ്പ്")</f>
        <v>വേഗപരിധി മുന്നറിയിപ്പ്</v>
      </c>
      <c r="X386" s="4" t="str">
        <f>IFERROR(__xludf.DUMMYFUNCTION("GOOGLETRANSLATE(B386,""en"",""th"")"),"การแจ้งเตือนจำกัดความเร็ว")</f>
        <v>การแจ้งเตือนจำกัดความเร็ว</v>
      </c>
      <c r="Y386" s="4" t="str">
        <f>IFERROR(__xludf.DUMMYFUNCTION("GOOGLETRANSLATE(B386,""en"",""ko"")"),"속도 제한 경고")</f>
        <v>속도 제한 경고</v>
      </c>
      <c r="Z386" s="4" t="str">
        <f>IFERROR(__xludf.DUMMYFUNCTION("GOOGLETRANSLATE(B386,""en"",""zh"")"),"限速警告")</f>
        <v>限速警告</v>
      </c>
      <c r="AA386" s="4" t="str">
        <f>IFERROR(__xludf.DUMMYFUNCTION("GOOGLETRANSLATE(B386,""en"",""zh-TW"")"),"限速警告")</f>
        <v>限速警告</v>
      </c>
      <c r="AB386" s="4" t="str">
        <f>IFERROR(__xludf.DUMMYFUNCTION("GOOGLETRANSLATE(B386,""en"",""ja"")"),"速度制限警告")</f>
        <v>速度制限警告</v>
      </c>
      <c r="AC386" s="4" t="str">
        <f>IFERROR(__xludf.DUMMYFUNCTION("GOOGLETRANSLATE(B386,""en"",""bg"")"),"Предупреждение за ограничение на скоростта")</f>
        <v>Предупреждение за ограничение на скоростта</v>
      </c>
      <c r="AD386" s="4" t="str">
        <f>IFERROR(__xludf.DUMMYFUNCTION("GOOGLETRANSLATE(B386,""en"",""cs"")"),"Upozornění na omezení rychlosti")</f>
        <v>Upozornění na omezení rychlosti</v>
      </c>
      <c r="AE386" s="4" t="str">
        <f>IFERROR(__xludf.DUMMYFUNCTION("GOOGLETRANSLATE(B386,""en"",""da"")"),"Advarsel om hastighedsbegrænsning")</f>
        <v>Advarsel om hastighedsbegrænsning</v>
      </c>
      <c r="AF386" s="4" t="str">
        <f>IFERROR(__xludf.DUMMYFUNCTION("GOOGLETRANSLATE(B386,""en"",""el"")"),"Προειδοποίηση ορίου ταχύτητας")</f>
        <v>Προειδοποίηση ορίου ταχύτητας</v>
      </c>
      <c r="AG386" s="4" t="str">
        <f>IFERROR(__xludf.DUMMYFUNCTION("GOOGLETRANSLATE(B386,""en"",""et"")"),"Kiirusepiirangu hoiatus")</f>
        <v>Kiirusepiirangu hoiatus</v>
      </c>
      <c r="AH386" s="4" t="str">
        <f>IFERROR(__xludf.DUMMYFUNCTION("GOOGLETRANSLATE(B386,""en"",""fi"")"),"Nopeusrajoituksen varoitus")</f>
        <v>Nopeusrajoituksen varoitus</v>
      </c>
      <c r="AI386" s="4" t="str">
        <f>IFERROR(__xludf.DUMMYFUNCTION("GOOGLETRANSLATE(B386,""en"",""hr"")"),"Upozorenje o ograničenju brzine")</f>
        <v>Upozorenje o ograničenju brzine</v>
      </c>
      <c r="AJ386" s="4" t="str">
        <f>IFERROR(__xludf.DUMMYFUNCTION("GOOGLETRANSLATE(B386,""en"",""hu"")"),"Sebességkorlátozás figyelmeztetés")</f>
        <v>Sebességkorlátozás figyelmeztetés</v>
      </c>
      <c r="AK386" s="4" t="str">
        <f>IFERROR(__xludf.DUMMYFUNCTION("GOOGLETRANSLATE(B386,""en"",""hy"")"),"Արագության սահմանափակման նախազգուշացում")</f>
        <v>Արագության սահմանափակման նախազգուշացում</v>
      </c>
      <c r="AL386" s="4" t="str">
        <f>IFERROR(__xludf.DUMMYFUNCTION("GOOGLETRANSLATE(B386,""en"",""ca"")"),"Avís de límit de velocitat")</f>
        <v>Avís de límit de velocitat</v>
      </c>
      <c r="AM386" s="4" t="str">
        <f>IFERROR(__xludf.DUMMYFUNCTION("GOOGLETRANSLATE(B386,""en"",""nl"")"),"Waarschuwing voor snelheidslimiet")</f>
        <v>Waarschuwing voor snelheidslimiet</v>
      </c>
      <c r="AN386" s="4" t="str">
        <f>IFERROR(__xludf.DUMMYFUNCTION("GOOGLETRANSLATE(B386,""en"",""he"")"),"אזהרת הגבלת מהירות")</f>
        <v>אזהרת הגבלת מהירות</v>
      </c>
      <c r="AO386" s="4" t="str">
        <f>IFERROR(__xludf.DUMMYFUNCTION("GOOGLETRANSLATE(B386,""en"",""is"")"),"Viðvörun um hraðatakmarkanir")</f>
        <v>Viðvörun um hraðatakmarkanir</v>
      </c>
      <c r="AP386" s="4" t="str">
        <f>IFERROR(__xludf.DUMMYFUNCTION("GOOGLETRANSLATE(B386,""en"",""no"")"),"Advarsel om fartsgrense")</f>
        <v>Advarsel om fartsgrense</v>
      </c>
      <c r="AQ386" s="4" t="str">
        <f>IFERROR(__xludf.DUMMYFUNCTION("GOOGLETRANSLATE(B386,""en"",""fa"")"),"هشدار محدودیت سرعت")</f>
        <v>هشدار محدودیت سرعت</v>
      </c>
      <c r="AR386" s="4" t="str">
        <f>IFERROR(__xludf.DUMMYFUNCTION("GOOGLETRANSLATE(B386,""en"",""pl"")"),"Ostrzeżenie o ograniczeniu prędkości")</f>
        <v>Ostrzeżenie o ograniczeniu prędkości</v>
      </c>
      <c r="AS386" s="4" t="str">
        <f>IFERROR(__xludf.DUMMYFUNCTION("GOOGLETRANSLATE(B386,""en"",""sv"")"),"Varning för hastighetsbegränsning")</f>
        <v>Varning för hastighetsbegränsning</v>
      </c>
      <c r="AT386" s="4" t="str">
        <f>IFERROR(__xludf.DUMMYFUNCTION("GOOGLETRANSLATE(B386,""en"",""uk"")"),"Попередження про обмеження швидкості")</f>
        <v>Попередження про обмеження швидкості</v>
      </c>
      <c r="AU386" s="4" t="str">
        <f>IFERROR(__xludf.DUMMYFUNCTION("GOOGLETRANSLATE(B386,""en"",""zu"")"),"Isexwayiso Somkhawulo Wejubane")</f>
        <v>Isexwayiso Somkhawulo Wejubane</v>
      </c>
      <c r="AV386" s="4" t="str">
        <f>IFERROR(__xludf.DUMMYFUNCTION("GOOGLETRANSLATE(B386,""en"",""sr"")"),"Упозорење о ограничењу брзине")</f>
        <v>Упозорење о ограничењу брзине</v>
      </c>
    </row>
    <row r="387">
      <c r="A387" s="3" t="s">
        <v>758</v>
      </c>
      <c r="B387" s="3" t="s">
        <v>759</v>
      </c>
      <c r="C387" s="4" t="str">
        <f>IFERROR(__xludf.DUMMYFUNCTION("GOOGLETRANSLATE(B387,""en"",""ta"")"),"நடைபயிற்சி")</f>
        <v>நடைபயிற்சி</v>
      </c>
      <c r="D387" s="4" t="str">
        <f>IFERROR(__xludf.DUMMYFUNCTION("GOOGLETRANSLATE(B387,""en"",""hi"")"),"चलना")</f>
        <v>चलना</v>
      </c>
      <c r="E387" s="4" t="str">
        <f>IFERROR(__xludf.DUMMYFUNCTION("GOOGLETRANSLATE(B387,""en"",""id"")"),"Sedang berjalan")</f>
        <v>Sedang berjalan</v>
      </c>
      <c r="F387" s="4" t="str">
        <f>IFERROR(__xludf.DUMMYFUNCTION("GOOGLETRANSLATE(B387,""en"",""ms"")"),"berjalan")</f>
        <v>berjalan</v>
      </c>
      <c r="G387" s="4" t="str">
        <f>IFERROR(__xludf.DUMMYFUNCTION("GOOGLETRANSLATE(B387,""en"",""de"")"),"Gehen")</f>
        <v>Gehen</v>
      </c>
      <c r="H387" s="4" t="str">
        <f>IFERROR(__xludf.DUMMYFUNCTION("GOOGLETRANSLATE(B387,""en"",""es"")"),"Caminando")</f>
        <v>Caminando</v>
      </c>
      <c r="I387" s="4" t="str">
        <f>IFERROR(__xludf.DUMMYFUNCTION("GOOGLETRANSLATE(B387,""en"",""fr"")"),"Marche")</f>
        <v>Marche</v>
      </c>
      <c r="J387" s="4" t="str">
        <f>IFERROR(__xludf.DUMMYFUNCTION("GOOGLETRANSLATE(B387,""en"",""it"")"),"A piedi")</f>
        <v>A piedi</v>
      </c>
      <c r="K387" s="4" t="str">
        <f>IFERROR(__xludf.DUMMYFUNCTION("GOOGLETRANSLATE(B387,""en"",""pt"")"),"Andando")</f>
        <v>Andando</v>
      </c>
      <c r="L387" s="4" t="str">
        <f>IFERROR(__xludf.DUMMYFUNCTION("GOOGLETRANSLATE(B387,""en"",""ro"")"),"Mersul pe jos")</f>
        <v>Mersul pe jos</v>
      </c>
      <c r="M387" s="4" t="str">
        <f>IFERROR(__xludf.DUMMYFUNCTION("GOOGLETRANSLATE(B387,""en"",""vi"")"),"Đi bộ")</f>
        <v>Đi bộ</v>
      </c>
      <c r="N387" s="4" t="str">
        <f>IFERROR(__xludf.DUMMYFUNCTION("GOOGLETRANSLATE(B387,""en"",""ru"")"),"Ходьба")</f>
        <v>Ходьба</v>
      </c>
      <c r="O387" s="4" t="str">
        <f>IFERROR(__xludf.DUMMYFUNCTION("GOOGLETRANSLATE(B387,""en"",""tr"")"),"Yürüme")</f>
        <v>Yürüme</v>
      </c>
      <c r="P387" s="4" t="str">
        <f>IFERROR(__xludf.DUMMYFUNCTION("GOOGLETRANSLATE(B387,""en"",""ar"")"),"المشي")</f>
        <v>المشي</v>
      </c>
      <c r="Q387" s="4" t="str">
        <f>IFERROR(__xludf.DUMMYFUNCTION("GOOGLETRANSLATE(B387,""en"",""mr"")"),"चालणे")</f>
        <v>चालणे</v>
      </c>
      <c r="R387" s="4" t="str">
        <f>IFERROR(__xludf.DUMMYFUNCTION("GOOGLETRANSLATE(B387,""en"",""gu"")"),"વૉકિંગ")</f>
        <v>વૉકિંગ</v>
      </c>
      <c r="S387" s="4" t="str">
        <f>IFERROR(__xludf.DUMMYFUNCTION("GOOGLETRANSLATE(B387,""en"",""bn"")"),"হাঁটা")</f>
        <v>হাঁটা</v>
      </c>
      <c r="T387" s="4" t="str">
        <f>IFERROR(__xludf.DUMMYFUNCTION("GOOGLETRANSLATE(B387,""en"",""pa"")"),"ਤੁਰਨਾ")</f>
        <v>ਤੁਰਨਾ</v>
      </c>
      <c r="U387" s="4" t="str">
        <f>IFERROR(__xludf.DUMMYFUNCTION("GOOGLETRANSLATE(B387,""en"",""te"")"),"వాకింగ్")</f>
        <v>వాకింగ్</v>
      </c>
      <c r="V387" s="4" t="str">
        <f>IFERROR(__xludf.DUMMYFUNCTION("GOOGLETRANSLATE(B387,""en"",""kn"")"),"ವಾಕಿಂಗ್")</f>
        <v>ವಾಕಿಂಗ್</v>
      </c>
      <c r="W387" s="4" t="str">
        <f>IFERROR(__xludf.DUMMYFUNCTION("GOOGLETRANSLATE(B387,""en"",""ml"")"),"നടത്തം")</f>
        <v>നടത്തം</v>
      </c>
      <c r="X387" s="4" t="str">
        <f>IFERROR(__xludf.DUMMYFUNCTION("GOOGLETRANSLATE(B387,""en"",""th"")"),"การเดิน")</f>
        <v>การเดิน</v>
      </c>
      <c r="Y387" s="4" t="str">
        <f>IFERROR(__xludf.DUMMYFUNCTION("GOOGLETRANSLATE(B387,""en"",""ko"")"),"걷는")</f>
        <v>걷는</v>
      </c>
      <c r="Z387" s="4" t="str">
        <f>IFERROR(__xludf.DUMMYFUNCTION("GOOGLETRANSLATE(B387,""en"",""zh"")"),"步行")</f>
        <v>步行</v>
      </c>
      <c r="AA387" s="4" t="str">
        <f>IFERROR(__xludf.DUMMYFUNCTION("GOOGLETRANSLATE(B387,""en"",""zh-TW"")"),"行人徒步區")</f>
        <v>行人徒步區</v>
      </c>
      <c r="AB387" s="4" t="str">
        <f>IFERROR(__xludf.DUMMYFUNCTION("GOOGLETRANSLATE(B387,""en"",""ja"")"),"ウォーキング")</f>
        <v>ウォーキング</v>
      </c>
      <c r="AC387" s="4" t="str">
        <f>IFERROR(__xludf.DUMMYFUNCTION("GOOGLETRANSLATE(B387,""en"",""bg"")"),"ходене")</f>
        <v>ходене</v>
      </c>
      <c r="AD387" s="4" t="str">
        <f>IFERROR(__xludf.DUMMYFUNCTION("GOOGLETRANSLATE(B387,""en"",""cs"")"),"Chůze")</f>
        <v>Chůze</v>
      </c>
      <c r="AE387" s="4" t="str">
        <f>IFERROR(__xludf.DUMMYFUNCTION("GOOGLETRANSLATE(B387,""en"",""da"")"),"Gåture")</f>
        <v>Gåture</v>
      </c>
      <c r="AF387" s="4" t="str">
        <f>IFERROR(__xludf.DUMMYFUNCTION("GOOGLETRANSLATE(B387,""en"",""el"")"),"Περίπατος")</f>
        <v>Περίπατος</v>
      </c>
      <c r="AG387" s="4" t="str">
        <f>IFERROR(__xludf.DUMMYFUNCTION("GOOGLETRANSLATE(B387,""en"",""et"")"),"Jalutamine")</f>
        <v>Jalutamine</v>
      </c>
      <c r="AH387" s="4" t="str">
        <f>IFERROR(__xludf.DUMMYFUNCTION("GOOGLETRANSLATE(B387,""en"",""fi"")"),"Kävely")</f>
        <v>Kävely</v>
      </c>
      <c r="AI387" s="4" t="str">
        <f>IFERROR(__xludf.DUMMYFUNCTION("GOOGLETRANSLATE(B387,""en"",""hr"")"),"Hodanje")</f>
        <v>Hodanje</v>
      </c>
      <c r="AJ387" s="4" t="str">
        <f>IFERROR(__xludf.DUMMYFUNCTION("GOOGLETRANSLATE(B387,""en"",""hu"")"),"Séta")</f>
        <v>Séta</v>
      </c>
      <c r="AK387" s="4" t="str">
        <f>IFERROR(__xludf.DUMMYFUNCTION("GOOGLETRANSLATE(B387,""en"",""hy"")"),"Քայլում")</f>
        <v>Քայլում</v>
      </c>
      <c r="AL387" s="4" t="str">
        <f>IFERROR(__xludf.DUMMYFUNCTION("GOOGLETRANSLATE(B387,""en"",""ca"")"),"Caminant")</f>
        <v>Caminant</v>
      </c>
      <c r="AM387" s="4" t="str">
        <f>IFERROR(__xludf.DUMMYFUNCTION("GOOGLETRANSLATE(B387,""en"",""nl"")"),"Wandelen")</f>
        <v>Wandelen</v>
      </c>
      <c r="AN387" s="4" t="str">
        <f>IFERROR(__xludf.DUMMYFUNCTION("GOOGLETRANSLATE(B387,""en"",""he"")"),"הליכה")</f>
        <v>הליכה</v>
      </c>
      <c r="AO387" s="4" t="str">
        <f>IFERROR(__xludf.DUMMYFUNCTION("GOOGLETRANSLATE(B387,""en"",""is"")"),"Gangandi")</f>
        <v>Gangandi</v>
      </c>
      <c r="AP387" s="4" t="str">
        <f>IFERROR(__xludf.DUMMYFUNCTION("GOOGLETRANSLATE(B387,""en"",""no"")"),"Går")</f>
        <v>Går</v>
      </c>
      <c r="AQ387" s="4" t="str">
        <f>IFERROR(__xludf.DUMMYFUNCTION("GOOGLETRANSLATE(B387,""en"",""fa"")"),"راه رفتن")</f>
        <v>راه رفتن</v>
      </c>
      <c r="AR387" s="4" t="str">
        <f>IFERROR(__xludf.DUMMYFUNCTION("GOOGLETRANSLATE(B387,""en"",""pl"")"),"Pieszy")</f>
        <v>Pieszy</v>
      </c>
      <c r="AS387" s="4" t="str">
        <f>IFERROR(__xludf.DUMMYFUNCTION("GOOGLETRANSLATE(B387,""en"",""sv"")"),"Gående")</f>
        <v>Gående</v>
      </c>
      <c r="AT387" s="4" t="str">
        <f>IFERROR(__xludf.DUMMYFUNCTION("GOOGLETRANSLATE(B387,""en"",""uk"")"),"ходьба")</f>
        <v>ходьба</v>
      </c>
      <c r="AU387" s="4" t="str">
        <f>IFERROR(__xludf.DUMMYFUNCTION("GOOGLETRANSLATE(B387,""en"",""zu"")"),"Ukuhamba")</f>
        <v>Ukuhamba</v>
      </c>
      <c r="AV387" s="4" t="str">
        <f>IFERROR(__xludf.DUMMYFUNCTION("GOOGLETRANSLATE(B387,""en"",""sr"")"),"ходање")</f>
        <v>ходање</v>
      </c>
    </row>
    <row r="388">
      <c r="A388" s="3" t="s">
        <v>760</v>
      </c>
      <c r="B388" s="3" t="s">
        <v>761</v>
      </c>
      <c r="C388" s="4" t="str">
        <f>IFERROR(__xludf.DUMMYFUNCTION("GOOGLETRANSLATE(B388,""en"",""ta"")"),"சைக்கிள்")</f>
        <v>சைக்கிள்</v>
      </c>
      <c r="D388" s="4" t="str">
        <f>IFERROR(__xludf.DUMMYFUNCTION("GOOGLETRANSLATE(B388,""en"",""hi"")"),"साइकिल")</f>
        <v>साइकिल</v>
      </c>
      <c r="E388" s="4" t="str">
        <f>IFERROR(__xludf.DUMMYFUNCTION("GOOGLETRANSLATE(B388,""en"",""id"")"),"Sepeda")</f>
        <v>Sepeda</v>
      </c>
      <c r="F388" s="4" t="str">
        <f>IFERROR(__xludf.DUMMYFUNCTION("GOOGLETRANSLATE(B388,""en"",""ms"")"),"Basikal")</f>
        <v>Basikal</v>
      </c>
      <c r="G388" s="4" t="str">
        <f>IFERROR(__xludf.DUMMYFUNCTION("GOOGLETRANSLATE(B388,""en"",""de"")"),"Fahrrad")</f>
        <v>Fahrrad</v>
      </c>
      <c r="H388" s="4" t="str">
        <f>IFERROR(__xludf.DUMMYFUNCTION("GOOGLETRANSLATE(B388,""en"",""es"")"),"Bicicleta")</f>
        <v>Bicicleta</v>
      </c>
      <c r="I388" s="4" t="str">
        <f>IFERROR(__xludf.DUMMYFUNCTION("GOOGLETRANSLATE(B388,""en"",""fr"")"),"Vélo")</f>
        <v>Vélo</v>
      </c>
      <c r="J388" s="4" t="str">
        <f>IFERROR(__xludf.DUMMYFUNCTION("GOOGLETRANSLATE(B388,""en"",""it"")"),"Bicicletta")</f>
        <v>Bicicletta</v>
      </c>
      <c r="K388" s="4" t="str">
        <f>IFERROR(__xludf.DUMMYFUNCTION("GOOGLETRANSLATE(B388,""en"",""pt"")"),"Bicicleta")</f>
        <v>Bicicleta</v>
      </c>
      <c r="L388" s="4" t="str">
        <f>IFERROR(__xludf.DUMMYFUNCTION("GOOGLETRANSLATE(B388,""en"",""ro"")"),"Bicicleta")</f>
        <v>Bicicleta</v>
      </c>
      <c r="M388" s="4" t="str">
        <f>IFERROR(__xludf.DUMMYFUNCTION("GOOGLETRANSLATE(B388,""en"",""vi"")"),"Xe đạp")</f>
        <v>Xe đạp</v>
      </c>
      <c r="N388" s="4" t="str">
        <f>IFERROR(__xludf.DUMMYFUNCTION("GOOGLETRANSLATE(B388,""en"",""ru"")"),"Велосипед")</f>
        <v>Велосипед</v>
      </c>
      <c r="O388" s="4" t="str">
        <f>IFERROR(__xludf.DUMMYFUNCTION("GOOGLETRANSLATE(B388,""en"",""tr"")"),"Bisiklet")</f>
        <v>Bisiklet</v>
      </c>
      <c r="P388" s="4" t="str">
        <f>IFERROR(__xludf.DUMMYFUNCTION("GOOGLETRANSLATE(B388,""en"",""ar"")"),"دراجة")</f>
        <v>دراجة</v>
      </c>
      <c r="Q388" s="4" t="str">
        <f>IFERROR(__xludf.DUMMYFUNCTION("GOOGLETRANSLATE(B388,""en"",""mr"")"),"सायकल")</f>
        <v>सायकल</v>
      </c>
      <c r="R388" s="4" t="str">
        <f>IFERROR(__xludf.DUMMYFUNCTION("GOOGLETRANSLATE(B388,""en"",""gu"")"),"સાયકલ")</f>
        <v>સાયકલ</v>
      </c>
      <c r="S388" s="4" t="str">
        <f>IFERROR(__xludf.DUMMYFUNCTION("GOOGLETRANSLATE(B388,""en"",""bn"")"),"সাইকেল")</f>
        <v>সাইকেল</v>
      </c>
      <c r="T388" s="4" t="str">
        <f>IFERROR(__xludf.DUMMYFUNCTION("GOOGLETRANSLATE(B388,""en"",""pa"")"),"ਸਾਈਕਲ")</f>
        <v>ਸਾਈਕਲ</v>
      </c>
      <c r="U388" s="4" t="str">
        <f>IFERROR(__xludf.DUMMYFUNCTION("GOOGLETRANSLATE(B388,""en"",""te"")"),"సైకిల్")</f>
        <v>సైకిల్</v>
      </c>
      <c r="V388" s="4" t="str">
        <f>IFERROR(__xludf.DUMMYFUNCTION("GOOGLETRANSLATE(B388,""en"",""kn"")"),"ಬೈಸಿಕಲ್")</f>
        <v>ಬೈಸಿಕಲ್</v>
      </c>
      <c r="W388" s="4" t="str">
        <f>IFERROR(__xludf.DUMMYFUNCTION("GOOGLETRANSLATE(B388,""en"",""ml"")"),"സൈക്കിൾ")</f>
        <v>സൈക്കിൾ</v>
      </c>
      <c r="X388" s="4" t="str">
        <f>IFERROR(__xludf.DUMMYFUNCTION("GOOGLETRANSLATE(B388,""en"",""th"")"),"จักรยาน")</f>
        <v>จักรยาน</v>
      </c>
      <c r="Y388" s="4" t="str">
        <f>IFERROR(__xludf.DUMMYFUNCTION("GOOGLETRANSLATE(B388,""en"",""ko"")"),"자전거")</f>
        <v>자전거</v>
      </c>
      <c r="Z388" s="4" t="str">
        <f>IFERROR(__xludf.DUMMYFUNCTION("GOOGLETRANSLATE(B388,""en"",""zh"")"),"自行车")</f>
        <v>自行车</v>
      </c>
      <c r="AA388" s="4" t="str">
        <f>IFERROR(__xludf.DUMMYFUNCTION("GOOGLETRANSLATE(B388,""en"",""zh-TW"")"),"自行車")</f>
        <v>自行車</v>
      </c>
      <c r="AB388" s="4" t="str">
        <f>IFERROR(__xludf.DUMMYFUNCTION("GOOGLETRANSLATE(B388,""en"",""ja"")"),"自転車")</f>
        <v>自転車</v>
      </c>
      <c r="AC388" s="4" t="str">
        <f>IFERROR(__xludf.DUMMYFUNCTION("GOOGLETRANSLATE(B388,""en"",""bg"")"),"Велосипед")</f>
        <v>Велосипед</v>
      </c>
      <c r="AD388" s="4" t="str">
        <f>IFERROR(__xludf.DUMMYFUNCTION("GOOGLETRANSLATE(B388,""en"",""cs"")"),"jízdní kolo")</f>
        <v>jízdní kolo</v>
      </c>
      <c r="AE388" s="4" t="str">
        <f>IFERROR(__xludf.DUMMYFUNCTION("GOOGLETRANSLATE(B388,""en"",""da"")"),"Cykel")</f>
        <v>Cykel</v>
      </c>
      <c r="AF388" s="4" t="str">
        <f>IFERROR(__xludf.DUMMYFUNCTION("GOOGLETRANSLATE(B388,""en"",""el"")"),"Ποδήλατο")</f>
        <v>Ποδήλατο</v>
      </c>
      <c r="AG388" s="4" t="str">
        <f>IFERROR(__xludf.DUMMYFUNCTION("GOOGLETRANSLATE(B388,""en"",""et"")"),"Jalgratas")</f>
        <v>Jalgratas</v>
      </c>
      <c r="AH388" s="4" t="str">
        <f>IFERROR(__xludf.DUMMYFUNCTION("GOOGLETRANSLATE(B388,""en"",""fi"")"),"Polkupyörä")</f>
        <v>Polkupyörä</v>
      </c>
      <c r="AI388" s="4" t="str">
        <f>IFERROR(__xludf.DUMMYFUNCTION("GOOGLETRANSLATE(B388,""en"",""hr"")"),"Bicikl")</f>
        <v>Bicikl</v>
      </c>
      <c r="AJ388" s="4" t="str">
        <f>IFERROR(__xludf.DUMMYFUNCTION("GOOGLETRANSLATE(B388,""en"",""hu"")"),"Kerékpár")</f>
        <v>Kerékpár</v>
      </c>
      <c r="AK388" s="4" t="str">
        <f>IFERROR(__xludf.DUMMYFUNCTION("GOOGLETRANSLATE(B388,""en"",""hy"")"),"Հեծանիվ")</f>
        <v>Հեծանիվ</v>
      </c>
      <c r="AL388" s="4" t="str">
        <f>IFERROR(__xludf.DUMMYFUNCTION("GOOGLETRANSLATE(B388,""en"",""ca"")"),"Bicicleta")</f>
        <v>Bicicleta</v>
      </c>
      <c r="AM388" s="4" t="str">
        <f>IFERROR(__xludf.DUMMYFUNCTION("GOOGLETRANSLATE(B388,""en"",""nl"")"),"Fiets")</f>
        <v>Fiets</v>
      </c>
      <c r="AN388" s="4" t="str">
        <f>IFERROR(__xludf.DUMMYFUNCTION("GOOGLETRANSLATE(B388,""en"",""he"")"),"אופניים")</f>
        <v>אופניים</v>
      </c>
      <c r="AO388" s="4" t="str">
        <f>IFERROR(__xludf.DUMMYFUNCTION("GOOGLETRANSLATE(B388,""en"",""is"")"),"Reiðhjól")</f>
        <v>Reiðhjól</v>
      </c>
      <c r="AP388" s="4" t="str">
        <f>IFERROR(__xludf.DUMMYFUNCTION("GOOGLETRANSLATE(B388,""en"",""no"")"),"Sykkel")</f>
        <v>Sykkel</v>
      </c>
      <c r="AQ388" s="4" t="str">
        <f>IFERROR(__xludf.DUMMYFUNCTION("GOOGLETRANSLATE(B388,""en"",""fa"")"),"دوچرخه")</f>
        <v>دوچرخه</v>
      </c>
      <c r="AR388" s="4" t="str">
        <f>IFERROR(__xludf.DUMMYFUNCTION("GOOGLETRANSLATE(B388,""en"",""pl"")"),"Rower")</f>
        <v>Rower</v>
      </c>
      <c r="AS388" s="4" t="str">
        <f>IFERROR(__xludf.DUMMYFUNCTION("GOOGLETRANSLATE(B388,""en"",""sv"")"),"Cykel")</f>
        <v>Cykel</v>
      </c>
      <c r="AT388" s="4" t="str">
        <f>IFERROR(__xludf.DUMMYFUNCTION("GOOGLETRANSLATE(B388,""en"",""uk"")"),"велосипед")</f>
        <v>велосипед</v>
      </c>
      <c r="AU388" s="4" t="str">
        <f>IFERROR(__xludf.DUMMYFUNCTION("GOOGLETRANSLATE(B388,""en"",""zu"")"),"Ibhayisikili")</f>
        <v>Ibhayisikili</v>
      </c>
      <c r="AV388" s="4" t="str">
        <f>IFERROR(__xludf.DUMMYFUNCTION("GOOGLETRANSLATE(B388,""en"",""sr"")"),"Бицикл")</f>
        <v>Бицикл</v>
      </c>
    </row>
    <row r="389">
      <c r="A389" s="3" t="s">
        <v>762</v>
      </c>
      <c r="B389" s="3" t="s">
        <v>763</v>
      </c>
      <c r="C389" s="4" t="str">
        <f>IFERROR(__xludf.DUMMYFUNCTION("GOOGLETRANSLATE(B389,""en"",""ta"")"),"மோட்டார் சைக்கிள்")</f>
        <v>மோட்டார் சைக்கிள்</v>
      </c>
      <c r="D389" s="4" t="str">
        <f>IFERROR(__xludf.DUMMYFUNCTION("GOOGLETRANSLATE(B389,""en"",""hi"")"),"मोटरसाइकिल")</f>
        <v>मोटरसाइकिल</v>
      </c>
      <c r="E389" s="4" t="str">
        <f>IFERROR(__xludf.DUMMYFUNCTION("GOOGLETRANSLATE(B389,""en"",""id"")"),"Sepeda motor")</f>
        <v>Sepeda motor</v>
      </c>
      <c r="F389" s="4" t="str">
        <f>IFERROR(__xludf.DUMMYFUNCTION("GOOGLETRANSLATE(B389,""en"",""ms"")"),"Motosikal")</f>
        <v>Motosikal</v>
      </c>
      <c r="G389" s="4" t="str">
        <f>IFERROR(__xludf.DUMMYFUNCTION("GOOGLETRANSLATE(B389,""en"",""de"")"),"Motorrad")</f>
        <v>Motorrad</v>
      </c>
      <c r="H389" s="4" t="str">
        <f>IFERROR(__xludf.DUMMYFUNCTION("GOOGLETRANSLATE(B389,""en"",""es"")"),"Motocicleta")</f>
        <v>Motocicleta</v>
      </c>
      <c r="I389" s="4" t="str">
        <f>IFERROR(__xludf.DUMMYFUNCTION("GOOGLETRANSLATE(B389,""en"",""fr"")"),"Moto")</f>
        <v>Moto</v>
      </c>
      <c r="J389" s="4" t="str">
        <f>IFERROR(__xludf.DUMMYFUNCTION("GOOGLETRANSLATE(B389,""en"",""it"")"),"Motociclo")</f>
        <v>Motociclo</v>
      </c>
      <c r="K389" s="4" t="str">
        <f>IFERROR(__xludf.DUMMYFUNCTION("GOOGLETRANSLATE(B389,""en"",""pt"")"),"Motocicleta")</f>
        <v>Motocicleta</v>
      </c>
      <c r="L389" s="4" t="str">
        <f>IFERROR(__xludf.DUMMYFUNCTION("GOOGLETRANSLATE(B389,""en"",""ro"")"),"Motocicletă")</f>
        <v>Motocicletă</v>
      </c>
      <c r="M389" s="4" t="str">
        <f>IFERROR(__xludf.DUMMYFUNCTION("GOOGLETRANSLATE(B389,""en"",""vi"")"),"Xe máy")</f>
        <v>Xe máy</v>
      </c>
      <c r="N389" s="4" t="str">
        <f>IFERROR(__xludf.DUMMYFUNCTION("GOOGLETRANSLATE(B389,""en"",""ru"")"),"Мотоцикл")</f>
        <v>Мотоцикл</v>
      </c>
      <c r="O389" s="4" t="str">
        <f>IFERROR(__xludf.DUMMYFUNCTION("GOOGLETRANSLATE(B389,""en"",""tr"")"),"Motosiklet")</f>
        <v>Motosiklet</v>
      </c>
      <c r="P389" s="4" t="str">
        <f>IFERROR(__xludf.DUMMYFUNCTION("GOOGLETRANSLATE(B389,""en"",""ar"")"),"دراجة نارية")</f>
        <v>دراجة نارية</v>
      </c>
      <c r="Q389" s="4" t="str">
        <f>IFERROR(__xludf.DUMMYFUNCTION("GOOGLETRANSLATE(B389,""en"",""mr"")"),"मोटरसायकल")</f>
        <v>मोटरसायकल</v>
      </c>
      <c r="R389" s="4" t="str">
        <f>IFERROR(__xludf.DUMMYFUNCTION("GOOGLETRANSLATE(B389,""en"",""gu"")"),"મોટરસાયકલ")</f>
        <v>મોટરસાયકલ</v>
      </c>
      <c r="S389" s="4" t="str">
        <f>IFERROR(__xludf.DUMMYFUNCTION("GOOGLETRANSLATE(B389,""en"",""bn"")"),"মোটরসাইকেল")</f>
        <v>মোটরসাইকেল</v>
      </c>
      <c r="T389" s="4" t="str">
        <f>IFERROR(__xludf.DUMMYFUNCTION("GOOGLETRANSLATE(B389,""en"",""pa"")"),"ਮੋਟਰਸਾਈਕਲ")</f>
        <v>ਮੋਟਰਸਾਈਕਲ</v>
      </c>
      <c r="U389" s="4" t="str">
        <f>IFERROR(__xludf.DUMMYFUNCTION("GOOGLETRANSLATE(B389,""en"",""te"")"),"మోటార్ సైకిల్")</f>
        <v>మోటార్ సైకిల్</v>
      </c>
      <c r="V389" s="4" t="str">
        <f>IFERROR(__xludf.DUMMYFUNCTION("GOOGLETRANSLATE(B389,""en"",""kn"")"),"ಮೋಟಾರ್ ಸೈಕಲ್")</f>
        <v>ಮೋಟಾರ್ ಸೈಕಲ್</v>
      </c>
      <c r="W389" s="4" t="str">
        <f>IFERROR(__xludf.DUMMYFUNCTION("GOOGLETRANSLATE(B389,""en"",""ml"")"),"മോട്ടോർസൈക്കിൾ")</f>
        <v>മോട്ടോർസൈക്കിൾ</v>
      </c>
      <c r="X389" s="4" t="str">
        <f>IFERROR(__xludf.DUMMYFUNCTION("GOOGLETRANSLATE(B389,""en"",""th"")"),"รถจักรยานยนต์")</f>
        <v>รถจักรยานยนต์</v>
      </c>
      <c r="Y389" s="4" t="str">
        <f>IFERROR(__xludf.DUMMYFUNCTION("GOOGLETRANSLATE(B389,""en"",""ko"")"),"오토바이")</f>
        <v>오토바이</v>
      </c>
      <c r="Z389" s="4" t="str">
        <f>IFERROR(__xludf.DUMMYFUNCTION("GOOGLETRANSLATE(B389,""en"",""zh"")"),"摩托车")</f>
        <v>摩托车</v>
      </c>
      <c r="AA389" s="4" t="str">
        <f>IFERROR(__xludf.DUMMYFUNCTION("GOOGLETRANSLATE(B389,""en"",""zh-TW"")"),"摩托車")</f>
        <v>摩托車</v>
      </c>
      <c r="AB389" s="4" t="str">
        <f>IFERROR(__xludf.DUMMYFUNCTION("GOOGLETRANSLATE(B389,""en"",""ja"")"),"オートバイ")</f>
        <v>オートバイ</v>
      </c>
      <c r="AC389" s="4" t="str">
        <f>IFERROR(__xludf.DUMMYFUNCTION("GOOGLETRANSLATE(B389,""en"",""bg"")"),"мотоциклет")</f>
        <v>мотоциклет</v>
      </c>
      <c r="AD389" s="4" t="str">
        <f>IFERROR(__xludf.DUMMYFUNCTION("GOOGLETRANSLATE(B389,""en"",""cs"")"),"Motocykl")</f>
        <v>Motocykl</v>
      </c>
      <c r="AE389" s="4" t="str">
        <f>IFERROR(__xludf.DUMMYFUNCTION("GOOGLETRANSLATE(B389,""en"",""da"")"),"Motorcykel")</f>
        <v>Motorcykel</v>
      </c>
      <c r="AF389" s="4" t="str">
        <f>IFERROR(__xludf.DUMMYFUNCTION("GOOGLETRANSLATE(B389,""en"",""el"")"),"Μοτοσυκλέτα")</f>
        <v>Μοτοσυκλέτα</v>
      </c>
      <c r="AG389" s="4" t="str">
        <f>IFERROR(__xludf.DUMMYFUNCTION("GOOGLETRANSLATE(B389,""en"",""et"")"),"Mootorratas")</f>
        <v>Mootorratas</v>
      </c>
      <c r="AH389" s="4" t="str">
        <f>IFERROR(__xludf.DUMMYFUNCTION("GOOGLETRANSLATE(B389,""en"",""fi"")"),"Moottoripyörä")</f>
        <v>Moottoripyörä</v>
      </c>
      <c r="AI389" s="4" t="str">
        <f>IFERROR(__xludf.DUMMYFUNCTION("GOOGLETRANSLATE(B389,""en"",""hr"")"),"Motocikl")</f>
        <v>Motocikl</v>
      </c>
      <c r="AJ389" s="4" t="str">
        <f>IFERROR(__xludf.DUMMYFUNCTION("GOOGLETRANSLATE(B389,""en"",""hu"")"),"Motorkerékpár")</f>
        <v>Motorkerékpár</v>
      </c>
      <c r="AK389" s="4" t="str">
        <f>IFERROR(__xludf.DUMMYFUNCTION("GOOGLETRANSLATE(B389,""en"",""hy"")"),"Մոտոցիկլետ")</f>
        <v>Մոտոցիկլետ</v>
      </c>
      <c r="AL389" s="4" t="str">
        <f>IFERROR(__xludf.DUMMYFUNCTION("GOOGLETRANSLATE(B389,""en"",""ca"")"),"Motocicleta")</f>
        <v>Motocicleta</v>
      </c>
      <c r="AM389" s="4" t="str">
        <f>IFERROR(__xludf.DUMMYFUNCTION("GOOGLETRANSLATE(B389,""en"",""nl"")"),"Motorfiets")</f>
        <v>Motorfiets</v>
      </c>
      <c r="AN389" s="4" t="str">
        <f>IFERROR(__xludf.DUMMYFUNCTION("GOOGLETRANSLATE(B389,""en"",""he"")"),"אוֹפנוֹעַ")</f>
        <v>אוֹפנוֹעַ</v>
      </c>
      <c r="AO389" s="4" t="str">
        <f>IFERROR(__xludf.DUMMYFUNCTION("GOOGLETRANSLATE(B389,""en"",""is"")"),"Mótorhjól")</f>
        <v>Mótorhjól</v>
      </c>
      <c r="AP389" s="4" t="str">
        <f>IFERROR(__xludf.DUMMYFUNCTION("GOOGLETRANSLATE(B389,""en"",""no"")"),"Motorsykkel")</f>
        <v>Motorsykkel</v>
      </c>
      <c r="AQ389" s="4" t="str">
        <f>IFERROR(__xludf.DUMMYFUNCTION("GOOGLETRANSLATE(B389,""en"",""fa"")"),"موتور سیکلت")</f>
        <v>موتور سیکلت</v>
      </c>
      <c r="AR389" s="4" t="str">
        <f>IFERROR(__xludf.DUMMYFUNCTION("GOOGLETRANSLATE(B389,""en"",""pl"")"),"Motocykl")</f>
        <v>Motocykl</v>
      </c>
      <c r="AS389" s="4" t="str">
        <f>IFERROR(__xludf.DUMMYFUNCTION("GOOGLETRANSLATE(B389,""en"",""sv"")"),"Motorcykel")</f>
        <v>Motorcykel</v>
      </c>
      <c r="AT389" s="4" t="str">
        <f>IFERROR(__xludf.DUMMYFUNCTION("GOOGLETRANSLATE(B389,""en"",""uk"")"),"мотоцикл")</f>
        <v>мотоцикл</v>
      </c>
      <c r="AU389" s="4" t="str">
        <f>IFERROR(__xludf.DUMMYFUNCTION("GOOGLETRANSLATE(B389,""en"",""zu"")"),"Isithuthuthu")</f>
        <v>Isithuthuthu</v>
      </c>
      <c r="AV389" s="4" t="str">
        <f>IFERROR(__xludf.DUMMYFUNCTION("GOOGLETRANSLATE(B389,""en"",""sr"")"),"Мотоцикл")</f>
        <v>Мотоцикл</v>
      </c>
    </row>
    <row r="390">
      <c r="A390" s="3" t="s">
        <v>764</v>
      </c>
      <c r="B390" s="3" t="s">
        <v>765</v>
      </c>
      <c r="C390" s="4" t="str">
        <f>IFERROR(__xludf.DUMMYFUNCTION("GOOGLETRANSLATE(B390,""en"",""ta"")"),"கார்")</f>
        <v>கார்</v>
      </c>
      <c r="D390" s="4" t="str">
        <f>IFERROR(__xludf.DUMMYFUNCTION("GOOGLETRANSLATE(B390,""en"",""hi"")"),"कार")</f>
        <v>कार</v>
      </c>
      <c r="E390" s="4" t="str">
        <f>IFERROR(__xludf.DUMMYFUNCTION("GOOGLETRANSLATE(B390,""en"",""id"")"),"Mobil")</f>
        <v>Mobil</v>
      </c>
      <c r="F390" s="4" t="str">
        <f>IFERROR(__xludf.DUMMYFUNCTION("GOOGLETRANSLATE(B390,""en"",""ms"")"),"kereta")</f>
        <v>kereta</v>
      </c>
      <c r="G390" s="4" t="str">
        <f>IFERROR(__xludf.DUMMYFUNCTION("GOOGLETRANSLATE(B390,""en"",""de"")"),"Auto")</f>
        <v>Auto</v>
      </c>
      <c r="H390" s="4" t="str">
        <f>IFERROR(__xludf.DUMMYFUNCTION("GOOGLETRANSLATE(B390,""en"",""es"")"),"Auto")</f>
        <v>Auto</v>
      </c>
      <c r="I390" s="4" t="str">
        <f>IFERROR(__xludf.DUMMYFUNCTION("GOOGLETRANSLATE(B390,""en"",""fr"")"),"Voiture")</f>
        <v>Voiture</v>
      </c>
      <c r="J390" s="4" t="str">
        <f>IFERROR(__xludf.DUMMYFUNCTION("GOOGLETRANSLATE(B390,""en"",""it"")"),"Auto")</f>
        <v>Auto</v>
      </c>
      <c r="K390" s="4" t="str">
        <f>IFERROR(__xludf.DUMMYFUNCTION("GOOGLETRANSLATE(B390,""en"",""pt"")"),"Carro")</f>
        <v>Carro</v>
      </c>
      <c r="L390" s="4" t="str">
        <f>IFERROR(__xludf.DUMMYFUNCTION("GOOGLETRANSLATE(B390,""en"",""ro"")"),"masina")</f>
        <v>masina</v>
      </c>
      <c r="M390" s="4" t="str">
        <f>IFERROR(__xludf.DUMMYFUNCTION("GOOGLETRANSLATE(B390,""en"",""vi"")"),"Xe hơi")</f>
        <v>Xe hơi</v>
      </c>
      <c r="N390" s="4" t="str">
        <f>IFERROR(__xludf.DUMMYFUNCTION("GOOGLETRANSLATE(B390,""en"",""ru"")"),"Машина")</f>
        <v>Машина</v>
      </c>
      <c r="O390" s="4" t="str">
        <f>IFERROR(__xludf.DUMMYFUNCTION("GOOGLETRANSLATE(B390,""en"",""tr"")"),"Araba")</f>
        <v>Araba</v>
      </c>
      <c r="P390" s="4" t="str">
        <f>IFERROR(__xludf.DUMMYFUNCTION("GOOGLETRANSLATE(B390,""en"",""ar"")"),"سيارة")</f>
        <v>سيارة</v>
      </c>
      <c r="Q390" s="4" t="str">
        <f>IFERROR(__xludf.DUMMYFUNCTION("GOOGLETRANSLATE(B390,""en"",""mr"")"),"कार")</f>
        <v>कार</v>
      </c>
      <c r="R390" s="4" t="str">
        <f>IFERROR(__xludf.DUMMYFUNCTION("GOOGLETRANSLATE(B390,""en"",""gu"")"),"કાર")</f>
        <v>કાર</v>
      </c>
      <c r="S390" s="4" t="str">
        <f>IFERROR(__xludf.DUMMYFUNCTION("GOOGLETRANSLATE(B390,""en"",""bn"")"),"গাড়ী")</f>
        <v>গাড়ী</v>
      </c>
      <c r="T390" s="4" t="str">
        <f>IFERROR(__xludf.DUMMYFUNCTION("GOOGLETRANSLATE(B390,""en"",""pa"")"),"ਕਾਰ")</f>
        <v>ਕਾਰ</v>
      </c>
      <c r="U390" s="4" t="str">
        <f>IFERROR(__xludf.DUMMYFUNCTION("GOOGLETRANSLATE(B390,""en"",""te"")"),"కారు")</f>
        <v>కారు</v>
      </c>
      <c r="V390" s="4" t="str">
        <f>IFERROR(__xludf.DUMMYFUNCTION("GOOGLETRANSLATE(B390,""en"",""kn"")"),"ಕಾರು")</f>
        <v>ಕಾರು</v>
      </c>
      <c r="W390" s="4" t="str">
        <f>IFERROR(__xludf.DUMMYFUNCTION("GOOGLETRANSLATE(B390,""en"",""ml"")"),"കാർ")</f>
        <v>കാർ</v>
      </c>
      <c r="X390" s="4" t="str">
        <f>IFERROR(__xludf.DUMMYFUNCTION("GOOGLETRANSLATE(B390,""en"",""th"")"),"รถ")</f>
        <v>รถ</v>
      </c>
      <c r="Y390" s="4" t="str">
        <f>IFERROR(__xludf.DUMMYFUNCTION("GOOGLETRANSLATE(B390,""en"",""ko"")"),"자동차")</f>
        <v>자동차</v>
      </c>
      <c r="Z390" s="4" t="str">
        <f>IFERROR(__xludf.DUMMYFUNCTION("GOOGLETRANSLATE(B390,""en"",""zh"")"),"车")</f>
        <v>车</v>
      </c>
      <c r="AA390" s="4" t="str">
        <f>IFERROR(__xludf.DUMMYFUNCTION("GOOGLETRANSLATE(B390,""en"",""zh-TW"")"),"車")</f>
        <v>車</v>
      </c>
      <c r="AB390" s="4" t="str">
        <f>IFERROR(__xludf.DUMMYFUNCTION("GOOGLETRANSLATE(B390,""en"",""ja"")"),"車")</f>
        <v>車</v>
      </c>
      <c r="AC390" s="4" t="str">
        <f>IFERROR(__xludf.DUMMYFUNCTION("GOOGLETRANSLATE(B390,""en"",""bg"")"),"кола")</f>
        <v>кола</v>
      </c>
      <c r="AD390" s="4" t="str">
        <f>IFERROR(__xludf.DUMMYFUNCTION("GOOGLETRANSLATE(B390,""en"",""cs"")"),"Auto")</f>
        <v>Auto</v>
      </c>
      <c r="AE390" s="4" t="str">
        <f>IFERROR(__xludf.DUMMYFUNCTION("GOOGLETRANSLATE(B390,""en"",""da"")"),"Bil")</f>
        <v>Bil</v>
      </c>
      <c r="AF390" s="4" t="str">
        <f>IFERROR(__xludf.DUMMYFUNCTION("GOOGLETRANSLATE(B390,""en"",""el"")"),"Αυτοκίνητο")</f>
        <v>Αυτοκίνητο</v>
      </c>
      <c r="AG390" s="4" t="str">
        <f>IFERROR(__xludf.DUMMYFUNCTION("GOOGLETRANSLATE(B390,""en"",""et"")"),"Auto")</f>
        <v>Auto</v>
      </c>
      <c r="AH390" s="4" t="str">
        <f>IFERROR(__xludf.DUMMYFUNCTION("GOOGLETRANSLATE(B390,""en"",""fi"")"),"Auto")</f>
        <v>Auto</v>
      </c>
      <c r="AI390" s="4" t="str">
        <f>IFERROR(__xludf.DUMMYFUNCTION("GOOGLETRANSLATE(B390,""en"",""hr"")"),"Automobil")</f>
        <v>Automobil</v>
      </c>
      <c r="AJ390" s="4" t="str">
        <f>IFERROR(__xludf.DUMMYFUNCTION("GOOGLETRANSLATE(B390,""en"",""hu"")"),"Autó")</f>
        <v>Autó</v>
      </c>
      <c r="AK390" s="4" t="str">
        <f>IFERROR(__xludf.DUMMYFUNCTION("GOOGLETRANSLATE(B390,""en"",""hy"")"),"Ավտոմեքենա")</f>
        <v>Ավտոմեքենա</v>
      </c>
      <c r="AL390" s="4" t="str">
        <f>IFERROR(__xludf.DUMMYFUNCTION("GOOGLETRANSLATE(B390,""en"",""ca"")"),"Cotxe")</f>
        <v>Cotxe</v>
      </c>
      <c r="AM390" s="4" t="str">
        <f>IFERROR(__xludf.DUMMYFUNCTION("GOOGLETRANSLATE(B390,""en"",""nl"")"),"Auto")</f>
        <v>Auto</v>
      </c>
      <c r="AN390" s="4" t="str">
        <f>IFERROR(__xludf.DUMMYFUNCTION("GOOGLETRANSLATE(B390,""en"",""he"")"),"מְכוֹנִית")</f>
        <v>מְכוֹנִית</v>
      </c>
      <c r="AO390" s="4" t="str">
        <f>IFERROR(__xludf.DUMMYFUNCTION("GOOGLETRANSLATE(B390,""en"",""is"")"),"Bíll")</f>
        <v>Bíll</v>
      </c>
      <c r="AP390" s="4" t="str">
        <f>IFERROR(__xludf.DUMMYFUNCTION("GOOGLETRANSLATE(B390,""en"",""no"")"),"Bil")</f>
        <v>Bil</v>
      </c>
      <c r="AQ390" s="4" t="str">
        <f>IFERROR(__xludf.DUMMYFUNCTION("GOOGLETRANSLATE(B390,""en"",""fa"")"),"ماشین")</f>
        <v>ماشین</v>
      </c>
      <c r="AR390" s="4" t="str">
        <f>IFERROR(__xludf.DUMMYFUNCTION("GOOGLETRANSLATE(B390,""en"",""pl"")"),"Samochód")</f>
        <v>Samochód</v>
      </c>
      <c r="AS390" s="4" t="str">
        <f>IFERROR(__xludf.DUMMYFUNCTION("GOOGLETRANSLATE(B390,""en"",""sv"")"),"Bil")</f>
        <v>Bil</v>
      </c>
      <c r="AT390" s="4" t="str">
        <f>IFERROR(__xludf.DUMMYFUNCTION("GOOGLETRANSLATE(B390,""en"",""uk"")"),"автомобіль")</f>
        <v>автомобіль</v>
      </c>
      <c r="AU390" s="4" t="str">
        <f>IFERROR(__xludf.DUMMYFUNCTION("GOOGLETRANSLATE(B390,""en"",""zu"")"),"Imoto")</f>
        <v>Imoto</v>
      </c>
      <c r="AV390" s="4" t="str">
        <f>IFERROR(__xludf.DUMMYFUNCTION("GOOGLETRANSLATE(B390,""en"",""sr"")"),"Ауто")</f>
        <v>Ауто</v>
      </c>
    </row>
    <row r="391">
      <c r="A391" s="3" t="s">
        <v>766</v>
      </c>
      <c r="B391" s="3" t="s">
        <v>767</v>
      </c>
      <c r="C391" s="4" t="str">
        <f>IFERROR(__xludf.DUMMYFUNCTION("GOOGLETRANSLATE(B391,""en"",""ta"")"),"பயணத்தை சேமிக்கவும்")</f>
        <v>பயணத்தை சேமிக்கவும்</v>
      </c>
      <c r="D391" s="4" t="str">
        <f>IFERROR(__xludf.DUMMYFUNCTION("GOOGLETRANSLATE(B391,""en"",""hi"")"),"यात्रा सहेजें")</f>
        <v>यात्रा सहेजें</v>
      </c>
      <c r="E391" s="4" t="str">
        <f>IFERROR(__xludf.DUMMYFUNCTION("GOOGLETRANSLATE(B391,""en"",""id"")"),"Simpan Perjalanan")</f>
        <v>Simpan Perjalanan</v>
      </c>
      <c r="F391" s="4" t="str">
        <f>IFERROR(__xludf.DUMMYFUNCTION("GOOGLETRANSLATE(B391,""en"",""ms"")"),"Simpan Perjalanan")</f>
        <v>Simpan Perjalanan</v>
      </c>
      <c r="G391" s="4" t="str">
        <f>IFERROR(__xludf.DUMMYFUNCTION("GOOGLETRANSLATE(B391,""en"",""de"")"),"Reise speichern")</f>
        <v>Reise speichern</v>
      </c>
      <c r="H391" s="4" t="str">
        <f>IFERROR(__xludf.DUMMYFUNCTION("GOOGLETRANSLATE(B391,""en"",""es"")"),"Guardar viaje")</f>
        <v>Guardar viaje</v>
      </c>
      <c r="I391" s="4" t="str">
        <f>IFERROR(__xludf.DUMMYFUNCTION("GOOGLETRANSLATE(B391,""en"",""fr"")"),"Enregistrer le voyage")</f>
        <v>Enregistrer le voyage</v>
      </c>
      <c r="J391" s="4" t="str">
        <f>IFERROR(__xludf.DUMMYFUNCTION("GOOGLETRANSLATE(B391,""en"",""it"")"),"Salva il viaggio")</f>
        <v>Salva il viaggio</v>
      </c>
      <c r="K391" s="4" t="str">
        <f>IFERROR(__xludf.DUMMYFUNCTION("GOOGLETRANSLATE(B391,""en"",""pt"")"),"Salvar viagem")</f>
        <v>Salvar viagem</v>
      </c>
      <c r="L391" s="4" t="str">
        <f>IFERROR(__xludf.DUMMYFUNCTION("GOOGLETRANSLATE(B391,""en"",""ro"")"),"Salvați călătoria")</f>
        <v>Salvați călătoria</v>
      </c>
      <c r="M391" s="4" t="str">
        <f>IFERROR(__xludf.DUMMYFUNCTION("GOOGLETRANSLATE(B391,""en"",""vi"")"),"Lưu chuyến đi")</f>
        <v>Lưu chuyến đi</v>
      </c>
      <c r="N391" s="4" t="str">
        <f>IFERROR(__xludf.DUMMYFUNCTION("GOOGLETRANSLATE(B391,""en"",""ru"")"),"Сохранить поездку")</f>
        <v>Сохранить поездку</v>
      </c>
      <c r="O391" s="4" t="str">
        <f>IFERROR(__xludf.DUMMYFUNCTION("GOOGLETRANSLATE(B391,""en"",""tr"")"),"Geziyi Kaydet")</f>
        <v>Geziyi Kaydet</v>
      </c>
      <c r="P391" s="4" t="str">
        <f>IFERROR(__xludf.DUMMYFUNCTION("GOOGLETRANSLATE(B391,""en"",""ar"")"),"حفظ الرحلة")</f>
        <v>حفظ الرحلة</v>
      </c>
      <c r="Q391" s="4" t="str">
        <f>IFERROR(__xludf.DUMMYFUNCTION("GOOGLETRANSLATE(B391,""en"",""mr"")"),"ट्रिप जतन करा")</f>
        <v>ट्रिप जतन करा</v>
      </c>
      <c r="R391" s="4" t="str">
        <f>IFERROR(__xludf.DUMMYFUNCTION("GOOGLETRANSLATE(B391,""en"",""gu"")"),"સફર સાચવો")</f>
        <v>સફર સાચવો</v>
      </c>
      <c r="S391" s="4" t="str">
        <f>IFERROR(__xludf.DUMMYFUNCTION("GOOGLETRANSLATE(B391,""en"",""bn"")"),"ট্রিপ সংরক্ষণ করুন")</f>
        <v>ট্রিপ সংরক্ষণ করুন</v>
      </c>
      <c r="T391" s="4" t="str">
        <f>IFERROR(__xludf.DUMMYFUNCTION("GOOGLETRANSLATE(B391,""en"",""pa"")"),"ਯਾਤਰਾ ਨੂੰ ਸੁਰੱਖਿਅਤ ਕਰੋ")</f>
        <v>ਯਾਤਰਾ ਨੂੰ ਸੁਰੱਖਿਅਤ ਕਰੋ</v>
      </c>
      <c r="U391" s="4" t="str">
        <f>IFERROR(__xludf.DUMMYFUNCTION("GOOGLETRANSLATE(B391,""en"",""te"")"),"పర్యటనను సేవ్ చేయండి")</f>
        <v>పర్యటనను సేవ్ చేయండి</v>
      </c>
      <c r="V391" s="4" t="str">
        <f>IFERROR(__xludf.DUMMYFUNCTION("GOOGLETRANSLATE(B391,""en"",""kn"")"),"ಪ್ರವಾಸವನ್ನು ಉಳಿಸಿ")</f>
        <v>ಪ್ರವಾಸವನ್ನು ಉಳಿಸಿ</v>
      </c>
      <c r="W391" s="4" t="str">
        <f>IFERROR(__xludf.DUMMYFUNCTION("GOOGLETRANSLATE(B391,""en"",""ml"")"),"യാത്ര സംരക്ഷിക്കുക")</f>
        <v>യാത്ര സംരക്ഷിക്കുക</v>
      </c>
      <c r="X391" s="4" t="str">
        <f>IFERROR(__xludf.DUMMYFUNCTION("GOOGLETRANSLATE(B391,""en"",""th"")"),"บันทึกการเดินทาง")</f>
        <v>บันทึกการเดินทาง</v>
      </c>
      <c r="Y391" s="4" t="str">
        <f>IFERROR(__xludf.DUMMYFUNCTION("GOOGLETRANSLATE(B391,""en"",""ko"")"),"여행 저장")</f>
        <v>여행 저장</v>
      </c>
      <c r="Z391" s="4" t="str">
        <f>IFERROR(__xludf.DUMMYFUNCTION("GOOGLETRANSLATE(B391,""en"",""zh"")"),"保存行程")</f>
        <v>保存行程</v>
      </c>
      <c r="AA391" s="4" t="str">
        <f>IFERROR(__xludf.DUMMYFUNCTION("GOOGLETRANSLATE(B391,""en"",""zh-TW"")"),"儲存行程")</f>
        <v>儲存行程</v>
      </c>
      <c r="AB391" s="4" t="str">
        <f>IFERROR(__xludf.DUMMYFUNCTION("GOOGLETRANSLATE(B391,""en"",""ja"")"),"旅行を保存")</f>
        <v>旅行を保存</v>
      </c>
      <c r="AC391" s="4" t="str">
        <f>IFERROR(__xludf.DUMMYFUNCTION("GOOGLETRANSLATE(B391,""en"",""bg"")"),"Запазване на пътуването")</f>
        <v>Запазване на пътуването</v>
      </c>
      <c r="AD391" s="4" t="str">
        <f>IFERROR(__xludf.DUMMYFUNCTION("GOOGLETRANSLATE(B391,""en"",""cs"")"),"Uložit cestu")</f>
        <v>Uložit cestu</v>
      </c>
      <c r="AE391" s="4" t="str">
        <f>IFERROR(__xludf.DUMMYFUNCTION("GOOGLETRANSLATE(B391,""en"",""da"")"),"Gem rejse")</f>
        <v>Gem rejse</v>
      </c>
      <c r="AF391" s="4" t="str">
        <f>IFERROR(__xludf.DUMMYFUNCTION("GOOGLETRANSLATE(B391,""en"",""el"")"),"Αποθήκευση ταξιδιού")</f>
        <v>Αποθήκευση ταξιδιού</v>
      </c>
      <c r="AG391" s="4" t="str">
        <f>IFERROR(__xludf.DUMMYFUNCTION("GOOGLETRANSLATE(B391,""en"",""et"")"),"Salvesta reis")</f>
        <v>Salvesta reis</v>
      </c>
      <c r="AH391" s="4" t="str">
        <f>IFERROR(__xludf.DUMMYFUNCTION("GOOGLETRANSLATE(B391,""en"",""fi"")"),"Tallenna matka")</f>
        <v>Tallenna matka</v>
      </c>
      <c r="AI391" s="4" t="str">
        <f>IFERROR(__xludf.DUMMYFUNCTION("GOOGLETRANSLATE(B391,""en"",""hr"")"),"Spremi putovanje")</f>
        <v>Spremi putovanje</v>
      </c>
      <c r="AJ391" s="4" t="str">
        <f>IFERROR(__xludf.DUMMYFUNCTION("GOOGLETRANSLATE(B391,""en"",""hu"")"),"Utazás mentése")</f>
        <v>Utazás mentése</v>
      </c>
      <c r="AK391" s="4" t="str">
        <f>IFERROR(__xludf.DUMMYFUNCTION("GOOGLETRANSLATE(B391,""en"",""hy"")"),"Պահպանել ուղևորությունը")</f>
        <v>Պահպանել ուղևորությունը</v>
      </c>
      <c r="AL391" s="4" t="str">
        <f>IFERROR(__xludf.DUMMYFUNCTION("GOOGLETRANSLATE(B391,""en"",""ca"")"),"Guarda el viatge")</f>
        <v>Guarda el viatge</v>
      </c>
      <c r="AM391" s="4" t="str">
        <f>IFERROR(__xludf.DUMMYFUNCTION("GOOGLETRANSLATE(B391,""en"",""nl"")"),"Reis opslaan")</f>
        <v>Reis opslaan</v>
      </c>
      <c r="AN391" s="4" t="str">
        <f>IFERROR(__xludf.DUMMYFUNCTION("GOOGLETRANSLATE(B391,""en"",""he"")"),"שמור טיול")</f>
        <v>שמור טיול</v>
      </c>
      <c r="AO391" s="4" t="str">
        <f>IFERROR(__xludf.DUMMYFUNCTION("GOOGLETRANSLATE(B391,""en"",""is"")"),"Vista ferð")</f>
        <v>Vista ferð</v>
      </c>
      <c r="AP391" s="4" t="str">
        <f>IFERROR(__xludf.DUMMYFUNCTION("GOOGLETRANSLATE(B391,""en"",""no"")"),"Lagre tur")</f>
        <v>Lagre tur</v>
      </c>
      <c r="AQ391" s="4" t="str">
        <f>IFERROR(__xludf.DUMMYFUNCTION("GOOGLETRANSLATE(B391,""en"",""fa"")"),"ذخیره سفر")</f>
        <v>ذخیره سفر</v>
      </c>
      <c r="AR391" s="4" t="str">
        <f>IFERROR(__xludf.DUMMYFUNCTION("GOOGLETRANSLATE(B391,""en"",""pl"")"),"Zapisz wycieczkę")</f>
        <v>Zapisz wycieczkę</v>
      </c>
      <c r="AS391" s="4" t="str">
        <f>IFERROR(__xludf.DUMMYFUNCTION("GOOGLETRANSLATE(B391,""en"",""sv"")"),"Spara resan")</f>
        <v>Spara resan</v>
      </c>
      <c r="AT391" s="4" t="str">
        <f>IFERROR(__xludf.DUMMYFUNCTION("GOOGLETRANSLATE(B391,""en"",""uk"")"),"Зберегти подорож")</f>
        <v>Зберегти подорож</v>
      </c>
      <c r="AU391" s="4" t="str">
        <f>IFERROR(__xludf.DUMMYFUNCTION("GOOGLETRANSLATE(B391,""en"",""zu"")"),"Londoloza Uhambo")</f>
        <v>Londoloza Uhambo</v>
      </c>
      <c r="AV391" s="4" t="str">
        <f>IFERROR(__xludf.DUMMYFUNCTION("GOOGLETRANSLATE(B391,""en"",""sr"")"),"Сачувај путовање")</f>
        <v>Сачувај путовање</v>
      </c>
    </row>
    <row r="392">
      <c r="A392" s="3" t="s">
        <v>768</v>
      </c>
      <c r="B392" s="3" t="s">
        <v>769</v>
      </c>
      <c r="C392" s="4" t="str">
        <f>IFERROR(__xludf.DUMMYFUNCTION("GOOGLETRANSLATE(B392,""en"",""ta"")"),"பயணத்தின் பெயர்")</f>
        <v>பயணத்தின் பெயர்</v>
      </c>
      <c r="D392" s="4" t="str">
        <f>IFERROR(__xludf.DUMMYFUNCTION("GOOGLETRANSLATE(B392,""en"",""hi"")"),"यात्रा का नाम")</f>
        <v>यात्रा का नाम</v>
      </c>
      <c r="E392" s="4" t="str">
        <f>IFERROR(__xludf.DUMMYFUNCTION("GOOGLETRANSLATE(B392,""en"",""id"")"),"Nama Perjalanan")</f>
        <v>Nama Perjalanan</v>
      </c>
      <c r="F392" s="4" t="str">
        <f>IFERROR(__xludf.DUMMYFUNCTION("GOOGLETRANSLATE(B392,""en"",""ms"")"),"Nama Perjalanan")</f>
        <v>Nama Perjalanan</v>
      </c>
      <c r="G392" s="4" t="str">
        <f>IFERROR(__xludf.DUMMYFUNCTION("GOOGLETRANSLATE(B392,""en"",""de"")"),"Reisename")</f>
        <v>Reisename</v>
      </c>
      <c r="H392" s="4" t="str">
        <f>IFERROR(__xludf.DUMMYFUNCTION("GOOGLETRANSLATE(B392,""en"",""es"")"),"Nombre del viaje")</f>
        <v>Nombre del viaje</v>
      </c>
      <c r="I392" s="4" t="str">
        <f>IFERROR(__xludf.DUMMYFUNCTION("GOOGLETRANSLATE(B392,""en"",""fr"")"),"Nom du voyage")</f>
        <v>Nom du voyage</v>
      </c>
      <c r="J392" s="4" t="str">
        <f>IFERROR(__xludf.DUMMYFUNCTION("GOOGLETRANSLATE(B392,""en"",""it"")"),"Nome del viaggio")</f>
        <v>Nome del viaggio</v>
      </c>
      <c r="K392" s="4" t="str">
        <f>IFERROR(__xludf.DUMMYFUNCTION("GOOGLETRANSLATE(B392,""en"",""pt"")"),"Nome da viagem")</f>
        <v>Nome da viagem</v>
      </c>
      <c r="L392" s="4" t="str">
        <f>IFERROR(__xludf.DUMMYFUNCTION("GOOGLETRANSLATE(B392,""en"",""ro"")"),"Numele călătoriei")</f>
        <v>Numele călătoriei</v>
      </c>
      <c r="M392" s="4" t="str">
        <f>IFERROR(__xludf.DUMMYFUNCTION("GOOGLETRANSLATE(B392,""en"",""vi"")"),"Tên chuyến đi")</f>
        <v>Tên chuyến đi</v>
      </c>
      <c r="N392" s="4" t="str">
        <f>IFERROR(__xludf.DUMMYFUNCTION("GOOGLETRANSLATE(B392,""en"",""ru"")"),"Название поездки")</f>
        <v>Название поездки</v>
      </c>
      <c r="O392" s="4" t="str">
        <f>IFERROR(__xludf.DUMMYFUNCTION("GOOGLETRANSLATE(B392,""en"",""tr"")"),"Gezi Adı")</f>
        <v>Gezi Adı</v>
      </c>
      <c r="P392" s="4" t="str">
        <f>IFERROR(__xludf.DUMMYFUNCTION("GOOGLETRANSLATE(B392,""en"",""ar"")"),"اسم الرحلة")</f>
        <v>اسم الرحلة</v>
      </c>
      <c r="Q392" s="4" t="str">
        <f>IFERROR(__xludf.DUMMYFUNCTION("GOOGLETRANSLATE(B392,""en"",""mr"")"),"सहलीचे नाव")</f>
        <v>सहलीचे नाव</v>
      </c>
      <c r="R392" s="4" t="str">
        <f>IFERROR(__xludf.DUMMYFUNCTION("GOOGLETRANSLATE(B392,""en"",""gu"")"),"પ્રવાસનું નામ")</f>
        <v>પ્રવાસનું નામ</v>
      </c>
      <c r="S392" s="4" t="str">
        <f>IFERROR(__xludf.DUMMYFUNCTION("GOOGLETRANSLATE(B392,""en"",""bn"")"),"ভ্রমণের নাম")</f>
        <v>ভ্রমণের নাম</v>
      </c>
      <c r="T392" s="4" t="str">
        <f>IFERROR(__xludf.DUMMYFUNCTION("GOOGLETRANSLATE(B392,""en"",""pa"")"),"ਯਾਤਰਾ ਦਾ ਨਾਮ")</f>
        <v>ਯਾਤਰਾ ਦਾ ਨਾਮ</v>
      </c>
      <c r="U392" s="4" t="str">
        <f>IFERROR(__xludf.DUMMYFUNCTION("GOOGLETRANSLATE(B392,""en"",""te"")"),"యాత్ర పేరు")</f>
        <v>యాత్ర పేరు</v>
      </c>
      <c r="V392" s="4" t="str">
        <f>IFERROR(__xludf.DUMMYFUNCTION("GOOGLETRANSLATE(B392,""en"",""kn"")"),"ಪ್ರವಾಸದ ಹೆಸರು")</f>
        <v>ಪ್ರವಾಸದ ಹೆಸರು</v>
      </c>
      <c r="W392" s="4" t="str">
        <f>IFERROR(__xludf.DUMMYFUNCTION("GOOGLETRANSLATE(B392,""en"",""ml"")"),"യാത്രയുടെ പേര്")</f>
        <v>യാത്രയുടെ പേര്</v>
      </c>
      <c r="X392" s="4" t="str">
        <f>IFERROR(__xludf.DUMMYFUNCTION("GOOGLETRANSLATE(B392,""en"",""th"")"),"ชื่อทริป")</f>
        <v>ชื่อทริป</v>
      </c>
      <c r="Y392" s="4" t="str">
        <f>IFERROR(__xludf.DUMMYFUNCTION("GOOGLETRANSLATE(B392,""en"",""ko"")"),"여행 이름")</f>
        <v>여행 이름</v>
      </c>
      <c r="Z392" s="4" t="str">
        <f>IFERROR(__xludf.DUMMYFUNCTION("GOOGLETRANSLATE(B392,""en"",""zh"")"),"行程名称")</f>
        <v>行程名称</v>
      </c>
      <c r="AA392" s="4" t="str">
        <f>IFERROR(__xludf.DUMMYFUNCTION("GOOGLETRANSLATE(B392,""en"",""zh-TW"")"),"行程名稱")</f>
        <v>行程名稱</v>
      </c>
      <c r="AB392" s="4" t="str">
        <f>IFERROR(__xludf.DUMMYFUNCTION("GOOGLETRANSLATE(B392,""en"",""ja"")"),"旅行名")</f>
        <v>旅行名</v>
      </c>
      <c r="AC392" s="4" t="str">
        <f>IFERROR(__xludf.DUMMYFUNCTION("GOOGLETRANSLATE(B392,""en"",""bg"")"),"Име на пътуването")</f>
        <v>Име на пътуването</v>
      </c>
      <c r="AD392" s="4" t="str">
        <f>IFERROR(__xludf.DUMMYFUNCTION("GOOGLETRANSLATE(B392,""en"",""cs"")"),"Název cesty")</f>
        <v>Název cesty</v>
      </c>
      <c r="AE392" s="4" t="str">
        <f>IFERROR(__xludf.DUMMYFUNCTION("GOOGLETRANSLATE(B392,""en"",""da"")"),"Turens navn")</f>
        <v>Turens navn</v>
      </c>
      <c r="AF392" s="4" t="str">
        <f>IFERROR(__xludf.DUMMYFUNCTION("GOOGLETRANSLATE(B392,""en"",""el"")"),"Όνομα ταξιδιού")</f>
        <v>Όνομα ταξιδιού</v>
      </c>
      <c r="AG392" s="4" t="str">
        <f>IFERROR(__xludf.DUMMYFUNCTION("GOOGLETRANSLATE(B392,""en"",""et"")"),"Reisi nimi")</f>
        <v>Reisi nimi</v>
      </c>
      <c r="AH392" s="4" t="str">
        <f>IFERROR(__xludf.DUMMYFUNCTION("GOOGLETRANSLATE(B392,""en"",""fi"")"),"Matkan nimi")</f>
        <v>Matkan nimi</v>
      </c>
      <c r="AI392" s="4" t="str">
        <f>IFERROR(__xludf.DUMMYFUNCTION("GOOGLETRANSLATE(B392,""en"",""hr"")"),"Naziv putovanja")</f>
        <v>Naziv putovanja</v>
      </c>
      <c r="AJ392" s="4" t="str">
        <f>IFERROR(__xludf.DUMMYFUNCTION("GOOGLETRANSLATE(B392,""en"",""hu"")"),"Utazás neve")</f>
        <v>Utazás neve</v>
      </c>
      <c r="AK392" s="4" t="str">
        <f>IFERROR(__xludf.DUMMYFUNCTION("GOOGLETRANSLATE(B392,""en"",""hy"")"),"Ուղևորության անվանումը")</f>
        <v>Ուղևորության անվանումը</v>
      </c>
      <c r="AL392" s="4" t="str">
        <f>IFERROR(__xludf.DUMMYFUNCTION("GOOGLETRANSLATE(B392,""en"",""ca"")"),"Nom del viatge")</f>
        <v>Nom del viatge</v>
      </c>
      <c r="AM392" s="4" t="str">
        <f>IFERROR(__xludf.DUMMYFUNCTION("GOOGLETRANSLATE(B392,""en"",""nl"")"),"Reisnaam")</f>
        <v>Reisnaam</v>
      </c>
      <c r="AN392" s="4" t="str">
        <f>IFERROR(__xludf.DUMMYFUNCTION("GOOGLETRANSLATE(B392,""en"",""he"")"),"שם טיול")</f>
        <v>שם טיול</v>
      </c>
      <c r="AO392" s="4" t="str">
        <f>IFERROR(__xludf.DUMMYFUNCTION("GOOGLETRANSLATE(B392,""en"",""is"")"),"Nafn ferðar")</f>
        <v>Nafn ferðar</v>
      </c>
      <c r="AP392" s="4" t="str">
        <f>IFERROR(__xludf.DUMMYFUNCTION("GOOGLETRANSLATE(B392,""en"",""no"")"),"Reisenavn")</f>
        <v>Reisenavn</v>
      </c>
      <c r="AQ392" s="4" t="str">
        <f>IFERROR(__xludf.DUMMYFUNCTION("GOOGLETRANSLATE(B392,""en"",""fa"")"),"نام سفر")</f>
        <v>نام سفر</v>
      </c>
      <c r="AR392" s="4" t="str">
        <f>IFERROR(__xludf.DUMMYFUNCTION("GOOGLETRANSLATE(B392,""en"",""pl"")"),"Nazwa wycieczki")</f>
        <v>Nazwa wycieczki</v>
      </c>
      <c r="AS392" s="4" t="str">
        <f>IFERROR(__xludf.DUMMYFUNCTION("GOOGLETRANSLATE(B392,""en"",""sv"")"),"Resans namn")</f>
        <v>Resans namn</v>
      </c>
      <c r="AT392" s="4" t="str">
        <f>IFERROR(__xludf.DUMMYFUNCTION("GOOGLETRANSLATE(B392,""en"",""uk"")"),"Назва поїздки")</f>
        <v>Назва поїздки</v>
      </c>
      <c r="AU392" s="4" t="str">
        <f>IFERROR(__xludf.DUMMYFUNCTION("GOOGLETRANSLATE(B392,""en"",""zu"")"),"Igama Lohambo")</f>
        <v>Igama Lohambo</v>
      </c>
      <c r="AV392" s="4" t="str">
        <f>IFERROR(__xludf.DUMMYFUNCTION("GOOGLETRANSLATE(B392,""en"",""sr"")"),"Назив путовања")</f>
        <v>Назив путовања</v>
      </c>
    </row>
    <row r="393">
      <c r="A393" s="3" t="s">
        <v>770</v>
      </c>
      <c r="B393" s="3" t="s">
        <v>771</v>
      </c>
      <c r="C393" s="4" t="str">
        <f>IFERROR(__xludf.DUMMYFUNCTION("GOOGLETRANSLATE(B393,""en"",""ta"")"),"பயணத்தின் பெயரை உள்ளிடவும்")</f>
        <v>பயணத்தின் பெயரை உள்ளிடவும்</v>
      </c>
      <c r="D393" s="4" t="str">
        <f>IFERROR(__xludf.DUMMYFUNCTION("GOOGLETRANSLATE(B393,""en"",""hi"")"),"यात्रा का नाम दर्ज करें")</f>
        <v>यात्रा का नाम दर्ज करें</v>
      </c>
      <c r="E393" s="4" t="str">
        <f>IFERROR(__xludf.DUMMYFUNCTION("GOOGLETRANSLATE(B393,""en"",""id"")"),"Masukkan nama perjalanan")</f>
        <v>Masukkan nama perjalanan</v>
      </c>
      <c r="F393" s="4" t="str">
        <f>IFERROR(__xludf.DUMMYFUNCTION("GOOGLETRANSLATE(B393,""en"",""ms"")"),"Masukkan nama perjalanan")</f>
        <v>Masukkan nama perjalanan</v>
      </c>
      <c r="G393" s="4" t="str">
        <f>IFERROR(__xludf.DUMMYFUNCTION("GOOGLETRANSLATE(B393,""en"",""de"")"),"Reisenamen eingeben")</f>
        <v>Reisenamen eingeben</v>
      </c>
      <c r="H393" s="4" t="str">
        <f>IFERROR(__xludf.DUMMYFUNCTION("GOOGLETRANSLATE(B393,""en"",""es"")"),"Introduzca el nombre del viaje")</f>
        <v>Introduzca el nombre del viaje</v>
      </c>
      <c r="I393" s="4" t="str">
        <f>IFERROR(__xludf.DUMMYFUNCTION("GOOGLETRANSLATE(B393,""en"",""fr"")"),"Entrez le nom du voyage")</f>
        <v>Entrez le nom du voyage</v>
      </c>
      <c r="J393" s="4" t="str">
        <f>IFERROR(__xludf.DUMMYFUNCTION("GOOGLETRANSLATE(B393,""en"",""it"")"),"Inserisci il nome del viaggio")</f>
        <v>Inserisci il nome del viaggio</v>
      </c>
      <c r="K393" s="4" t="str">
        <f>IFERROR(__xludf.DUMMYFUNCTION("GOOGLETRANSLATE(B393,""en"",""pt"")"),"Digite o nome da viagem")</f>
        <v>Digite o nome da viagem</v>
      </c>
      <c r="L393" s="4" t="str">
        <f>IFERROR(__xludf.DUMMYFUNCTION("GOOGLETRANSLATE(B393,""en"",""ro"")"),"Introduceți numele călătoriei")</f>
        <v>Introduceți numele călătoriei</v>
      </c>
      <c r="M393" s="4" t="str">
        <f>IFERROR(__xludf.DUMMYFUNCTION("GOOGLETRANSLATE(B393,""en"",""vi"")"),"Nhập tên chuyến đi")</f>
        <v>Nhập tên chuyến đi</v>
      </c>
      <c r="N393" s="4" t="str">
        <f>IFERROR(__xludf.DUMMYFUNCTION("GOOGLETRANSLATE(B393,""en"",""ru"")"),"Введите название поездки")</f>
        <v>Введите название поездки</v>
      </c>
      <c r="O393" s="4" t="str">
        <f>IFERROR(__xludf.DUMMYFUNCTION("GOOGLETRANSLATE(B393,""en"",""tr"")"),"Gezi adını girin")</f>
        <v>Gezi adını girin</v>
      </c>
      <c r="P393" s="4" t="str">
        <f>IFERROR(__xludf.DUMMYFUNCTION("GOOGLETRANSLATE(B393,""en"",""ar"")"),"أدخل اسم الرحلة")</f>
        <v>أدخل اسم الرحلة</v>
      </c>
      <c r="Q393" s="4" t="str">
        <f>IFERROR(__xludf.DUMMYFUNCTION("GOOGLETRANSLATE(B393,""en"",""mr"")"),"सहलीचे नाव एंटर करा")</f>
        <v>सहलीचे नाव एंटर करा</v>
      </c>
      <c r="R393" s="4" t="str">
        <f>IFERROR(__xludf.DUMMYFUNCTION("GOOGLETRANSLATE(B393,""en"",""gu"")"),"પ્રવાસનું નામ દાખલ કરો")</f>
        <v>પ્રવાસનું નામ દાખલ કરો</v>
      </c>
      <c r="S393" s="4" t="str">
        <f>IFERROR(__xludf.DUMMYFUNCTION("GOOGLETRANSLATE(B393,""en"",""bn"")"),"ভ্রমণের নাম লিখুন")</f>
        <v>ভ্রমণের নাম লিখুন</v>
      </c>
      <c r="T393" s="4" t="str">
        <f>IFERROR(__xludf.DUMMYFUNCTION("GOOGLETRANSLATE(B393,""en"",""pa"")"),"ਯਾਤਰਾ ਦਾ ਨਾਮ ਦਾਖਲ ਕਰੋ")</f>
        <v>ਯਾਤਰਾ ਦਾ ਨਾਮ ਦਾਖਲ ਕਰੋ</v>
      </c>
      <c r="U393" s="4" t="str">
        <f>IFERROR(__xludf.DUMMYFUNCTION("GOOGLETRANSLATE(B393,""en"",""te"")"),"పర్యటన పేరును నమోదు చేయండి")</f>
        <v>పర్యటన పేరును నమోదు చేయండి</v>
      </c>
      <c r="V393" s="4" t="str">
        <f>IFERROR(__xludf.DUMMYFUNCTION("GOOGLETRANSLATE(B393,""en"",""kn"")"),"ಪ್ರವಾಸದ ಹೆಸರನ್ನು ನಮೂದಿಸಿ")</f>
        <v>ಪ್ರವಾಸದ ಹೆಸರನ್ನು ನಮೂದಿಸಿ</v>
      </c>
      <c r="W393" s="4" t="str">
        <f>IFERROR(__xludf.DUMMYFUNCTION("GOOGLETRANSLATE(B393,""en"",""ml"")"),"യാത്രയുടെ പേര് നൽകുക")</f>
        <v>യാത്രയുടെ പേര് നൽകുക</v>
      </c>
      <c r="X393" s="4" t="str">
        <f>IFERROR(__xludf.DUMMYFUNCTION("GOOGLETRANSLATE(B393,""en"",""th"")"),"กรอกชื่อทริป")</f>
        <v>กรอกชื่อทริป</v>
      </c>
      <c r="Y393" s="4" t="str">
        <f>IFERROR(__xludf.DUMMYFUNCTION("GOOGLETRANSLATE(B393,""en"",""ko"")"),"여행 이름을 입력하세요")</f>
        <v>여행 이름을 입력하세요</v>
      </c>
      <c r="Z393" s="4" t="str">
        <f>IFERROR(__xludf.DUMMYFUNCTION("GOOGLETRANSLATE(B393,""en"",""zh"")"),"输入行程名称")</f>
        <v>输入行程名称</v>
      </c>
      <c r="AA393" s="4" t="str">
        <f>IFERROR(__xludf.DUMMYFUNCTION("GOOGLETRANSLATE(B393,""en"",""zh-TW"")"),"輸入行程名稱")</f>
        <v>輸入行程名稱</v>
      </c>
      <c r="AB393" s="4" t="str">
        <f>IFERROR(__xludf.DUMMYFUNCTION("GOOGLETRANSLATE(B393,""en"",""ja"")"),"旅行名を入力")</f>
        <v>旅行名を入力</v>
      </c>
      <c r="AC393" s="4" t="str">
        <f>IFERROR(__xludf.DUMMYFUNCTION("GOOGLETRANSLATE(B393,""en"",""bg"")"),"Въведете име на пътуването")</f>
        <v>Въведете име на пътуването</v>
      </c>
      <c r="AD393" s="4" t="str">
        <f>IFERROR(__xludf.DUMMYFUNCTION("GOOGLETRANSLATE(B393,""en"",""cs"")"),"Zadejte název cesty")</f>
        <v>Zadejte název cesty</v>
      </c>
      <c r="AE393" s="4" t="str">
        <f>IFERROR(__xludf.DUMMYFUNCTION("GOOGLETRANSLATE(B393,""en"",""da"")"),"Indtast rejsenavn")</f>
        <v>Indtast rejsenavn</v>
      </c>
      <c r="AF393" s="4" t="str">
        <f>IFERROR(__xludf.DUMMYFUNCTION("GOOGLETRANSLATE(B393,""en"",""el"")"),"Εισαγάγετε το όνομα του ταξιδιού")</f>
        <v>Εισαγάγετε το όνομα του ταξιδιού</v>
      </c>
      <c r="AG393" s="4" t="str">
        <f>IFERROR(__xludf.DUMMYFUNCTION("GOOGLETRANSLATE(B393,""en"",""et"")"),"Sisestage reisi nimi")</f>
        <v>Sisestage reisi nimi</v>
      </c>
      <c r="AH393" s="4" t="str">
        <f>IFERROR(__xludf.DUMMYFUNCTION("GOOGLETRANSLATE(B393,""en"",""fi"")"),"Syötä matkan nimi")</f>
        <v>Syötä matkan nimi</v>
      </c>
      <c r="AI393" s="4" t="str">
        <f>IFERROR(__xludf.DUMMYFUNCTION("GOOGLETRANSLATE(B393,""en"",""hr"")"),"Unesite naziv putovanja")</f>
        <v>Unesite naziv putovanja</v>
      </c>
      <c r="AJ393" s="4" t="str">
        <f>IFERROR(__xludf.DUMMYFUNCTION("GOOGLETRANSLATE(B393,""en"",""hu"")"),"Írja be az utazás nevét")</f>
        <v>Írja be az utazás nevét</v>
      </c>
      <c r="AK393" s="4" t="str">
        <f>IFERROR(__xludf.DUMMYFUNCTION("GOOGLETRANSLATE(B393,""en"",""hy"")"),"Մուտքագրեք ուղևորության անունը")</f>
        <v>Մուտքագրեք ուղևորության անունը</v>
      </c>
      <c r="AL393" s="4" t="str">
        <f>IFERROR(__xludf.DUMMYFUNCTION("GOOGLETRANSLATE(B393,""en"",""ca"")"),"Introduïu el nom del viatge")</f>
        <v>Introduïu el nom del viatge</v>
      </c>
      <c r="AM393" s="4" t="str">
        <f>IFERROR(__xludf.DUMMYFUNCTION("GOOGLETRANSLATE(B393,""en"",""nl"")"),"Voer de reisnaam in")</f>
        <v>Voer de reisnaam in</v>
      </c>
      <c r="AN393" s="4" t="str">
        <f>IFERROR(__xludf.DUMMYFUNCTION("GOOGLETRANSLATE(B393,""en"",""he"")"),"הזן את שם הטיול")</f>
        <v>הזן את שם הטיול</v>
      </c>
      <c r="AO393" s="4" t="str">
        <f>IFERROR(__xludf.DUMMYFUNCTION("GOOGLETRANSLATE(B393,""en"",""is"")"),"Sláðu inn nafn ferðar")</f>
        <v>Sláðu inn nafn ferðar</v>
      </c>
      <c r="AP393" s="4" t="str">
        <f>IFERROR(__xludf.DUMMYFUNCTION("GOOGLETRANSLATE(B393,""en"",""no"")"),"Skriv inn reisenavn")</f>
        <v>Skriv inn reisenavn</v>
      </c>
      <c r="AQ393" s="4" t="str">
        <f>IFERROR(__xludf.DUMMYFUNCTION("GOOGLETRANSLATE(B393,""en"",""fa"")"),"نام سفر را وارد کنید")</f>
        <v>نام سفر را وارد کنید</v>
      </c>
      <c r="AR393" s="4" t="str">
        <f>IFERROR(__xludf.DUMMYFUNCTION("GOOGLETRANSLATE(B393,""en"",""pl"")"),"Wprowadź nazwę wycieczki")</f>
        <v>Wprowadź nazwę wycieczki</v>
      </c>
      <c r="AS393" s="4" t="str">
        <f>IFERROR(__xludf.DUMMYFUNCTION("GOOGLETRANSLATE(B393,""en"",""sv"")"),"Ange resans namn")</f>
        <v>Ange resans namn</v>
      </c>
      <c r="AT393" s="4" t="str">
        <f>IFERROR(__xludf.DUMMYFUNCTION("GOOGLETRANSLATE(B393,""en"",""uk"")"),"Введіть назву поїздки")</f>
        <v>Введіть назву поїздки</v>
      </c>
      <c r="AU393" s="4" t="str">
        <f>IFERROR(__xludf.DUMMYFUNCTION("GOOGLETRANSLATE(B393,""en"",""zu"")"),"Faka igama lohambo")</f>
        <v>Faka igama lohambo</v>
      </c>
      <c r="AV393" s="4" t="str">
        <f>IFERROR(__xludf.DUMMYFUNCTION("GOOGLETRANSLATE(B393,""en"",""sr"")"),"Унесите назив путовања")</f>
        <v>Унесите назив путовања</v>
      </c>
    </row>
    <row r="394">
      <c r="A394" s="3" t="s">
        <v>772</v>
      </c>
      <c r="B394" s="3" t="s">
        <v>773</v>
      </c>
      <c r="C394" s="4" t="str">
        <f>IFERROR(__xludf.DUMMYFUNCTION("GOOGLETRANSLATE(B394,""en"",""ta"")"),"தொடக்க இடம்")</f>
        <v>தொடக்க இடம்</v>
      </c>
      <c r="D394" s="4" t="str">
        <f>IFERROR(__xludf.DUMMYFUNCTION("GOOGLETRANSLATE(B394,""en"",""hi"")"),"आरंभ स्थान")</f>
        <v>आरंभ स्थान</v>
      </c>
      <c r="E394" s="4" t="str">
        <f>IFERROR(__xludf.DUMMYFUNCTION("GOOGLETRANSLATE(B394,""en"",""id"")"),"Tempat Mulai")</f>
        <v>Tempat Mulai</v>
      </c>
      <c r="F394" s="4" t="str">
        <f>IFERROR(__xludf.DUMMYFUNCTION("GOOGLETRANSLATE(B394,""en"",""ms"")"),"Tempat Mula")</f>
        <v>Tempat Mula</v>
      </c>
      <c r="G394" s="4" t="str">
        <f>IFERROR(__xludf.DUMMYFUNCTION("GOOGLETRANSLATE(B394,""en"",""de"")"),"Startort")</f>
        <v>Startort</v>
      </c>
      <c r="H394" s="4" t="str">
        <f>IFERROR(__xludf.DUMMYFUNCTION("GOOGLETRANSLATE(B394,""en"",""es"")"),"Lugar de inicio")</f>
        <v>Lugar de inicio</v>
      </c>
      <c r="I394" s="4" t="str">
        <f>IFERROR(__xludf.DUMMYFUNCTION("GOOGLETRANSLATE(B394,""en"",""fr"")"),"Lieu de départ")</f>
        <v>Lieu de départ</v>
      </c>
      <c r="J394" s="4" t="str">
        <f>IFERROR(__xludf.DUMMYFUNCTION("GOOGLETRANSLATE(B394,""en"",""it"")"),"Luogo di partenza")</f>
        <v>Luogo di partenza</v>
      </c>
      <c r="K394" s="4" t="str">
        <f>IFERROR(__xludf.DUMMYFUNCTION("GOOGLETRANSLATE(B394,""en"",""pt"")"),"Local de início")</f>
        <v>Local de início</v>
      </c>
      <c r="L394" s="4" t="str">
        <f>IFERROR(__xludf.DUMMYFUNCTION("GOOGLETRANSLATE(B394,""en"",""ro"")"),"Locul de pornire")</f>
        <v>Locul de pornire</v>
      </c>
      <c r="M394" s="4" t="str">
        <f>IFERROR(__xludf.DUMMYFUNCTION("GOOGLETRANSLATE(B394,""en"",""vi"")"),"Nơi bắt đầu")</f>
        <v>Nơi bắt đầu</v>
      </c>
      <c r="N394" s="4" t="str">
        <f>IFERROR(__xludf.DUMMYFUNCTION("GOOGLETRANSLATE(B394,""en"",""ru"")"),"Место старта")</f>
        <v>Место старта</v>
      </c>
      <c r="O394" s="4" t="str">
        <f>IFERROR(__xludf.DUMMYFUNCTION("GOOGLETRANSLATE(B394,""en"",""tr"")"),"Başlangıç ​​Yeri")</f>
        <v>Başlangıç ​​Yeri</v>
      </c>
      <c r="P394" s="4" t="str">
        <f>IFERROR(__xludf.DUMMYFUNCTION("GOOGLETRANSLATE(B394,""en"",""ar"")"),"مكان البداية")</f>
        <v>مكان البداية</v>
      </c>
      <c r="Q394" s="4" t="str">
        <f>IFERROR(__xludf.DUMMYFUNCTION("GOOGLETRANSLATE(B394,""en"",""mr"")"),"प्रारंभ ठिकाण")</f>
        <v>प्रारंभ ठिकाण</v>
      </c>
      <c r="R394" s="4" t="str">
        <f>IFERROR(__xludf.DUMMYFUNCTION("GOOGLETRANSLATE(B394,""en"",""gu"")"),"સ્ટાર્ટ પ્લેસ")</f>
        <v>સ્ટાર્ટ પ્લેસ</v>
      </c>
      <c r="S394" s="4" t="str">
        <f>IFERROR(__xludf.DUMMYFUNCTION("GOOGLETRANSLATE(B394,""en"",""bn"")"),"স্টার্ট প্লেস")</f>
        <v>স্টার্ট প্লেস</v>
      </c>
      <c r="T394" s="4" t="str">
        <f>IFERROR(__xludf.DUMMYFUNCTION("GOOGLETRANSLATE(B394,""en"",""pa"")"),"ਸ਼ੁਰੂਆਤੀ ਸਥਾਨ")</f>
        <v>ਸ਼ੁਰੂਆਤੀ ਸਥਾਨ</v>
      </c>
      <c r="U394" s="4" t="str">
        <f>IFERROR(__xludf.DUMMYFUNCTION("GOOGLETRANSLATE(B394,""en"",""te"")"),"ప్రారంభ స్థలం")</f>
        <v>ప్రారంభ స్థలం</v>
      </c>
      <c r="V394" s="4" t="str">
        <f>IFERROR(__xludf.DUMMYFUNCTION("GOOGLETRANSLATE(B394,""en"",""kn"")"),"ಪ್ರಾರಂಭದ ಸ್ಥಳ")</f>
        <v>ಪ್ರಾರಂಭದ ಸ್ಥಳ</v>
      </c>
      <c r="W394" s="4" t="str">
        <f>IFERROR(__xludf.DUMMYFUNCTION("GOOGLETRANSLATE(B394,""en"",""ml"")"),"ആരംഭ സ്ഥലം")</f>
        <v>ആരംഭ സ്ഥലം</v>
      </c>
      <c r="X394" s="4" t="str">
        <f>IFERROR(__xludf.DUMMYFUNCTION("GOOGLETRANSLATE(B394,""en"",""th"")"),"สถานที่เริ่มต้น")</f>
        <v>สถานที่เริ่มต้น</v>
      </c>
      <c r="Y394" s="4" t="str">
        <f>IFERROR(__xludf.DUMMYFUNCTION("GOOGLETRANSLATE(B394,""en"",""ko"")"),"시작 장소")</f>
        <v>시작 장소</v>
      </c>
      <c r="Z394" s="4" t="str">
        <f>IFERROR(__xludf.DUMMYFUNCTION("GOOGLETRANSLATE(B394,""en"",""zh"")"),"起始地点")</f>
        <v>起始地点</v>
      </c>
      <c r="AA394" s="4" t="str">
        <f>IFERROR(__xludf.DUMMYFUNCTION("GOOGLETRANSLATE(B394,""en"",""zh-TW"")"),"起始地點")</f>
        <v>起始地點</v>
      </c>
      <c r="AB394" s="4" t="str">
        <f>IFERROR(__xludf.DUMMYFUNCTION("GOOGLETRANSLATE(B394,""en"",""ja"")"),"スタート地点")</f>
        <v>スタート地点</v>
      </c>
      <c r="AC394" s="4" t="str">
        <f>IFERROR(__xludf.DUMMYFUNCTION("GOOGLETRANSLATE(B394,""en"",""bg"")"),"Начално място")</f>
        <v>Начално място</v>
      </c>
      <c r="AD394" s="4" t="str">
        <f>IFERROR(__xludf.DUMMYFUNCTION("GOOGLETRANSLATE(B394,""en"",""cs"")"),"Místo startu")</f>
        <v>Místo startu</v>
      </c>
      <c r="AE394" s="4" t="str">
        <f>IFERROR(__xludf.DUMMYFUNCTION("GOOGLETRANSLATE(B394,""en"",""da"")"),"Startsted")</f>
        <v>Startsted</v>
      </c>
      <c r="AF394" s="4" t="str">
        <f>IFERROR(__xludf.DUMMYFUNCTION("GOOGLETRANSLATE(B394,""en"",""el"")"),"Θέση εκκίνησης")</f>
        <v>Θέση εκκίνησης</v>
      </c>
      <c r="AG394" s="4" t="str">
        <f>IFERROR(__xludf.DUMMYFUNCTION("GOOGLETRANSLATE(B394,""en"",""et"")"),"Alguskoht")</f>
        <v>Alguskoht</v>
      </c>
      <c r="AH394" s="4" t="str">
        <f>IFERROR(__xludf.DUMMYFUNCTION("GOOGLETRANSLATE(B394,""en"",""fi"")"),"Aloituspaikka")</f>
        <v>Aloituspaikka</v>
      </c>
      <c r="AI394" s="4" t="str">
        <f>IFERROR(__xludf.DUMMYFUNCTION("GOOGLETRANSLATE(B394,""en"",""hr"")"),"Startno mjesto")</f>
        <v>Startno mjesto</v>
      </c>
      <c r="AJ394" s="4" t="str">
        <f>IFERROR(__xludf.DUMMYFUNCTION("GOOGLETRANSLATE(B394,""en"",""hu"")"),"Kezdőhely")</f>
        <v>Kezdőhely</v>
      </c>
      <c r="AK394" s="4" t="str">
        <f>IFERROR(__xludf.DUMMYFUNCTION("GOOGLETRANSLATE(B394,""en"",""hy"")"),"Մեկնարկային վայր")</f>
        <v>Մեկնարկային վայր</v>
      </c>
      <c r="AL394" s="4" t="str">
        <f>IFERROR(__xludf.DUMMYFUNCTION("GOOGLETRANSLATE(B394,""en"",""ca"")"),"Lloc d'inici")</f>
        <v>Lloc d'inici</v>
      </c>
      <c r="AM394" s="4" t="str">
        <f>IFERROR(__xludf.DUMMYFUNCTION("GOOGLETRANSLATE(B394,""en"",""nl"")"),"Startplaats")</f>
        <v>Startplaats</v>
      </c>
      <c r="AN394" s="4" t="str">
        <f>IFERROR(__xludf.DUMMYFUNCTION("GOOGLETRANSLATE(B394,""en"",""he"")"),"מקום התחלה")</f>
        <v>מקום התחלה</v>
      </c>
      <c r="AO394" s="4" t="str">
        <f>IFERROR(__xludf.DUMMYFUNCTION("GOOGLETRANSLATE(B394,""en"",""is"")"),"Upphafsstaður")</f>
        <v>Upphafsstaður</v>
      </c>
      <c r="AP394" s="4" t="str">
        <f>IFERROR(__xludf.DUMMYFUNCTION("GOOGLETRANSLATE(B394,""en"",""no"")"),"Startsted")</f>
        <v>Startsted</v>
      </c>
      <c r="AQ394" s="4" t="str">
        <f>IFERROR(__xludf.DUMMYFUNCTION("GOOGLETRANSLATE(B394,""en"",""fa"")"),"محل شروع")</f>
        <v>محل شروع</v>
      </c>
      <c r="AR394" s="4" t="str">
        <f>IFERROR(__xludf.DUMMYFUNCTION("GOOGLETRANSLATE(B394,""en"",""pl"")"),"Miejsce startu")</f>
        <v>Miejsce startu</v>
      </c>
      <c r="AS394" s="4" t="str">
        <f>IFERROR(__xludf.DUMMYFUNCTION("GOOGLETRANSLATE(B394,""en"",""sv"")"),"Startplats")</f>
        <v>Startplats</v>
      </c>
      <c r="AT394" s="4" t="str">
        <f>IFERROR(__xludf.DUMMYFUNCTION("GOOGLETRANSLATE(B394,""en"",""uk"")"),"Місце старту")</f>
        <v>Місце старту</v>
      </c>
      <c r="AU394" s="4" t="str">
        <f>IFERROR(__xludf.DUMMYFUNCTION("GOOGLETRANSLATE(B394,""en"",""zu"")"),"Indawo yokuqala")</f>
        <v>Indawo yokuqala</v>
      </c>
      <c r="AV394" s="4" t="str">
        <f>IFERROR(__xludf.DUMMYFUNCTION("GOOGLETRANSLATE(B394,""en"",""sr"")"),"Старт Плаце")</f>
        <v>Старт Плаце</v>
      </c>
    </row>
    <row r="395">
      <c r="A395" s="3" t="s">
        <v>774</v>
      </c>
      <c r="B395" s="3" t="s">
        <v>775</v>
      </c>
      <c r="C395" s="4" t="str">
        <f>IFERROR(__xludf.DUMMYFUNCTION("GOOGLETRANSLATE(B395,""en"",""ta"")"),"தொடக்க இடத்தை உள்ளிடவும்")</f>
        <v>தொடக்க இடத்தை உள்ளிடவும்</v>
      </c>
      <c r="D395" s="4" t="str">
        <f>IFERROR(__xludf.DUMMYFUNCTION("GOOGLETRANSLATE(B395,""en"",""hi"")"),"आरंभ स्थान दर्ज करें")</f>
        <v>आरंभ स्थान दर्ज करें</v>
      </c>
      <c r="E395" s="4" t="str">
        <f>IFERROR(__xludf.DUMMYFUNCTION("GOOGLETRANSLATE(B395,""en"",""id"")"),"Masukkan tempat mulai")</f>
        <v>Masukkan tempat mulai</v>
      </c>
      <c r="F395" s="4" t="str">
        <f>IFERROR(__xludf.DUMMYFUNCTION("GOOGLETRANSLATE(B395,""en"",""ms"")"),"Masukkan tempat mula")</f>
        <v>Masukkan tempat mula</v>
      </c>
      <c r="G395" s="4" t="str">
        <f>IFERROR(__xludf.DUMMYFUNCTION("GOOGLETRANSLATE(B395,""en"",""de"")"),"Startort eingeben")</f>
        <v>Startort eingeben</v>
      </c>
      <c r="H395" s="4" t="str">
        <f>IFERROR(__xludf.DUMMYFUNCTION("GOOGLETRANSLATE(B395,""en"",""es"")"),"Introduzca el lugar de inicio")</f>
        <v>Introduzca el lugar de inicio</v>
      </c>
      <c r="I395" s="4" t="str">
        <f>IFERROR(__xludf.DUMMYFUNCTION("GOOGLETRANSLATE(B395,""en"",""fr"")"),"Entrez le lieu de départ")</f>
        <v>Entrez le lieu de départ</v>
      </c>
      <c r="J395" s="4" t="str">
        <f>IFERROR(__xludf.DUMMYFUNCTION("GOOGLETRANSLATE(B395,""en"",""it"")"),"Inserisci il luogo di partenza")</f>
        <v>Inserisci il luogo di partenza</v>
      </c>
      <c r="K395" s="4" t="str">
        <f>IFERROR(__xludf.DUMMYFUNCTION("GOOGLETRANSLATE(B395,""en"",""pt"")"),"Insira o local de início")</f>
        <v>Insira o local de início</v>
      </c>
      <c r="L395" s="4" t="str">
        <f>IFERROR(__xludf.DUMMYFUNCTION("GOOGLETRANSLATE(B395,""en"",""ro"")"),"Introduceți locul de pornire")</f>
        <v>Introduceți locul de pornire</v>
      </c>
      <c r="M395" s="4" t="str">
        <f>IFERROR(__xludf.DUMMYFUNCTION("GOOGLETRANSLATE(B395,""en"",""vi"")"),"Nhập địa điểm bắt đầu")</f>
        <v>Nhập địa điểm bắt đầu</v>
      </c>
      <c r="N395" s="4" t="str">
        <f>IFERROR(__xludf.DUMMYFUNCTION("GOOGLETRANSLATE(B395,""en"",""ru"")"),"Введите место старта")</f>
        <v>Введите место старта</v>
      </c>
      <c r="O395" s="4" t="str">
        <f>IFERROR(__xludf.DUMMYFUNCTION("GOOGLETRANSLATE(B395,""en"",""tr"")"),"Başlangıç ​​yerini girin")</f>
        <v>Başlangıç ​​yerini girin</v>
      </c>
      <c r="P395" s="4" t="str">
        <f>IFERROR(__xludf.DUMMYFUNCTION("GOOGLETRANSLATE(B395,""en"",""ar"")"),"أدخل مكان البداية")</f>
        <v>أدخل مكان البداية</v>
      </c>
      <c r="Q395" s="4" t="str">
        <f>IFERROR(__xludf.DUMMYFUNCTION("GOOGLETRANSLATE(B395,""en"",""mr"")"),"प्रारंभ ठिकाण प्रविष्ट करा")</f>
        <v>प्रारंभ ठिकाण प्रविष्ट करा</v>
      </c>
      <c r="R395" s="4" t="str">
        <f>IFERROR(__xludf.DUMMYFUNCTION("GOOGLETRANSLATE(B395,""en"",""gu"")"),"પ્રારંભ સ્થાન દાખલ કરો")</f>
        <v>પ્રારંભ સ્થાન દાખલ કરો</v>
      </c>
      <c r="S395" s="4" t="str">
        <f>IFERROR(__xludf.DUMMYFUNCTION("GOOGLETRANSLATE(B395,""en"",""bn"")"),"শুরুর জায়গায় প্রবেশ করুন")</f>
        <v>শুরুর জায়গায় প্রবেশ করুন</v>
      </c>
      <c r="T395" s="4" t="str">
        <f>IFERROR(__xludf.DUMMYFUNCTION("GOOGLETRANSLATE(B395,""en"",""pa"")"),"ਸ਼ੁਰੂਆਤੀ ਸਥਾਨ ਦਾਖਲ ਕਰੋ")</f>
        <v>ਸ਼ੁਰੂਆਤੀ ਸਥਾਨ ਦਾਖਲ ਕਰੋ</v>
      </c>
      <c r="U395" s="4" t="str">
        <f>IFERROR(__xludf.DUMMYFUNCTION("GOOGLETRANSLATE(B395,""en"",""te"")"),"ప్రారంభ స్థలాన్ని నమోదు చేయండి")</f>
        <v>ప్రారంభ స్థలాన్ని నమోదు చేయండి</v>
      </c>
      <c r="V395" s="4" t="str">
        <f>IFERROR(__xludf.DUMMYFUNCTION("GOOGLETRANSLATE(B395,""en"",""kn"")"),"ಪ್ರಾರಂಭದ ಸ್ಥಳವನ್ನು ನಮೂದಿಸಿ")</f>
        <v>ಪ್ರಾರಂಭದ ಸ್ಥಳವನ್ನು ನಮೂದಿಸಿ</v>
      </c>
      <c r="W395" s="4" t="str">
        <f>IFERROR(__xludf.DUMMYFUNCTION("GOOGLETRANSLATE(B395,""en"",""ml"")"),"ആരംഭ സ്ഥലം നൽകുക")</f>
        <v>ആരംഭ സ്ഥലം നൽകുക</v>
      </c>
      <c r="X395" s="4" t="str">
        <f>IFERROR(__xludf.DUMMYFUNCTION("GOOGLETRANSLATE(B395,""en"",""th"")"),"เข้าสู่สถานที่เริ่มต้น")</f>
        <v>เข้าสู่สถานที่เริ่มต้น</v>
      </c>
      <c r="Y395" s="4" t="str">
        <f>IFERROR(__xludf.DUMMYFUNCTION("GOOGLETRANSLATE(B395,""en"",""ko"")"),"시작 장소를 입력하세요")</f>
        <v>시작 장소를 입력하세요</v>
      </c>
      <c r="Z395" s="4" t="str">
        <f>IFERROR(__xludf.DUMMYFUNCTION("GOOGLETRANSLATE(B395,""en"",""zh"")"),"输入起始地点")</f>
        <v>输入起始地点</v>
      </c>
      <c r="AA395" s="4" t="str">
        <f>IFERROR(__xludf.DUMMYFUNCTION("GOOGLETRANSLATE(B395,""en"",""zh-TW"")"),"輸入起始地點")</f>
        <v>輸入起始地點</v>
      </c>
      <c r="AB395" s="4" t="str">
        <f>IFERROR(__xludf.DUMMYFUNCTION("GOOGLETRANSLATE(B395,""en"",""ja"")"),"出発地を入力してください")</f>
        <v>出発地を入力してください</v>
      </c>
      <c r="AC395" s="4" t="str">
        <f>IFERROR(__xludf.DUMMYFUNCTION("GOOGLETRANSLATE(B395,""en"",""bg"")"),"Въведете начално място")</f>
        <v>Въведете начално място</v>
      </c>
      <c r="AD395" s="4" t="str">
        <f>IFERROR(__xludf.DUMMYFUNCTION("GOOGLETRANSLATE(B395,""en"",""cs"")"),"Zadejte místo startu")</f>
        <v>Zadejte místo startu</v>
      </c>
      <c r="AE395" s="4" t="str">
        <f>IFERROR(__xludf.DUMMYFUNCTION("GOOGLETRANSLATE(B395,""en"",""da"")"),"Indtast startsted")</f>
        <v>Indtast startsted</v>
      </c>
      <c r="AF395" s="4" t="str">
        <f>IFERROR(__xludf.DUMMYFUNCTION("GOOGLETRANSLATE(B395,""en"",""el"")"),"Εισαγάγετε τη θέση εκκίνησης")</f>
        <v>Εισαγάγετε τη θέση εκκίνησης</v>
      </c>
      <c r="AG395" s="4" t="str">
        <f>IFERROR(__xludf.DUMMYFUNCTION("GOOGLETRANSLATE(B395,""en"",""et"")"),"Sisesta stardikoht")</f>
        <v>Sisesta stardikoht</v>
      </c>
      <c r="AH395" s="4" t="str">
        <f>IFERROR(__xludf.DUMMYFUNCTION("GOOGLETRANSLATE(B395,""en"",""fi"")"),"Syötä aloituspaikka")</f>
        <v>Syötä aloituspaikka</v>
      </c>
      <c r="AI395" s="4" t="str">
        <f>IFERROR(__xludf.DUMMYFUNCTION("GOOGLETRANSLATE(B395,""en"",""hr"")"),"Unesite startno mjesto")</f>
        <v>Unesite startno mjesto</v>
      </c>
      <c r="AJ395" s="4" t="str">
        <f>IFERROR(__xludf.DUMMYFUNCTION("GOOGLETRANSLATE(B395,""en"",""hu"")"),"Adja meg a kiindulási helyet")</f>
        <v>Adja meg a kiindulási helyet</v>
      </c>
      <c r="AK395" s="4" t="str">
        <f>IFERROR(__xludf.DUMMYFUNCTION("GOOGLETRANSLATE(B395,""en"",""hy"")"),"Մուտքագրեք մեկնարկի վայրը")</f>
        <v>Մուտքագրեք մեկնարկի վայրը</v>
      </c>
      <c r="AL395" s="4" t="str">
        <f>IFERROR(__xludf.DUMMYFUNCTION("GOOGLETRANSLATE(B395,""en"",""ca"")"),"Introduïu el lloc d'inici")</f>
        <v>Introduïu el lloc d'inici</v>
      </c>
      <c r="AM395" s="4" t="str">
        <f>IFERROR(__xludf.DUMMYFUNCTION("GOOGLETRANSLATE(B395,""en"",""nl"")"),"Startplaats invoeren")</f>
        <v>Startplaats invoeren</v>
      </c>
      <c r="AN395" s="4" t="str">
        <f>IFERROR(__xludf.DUMMYFUNCTION("GOOGLETRANSLATE(B395,""en"",""he"")"),"הזן מקום התחלה")</f>
        <v>הזן מקום התחלה</v>
      </c>
      <c r="AO395" s="4" t="str">
        <f>IFERROR(__xludf.DUMMYFUNCTION("GOOGLETRANSLATE(B395,""en"",""is"")"),"Sláðu inn upphafsstað")</f>
        <v>Sláðu inn upphafsstað</v>
      </c>
      <c r="AP395" s="4" t="str">
        <f>IFERROR(__xludf.DUMMYFUNCTION("GOOGLETRANSLATE(B395,""en"",""no"")"),"Angi startsted")</f>
        <v>Angi startsted</v>
      </c>
      <c r="AQ395" s="4" t="str">
        <f>IFERROR(__xludf.DUMMYFUNCTION("GOOGLETRANSLATE(B395,""en"",""fa"")"),"محل شروع را وارد کنید")</f>
        <v>محل شروع را وارد کنید</v>
      </c>
      <c r="AR395" s="4" t="str">
        <f>IFERROR(__xludf.DUMMYFUNCTION("GOOGLETRANSLATE(B395,""en"",""pl"")"),"Wprowadź miejsce początkowe")</f>
        <v>Wprowadź miejsce początkowe</v>
      </c>
      <c r="AS395" s="4" t="str">
        <f>IFERROR(__xludf.DUMMYFUNCTION("GOOGLETRANSLATE(B395,""en"",""sv"")"),"Ange startplats")</f>
        <v>Ange startplats</v>
      </c>
      <c r="AT395" s="4" t="str">
        <f>IFERROR(__xludf.DUMMYFUNCTION("GOOGLETRANSLATE(B395,""en"",""uk"")"),"Введіть місце старту")</f>
        <v>Введіть місце старту</v>
      </c>
      <c r="AU395" s="4" t="str">
        <f>IFERROR(__xludf.DUMMYFUNCTION("GOOGLETRANSLATE(B395,""en"",""zu"")"),"Faka indawo yokuqala")</f>
        <v>Faka indawo yokuqala</v>
      </c>
      <c r="AV395" s="4" t="str">
        <f>IFERROR(__xludf.DUMMYFUNCTION("GOOGLETRANSLATE(B395,""en"",""sr"")"),"Унесите почетно место")</f>
        <v>Унесите почетно место</v>
      </c>
    </row>
    <row r="396">
      <c r="A396" s="3" t="s">
        <v>776</v>
      </c>
      <c r="B396" s="3" t="s">
        <v>777</v>
      </c>
      <c r="C396" s="4" t="str">
        <f>IFERROR(__xludf.DUMMYFUNCTION("GOOGLETRANSLATE(B396,""en"",""ta"")"),"இறுதி இடம்")</f>
        <v>இறுதி இடம்</v>
      </c>
      <c r="D396" s="4" t="str">
        <f>IFERROR(__xludf.DUMMYFUNCTION("GOOGLETRANSLATE(B396,""en"",""hi"")"),"अंतिम स्थान")</f>
        <v>अंतिम स्थान</v>
      </c>
      <c r="E396" s="4" t="str">
        <f>IFERROR(__xludf.DUMMYFUNCTION("GOOGLETRANSLATE(B396,""en"",""id"")"),"Tempat Akhir")</f>
        <v>Tempat Akhir</v>
      </c>
      <c r="F396" s="4" t="str">
        <f>IFERROR(__xludf.DUMMYFUNCTION("GOOGLETRANSLATE(B396,""en"",""ms"")"),"Tempat Tamat")</f>
        <v>Tempat Tamat</v>
      </c>
      <c r="G396" s="4" t="str">
        <f>IFERROR(__xludf.DUMMYFUNCTION("GOOGLETRANSLATE(B396,""en"",""de"")"),"Endplatz")</f>
        <v>Endplatz</v>
      </c>
      <c r="H396" s="4" t="str">
        <f>IFERROR(__xludf.DUMMYFUNCTION("GOOGLETRANSLATE(B396,""en"",""es"")"),"Lugar final")</f>
        <v>Lugar final</v>
      </c>
      <c r="I396" s="4" t="str">
        <f>IFERROR(__xludf.DUMMYFUNCTION("GOOGLETRANSLATE(B396,""en"",""fr"")"),"Lieu de fin")</f>
        <v>Lieu de fin</v>
      </c>
      <c r="J396" s="4" t="str">
        <f>IFERROR(__xludf.DUMMYFUNCTION("GOOGLETRANSLATE(B396,""en"",""it"")"),"Luogo di fine")</f>
        <v>Luogo di fine</v>
      </c>
      <c r="K396" s="4" t="str">
        <f>IFERROR(__xludf.DUMMYFUNCTION("GOOGLETRANSLATE(B396,""en"",""pt"")"),"Lugar final")</f>
        <v>Lugar final</v>
      </c>
      <c r="L396" s="4" t="str">
        <f>IFERROR(__xludf.DUMMYFUNCTION("GOOGLETRANSLATE(B396,""en"",""ro"")"),"Locul final")</f>
        <v>Locul final</v>
      </c>
      <c r="M396" s="4" t="str">
        <f>IFERROR(__xludf.DUMMYFUNCTION("GOOGLETRANSLATE(B396,""en"",""vi"")"),"Nơi kết thúc")</f>
        <v>Nơi kết thúc</v>
      </c>
      <c r="N396" s="4" t="str">
        <f>IFERROR(__xludf.DUMMYFUNCTION("GOOGLETRANSLATE(B396,""en"",""ru"")"),"Конечное место")</f>
        <v>Конечное место</v>
      </c>
      <c r="O396" s="4" t="str">
        <f>IFERROR(__xludf.DUMMYFUNCTION("GOOGLETRANSLATE(B396,""en"",""tr"")"),"Son Yer")</f>
        <v>Son Yer</v>
      </c>
      <c r="P396" s="4" t="str">
        <f>IFERROR(__xludf.DUMMYFUNCTION("GOOGLETRANSLATE(B396,""en"",""ar"")"),"مكان النهاية")</f>
        <v>مكان النهاية</v>
      </c>
      <c r="Q396" s="4" t="str">
        <f>IFERROR(__xludf.DUMMYFUNCTION("GOOGLETRANSLATE(B396,""en"",""mr"")"),"शेवटचे ठिकाण")</f>
        <v>शेवटचे ठिकाण</v>
      </c>
      <c r="R396" s="4" t="str">
        <f>IFERROR(__xludf.DUMMYFUNCTION("GOOGLETRANSLATE(B396,""en"",""gu"")"),"અંતિમ સ્થાન")</f>
        <v>અંતિમ સ્થાન</v>
      </c>
      <c r="S396" s="4" t="str">
        <f>IFERROR(__xludf.DUMMYFUNCTION("GOOGLETRANSLATE(B396,""en"",""bn"")"),"শেষ স্থান")</f>
        <v>শেষ স্থান</v>
      </c>
      <c r="T396" s="4" t="str">
        <f>IFERROR(__xludf.DUMMYFUNCTION("GOOGLETRANSLATE(B396,""en"",""pa"")"),"ਸਮਾਪਤੀ ਸਥਾਨ")</f>
        <v>ਸਮਾਪਤੀ ਸਥਾਨ</v>
      </c>
      <c r="U396" s="4" t="str">
        <f>IFERROR(__xludf.DUMMYFUNCTION("GOOGLETRANSLATE(B396,""en"",""te"")"),"ముగింపు స్థలం")</f>
        <v>ముగింపు స్థలం</v>
      </c>
      <c r="V396" s="4" t="str">
        <f>IFERROR(__xludf.DUMMYFUNCTION("GOOGLETRANSLATE(B396,""en"",""kn"")"),"ಅಂತಿಮ ಸ್ಥಳ")</f>
        <v>ಅಂತಿಮ ಸ್ಥಳ</v>
      </c>
      <c r="W396" s="4" t="str">
        <f>IFERROR(__xludf.DUMMYFUNCTION("GOOGLETRANSLATE(B396,""en"",""ml"")"),"അവസാന സ്ഥലം")</f>
        <v>അവസാന സ്ഥലം</v>
      </c>
      <c r="X396" s="4" t="str">
        <f>IFERROR(__xludf.DUMMYFUNCTION("GOOGLETRANSLATE(B396,""en"",""th"")"),"สถานที่สิ้นสุด")</f>
        <v>สถานที่สิ้นสุด</v>
      </c>
      <c r="Y396" s="4" t="str">
        <f>IFERROR(__xludf.DUMMYFUNCTION("GOOGLETRANSLATE(B396,""en"",""ko"")"),"끝 장소")</f>
        <v>끝 장소</v>
      </c>
      <c r="Z396" s="4" t="str">
        <f>IFERROR(__xludf.DUMMYFUNCTION("GOOGLETRANSLATE(B396,""en"",""zh"")"),"终点")</f>
        <v>终点</v>
      </c>
      <c r="AA396" s="4" t="str">
        <f>IFERROR(__xludf.DUMMYFUNCTION("GOOGLETRANSLATE(B396,""en"",""zh-TW"")"),"終點")</f>
        <v>終點</v>
      </c>
      <c r="AB396" s="4" t="str">
        <f>IFERROR(__xludf.DUMMYFUNCTION("GOOGLETRANSLATE(B396,""en"",""ja"")"),"終了場所")</f>
        <v>終了場所</v>
      </c>
      <c r="AC396" s="4" t="str">
        <f>IFERROR(__xludf.DUMMYFUNCTION("GOOGLETRANSLATE(B396,""en"",""bg"")"),"Крайно място")</f>
        <v>Крайно място</v>
      </c>
      <c r="AD396" s="4" t="str">
        <f>IFERROR(__xludf.DUMMYFUNCTION("GOOGLETRANSLATE(B396,""en"",""cs"")"),"Konečné místo")</f>
        <v>Konečné místo</v>
      </c>
      <c r="AE396" s="4" t="str">
        <f>IFERROR(__xludf.DUMMYFUNCTION("GOOGLETRANSLATE(B396,""en"",""da"")"),"Slutsted")</f>
        <v>Slutsted</v>
      </c>
      <c r="AF396" s="4" t="str">
        <f>IFERROR(__xludf.DUMMYFUNCTION("GOOGLETRANSLATE(B396,""en"",""el"")"),"Τέρμα")</f>
        <v>Τέρμα</v>
      </c>
      <c r="AG396" s="4" t="str">
        <f>IFERROR(__xludf.DUMMYFUNCTION("GOOGLETRANSLATE(B396,""en"",""et"")"),"Lõpukoht")</f>
        <v>Lõpukoht</v>
      </c>
      <c r="AH396" s="4" t="str">
        <f>IFERROR(__xludf.DUMMYFUNCTION("GOOGLETRANSLATE(B396,""en"",""fi"")"),"Loppupaikka")</f>
        <v>Loppupaikka</v>
      </c>
      <c r="AI396" s="4" t="str">
        <f>IFERROR(__xludf.DUMMYFUNCTION("GOOGLETRANSLATE(B396,""en"",""hr"")"),"Krajnje mjesto")</f>
        <v>Krajnje mjesto</v>
      </c>
      <c r="AJ396" s="4" t="str">
        <f>IFERROR(__xludf.DUMMYFUNCTION("GOOGLETRANSLATE(B396,""en"",""hu"")"),"Véghely")</f>
        <v>Véghely</v>
      </c>
      <c r="AK396" s="4" t="str">
        <f>IFERROR(__xludf.DUMMYFUNCTION("GOOGLETRANSLATE(B396,""en"",""hy"")"),"Վերջի տեղը")</f>
        <v>Վերջի տեղը</v>
      </c>
      <c r="AL396" s="4" t="str">
        <f>IFERROR(__xludf.DUMMYFUNCTION("GOOGLETRANSLATE(B396,""en"",""ca"")"),"Lloc final")</f>
        <v>Lloc final</v>
      </c>
      <c r="AM396" s="4" t="str">
        <f>IFERROR(__xludf.DUMMYFUNCTION("GOOGLETRANSLATE(B396,""en"",""nl"")"),"Eindplaats")</f>
        <v>Eindplaats</v>
      </c>
      <c r="AN396" s="4" t="str">
        <f>IFERROR(__xludf.DUMMYFUNCTION("GOOGLETRANSLATE(B396,""en"",""he"")"),"מקום סיום")</f>
        <v>מקום סיום</v>
      </c>
      <c r="AO396" s="4" t="str">
        <f>IFERROR(__xludf.DUMMYFUNCTION("GOOGLETRANSLATE(B396,""en"",""is"")"),"Lokastaður")</f>
        <v>Lokastaður</v>
      </c>
      <c r="AP396" s="4" t="str">
        <f>IFERROR(__xludf.DUMMYFUNCTION("GOOGLETRANSLATE(B396,""en"",""no"")"),"Sluttsted")</f>
        <v>Sluttsted</v>
      </c>
      <c r="AQ396" s="4" t="str">
        <f>IFERROR(__xludf.DUMMYFUNCTION("GOOGLETRANSLATE(B396,""en"",""fa"")"),"مکان پایانی")</f>
        <v>مکان پایانی</v>
      </c>
      <c r="AR396" s="4" t="str">
        <f>IFERROR(__xludf.DUMMYFUNCTION("GOOGLETRANSLATE(B396,""en"",""pl"")"),"Miejsce końcowe")</f>
        <v>Miejsce końcowe</v>
      </c>
      <c r="AS396" s="4" t="str">
        <f>IFERROR(__xludf.DUMMYFUNCTION("GOOGLETRANSLATE(B396,""en"",""sv"")"),"Slutplats")</f>
        <v>Slutplats</v>
      </c>
      <c r="AT396" s="4" t="str">
        <f>IFERROR(__xludf.DUMMYFUNCTION("GOOGLETRANSLATE(B396,""en"",""uk"")"),"Кінцеве місце")</f>
        <v>Кінцеве місце</v>
      </c>
      <c r="AU396" s="4" t="str">
        <f>IFERROR(__xludf.DUMMYFUNCTION("GOOGLETRANSLATE(B396,""en"",""zu"")"),"Indawo yokugcina")</f>
        <v>Indawo yokugcina</v>
      </c>
      <c r="AV396" s="4" t="str">
        <f>IFERROR(__xludf.DUMMYFUNCTION("GOOGLETRANSLATE(B396,""en"",""sr"")"),"Крај место")</f>
        <v>Крај место</v>
      </c>
    </row>
    <row r="397">
      <c r="A397" s="3" t="s">
        <v>778</v>
      </c>
      <c r="B397" s="3" t="s">
        <v>779</v>
      </c>
      <c r="C397" s="4" t="str">
        <f>IFERROR(__xludf.DUMMYFUNCTION("GOOGLETRANSLATE(B397,""en"",""ta"")"),"இறுதி இடத்தை உள்ளிடவும்")</f>
        <v>இறுதி இடத்தை உள்ளிடவும்</v>
      </c>
      <c r="D397" s="4" t="str">
        <f>IFERROR(__xludf.DUMMYFUNCTION("GOOGLETRANSLATE(B397,""en"",""hi"")"),"अंतिम स्थान दर्ज करें")</f>
        <v>अंतिम स्थान दर्ज करें</v>
      </c>
      <c r="E397" s="4" t="str">
        <f>IFERROR(__xludf.DUMMYFUNCTION("GOOGLETRANSLATE(B397,""en"",""id"")"),"Masukkan tempat akhir")</f>
        <v>Masukkan tempat akhir</v>
      </c>
      <c r="F397" s="4" t="str">
        <f>IFERROR(__xludf.DUMMYFUNCTION("GOOGLETRANSLATE(B397,""en"",""ms"")"),"Masukkan tempat akhir")</f>
        <v>Masukkan tempat akhir</v>
      </c>
      <c r="G397" s="4" t="str">
        <f>IFERROR(__xludf.DUMMYFUNCTION("GOOGLETRANSLATE(B397,""en"",""de"")"),"Endort eingeben")</f>
        <v>Endort eingeben</v>
      </c>
      <c r="H397" s="4" t="str">
        <f>IFERROR(__xludf.DUMMYFUNCTION("GOOGLETRANSLATE(B397,""en"",""es"")"),"Introduzca el lugar final")</f>
        <v>Introduzca el lugar final</v>
      </c>
      <c r="I397" s="4" t="str">
        <f>IFERROR(__xludf.DUMMYFUNCTION("GOOGLETRANSLATE(B397,""en"",""fr"")"),"Entrez le lieu d'arrivée")</f>
        <v>Entrez le lieu d'arrivée</v>
      </c>
      <c r="J397" s="4" t="str">
        <f>IFERROR(__xludf.DUMMYFUNCTION("GOOGLETRANSLATE(B397,""en"",""it"")"),"Inserisci il luogo di arrivo")</f>
        <v>Inserisci il luogo di arrivo</v>
      </c>
      <c r="K397" s="4" t="str">
        <f>IFERROR(__xludf.DUMMYFUNCTION("GOOGLETRANSLATE(B397,""en"",""pt"")"),"Digite o local final")</f>
        <v>Digite o local final</v>
      </c>
      <c r="L397" s="4" t="str">
        <f>IFERROR(__xludf.DUMMYFUNCTION("GOOGLETRANSLATE(B397,""en"",""ro"")"),"Introduceți locul final")</f>
        <v>Introduceți locul final</v>
      </c>
      <c r="M397" s="4" t="str">
        <f>IFERROR(__xludf.DUMMYFUNCTION("GOOGLETRANSLATE(B397,""en"",""vi"")"),"Nhập vị trí kết thúc")</f>
        <v>Nhập vị trí kết thúc</v>
      </c>
      <c r="N397" s="4" t="str">
        <f>IFERROR(__xludf.DUMMYFUNCTION("GOOGLETRANSLATE(B397,""en"",""ru"")"),"Введите конечное место")</f>
        <v>Введите конечное место</v>
      </c>
      <c r="O397" s="4" t="str">
        <f>IFERROR(__xludf.DUMMYFUNCTION("GOOGLETRANSLATE(B397,""en"",""tr"")"),"Bitiş yerini girin")</f>
        <v>Bitiş yerini girin</v>
      </c>
      <c r="P397" s="4" t="str">
        <f>IFERROR(__xludf.DUMMYFUNCTION("GOOGLETRANSLATE(B397,""en"",""ar"")"),"أدخل مكان النهاية")</f>
        <v>أدخل مكان النهاية</v>
      </c>
      <c r="Q397" s="4" t="str">
        <f>IFERROR(__xludf.DUMMYFUNCTION("GOOGLETRANSLATE(B397,""en"",""mr"")"),"शेवटचे ठिकाण प्रविष्ट करा")</f>
        <v>शेवटचे ठिकाण प्रविष्ट करा</v>
      </c>
      <c r="R397" s="4" t="str">
        <f>IFERROR(__xludf.DUMMYFUNCTION("GOOGLETRANSLATE(B397,""en"",""gu"")"),"અંતિમ સ્થાન દાખલ કરો")</f>
        <v>અંતિમ સ્થાન દાખલ કરો</v>
      </c>
      <c r="S397" s="4" t="str">
        <f>IFERROR(__xludf.DUMMYFUNCTION("GOOGLETRANSLATE(B397,""en"",""bn"")"),"শেষ জায়গায় প্রবেশ করুন")</f>
        <v>শেষ জায়গায় প্রবেশ করুন</v>
      </c>
      <c r="T397" s="4" t="str">
        <f>IFERROR(__xludf.DUMMYFUNCTION("GOOGLETRANSLATE(B397,""en"",""pa"")"),"ਸਮਾਪਤੀ ਸਥਾਨ ਦਾਖਲ ਕਰੋ")</f>
        <v>ਸਮਾਪਤੀ ਸਥਾਨ ਦਾਖਲ ਕਰੋ</v>
      </c>
      <c r="U397" s="4" t="str">
        <f>IFERROR(__xludf.DUMMYFUNCTION("GOOGLETRANSLATE(B397,""en"",""te"")"),"ముగింపు స్థలాన్ని నమోదు చేయండి")</f>
        <v>ముగింపు స్థలాన్ని నమోదు చేయండి</v>
      </c>
      <c r="V397" s="4" t="str">
        <f>IFERROR(__xludf.DUMMYFUNCTION("GOOGLETRANSLATE(B397,""en"",""kn"")"),"ಅಂತಿಮ ಸ್ಥಳವನ್ನು ನಮೂದಿಸಿ")</f>
        <v>ಅಂತಿಮ ಸ್ಥಳವನ್ನು ನಮೂದಿಸಿ</v>
      </c>
      <c r="W397" s="4" t="str">
        <f>IFERROR(__xludf.DUMMYFUNCTION("GOOGLETRANSLATE(B397,""en"",""ml"")"),"അവസാന സ്ഥലം നൽകുക")</f>
        <v>അവസാന സ്ഥലം നൽകുക</v>
      </c>
      <c r="X397" s="4" t="str">
        <f>IFERROR(__xludf.DUMMYFUNCTION("GOOGLETRANSLATE(B397,""en"",""th"")"),"เข้าสู่ตำแหน่งสิ้นสุด")</f>
        <v>เข้าสู่ตำแหน่งสิ้นสุด</v>
      </c>
      <c r="Y397" s="4" t="str">
        <f>IFERROR(__xludf.DUMMYFUNCTION("GOOGLETRANSLATE(B397,""en"",""ko"")"),"종료 장소를 입력하세요")</f>
        <v>종료 장소를 입력하세요</v>
      </c>
      <c r="Z397" s="4" t="str">
        <f>IFERROR(__xludf.DUMMYFUNCTION("GOOGLETRANSLATE(B397,""en"",""zh"")"),"输入结束位置")</f>
        <v>输入结束位置</v>
      </c>
      <c r="AA397" s="4" t="str">
        <f>IFERROR(__xludf.DUMMYFUNCTION("GOOGLETRANSLATE(B397,""en"",""zh-TW"")"),"輸入結束位置")</f>
        <v>輸入結束位置</v>
      </c>
      <c r="AB397" s="4" t="str">
        <f>IFERROR(__xludf.DUMMYFUNCTION("GOOGLETRANSLATE(B397,""en"",""ja"")"),"終了場所を入力")</f>
        <v>終了場所を入力</v>
      </c>
      <c r="AC397" s="4" t="str">
        <f>IFERROR(__xludf.DUMMYFUNCTION("GOOGLETRANSLATE(B397,""en"",""bg"")"),"Въведете крайно място")</f>
        <v>Въведете крайно място</v>
      </c>
      <c r="AD397" s="4" t="str">
        <f>IFERROR(__xludf.DUMMYFUNCTION("GOOGLETRANSLATE(B397,""en"",""cs"")"),"Zadejte konečné místo")</f>
        <v>Zadejte konečné místo</v>
      </c>
      <c r="AE397" s="4" t="str">
        <f>IFERROR(__xludf.DUMMYFUNCTION("GOOGLETRANSLATE(B397,""en"",""da"")"),"Indtast slutsted")</f>
        <v>Indtast slutsted</v>
      </c>
      <c r="AF397" s="4" t="str">
        <f>IFERROR(__xludf.DUMMYFUNCTION("GOOGLETRANSLATE(B397,""en"",""el"")"),"Εισαγάγετε τη θέση λήξης")</f>
        <v>Εισαγάγετε τη θέση λήξης</v>
      </c>
      <c r="AG397" s="4" t="str">
        <f>IFERROR(__xludf.DUMMYFUNCTION("GOOGLETRANSLATE(B397,""en"",""et"")"),"Sisestage lõppkoht")</f>
        <v>Sisestage lõppkoht</v>
      </c>
      <c r="AH397" s="4" t="str">
        <f>IFERROR(__xludf.DUMMYFUNCTION("GOOGLETRANSLATE(B397,""en"",""fi"")"),"Syötä loppupaikka")</f>
        <v>Syötä loppupaikka</v>
      </c>
      <c r="AI397" s="4" t="str">
        <f>IFERROR(__xludf.DUMMYFUNCTION("GOOGLETRANSLATE(B397,""en"",""hr"")"),"Unesite krajnje mjesto")</f>
        <v>Unesite krajnje mjesto</v>
      </c>
      <c r="AJ397" s="4" t="str">
        <f>IFERROR(__xludf.DUMMYFUNCTION("GOOGLETRANSLATE(B397,""en"",""hu"")"),"Adja meg a végpontot")</f>
        <v>Adja meg a végpontot</v>
      </c>
      <c r="AK397" s="4" t="str">
        <f>IFERROR(__xludf.DUMMYFUNCTION("GOOGLETRANSLATE(B397,""en"",""hy"")"),"Մուտքագրեք ավարտի տեղը")</f>
        <v>Մուտքագրեք ավարտի տեղը</v>
      </c>
      <c r="AL397" s="4" t="str">
        <f>IFERROR(__xludf.DUMMYFUNCTION("GOOGLETRANSLATE(B397,""en"",""ca"")"),"Introduïu el lloc final")</f>
        <v>Introduïu el lloc final</v>
      </c>
      <c r="AM397" s="4" t="str">
        <f>IFERROR(__xludf.DUMMYFUNCTION("GOOGLETRANSLATE(B397,""en"",""nl"")"),"Voer eindplaats in")</f>
        <v>Voer eindplaats in</v>
      </c>
      <c r="AN397" s="4" t="str">
        <f>IFERROR(__xludf.DUMMYFUNCTION("GOOGLETRANSLATE(B397,""en"",""he"")"),"הזן מקום סיום")</f>
        <v>הזן מקום סיום</v>
      </c>
      <c r="AO397" s="4" t="str">
        <f>IFERROR(__xludf.DUMMYFUNCTION("GOOGLETRANSLATE(B397,""en"",""is"")"),"Sláðu inn lokastað")</f>
        <v>Sláðu inn lokastað</v>
      </c>
      <c r="AP397" s="4" t="str">
        <f>IFERROR(__xludf.DUMMYFUNCTION("GOOGLETRANSLATE(B397,""en"",""no"")"),"Angi sluttsted")</f>
        <v>Angi sluttsted</v>
      </c>
      <c r="AQ397" s="4" t="str">
        <f>IFERROR(__xludf.DUMMYFUNCTION("GOOGLETRANSLATE(B397,""en"",""fa"")"),"محل پایان را وارد کنید")</f>
        <v>محل پایان را وارد کنید</v>
      </c>
      <c r="AR397" s="4" t="str">
        <f>IFERROR(__xludf.DUMMYFUNCTION("GOOGLETRANSLATE(B397,""en"",""pl"")"),"Wprowadź miejsce końcowe")</f>
        <v>Wprowadź miejsce końcowe</v>
      </c>
      <c r="AS397" s="4" t="str">
        <f>IFERROR(__xludf.DUMMYFUNCTION("GOOGLETRANSLATE(B397,""en"",""sv"")"),"Ange slutplats")</f>
        <v>Ange slutplats</v>
      </c>
      <c r="AT397" s="4" t="str">
        <f>IFERROR(__xludf.DUMMYFUNCTION("GOOGLETRANSLATE(B397,""en"",""uk"")"),"Введіть кінцеве місце")</f>
        <v>Введіть кінцеве місце</v>
      </c>
      <c r="AU397" s="4" t="str">
        <f>IFERROR(__xludf.DUMMYFUNCTION("GOOGLETRANSLATE(B397,""en"",""zu"")"),"Faka indawo yokugcina")</f>
        <v>Faka indawo yokugcina</v>
      </c>
      <c r="AV397" s="4" t="str">
        <f>IFERROR(__xludf.DUMMYFUNCTION("GOOGLETRANSLATE(B397,""en"",""sr"")"),"Унесите крајње место")</f>
        <v>Унесите крајње место</v>
      </c>
    </row>
    <row r="398">
      <c r="A398" s="3" t="s">
        <v>780</v>
      </c>
      <c r="B398" s="3" t="s">
        <v>357</v>
      </c>
      <c r="C398" s="4" t="str">
        <f>IFERROR(__xludf.DUMMYFUNCTION("GOOGLETRANSLATE(B398,""en"",""ta"")"),"ரத்து செய்")</f>
        <v>ரத்து செய்</v>
      </c>
      <c r="D398" s="4" t="str">
        <f>IFERROR(__xludf.DUMMYFUNCTION("GOOGLETRANSLATE(B398,""en"",""hi"")"),"रद्द करना")</f>
        <v>रद्द करना</v>
      </c>
      <c r="E398" s="4" t="str">
        <f>IFERROR(__xludf.DUMMYFUNCTION("GOOGLETRANSLATE(B398,""en"",""id"")"),"Membatalkan")</f>
        <v>Membatalkan</v>
      </c>
      <c r="F398" s="4" t="str">
        <f>IFERROR(__xludf.DUMMYFUNCTION("GOOGLETRANSLATE(B398,""en"",""ms"")"),"Batal")</f>
        <v>Batal</v>
      </c>
      <c r="G398" s="4" t="str">
        <f>IFERROR(__xludf.DUMMYFUNCTION("GOOGLETRANSLATE(B398,""en"",""de"")"),"Stornieren")</f>
        <v>Stornieren</v>
      </c>
      <c r="H398" s="4" t="str">
        <f>IFERROR(__xludf.DUMMYFUNCTION("GOOGLETRANSLATE(B398,""en"",""es"")"),"Cancelar")</f>
        <v>Cancelar</v>
      </c>
      <c r="I398" s="4" t="str">
        <f>IFERROR(__xludf.DUMMYFUNCTION("GOOGLETRANSLATE(B398,""en"",""fr"")"),"Annuler")</f>
        <v>Annuler</v>
      </c>
      <c r="J398" s="4" t="str">
        <f>IFERROR(__xludf.DUMMYFUNCTION("GOOGLETRANSLATE(B398,""en"",""it"")"),"Cancellare")</f>
        <v>Cancellare</v>
      </c>
      <c r="K398" s="4" t="str">
        <f>IFERROR(__xludf.DUMMYFUNCTION("GOOGLETRANSLATE(B398,""en"",""pt"")"),"Cancelar")</f>
        <v>Cancelar</v>
      </c>
      <c r="L398" s="4" t="str">
        <f>IFERROR(__xludf.DUMMYFUNCTION("GOOGLETRANSLATE(B398,""en"",""ro"")"),"Anula")</f>
        <v>Anula</v>
      </c>
      <c r="M398" s="4" t="str">
        <f>IFERROR(__xludf.DUMMYFUNCTION("GOOGLETRANSLATE(B398,""en"",""vi"")"),"Hủy bỏ")</f>
        <v>Hủy bỏ</v>
      </c>
      <c r="N398" s="4" t="str">
        <f>IFERROR(__xludf.DUMMYFUNCTION("GOOGLETRANSLATE(B398,""en"",""ru"")"),"Отмена")</f>
        <v>Отмена</v>
      </c>
      <c r="O398" s="4" t="str">
        <f>IFERROR(__xludf.DUMMYFUNCTION("GOOGLETRANSLATE(B398,""en"",""tr"")"),"İptal etmek")</f>
        <v>İptal etmek</v>
      </c>
      <c r="P398" s="4" t="str">
        <f>IFERROR(__xludf.DUMMYFUNCTION("GOOGLETRANSLATE(B398,""en"",""ar"")"),"يلغي")</f>
        <v>يلغي</v>
      </c>
      <c r="Q398" s="4" t="str">
        <f>IFERROR(__xludf.DUMMYFUNCTION("GOOGLETRANSLATE(B398,""en"",""mr"")"),"रद्द करा")</f>
        <v>रद्द करा</v>
      </c>
      <c r="R398" s="4" t="str">
        <f>IFERROR(__xludf.DUMMYFUNCTION("GOOGLETRANSLATE(B398,""en"",""gu"")"),"રદ કરો")</f>
        <v>રદ કરો</v>
      </c>
      <c r="S398" s="4" t="str">
        <f>IFERROR(__xludf.DUMMYFUNCTION("GOOGLETRANSLATE(B398,""en"",""bn"")"),"বাতিল করুন")</f>
        <v>বাতিল করুন</v>
      </c>
      <c r="T398" s="4" t="str">
        <f>IFERROR(__xludf.DUMMYFUNCTION("GOOGLETRANSLATE(B398,""en"",""pa"")"),"ਰੱਦ ਕਰੋ")</f>
        <v>ਰੱਦ ਕਰੋ</v>
      </c>
      <c r="U398" s="4" t="str">
        <f>IFERROR(__xludf.DUMMYFUNCTION("GOOGLETRANSLATE(B398,""en"",""te"")"),"రద్దు చేయి")</f>
        <v>రద్దు చేయి</v>
      </c>
      <c r="V398" s="4" t="str">
        <f>IFERROR(__xludf.DUMMYFUNCTION("GOOGLETRANSLATE(B398,""en"",""kn"")"),"ರದ್ದುಮಾಡು")</f>
        <v>ರದ್ದುಮಾಡು</v>
      </c>
      <c r="W398" s="4" t="str">
        <f>IFERROR(__xludf.DUMMYFUNCTION("GOOGLETRANSLATE(B398,""en"",""ml"")"),"റദ്ദാക്കുക")</f>
        <v>റദ്ദാക്കുക</v>
      </c>
      <c r="X398" s="4" t="str">
        <f>IFERROR(__xludf.DUMMYFUNCTION("GOOGLETRANSLATE(B398,""en"",""th"")"),"ยกเลิก")</f>
        <v>ยกเลิก</v>
      </c>
      <c r="Y398" s="4" t="str">
        <f>IFERROR(__xludf.DUMMYFUNCTION("GOOGLETRANSLATE(B398,""en"",""ko"")"),"취소")</f>
        <v>취소</v>
      </c>
      <c r="Z398" s="4" t="str">
        <f>IFERROR(__xludf.DUMMYFUNCTION("GOOGLETRANSLATE(B398,""en"",""zh"")"),"取消")</f>
        <v>取消</v>
      </c>
      <c r="AA398" s="4" t="str">
        <f>IFERROR(__xludf.DUMMYFUNCTION("GOOGLETRANSLATE(B398,""en"",""zh-TW"")"),"取消")</f>
        <v>取消</v>
      </c>
      <c r="AB398" s="4" t="str">
        <f>IFERROR(__xludf.DUMMYFUNCTION("GOOGLETRANSLATE(B398,""en"",""ja"")"),"キャンセル")</f>
        <v>キャンセル</v>
      </c>
      <c r="AC398" s="4" t="str">
        <f>IFERROR(__xludf.DUMMYFUNCTION("GOOGLETRANSLATE(B398,""en"",""bg"")"),"Отказ")</f>
        <v>Отказ</v>
      </c>
      <c r="AD398" s="4" t="str">
        <f>IFERROR(__xludf.DUMMYFUNCTION("GOOGLETRANSLATE(B398,""en"",""cs"")"),"Zrušit")</f>
        <v>Zrušit</v>
      </c>
      <c r="AE398" s="4" t="str">
        <f>IFERROR(__xludf.DUMMYFUNCTION("GOOGLETRANSLATE(B398,""en"",""da"")"),"Ophæve")</f>
        <v>Ophæve</v>
      </c>
      <c r="AF398" s="4" t="str">
        <f>IFERROR(__xludf.DUMMYFUNCTION("GOOGLETRANSLATE(B398,""en"",""el"")"),"Ματαίωση")</f>
        <v>Ματαίωση</v>
      </c>
      <c r="AG398" s="4" t="str">
        <f>IFERROR(__xludf.DUMMYFUNCTION("GOOGLETRANSLATE(B398,""en"",""et"")"),"Tühista")</f>
        <v>Tühista</v>
      </c>
      <c r="AH398" s="4" t="str">
        <f>IFERROR(__xludf.DUMMYFUNCTION("GOOGLETRANSLATE(B398,""en"",""fi"")"),"Peruuttaa")</f>
        <v>Peruuttaa</v>
      </c>
      <c r="AI398" s="4" t="str">
        <f>IFERROR(__xludf.DUMMYFUNCTION("GOOGLETRANSLATE(B398,""en"",""hr"")"),"Otkazati")</f>
        <v>Otkazati</v>
      </c>
      <c r="AJ398" s="4" t="str">
        <f>IFERROR(__xludf.DUMMYFUNCTION("GOOGLETRANSLATE(B398,""en"",""hu"")"),"Mégsem")</f>
        <v>Mégsem</v>
      </c>
      <c r="AK398" s="4" t="str">
        <f>IFERROR(__xludf.DUMMYFUNCTION("GOOGLETRANSLATE(B398,""en"",""hy"")"),"Չեղարկել")</f>
        <v>Չեղարկել</v>
      </c>
      <c r="AL398" s="4" t="str">
        <f>IFERROR(__xludf.DUMMYFUNCTION("GOOGLETRANSLATE(B398,""en"",""ca"")"),"Cancel·la")</f>
        <v>Cancel·la</v>
      </c>
      <c r="AM398" s="4" t="str">
        <f>IFERROR(__xludf.DUMMYFUNCTION("GOOGLETRANSLATE(B398,""en"",""nl"")"),"Annuleren")</f>
        <v>Annuleren</v>
      </c>
      <c r="AN398" s="4" t="str">
        <f>IFERROR(__xludf.DUMMYFUNCTION("GOOGLETRANSLATE(B398,""en"",""he"")"),"לְבַטֵל")</f>
        <v>לְבַטֵל</v>
      </c>
      <c r="AO398" s="4" t="str">
        <f>IFERROR(__xludf.DUMMYFUNCTION("GOOGLETRANSLATE(B398,""en"",""is"")"),"Hætta við")</f>
        <v>Hætta við</v>
      </c>
      <c r="AP398" s="4" t="str">
        <f>IFERROR(__xludf.DUMMYFUNCTION("GOOGLETRANSLATE(B398,""en"",""no"")"),"Kansellere")</f>
        <v>Kansellere</v>
      </c>
      <c r="AQ398" s="4" t="str">
        <f>IFERROR(__xludf.DUMMYFUNCTION("GOOGLETRANSLATE(B398,""en"",""fa"")"),"لغو کنید")</f>
        <v>لغو کنید</v>
      </c>
      <c r="AR398" s="4" t="str">
        <f>IFERROR(__xludf.DUMMYFUNCTION("GOOGLETRANSLATE(B398,""en"",""pl"")"),"Anulować")</f>
        <v>Anulować</v>
      </c>
      <c r="AS398" s="4" t="str">
        <f>IFERROR(__xludf.DUMMYFUNCTION("GOOGLETRANSLATE(B398,""en"",""sv"")"),"Avboka")</f>
        <v>Avboka</v>
      </c>
      <c r="AT398" s="4" t="str">
        <f>IFERROR(__xludf.DUMMYFUNCTION("GOOGLETRANSLATE(B398,""en"",""uk"")"),"Скасувати")</f>
        <v>Скасувати</v>
      </c>
      <c r="AU398" s="4" t="str">
        <f>IFERROR(__xludf.DUMMYFUNCTION("GOOGLETRANSLATE(B398,""en"",""zu"")"),"Khansela")</f>
        <v>Khansela</v>
      </c>
      <c r="AV398" s="4" t="str">
        <f>IFERROR(__xludf.DUMMYFUNCTION("GOOGLETRANSLATE(B398,""en"",""sr"")"),"Откажи")</f>
        <v>Откажи</v>
      </c>
    </row>
    <row r="399">
      <c r="A399" s="3" t="s">
        <v>781</v>
      </c>
      <c r="B399" s="3" t="s">
        <v>79</v>
      </c>
      <c r="C399" s="4" t="str">
        <f>IFERROR(__xludf.DUMMYFUNCTION("GOOGLETRANSLATE(B399,""en"",""ta"")"),"சேமிக்கவும்")</f>
        <v>சேமிக்கவும்</v>
      </c>
      <c r="D399" s="4" t="str">
        <f>IFERROR(__xludf.DUMMYFUNCTION("GOOGLETRANSLATE(B399,""en"",""hi"")"),"बचाना")</f>
        <v>बचाना</v>
      </c>
      <c r="E399" s="4" t="str">
        <f>IFERROR(__xludf.DUMMYFUNCTION("GOOGLETRANSLATE(B399,""en"",""id"")"),"Menyimpan")</f>
        <v>Menyimpan</v>
      </c>
      <c r="F399" s="4" t="str">
        <f>IFERROR(__xludf.DUMMYFUNCTION("GOOGLETRANSLATE(B399,""en"",""ms"")"),"Jimat")</f>
        <v>Jimat</v>
      </c>
      <c r="G399" s="4" t="str">
        <f>IFERROR(__xludf.DUMMYFUNCTION("GOOGLETRANSLATE(B399,""en"",""de"")"),"Speichern")</f>
        <v>Speichern</v>
      </c>
      <c r="H399" s="4" t="str">
        <f>IFERROR(__xludf.DUMMYFUNCTION("GOOGLETRANSLATE(B399,""en"",""es"")"),"Ahorrar")</f>
        <v>Ahorrar</v>
      </c>
      <c r="I399" s="4" t="str">
        <f>IFERROR(__xludf.DUMMYFUNCTION("GOOGLETRANSLATE(B399,""en"",""fr"")"),"Sauvegarder")</f>
        <v>Sauvegarder</v>
      </c>
      <c r="J399" s="4" t="str">
        <f>IFERROR(__xludf.DUMMYFUNCTION("GOOGLETRANSLATE(B399,""en"",""it"")"),"Salva")</f>
        <v>Salva</v>
      </c>
      <c r="K399" s="4" t="str">
        <f>IFERROR(__xludf.DUMMYFUNCTION("GOOGLETRANSLATE(B399,""en"",""pt"")"),"Salvar")</f>
        <v>Salvar</v>
      </c>
      <c r="L399" s="4" t="str">
        <f>IFERROR(__xludf.DUMMYFUNCTION("GOOGLETRANSLATE(B399,""en"",""ro"")"),"Salva")</f>
        <v>Salva</v>
      </c>
      <c r="M399" s="4" t="str">
        <f>IFERROR(__xludf.DUMMYFUNCTION("GOOGLETRANSLATE(B399,""en"",""vi"")"),"Cứu")</f>
        <v>Cứu</v>
      </c>
      <c r="N399" s="4" t="str">
        <f>IFERROR(__xludf.DUMMYFUNCTION("GOOGLETRANSLATE(B399,""en"",""ru"")"),"Сохранять")</f>
        <v>Сохранять</v>
      </c>
      <c r="O399" s="4" t="str">
        <f>IFERROR(__xludf.DUMMYFUNCTION("GOOGLETRANSLATE(B399,""en"",""tr"")"),"Kaydetmek")</f>
        <v>Kaydetmek</v>
      </c>
      <c r="P399" s="4" t="str">
        <f>IFERROR(__xludf.DUMMYFUNCTION("GOOGLETRANSLATE(B399,""en"",""ar"")"),"يحفظ")</f>
        <v>يحفظ</v>
      </c>
      <c r="Q399" s="4" t="str">
        <f>IFERROR(__xludf.DUMMYFUNCTION("GOOGLETRANSLATE(B399,""en"",""mr"")"),"जतन करा")</f>
        <v>जतन करा</v>
      </c>
      <c r="R399" s="4" t="str">
        <f>IFERROR(__xludf.DUMMYFUNCTION("GOOGLETRANSLATE(B399,""en"",""gu"")"),"સાચવો")</f>
        <v>સાચવો</v>
      </c>
      <c r="S399" s="4" t="str">
        <f>IFERROR(__xludf.DUMMYFUNCTION("GOOGLETRANSLATE(B399,""en"",""bn"")"),"সংরক্ষণ করুন")</f>
        <v>সংরক্ষণ করুন</v>
      </c>
      <c r="T399" s="4" t="str">
        <f>IFERROR(__xludf.DUMMYFUNCTION("GOOGLETRANSLATE(B399,""en"",""pa"")"),"ਸੇਵ ਕਰੋ")</f>
        <v>ਸੇਵ ਕਰੋ</v>
      </c>
      <c r="U399" s="4" t="str">
        <f>IFERROR(__xludf.DUMMYFUNCTION("GOOGLETRANSLATE(B399,""en"",""te"")"),"సేవ్ చేయండి")</f>
        <v>సేవ్ చేయండి</v>
      </c>
      <c r="V399" s="4" t="str">
        <f>IFERROR(__xludf.DUMMYFUNCTION("GOOGLETRANSLATE(B399,""en"",""kn"")"),"ಉಳಿಸಿ")</f>
        <v>ಉಳಿಸಿ</v>
      </c>
      <c r="W399" s="4" t="str">
        <f>IFERROR(__xludf.DUMMYFUNCTION("GOOGLETRANSLATE(B399,""en"",""ml"")"),"സംരക്ഷിക്കുക")</f>
        <v>സംരക്ഷിക്കുക</v>
      </c>
      <c r="X399" s="4" t="str">
        <f>IFERROR(__xludf.DUMMYFUNCTION("GOOGLETRANSLATE(B399,""en"",""th"")"),"บันทึก")</f>
        <v>บันทึก</v>
      </c>
      <c r="Y399" s="4" t="str">
        <f>IFERROR(__xludf.DUMMYFUNCTION("GOOGLETRANSLATE(B399,""en"",""ko"")"),"구하다")</f>
        <v>구하다</v>
      </c>
      <c r="Z399" s="4" t="str">
        <f>IFERROR(__xludf.DUMMYFUNCTION("GOOGLETRANSLATE(B399,""en"",""zh"")"),"节省")</f>
        <v>节省</v>
      </c>
      <c r="AA399" s="4" t="str">
        <f>IFERROR(__xludf.DUMMYFUNCTION("GOOGLETRANSLATE(B399,""en"",""zh-TW"")"),"節省")</f>
        <v>節省</v>
      </c>
      <c r="AB399" s="4" t="str">
        <f>IFERROR(__xludf.DUMMYFUNCTION("GOOGLETRANSLATE(B399,""en"",""ja"")"),"保存")</f>
        <v>保存</v>
      </c>
      <c r="AC399" s="4" t="str">
        <f>IFERROR(__xludf.DUMMYFUNCTION("GOOGLETRANSLATE(B399,""en"",""bg"")"),"Запазване")</f>
        <v>Запазване</v>
      </c>
      <c r="AD399" s="4" t="str">
        <f>IFERROR(__xludf.DUMMYFUNCTION("GOOGLETRANSLATE(B399,""en"",""cs"")"),"Uložit")</f>
        <v>Uložit</v>
      </c>
      <c r="AE399" s="4" t="str">
        <f>IFERROR(__xludf.DUMMYFUNCTION("GOOGLETRANSLATE(B399,""en"",""da"")"),"Spare")</f>
        <v>Spare</v>
      </c>
      <c r="AF399" s="4" t="str">
        <f>IFERROR(__xludf.DUMMYFUNCTION("GOOGLETRANSLATE(B399,""en"",""el"")"),"Εκτός")</f>
        <v>Εκτός</v>
      </c>
      <c r="AG399" s="4" t="str">
        <f>IFERROR(__xludf.DUMMYFUNCTION("GOOGLETRANSLATE(B399,""en"",""et"")"),"Salvesta")</f>
        <v>Salvesta</v>
      </c>
      <c r="AH399" s="4" t="str">
        <f>IFERROR(__xludf.DUMMYFUNCTION("GOOGLETRANSLATE(B399,""en"",""fi"")"),"Tallentaa")</f>
        <v>Tallentaa</v>
      </c>
      <c r="AI399" s="4" t="str">
        <f>IFERROR(__xludf.DUMMYFUNCTION("GOOGLETRANSLATE(B399,""en"",""hr"")"),"Uštedjeti")</f>
        <v>Uštedjeti</v>
      </c>
      <c r="AJ399" s="4" t="str">
        <f>IFERROR(__xludf.DUMMYFUNCTION("GOOGLETRANSLATE(B399,""en"",""hu"")"),"Megtakarítás")</f>
        <v>Megtakarítás</v>
      </c>
      <c r="AK399" s="4" t="str">
        <f>IFERROR(__xludf.DUMMYFUNCTION("GOOGLETRANSLATE(B399,""en"",""hy"")"),"Պահպանել")</f>
        <v>Պահպանել</v>
      </c>
      <c r="AL399" s="4" t="str">
        <f>IFERROR(__xludf.DUMMYFUNCTION("GOOGLETRANSLATE(B399,""en"",""ca"")"),"Desa")</f>
        <v>Desa</v>
      </c>
      <c r="AM399" s="4" t="str">
        <f>IFERROR(__xludf.DUMMYFUNCTION("GOOGLETRANSLATE(B399,""en"",""nl"")"),"Redden")</f>
        <v>Redden</v>
      </c>
      <c r="AN399" s="4" t="str">
        <f>IFERROR(__xludf.DUMMYFUNCTION("GOOGLETRANSLATE(B399,""en"",""he"")"),"לְהַצִיל")</f>
        <v>לְהַצִיל</v>
      </c>
      <c r="AO399" s="4" t="str">
        <f>IFERROR(__xludf.DUMMYFUNCTION("GOOGLETRANSLATE(B399,""en"",""is"")"),"Vista")</f>
        <v>Vista</v>
      </c>
      <c r="AP399" s="4" t="str">
        <f>IFERROR(__xludf.DUMMYFUNCTION("GOOGLETRANSLATE(B399,""en"",""no"")"),"Spare")</f>
        <v>Spare</v>
      </c>
      <c r="AQ399" s="4" t="str">
        <f>IFERROR(__xludf.DUMMYFUNCTION("GOOGLETRANSLATE(B399,""en"",""fa"")"),"ذخیره کنید")</f>
        <v>ذخیره کنید</v>
      </c>
      <c r="AR399" s="4" t="str">
        <f>IFERROR(__xludf.DUMMYFUNCTION("GOOGLETRANSLATE(B399,""en"",""pl"")"),"Ratować")</f>
        <v>Ratować</v>
      </c>
      <c r="AS399" s="4" t="str">
        <f>IFERROR(__xludf.DUMMYFUNCTION("GOOGLETRANSLATE(B399,""en"",""sv"")"),"Spara")</f>
        <v>Spara</v>
      </c>
      <c r="AT399" s="4" t="str">
        <f>IFERROR(__xludf.DUMMYFUNCTION("GOOGLETRANSLATE(B399,""en"",""uk"")"),"зберегти")</f>
        <v>зберегти</v>
      </c>
      <c r="AU399" s="4" t="str">
        <f>IFERROR(__xludf.DUMMYFUNCTION("GOOGLETRANSLATE(B399,""en"",""zu"")"),"Londoloza")</f>
        <v>Londoloza</v>
      </c>
      <c r="AV399" s="4" t="str">
        <f>IFERROR(__xludf.DUMMYFUNCTION("GOOGLETRANSLATE(B399,""en"",""sr"")"),"Сачувај")</f>
        <v>Сачувај</v>
      </c>
    </row>
    <row r="400">
      <c r="A400" s="3" t="s">
        <v>782</v>
      </c>
      <c r="B400" s="3" t="s">
        <v>783</v>
      </c>
      <c r="C400" s="4" t="str">
        <f>IFERROR(__xludf.DUMMYFUNCTION("GOOGLETRANSLATE(B400,""en"",""ta"")"),"பயணம் சேமிக்கப்பட்டது")</f>
        <v>பயணம் சேமிக்கப்பட்டது</v>
      </c>
      <c r="D400" s="4" t="str">
        <f>IFERROR(__xludf.DUMMYFUNCTION("GOOGLETRANSLATE(B400,""en"",""hi"")"),"यात्रा सहेजी गई")</f>
        <v>यात्रा सहेजी गई</v>
      </c>
      <c r="E400" s="4" t="str">
        <f>IFERROR(__xludf.DUMMYFUNCTION("GOOGLETRANSLATE(B400,""en"",""id"")"),"Perjalanan Tersimpan")</f>
        <v>Perjalanan Tersimpan</v>
      </c>
      <c r="F400" s="4" t="str">
        <f>IFERROR(__xludf.DUMMYFUNCTION("GOOGLETRANSLATE(B400,""en"",""ms"")"),"Perjalanan Disimpan")</f>
        <v>Perjalanan Disimpan</v>
      </c>
      <c r="G400" s="4" t="str">
        <f>IFERROR(__xludf.DUMMYFUNCTION("GOOGLETRANSLATE(B400,""en"",""de"")"),"Reise gespeichert")</f>
        <v>Reise gespeichert</v>
      </c>
      <c r="H400" s="4" t="str">
        <f>IFERROR(__xludf.DUMMYFUNCTION("GOOGLETRANSLATE(B400,""en"",""es"")"),"Viaje guardado")</f>
        <v>Viaje guardado</v>
      </c>
      <c r="I400" s="4" t="str">
        <f>IFERROR(__xludf.DUMMYFUNCTION("GOOGLETRANSLATE(B400,""en"",""fr"")"),"Voyage enregistré")</f>
        <v>Voyage enregistré</v>
      </c>
      <c r="J400" s="4" t="str">
        <f>IFERROR(__xludf.DUMMYFUNCTION("GOOGLETRANSLATE(B400,""en"",""it"")"),"Viaggio salvato")</f>
        <v>Viaggio salvato</v>
      </c>
      <c r="K400" s="4" t="str">
        <f>IFERROR(__xludf.DUMMYFUNCTION("GOOGLETRANSLATE(B400,""en"",""pt"")"),"Viagem salva")</f>
        <v>Viagem salva</v>
      </c>
      <c r="L400" s="4" t="str">
        <f>IFERROR(__xludf.DUMMYFUNCTION("GOOGLETRANSLATE(B400,""en"",""ro"")"),"Călătoria salvată")</f>
        <v>Călătoria salvată</v>
      </c>
      <c r="M400" s="4" t="str">
        <f>IFERROR(__xludf.DUMMYFUNCTION("GOOGLETRANSLATE(B400,""en"",""vi"")"),"Chuyến đi đã lưu")</f>
        <v>Chuyến đi đã lưu</v>
      </c>
      <c r="N400" s="4" t="str">
        <f>IFERROR(__xludf.DUMMYFUNCTION("GOOGLETRANSLATE(B400,""en"",""ru"")"),"Поездка сохранена")</f>
        <v>Поездка сохранена</v>
      </c>
      <c r="O400" s="4" t="str">
        <f>IFERROR(__xludf.DUMMYFUNCTION("GOOGLETRANSLATE(B400,""en"",""tr"")"),"Gezi Kaydedildi")</f>
        <v>Gezi Kaydedildi</v>
      </c>
      <c r="P400" s="4" t="str">
        <f>IFERROR(__xludf.DUMMYFUNCTION("GOOGLETRANSLATE(B400,""en"",""ar"")"),"رحلة تم حفظها")</f>
        <v>رحلة تم حفظها</v>
      </c>
      <c r="Q400" s="4" t="str">
        <f>IFERROR(__xludf.DUMMYFUNCTION("GOOGLETRANSLATE(B400,""en"",""mr"")"),"ट्रिप सेव्ह केली")</f>
        <v>ट्रिप सेव्ह केली</v>
      </c>
      <c r="R400" s="4" t="str">
        <f>IFERROR(__xludf.DUMMYFUNCTION("GOOGLETRANSLATE(B400,""en"",""gu"")"),"સફર સાચવી")</f>
        <v>સફર સાચવી</v>
      </c>
      <c r="S400" s="4" t="str">
        <f>IFERROR(__xludf.DUMMYFUNCTION("GOOGLETRANSLATE(B400,""en"",""bn"")"),"ট্রিপ সংরক্ষিত")</f>
        <v>ট্রিপ সংরক্ষিত</v>
      </c>
      <c r="T400" s="4" t="str">
        <f>IFERROR(__xludf.DUMMYFUNCTION("GOOGLETRANSLATE(B400,""en"",""pa"")"),"ਯਾਤਰਾ ਸੁਰੱਖਿਅਤ ਕੀਤੀ ਗਈ")</f>
        <v>ਯਾਤਰਾ ਸੁਰੱਖਿਅਤ ਕੀਤੀ ਗਈ</v>
      </c>
      <c r="U400" s="4" t="str">
        <f>IFERROR(__xludf.DUMMYFUNCTION("GOOGLETRANSLATE(B400,""en"",""te"")"),"ట్రిప్ సేవ్ చేయబడింది")</f>
        <v>ట్రిప్ సేవ్ చేయబడింది</v>
      </c>
      <c r="V400" s="4" t="str">
        <f>IFERROR(__xludf.DUMMYFUNCTION("GOOGLETRANSLATE(B400,""en"",""kn"")"),"ಪ್ರಯಾಣ ಉಳಿಸಲಾಗಿದೆ")</f>
        <v>ಪ್ರಯಾಣ ಉಳಿಸಲಾಗಿದೆ</v>
      </c>
      <c r="W400" s="4" t="str">
        <f>IFERROR(__xludf.DUMMYFUNCTION("GOOGLETRANSLATE(B400,""en"",""ml"")"),"യാത്ര സംരക്ഷിച്ചു")</f>
        <v>യാത്ര സംരക്ഷിച്ചു</v>
      </c>
      <c r="X400" s="4" t="str">
        <f>IFERROR(__xludf.DUMMYFUNCTION("GOOGLETRANSLATE(B400,""en"",""th"")"),"บันทึกการเดินทางแล้ว")</f>
        <v>บันทึกการเดินทางแล้ว</v>
      </c>
      <c r="Y400" s="4" t="str">
        <f>IFERROR(__xludf.DUMMYFUNCTION("GOOGLETRANSLATE(B400,""en"",""ko"")"),"여행 저장됨")</f>
        <v>여행 저장됨</v>
      </c>
      <c r="Z400" s="4" t="str">
        <f>IFERROR(__xludf.DUMMYFUNCTION("GOOGLETRANSLATE(B400,""en"",""zh"")"),"行程已保存")</f>
        <v>行程已保存</v>
      </c>
      <c r="AA400" s="4" t="str">
        <f>IFERROR(__xludf.DUMMYFUNCTION("GOOGLETRANSLATE(B400,""en"",""zh-TW"")"),"行程已儲存")</f>
        <v>行程已儲存</v>
      </c>
      <c r="AB400" s="4" t="str">
        <f>IFERROR(__xludf.DUMMYFUNCTION("GOOGLETRANSLATE(B400,""en"",""ja"")"),"旅行が保存されました")</f>
        <v>旅行が保存されました</v>
      </c>
      <c r="AC400" s="4" t="str">
        <f>IFERROR(__xludf.DUMMYFUNCTION("GOOGLETRANSLATE(B400,""en"",""bg"")"),"Пътуването е запазено")</f>
        <v>Пътуването е запазено</v>
      </c>
      <c r="AD400" s="4" t="str">
        <f>IFERROR(__xludf.DUMMYFUNCTION("GOOGLETRANSLATE(B400,""en"",""cs"")"),"Cesta uložena")</f>
        <v>Cesta uložena</v>
      </c>
      <c r="AE400" s="4" t="str">
        <f>IFERROR(__xludf.DUMMYFUNCTION("GOOGLETRANSLATE(B400,""en"",""da"")"),"Turen er gemt")</f>
        <v>Turen er gemt</v>
      </c>
      <c r="AF400" s="4" t="str">
        <f>IFERROR(__xludf.DUMMYFUNCTION("GOOGLETRANSLATE(B400,""en"",""el"")"),"Το ταξίδι αποθηκεύτηκε")</f>
        <v>Το ταξίδι αποθηκεύτηκε</v>
      </c>
      <c r="AG400" s="4" t="str">
        <f>IFERROR(__xludf.DUMMYFUNCTION("GOOGLETRANSLATE(B400,""en"",""et"")"),"Reis salvestatud")</f>
        <v>Reis salvestatud</v>
      </c>
      <c r="AH400" s="4" t="str">
        <f>IFERROR(__xludf.DUMMYFUNCTION("GOOGLETRANSLATE(B400,""en"",""fi"")"),"Matka tallennettu")</f>
        <v>Matka tallennettu</v>
      </c>
      <c r="AI400" s="4" t="str">
        <f>IFERROR(__xludf.DUMMYFUNCTION("GOOGLETRANSLATE(B400,""en"",""hr"")"),"Putovanje spremljeno")</f>
        <v>Putovanje spremljeno</v>
      </c>
      <c r="AJ400" s="4" t="str">
        <f>IFERROR(__xludf.DUMMYFUNCTION("GOOGLETRANSLATE(B400,""en"",""hu"")"),"Utazás mentve")</f>
        <v>Utazás mentve</v>
      </c>
      <c r="AK400" s="4" t="str">
        <f>IFERROR(__xludf.DUMMYFUNCTION("GOOGLETRANSLATE(B400,""en"",""hy"")"),"Ուղևորությունը պահված է")</f>
        <v>Ուղևորությունը պահված է</v>
      </c>
      <c r="AL400" s="4" t="str">
        <f>IFERROR(__xludf.DUMMYFUNCTION("GOOGLETRANSLATE(B400,""en"",""ca"")"),"Viatge guardat")</f>
        <v>Viatge guardat</v>
      </c>
      <c r="AM400" s="4" t="str">
        <f>IFERROR(__xludf.DUMMYFUNCTION("GOOGLETRANSLATE(B400,""en"",""nl"")"),"Reis opgeslagen")</f>
        <v>Reis opgeslagen</v>
      </c>
      <c r="AN400" s="4" t="str">
        <f>IFERROR(__xludf.DUMMYFUNCTION("GOOGLETRANSLATE(B400,""en"",""he"")"),"הטיול נשמר")</f>
        <v>הטיול נשמר</v>
      </c>
      <c r="AO400" s="4" t="str">
        <f>IFERROR(__xludf.DUMMYFUNCTION("GOOGLETRANSLATE(B400,""en"",""is"")"),"Ferð vistuð")</f>
        <v>Ferð vistuð</v>
      </c>
      <c r="AP400" s="4" t="str">
        <f>IFERROR(__xludf.DUMMYFUNCTION("GOOGLETRANSLATE(B400,""en"",""no"")"),"Tur lagret")</f>
        <v>Tur lagret</v>
      </c>
      <c r="AQ400" s="4" t="str">
        <f>IFERROR(__xludf.DUMMYFUNCTION("GOOGLETRANSLATE(B400,""en"",""fa"")"),"سفر ذخیره شد")</f>
        <v>سفر ذخیره شد</v>
      </c>
      <c r="AR400" s="4" t="str">
        <f>IFERROR(__xludf.DUMMYFUNCTION("GOOGLETRANSLATE(B400,""en"",""pl"")"),"Podróż zapisana")</f>
        <v>Podróż zapisana</v>
      </c>
      <c r="AS400" s="4" t="str">
        <f>IFERROR(__xludf.DUMMYFUNCTION("GOOGLETRANSLATE(B400,""en"",""sv"")"),"Resan sparad")</f>
        <v>Resan sparad</v>
      </c>
      <c r="AT400" s="4" t="str">
        <f>IFERROR(__xludf.DUMMYFUNCTION("GOOGLETRANSLATE(B400,""en"",""uk"")"),"Подорож збережено")</f>
        <v>Подорож збережено</v>
      </c>
      <c r="AU400" s="4" t="str">
        <f>IFERROR(__xludf.DUMMYFUNCTION("GOOGLETRANSLATE(B400,""en"",""zu"")"),"Uhambo Lulondoloziwe")</f>
        <v>Uhambo Lulondoloziwe</v>
      </c>
      <c r="AV400" s="4" t="str">
        <f>IFERROR(__xludf.DUMMYFUNCTION("GOOGLETRANSLATE(B400,""en"",""sr"")"),"Путовање је сачувано")</f>
        <v>Путовање је сачувано</v>
      </c>
    </row>
    <row r="401">
      <c r="A401" s="3" t="s">
        <v>784</v>
      </c>
      <c r="B401" s="3" t="s">
        <v>785</v>
      </c>
      <c r="C401" s="4" t="str">
        <f>IFERROR(__xludf.DUMMYFUNCTION("GOOGLETRANSLATE(B401,""en"",""ta"")"),"அனைத்து புலங்களையும் நிரப்பவும்")</f>
        <v>அனைத்து புலங்களையும் நிரப்பவும்</v>
      </c>
      <c r="D401" s="4" t="str">
        <f>IFERROR(__xludf.DUMMYFUNCTION("GOOGLETRANSLATE(B401,""en"",""hi"")"),"कृपया सभी स्थानों को भरें")</f>
        <v>कृपया सभी स्थानों को भरें</v>
      </c>
      <c r="E401" s="4" t="str">
        <f>IFERROR(__xludf.DUMMYFUNCTION("GOOGLETRANSLATE(B401,""en"",""id"")"),"Harap isi semua kolom")</f>
        <v>Harap isi semua kolom</v>
      </c>
      <c r="F401" s="4" t="str">
        <f>IFERROR(__xludf.DUMMYFUNCTION("GOOGLETRANSLATE(B401,""en"",""ms"")"),"Sila isi semua ruangan")</f>
        <v>Sila isi semua ruangan</v>
      </c>
      <c r="G401" s="4" t="str">
        <f>IFERROR(__xludf.DUMMYFUNCTION("GOOGLETRANSLATE(B401,""en"",""de"")"),"Bitte füllen Sie alle Felder aus")</f>
        <v>Bitte füllen Sie alle Felder aus</v>
      </c>
      <c r="H401" s="4" t="str">
        <f>IFERROR(__xludf.DUMMYFUNCTION("GOOGLETRANSLATE(B401,""en"",""es"")"),"Por favor, rellene todos los campos")</f>
        <v>Por favor, rellene todos los campos</v>
      </c>
      <c r="I401" s="4" t="str">
        <f>IFERROR(__xludf.DUMMYFUNCTION("GOOGLETRANSLATE(B401,""en"",""fr"")"),"Veuillez remplir tous les champs")</f>
        <v>Veuillez remplir tous les champs</v>
      </c>
      <c r="J401" s="4" t="str">
        <f>IFERROR(__xludf.DUMMYFUNCTION("GOOGLETRANSLATE(B401,""en"",""it"")"),"Si prega di compilare tutti i campi")</f>
        <v>Si prega di compilare tutti i campi</v>
      </c>
      <c r="K401" s="4" t="str">
        <f>IFERROR(__xludf.DUMMYFUNCTION("GOOGLETRANSLATE(B401,""en"",""pt"")"),"Por favor preencha todos os campos")</f>
        <v>Por favor preencha todos os campos</v>
      </c>
      <c r="L401" s="4" t="str">
        <f>IFERROR(__xludf.DUMMYFUNCTION("GOOGLETRANSLATE(B401,""en"",""ro"")"),"Vă rugăm să completați toate câmpurile")</f>
        <v>Vă rugăm să completați toate câmpurile</v>
      </c>
      <c r="M401" s="4" t="str">
        <f>IFERROR(__xludf.DUMMYFUNCTION("GOOGLETRANSLATE(B401,""en"",""vi"")"),"Vui lòng điền vào tất cả các trường")</f>
        <v>Vui lòng điền vào tất cả các trường</v>
      </c>
      <c r="N401" s="4" t="str">
        <f>IFERROR(__xludf.DUMMYFUNCTION("GOOGLETRANSLATE(B401,""en"",""ru"")"),"Пожалуйста, заполните все поля")</f>
        <v>Пожалуйста, заполните все поля</v>
      </c>
      <c r="O401" s="4" t="str">
        <f>IFERROR(__xludf.DUMMYFUNCTION("GOOGLETRANSLATE(B401,""en"",""tr"")"),"Lütfen tüm alanları doldurun")</f>
        <v>Lütfen tüm alanları doldurun</v>
      </c>
      <c r="P401" s="4" t="str">
        <f>IFERROR(__xludf.DUMMYFUNCTION("GOOGLETRANSLATE(B401,""en"",""ar"")"),"الرجاء ملء جميع الحقول")</f>
        <v>الرجاء ملء جميع الحقول</v>
      </c>
      <c r="Q401" s="4" t="str">
        <f>IFERROR(__xludf.DUMMYFUNCTION("GOOGLETRANSLATE(B401,""en"",""mr"")"),"कृपया सर्व फील्ड भरा")</f>
        <v>कृपया सर्व फील्ड भरा</v>
      </c>
      <c r="R401" s="4" t="str">
        <f>IFERROR(__xludf.DUMMYFUNCTION("GOOGLETRANSLATE(B401,""en"",""gu"")"),"કૃપા કરીને તમામ ફીલ્ડ ભરો")</f>
        <v>કૃપા કરીને તમામ ફીલ્ડ ભરો</v>
      </c>
      <c r="S401" s="4" t="str">
        <f>IFERROR(__xludf.DUMMYFUNCTION("GOOGLETRANSLATE(B401,""en"",""bn"")"),"সব ক্ষেত্র পূরণ করুন")</f>
        <v>সব ক্ষেত্র পূরণ করুন</v>
      </c>
      <c r="T401" s="4" t="str">
        <f>IFERROR(__xludf.DUMMYFUNCTION("GOOGLETRANSLATE(B401,""en"",""pa"")"),"ਕਿਰਪਾ ਕਰਕੇ ਸਾਰੇ ਖੇਤਰ ਭਰੋ")</f>
        <v>ਕਿਰਪਾ ਕਰਕੇ ਸਾਰੇ ਖੇਤਰ ਭਰੋ</v>
      </c>
      <c r="U401" s="4" t="str">
        <f>IFERROR(__xludf.DUMMYFUNCTION("GOOGLETRANSLATE(B401,""en"",""te"")"),"దయచేసి అన్ని ఫీల్డ్‌లను పూరించండి")</f>
        <v>దయచేసి అన్ని ఫీల్డ్‌లను పూరించండి</v>
      </c>
      <c r="V401" s="4" t="str">
        <f>IFERROR(__xludf.DUMMYFUNCTION("GOOGLETRANSLATE(B401,""en"",""kn"")"),"ದಯವಿಟ್ಟು ಎಲ್ಲಾ ಕ್ಷೇತ್ರಗಳನ್ನು ಭರ್ತಿ ಮಾಡಿ")</f>
        <v>ದಯವಿಟ್ಟು ಎಲ್ಲಾ ಕ್ಷೇತ್ರಗಳನ್ನು ಭರ್ತಿ ಮಾಡಿ</v>
      </c>
      <c r="W401" s="4" t="str">
        <f>IFERROR(__xludf.DUMMYFUNCTION("GOOGLETRANSLATE(B401,""en"",""ml"")"),"എല്ലാ ഫീൽഡുകളും പൂരിപ്പിക്കുക")</f>
        <v>എല്ലാ ഫീൽഡുകളും പൂരിപ്പിക്കുക</v>
      </c>
      <c r="X401" s="4" t="str">
        <f>IFERROR(__xludf.DUMMYFUNCTION("GOOGLETRANSLATE(B401,""en"",""th"")"),"กรุณากรอกข้อมูลให้ครบถ้วน")</f>
        <v>กรุณากรอกข้อมูลให้ครบถ้วน</v>
      </c>
      <c r="Y401" s="4" t="str">
        <f>IFERROR(__xludf.DUMMYFUNCTION("GOOGLETRANSLATE(B401,""en"",""ko"")"),"모든 항목을 작성해 주세요")</f>
        <v>모든 항목을 작성해 주세요</v>
      </c>
      <c r="Z401" s="4" t="str">
        <f>IFERROR(__xludf.DUMMYFUNCTION("GOOGLETRANSLATE(B401,""en"",""zh"")"),"请填写所有字段")</f>
        <v>请填写所有字段</v>
      </c>
      <c r="AA401" s="4" t="str">
        <f>IFERROR(__xludf.DUMMYFUNCTION("GOOGLETRANSLATE(B401,""en"",""zh-TW"")"),"請填寫所有字段")</f>
        <v>請填寫所有字段</v>
      </c>
      <c r="AB401" s="4" t="str">
        <f>IFERROR(__xludf.DUMMYFUNCTION("GOOGLETRANSLATE(B401,""en"",""ja"")"),"すべての項目にご記入ください")</f>
        <v>すべての項目にご記入ください</v>
      </c>
      <c r="AC401" s="4" t="str">
        <f>IFERROR(__xludf.DUMMYFUNCTION("GOOGLETRANSLATE(B401,""en"",""bg"")"),"Моля, попълнете всички полета")</f>
        <v>Моля, попълнете всички полета</v>
      </c>
      <c r="AD401" s="4" t="str">
        <f>IFERROR(__xludf.DUMMYFUNCTION("GOOGLETRANSLATE(B401,""en"",""cs"")"),"Vyplňte prosím všechna pole")</f>
        <v>Vyplňte prosím všechna pole</v>
      </c>
      <c r="AE401" s="4" t="str">
        <f>IFERROR(__xludf.DUMMYFUNCTION("GOOGLETRANSLATE(B401,""en"",""da"")"),"Udfyld venligst alle felter")</f>
        <v>Udfyld venligst alle felter</v>
      </c>
      <c r="AF401" s="4" t="str">
        <f>IFERROR(__xludf.DUMMYFUNCTION("GOOGLETRANSLATE(B401,""en"",""el"")"),"Παρακαλούμε συμπληρώστε όλα τα πεδία")</f>
        <v>Παρακαλούμε συμπληρώστε όλα τα πεδία</v>
      </c>
      <c r="AG401" s="4" t="str">
        <f>IFERROR(__xludf.DUMMYFUNCTION("GOOGLETRANSLATE(B401,""en"",""et"")"),"Palun täitke kõik väljad")</f>
        <v>Palun täitke kõik väljad</v>
      </c>
      <c r="AH401" s="4" t="str">
        <f>IFERROR(__xludf.DUMMYFUNCTION("GOOGLETRANSLATE(B401,""en"",""fi"")"),"Täytä kaikki kentät")</f>
        <v>Täytä kaikki kentät</v>
      </c>
      <c r="AI401" s="4" t="str">
        <f>IFERROR(__xludf.DUMMYFUNCTION("GOOGLETRANSLATE(B401,""en"",""hr"")"),"Molimo ispunite sva polja")</f>
        <v>Molimo ispunite sva polja</v>
      </c>
      <c r="AJ401" s="4" t="str">
        <f>IFERROR(__xludf.DUMMYFUNCTION("GOOGLETRANSLATE(B401,""en"",""hu"")"),"Kérjük, töltse ki az összes mezőt")</f>
        <v>Kérjük, töltse ki az összes mezőt</v>
      </c>
      <c r="AK401" s="4" t="str">
        <f>IFERROR(__xludf.DUMMYFUNCTION("GOOGLETRANSLATE(B401,""en"",""hy"")"),"Խնդրում ենք լրացնել բոլոր դաշտերը")</f>
        <v>Խնդրում ենք լրացնել բոլոր դաշտերը</v>
      </c>
      <c r="AL401" s="4" t="str">
        <f>IFERROR(__xludf.DUMMYFUNCTION("GOOGLETRANSLATE(B401,""en"",""ca"")"),"Si us plau, ompliu tots els camps")</f>
        <v>Si us plau, ompliu tots els camps</v>
      </c>
      <c r="AM401" s="4" t="str">
        <f>IFERROR(__xludf.DUMMYFUNCTION("GOOGLETRANSLATE(B401,""en"",""nl"")"),"Vul alle velden in")</f>
        <v>Vul alle velden in</v>
      </c>
      <c r="AN401" s="4" t="str">
        <f>IFERROR(__xludf.DUMMYFUNCTION("GOOGLETRANSLATE(B401,""en"",""he"")"),"נא למלא את כל השדות")</f>
        <v>נא למלא את כל השדות</v>
      </c>
      <c r="AO401" s="4" t="str">
        <f>IFERROR(__xludf.DUMMYFUNCTION("GOOGLETRANSLATE(B401,""en"",""is"")"),"Vinsamlegast fylltu út alla reiti")</f>
        <v>Vinsamlegast fylltu út alla reiti</v>
      </c>
      <c r="AP401" s="4" t="str">
        <f>IFERROR(__xludf.DUMMYFUNCTION("GOOGLETRANSLATE(B401,""en"",""no"")"),"Vennligst fyll ut alle feltene")</f>
        <v>Vennligst fyll ut alle feltene</v>
      </c>
      <c r="AQ401" s="4" t="str">
        <f>IFERROR(__xludf.DUMMYFUNCTION("GOOGLETRANSLATE(B401,""en"",""fa"")"),"لطفا تمام فیلدها را پر کنید")</f>
        <v>لطفا تمام فیلدها را پر کنید</v>
      </c>
      <c r="AR401" s="4" t="str">
        <f>IFERROR(__xludf.DUMMYFUNCTION("GOOGLETRANSLATE(B401,""en"",""pl"")"),"Proszę wypełnić wszystkie pola")</f>
        <v>Proszę wypełnić wszystkie pola</v>
      </c>
      <c r="AS401" s="4" t="str">
        <f>IFERROR(__xludf.DUMMYFUNCTION("GOOGLETRANSLATE(B401,""en"",""sv"")"),"Vänligen fyll i alla fält")</f>
        <v>Vänligen fyll i alla fält</v>
      </c>
      <c r="AT401" s="4" t="str">
        <f>IFERROR(__xludf.DUMMYFUNCTION("GOOGLETRANSLATE(B401,""en"",""uk"")"),"Будь ласка, заповніть усі поля")</f>
        <v>Будь ласка, заповніть усі поля</v>
      </c>
      <c r="AU401" s="4" t="str">
        <f>IFERROR(__xludf.DUMMYFUNCTION("GOOGLETRANSLATE(B401,""en"",""zu"")"),"Sicela ugcwalise zonke izinkambu")</f>
        <v>Sicela ugcwalise zonke izinkambu</v>
      </c>
      <c r="AV401" s="4" t="str">
        <f>IFERROR(__xludf.DUMMYFUNCTION("GOOGLETRANSLATE(B401,""en"",""sr"")"),"Молимо попуните сва поља")</f>
        <v>Молимо попуните сва поља</v>
      </c>
    </row>
    <row r="402">
      <c r="A402" s="3" t="s">
        <v>786</v>
      </c>
      <c r="B402" s="3" t="s">
        <v>787</v>
      </c>
      <c r="C402" s="4" t="str">
        <f>IFERROR(__xludf.DUMMYFUNCTION("GOOGLETRANSLATE(B402,""en"",""ta"")"),"பயணங்கள்")</f>
        <v>பயணங்கள்</v>
      </c>
      <c r="D402" s="4" t="str">
        <f>IFERROR(__xludf.DUMMYFUNCTION("GOOGLETRANSLATE(B402,""en"",""hi"")"),"ट्रिप्स")</f>
        <v>ट्रिप्स</v>
      </c>
      <c r="E402" s="4" t="str">
        <f>IFERROR(__xludf.DUMMYFUNCTION("GOOGLETRANSLATE(B402,""en"",""id"")"),"Perjalanan")</f>
        <v>Perjalanan</v>
      </c>
      <c r="F402" s="4" t="str">
        <f>IFERROR(__xludf.DUMMYFUNCTION("GOOGLETRANSLATE(B402,""en"",""ms"")"),"Perjalanan")</f>
        <v>Perjalanan</v>
      </c>
      <c r="G402" s="4" t="str">
        <f>IFERROR(__xludf.DUMMYFUNCTION("GOOGLETRANSLATE(B402,""en"",""de"")"),"Reisen")</f>
        <v>Reisen</v>
      </c>
      <c r="H402" s="4" t="str">
        <f>IFERROR(__xludf.DUMMYFUNCTION("GOOGLETRANSLATE(B402,""en"",""es"")"),"Viajes")</f>
        <v>Viajes</v>
      </c>
      <c r="I402" s="4" t="str">
        <f>IFERROR(__xludf.DUMMYFUNCTION("GOOGLETRANSLATE(B402,""en"",""fr"")"),"Voyages")</f>
        <v>Voyages</v>
      </c>
      <c r="J402" s="4" t="str">
        <f>IFERROR(__xludf.DUMMYFUNCTION("GOOGLETRANSLATE(B402,""en"",""it"")"),"Viaggi")</f>
        <v>Viaggi</v>
      </c>
      <c r="K402" s="4" t="str">
        <f>IFERROR(__xludf.DUMMYFUNCTION("GOOGLETRANSLATE(B402,""en"",""pt"")"),"Viagens")</f>
        <v>Viagens</v>
      </c>
      <c r="L402" s="4" t="str">
        <f>IFERROR(__xludf.DUMMYFUNCTION("GOOGLETRANSLATE(B402,""en"",""ro"")"),"Excursii")</f>
        <v>Excursii</v>
      </c>
      <c r="M402" s="4" t="str">
        <f>IFERROR(__xludf.DUMMYFUNCTION("GOOGLETRANSLATE(B402,""en"",""vi"")"),"Chuyến đi")</f>
        <v>Chuyến đi</v>
      </c>
      <c r="N402" s="4" t="str">
        <f>IFERROR(__xludf.DUMMYFUNCTION("GOOGLETRANSLATE(B402,""en"",""ru"")"),"Поездки")</f>
        <v>Поездки</v>
      </c>
      <c r="O402" s="4" t="str">
        <f>IFERROR(__xludf.DUMMYFUNCTION("GOOGLETRANSLATE(B402,""en"",""tr"")"),"Geziler")</f>
        <v>Geziler</v>
      </c>
      <c r="P402" s="4" t="str">
        <f>IFERROR(__xludf.DUMMYFUNCTION("GOOGLETRANSLATE(B402,""en"",""ar"")"),"الرحلات")</f>
        <v>الرحلات</v>
      </c>
      <c r="Q402" s="4" t="str">
        <f>IFERROR(__xludf.DUMMYFUNCTION("GOOGLETRANSLATE(B402,""en"",""mr"")"),"सहली")</f>
        <v>सहली</v>
      </c>
      <c r="R402" s="4" t="str">
        <f>IFERROR(__xludf.DUMMYFUNCTION("GOOGLETRANSLATE(B402,""en"",""gu"")"),"પ્રવાસો")</f>
        <v>પ્રવાસો</v>
      </c>
      <c r="S402" s="4" t="str">
        <f>IFERROR(__xludf.DUMMYFUNCTION("GOOGLETRANSLATE(B402,""en"",""bn"")"),"ট্রিপ")</f>
        <v>ট্রিপ</v>
      </c>
      <c r="T402" s="4" t="str">
        <f>IFERROR(__xludf.DUMMYFUNCTION("GOOGLETRANSLATE(B402,""en"",""pa"")"),"ਯਾਤਰਾਵਾਂ")</f>
        <v>ਯਾਤਰਾਵਾਂ</v>
      </c>
      <c r="U402" s="4" t="str">
        <f>IFERROR(__xludf.DUMMYFUNCTION("GOOGLETRANSLATE(B402,""en"",""te"")"),"ప్రయాణాలు")</f>
        <v>ప్రయాణాలు</v>
      </c>
      <c r="V402" s="4" t="str">
        <f>IFERROR(__xludf.DUMMYFUNCTION("GOOGLETRANSLATE(B402,""en"",""kn"")"),"ಪ್ರವಾಸಗಳು")</f>
        <v>ಪ್ರವಾಸಗಳು</v>
      </c>
      <c r="W402" s="4" t="str">
        <f>IFERROR(__xludf.DUMMYFUNCTION("GOOGLETRANSLATE(B402,""en"",""ml"")"),"യാത്രകൾ")</f>
        <v>യാത്രകൾ</v>
      </c>
      <c r="X402" s="4" t="str">
        <f>IFERROR(__xludf.DUMMYFUNCTION("GOOGLETRANSLATE(B402,""en"",""th"")"),"ทริปท่องเที่ยว")</f>
        <v>ทริปท่องเที่ยว</v>
      </c>
      <c r="Y402" s="4" t="str">
        <f>IFERROR(__xludf.DUMMYFUNCTION("GOOGLETRANSLATE(B402,""en"",""ko"")"),"여행")</f>
        <v>여행</v>
      </c>
      <c r="Z402" s="4" t="str">
        <f>IFERROR(__xludf.DUMMYFUNCTION("GOOGLETRANSLATE(B402,""en"",""zh"")"),"旅行")</f>
        <v>旅行</v>
      </c>
      <c r="AA402" s="4" t="str">
        <f>IFERROR(__xludf.DUMMYFUNCTION("GOOGLETRANSLATE(B402,""en"",""zh-TW"")"),"旅行")</f>
        <v>旅行</v>
      </c>
      <c r="AB402" s="4" t="str">
        <f>IFERROR(__xludf.DUMMYFUNCTION("GOOGLETRANSLATE(B402,""en"",""ja"")"),"旅行")</f>
        <v>旅行</v>
      </c>
      <c r="AC402" s="4" t="str">
        <f>IFERROR(__xludf.DUMMYFUNCTION("GOOGLETRANSLATE(B402,""en"",""bg"")"),"Пътувания")</f>
        <v>Пътувания</v>
      </c>
      <c r="AD402" s="4" t="str">
        <f>IFERROR(__xludf.DUMMYFUNCTION("GOOGLETRANSLATE(B402,""en"",""cs"")"),"Výlety")</f>
        <v>Výlety</v>
      </c>
      <c r="AE402" s="4" t="str">
        <f>IFERROR(__xludf.DUMMYFUNCTION("GOOGLETRANSLATE(B402,""en"",""da"")"),"Rejser")</f>
        <v>Rejser</v>
      </c>
      <c r="AF402" s="4" t="str">
        <f>IFERROR(__xludf.DUMMYFUNCTION("GOOGLETRANSLATE(B402,""en"",""el"")"),"Ταξίδια")</f>
        <v>Ταξίδια</v>
      </c>
      <c r="AG402" s="4" t="str">
        <f>IFERROR(__xludf.DUMMYFUNCTION("GOOGLETRANSLATE(B402,""en"",""et"")"),"Reisid")</f>
        <v>Reisid</v>
      </c>
      <c r="AH402" s="4" t="str">
        <f>IFERROR(__xludf.DUMMYFUNCTION("GOOGLETRANSLATE(B402,""en"",""fi"")"),"Matkat")</f>
        <v>Matkat</v>
      </c>
      <c r="AI402" s="4" t="str">
        <f>IFERROR(__xludf.DUMMYFUNCTION("GOOGLETRANSLATE(B402,""en"",""hr"")"),"izleti")</f>
        <v>izleti</v>
      </c>
      <c r="AJ402" s="4" t="str">
        <f>IFERROR(__xludf.DUMMYFUNCTION("GOOGLETRANSLATE(B402,""en"",""hu"")"),"Utazások")</f>
        <v>Utazások</v>
      </c>
      <c r="AK402" s="4" t="str">
        <f>IFERROR(__xludf.DUMMYFUNCTION("GOOGLETRANSLATE(B402,""en"",""hy"")"),"Ուղևորություններ")</f>
        <v>Ուղևորություններ</v>
      </c>
      <c r="AL402" s="4" t="str">
        <f>IFERROR(__xludf.DUMMYFUNCTION("GOOGLETRANSLATE(B402,""en"",""ca"")"),"Viatges")</f>
        <v>Viatges</v>
      </c>
      <c r="AM402" s="4" t="str">
        <f>IFERROR(__xludf.DUMMYFUNCTION("GOOGLETRANSLATE(B402,""en"",""nl"")"),"Reizen")</f>
        <v>Reizen</v>
      </c>
      <c r="AN402" s="4" t="str">
        <f>IFERROR(__xludf.DUMMYFUNCTION("GOOGLETRANSLATE(B402,""en"",""he"")"),"טיולים")</f>
        <v>טיולים</v>
      </c>
      <c r="AO402" s="4" t="str">
        <f>IFERROR(__xludf.DUMMYFUNCTION("GOOGLETRANSLATE(B402,""en"",""is"")"),"Ferðir")</f>
        <v>Ferðir</v>
      </c>
      <c r="AP402" s="4" t="str">
        <f>IFERROR(__xludf.DUMMYFUNCTION("GOOGLETRANSLATE(B402,""en"",""no"")"),"Turer")</f>
        <v>Turer</v>
      </c>
      <c r="AQ402" s="4" t="str">
        <f>IFERROR(__xludf.DUMMYFUNCTION("GOOGLETRANSLATE(B402,""en"",""fa"")"),"سفرها")</f>
        <v>سفرها</v>
      </c>
      <c r="AR402" s="4" t="str">
        <f>IFERROR(__xludf.DUMMYFUNCTION("GOOGLETRANSLATE(B402,""en"",""pl"")"),"Podróże")</f>
        <v>Podróże</v>
      </c>
      <c r="AS402" s="4" t="str">
        <f>IFERROR(__xludf.DUMMYFUNCTION("GOOGLETRANSLATE(B402,""en"",""sv"")"),"Resor")</f>
        <v>Resor</v>
      </c>
      <c r="AT402" s="4" t="str">
        <f>IFERROR(__xludf.DUMMYFUNCTION("GOOGLETRANSLATE(B402,""en"",""uk"")"),"Поїздки")</f>
        <v>Поїздки</v>
      </c>
      <c r="AU402" s="4" t="str">
        <f>IFERROR(__xludf.DUMMYFUNCTION("GOOGLETRANSLATE(B402,""en"",""zu"")"),"Uhambo")</f>
        <v>Uhambo</v>
      </c>
      <c r="AV402" s="4" t="str">
        <f>IFERROR(__xludf.DUMMYFUNCTION("GOOGLETRANSLATE(B402,""en"",""sr"")"),"Путовања")</f>
        <v>Путовања</v>
      </c>
    </row>
    <row r="403">
      <c r="A403" s="3" t="s">
        <v>788</v>
      </c>
      <c r="B403" s="3" t="s">
        <v>789</v>
      </c>
      <c r="C403" s="4" t="str">
        <f>IFERROR(__xludf.DUMMYFUNCTION("GOOGLETRANSLATE(B403,""en"",""ta"")"),"பயணங்கள் இல்லை")</f>
        <v>பயணங்கள் இல்லை</v>
      </c>
      <c r="D403" s="4" t="str">
        <f>IFERROR(__xludf.DUMMYFUNCTION("GOOGLETRANSLATE(B403,""en"",""hi"")"),"कोई यात्रा उपलब्ध नहीं है")</f>
        <v>कोई यात्रा उपलब्ध नहीं है</v>
      </c>
      <c r="E403" s="4" t="str">
        <f>IFERROR(__xludf.DUMMYFUNCTION("GOOGLETRANSLATE(B403,""en"",""id"")"),"Tidak ada perjalanan yang tersedia")</f>
        <v>Tidak ada perjalanan yang tersedia</v>
      </c>
      <c r="F403" s="4" t="str">
        <f>IFERROR(__xludf.DUMMYFUNCTION("GOOGLETRANSLATE(B403,""en"",""ms"")"),"Tiada perjalanan tersedia")</f>
        <v>Tiada perjalanan tersedia</v>
      </c>
      <c r="G403" s="4" t="str">
        <f>IFERROR(__xludf.DUMMYFUNCTION("GOOGLETRANSLATE(B403,""en"",""de"")"),"Keine Reisen verfügbar")</f>
        <v>Keine Reisen verfügbar</v>
      </c>
      <c r="H403" s="4" t="str">
        <f>IFERROR(__xludf.DUMMYFUNCTION("GOOGLETRANSLATE(B403,""en"",""es"")"),"No hay viajes disponibles")</f>
        <v>No hay viajes disponibles</v>
      </c>
      <c r="I403" s="4" t="str">
        <f>IFERROR(__xludf.DUMMYFUNCTION("GOOGLETRANSLATE(B403,""en"",""fr"")"),"Aucun voyage disponible")</f>
        <v>Aucun voyage disponible</v>
      </c>
      <c r="J403" s="4" t="str">
        <f>IFERROR(__xludf.DUMMYFUNCTION("GOOGLETRANSLATE(B403,""en"",""it"")"),"Nessun viaggio disponibile")</f>
        <v>Nessun viaggio disponibile</v>
      </c>
      <c r="K403" s="4" t="str">
        <f>IFERROR(__xludf.DUMMYFUNCTION("GOOGLETRANSLATE(B403,""en"",""pt"")"),"Nenhuma viagem disponível")</f>
        <v>Nenhuma viagem disponível</v>
      </c>
      <c r="L403" s="4" t="str">
        <f>IFERROR(__xludf.DUMMYFUNCTION("GOOGLETRANSLATE(B403,""en"",""ro"")"),"Nu există călătorii disponibile")</f>
        <v>Nu există călătorii disponibile</v>
      </c>
      <c r="M403" s="4" t="str">
        <f>IFERROR(__xludf.DUMMYFUNCTION("GOOGLETRANSLATE(B403,""en"",""vi"")"),"Không có chuyến đi nào có sẵn")</f>
        <v>Không có chuyến đi nào có sẵn</v>
      </c>
      <c r="N403" s="4" t="str">
        <f>IFERROR(__xludf.DUMMYFUNCTION("GOOGLETRANSLATE(B403,""en"",""ru"")"),"Нет доступных поездок")</f>
        <v>Нет доступных поездок</v>
      </c>
      <c r="O403" s="4" t="str">
        <f>IFERROR(__xludf.DUMMYFUNCTION("GOOGLETRANSLATE(B403,""en"",""tr"")"),"Hiçbir gezi mevcut değil")</f>
        <v>Hiçbir gezi mevcut değil</v>
      </c>
      <c r="P403" s="4" t="str">
        <f>IFERROR(__xludf.DUMMYFUNCTION("GOOGLETRANSLATE(B403,""en"",""ar"")"),"لا توجد رحلات متاحة")</f>
        <v>لا توجد رحلات متاحة</v>
      </c>
      <c r="Q403" s="4" t="str">
        <f>IFERROR(__xludf.DUMMYFUNCTION("GOOGLETRANSLATE(B403,""en"",""mr"")"),"कोणत्याही सहली उपलब्ध नाहीत")</f>
        <v>कोणत्याही सहली उपलब्ध नाहीत</v>
      </c>
      <c r="R403" s="4" t="str">
        <f>IFERROR(__xludf.DUMMYFUNCTION("GOOGLETRANSLATE(B403,""en"",""gu"")"),"કોઈ ટ્રિપ ઉપલબ્ધ નથી")</f>
        <v>કોઈ ટ્રિપ ઉપલબ્ધ નથી</v>
      </c>
      <c r="S403" s="4" t="str">
        <f>IFERROR(__xludf.DUMMYFUNCTION("GOOGLETRANSLATE(B403,""en"",""bn"")"),"কোন ট্রিপ উপলব্ধ")</f>
        <v>কোন ট্রিপ উপলব্ধ</v>
      </c>
      <c r="T403" s="4" t="str">
        <f>IFERROR(__xludf.DUMMYFUNCTION("GOOGLETRANSLATE(B403,""en"",""pa"")"),"ਕੋਈ ਯਾਤਰਾਵਾਂ ਉਪਲਬਧ ਨਹੀਂ ਹਨ")</f>
        <v>ਕੋਈ ਯਾਤਰਾਵਾਂ ਉਪਲਬਧ ਨਹੀਂ ਹਨ</v>
      </c>
      <c r="U403" s="4" t="str">
        <f>IFERROR(__xludf.DUMMYFUNCTION("GOOGLETRANSLATE(B403,""en"",""te"")"),"ప్రయాణాలు అందుబాటులో లేవు")</f>
        <v>ప్రయాణాలు అందుబాటులో లేవు</v>
      </c>
      <c r="V403" s="4" t="str">
        <f>IFERROR(__xludf.DUMMYFUNCTION("GOOGLETRANSLATE(B403,""en"",""kn"")"),"ಯಾವುದೇ ಪ್ರವಾಸಗಳು ಲಭ್ಯವಿಲ್ಲ")</f>
        <v>ಯಾವುದೇ ಪ್ರವಾಸಗಳು ಲಭ್ಯವಿಲ್ಲ</v>
      </c>
      <c r="W403" s="4" t="str">
        <f>IFERROR(__xludf.DUMMYFUNCTION("GOOGLETRANSLATE(B403,""en"",""ml"")"),"യാത്രകളൊന്നും ലഭ്യമല്ല")</f>
        <v>യാത്രകളൊന്നും ലഭ്യമല്ല</v>
      </c>
      <c r="X403" s="4" t="str">
        <f>IFERROR(__xludf.DUMMYFUNCTION("GOOGLETRANSLATE(B403,""en"",""th"")"),"ไม่มีทริปให้บริการ")</f>
        <v>ไม่มีทริปให้บริการ</v>
      </c>
      <c r="Y403" s="4" t="str">
        <f>IFERROR(__xludf.DUMMYFUNCTION("GOOGLETRANSLATE(B403,""en"",""ko"")"),"이용 가능한 여행이 없습니다")</f>
        <v>이용 가능한 여행이 없습니다</v>
      </c>
      <c r="Z403" s="4" t="str">
        <f>IFERROR(__xludf.DUMMYFUNCTION("GOOGLETRANSLATE(B403,""en"",""zh"")"),"没有可用的行程")</f>
        <v>没有可用的行程</v>
      </c>
      <c r="AA403" s="4" t="str">
        <f>IFERROR(__xludf.DUMMYFUNCTION("GOOGLETRANSLATE(B403,""en"",""zh-TW"")"),"沒有可用的行程")</f>
        <v>沒有可用的行程</v>
      </c>
      <c r="AB403" s="4" t="str">
        <f>IFERROR(__xludf.DUMMYFUNCTION("GOOGLETRANSLATE(B403,""en"",""ja"")"),"利用可能な旅行はありません")</f>
        <v>利用可能な旅行はありません</v>
      </c>
      <c r="AC403" s="4" t="str">
        <f>IFERROR(__xludf.DUMMYFUNCTION("GOOGLETRANSLATE(B403,""en"",""bg"")"),"Няма налични пътувания")</f>
        <v>Няма налични пътувания</v>
      </c>
      <c r="AD403" s="4" t="str">
        <f>IFERROR(__xludf.DUMMYFUNCTION("GOOGLETRANSLATE(B403,""en"",""cs"")"),"Nejsou k dispozici žádné výlety")</f>
        <v>Nejsou k dispozici žádné výlety</v>
      </c>
      <c r="AE403" s="4" t="str">
        <f>IFERROR(__xludf.DUMMYFUNCTION("GOOGLETRANSLATE(B403,""en"",""da"")"),"Ingen tilgængelige ture")</f>
        <v>Ingen tilgængelige ture</v>
      </c>
      <c r="AF403" s="4" t="str">
        <f>IFERROR(__xludf.DUMMYFUNCTION("GOOGLETRANSLATE(B403,""en"",""el"")"),"Δεν υπάρχουν διαθέσιμα ταξίδια")</f>
        <v>Δεν υπάρχουν διαθέσιμα ταξίδια</v>
      </c>
      <c r="AG403" s="4" t="str">
        <f>IFERROR(__xludf.DUMMYFUNCTION("GOOGLETRANSLATE(B403,""en"",""et"")"),"Reise pole saadaval")</f>
        <v>Reise pole saadaval</v>
      </c>
      <c r="AH403" s="4" t="str">
        <f>IFERROR(__xludf.DUMMYFUNCTION("GOOGLETRANSLATE(B403,""en"",""fi"")"),"Matkoja ei ole saatavilla")</f>
        <v>Matkoja ei ole saatavilla</v>
      </c>
      <c r="AI403" s="4" t="str">
        <f>IFERROR(__xludf.DUMMYFUNCTION("GOOGLETRANSLATE(B403,""en"",""hr"")"),"Nema dostupnih putovanja")</f>
        <v>Nema dostupnih putovanja</v>
      </c>
      <c r="AJ403" s="4" t="str">
        <f>IFERROR(__xludf.DUMMYFUNCTION("GOOGLETRANSLATE(B403,""en"",""hu"")"),"Nincsenek utak")</f>
        <v>Nincsenek utak</v>
      </c>
      <c r="AK403" s="4" t="str">
        <f>IFERROR(__xludf.DUMMYFUNCTION("GOOGLETRANSLATE(B403,""en"",""hy"")"),"Ուղևորություններ չկան")</f>
        <v>Ուղևորություններ չկան</v>
      </c>
      <c r="AL403" s="4" t="str">
        <f>IFERROR(__xludf.DUMMYFUNCTION("GOOGLETRANSLATE(B403,""en"",""ca"")"),"No hi ha viatges disponibles")</f>
        <v>No hi ha viatges disponibles</v>
      </c>
      <c r="AM403" s="4" t="str">
        <f>IFERROR(__xludf.DUMMYFUNCTION("GOOGLETRANSLATE(B403,""en"",""nl"")"),"Geen reizen beschikbaar")</f>
        <v>Geen reizen beschikbaar</v>
      </c>
      <c r="AN403" s="4" t="str">
        <f>IFERROR(__xludf.DUMMYFUNCTION("GOOGLETRANSLATE(B403,""en"",""he"")"),"אין טיולים זמינים")</f>
        <v>אין טיולים זמינים</v>
      </c>
      <c r="AO403" s="4" t="str">
        <f>IFERROR(__xludf.DUMMYFUNCTION("GOOGLETRANSLATE(B403,""en"",""is"")"),"Engar ferðir í boði")</f>
        <v>Engar ferðir í boði</v>
      </c>
      <c r="AP403" s="4" t="str">
        <f>IFERROR(__xludf.DUMMYFUNCTION("GOOGLETRANSLATE(B403,""en"",""no"")"),"Ingen turer tilgjengelig")</f>
        <v>Ingen turer tilgjengelig</v>
      </c>
      <c r="AQ403" s="4" t="str">
        <f>IFERROR(__xludf.DUMMYFUNCTION("GOOGLETRANSLATE(B403,""en"",""fa"")"),"هیچ سفری در دسترس نیست")</f>
        <v>هیچ سفری در دسترس نیست</v>
      </c>
      <c r="AR403" s="4" t="str">
        <f>IFERROR(__xludf.DUMMYFUNCTION("GOOGLETRANSLATE(B403,""en"",""pl"")"),"Brak dostępnych wycieczek")</f>
        <v>Brak dostępnych wycieczek</v>
      </c>
      <c r="AS403" s="4" t="str">
        <f>IFERROR(__xludf.DUMMYFUNCTION("GOOGLETRANSLATE(B403,""en"",""sv"")"),"Inga resor tillgängliga")</f>
        <v>Inga resor tillgängliga</v>
      </c>
      <c r="AT403" s="4" t="str">
        <f>IFERROR(__xludf.DUMMYFUNCTION("GOOGLETRANSLATE(B403,""en"",""uk"")"),"Немає доступних поїздок")</f>
        <v>Немає доступних поїздок</v>
      </c>
      <c r="AU403" s="4" t="str">
        <f>IFERROR(__xludf.DUMMYFUNCTION("GOOGLETRANSLATE(B403,""en"",""zu"")"),"Alukho uhambo olutholakalayo")</f>
        <v>Alukho uhambo olutholakalayo</v>
      </c>
      <c r="AV403" s="4" t="str">
        <f>IFERROR(__xludf.DUMMYFUNCTION("GOOGLETRANSLATE(B403,""en"",""sr"")"),"Нема доступних путовања")</f>
        <v>Нема доступних путовања</v>
      </c>
    </row>
    <row r="404">
      <c r="A404" s="3" t="s">
        <v>790</v>
      </c>
      <c r="B404" s="3" t="s">
        <v>791</v>
      </c>
      <c r="C404" s="4" t="str">
        <f>IFERROR(__xludf.DUMMYFUNCTION("GOOGLETRANSLATE(B404,""en"",""ta"")"),"இந்தப் பயணத்தை நிச்சயமாக நீக்க விரும்புகிறீர்களா?")</f>
        <v>இந்தப் பயணத்தை நிச்சயமாக நீக்க விரும்புகிறீர்களா?</v>
      </c>
      <c r="D404" s="4" t="str">
        <f>IFERROR(__xludf.DUMMYFUNCTION("GOOGLETRANSLATE(B404,""en"",""hi"")"),"क्या आप वाकई इस यात्रा को हटाना चाहते हैं?")</f>
        <v>क्या आप वाकई इस यात्रा को हटाना चाहते हैं?</v>
      </c>
      <c r="E404" s="4" t="str">
        <f>IFERROR(__xludf.DUMMYFUNCTION("GOOGLETRANSLATE(B404,""en"",""id"")"),"Apakah Anda yakin ingin menghapus perjalanan ini?")</f>
        <v>Apakah Anda yakin ingin menghapus perjalanan ini?</v>
      </c>
      <c r="F404" s="4" t="str">
        <f>IFERROR(__xludf.DUMMYFUNCTION("GOOGLETRANSLATE(B404,""en"",""ms"")"),"Adakah anda pasti mahu memadamkan perjalanan ini?")</f>
        <v>Adakah anda pasti mahu memadamkan perjalanan ini?</v>
      </c>
      <c r="G404" s="4" t="str">
        <f>IFERROR(__xludf.DUMMYFUNCTION("GOOGLETRANSLATE(B404,""en"",""de"")"),"Möchten Sie diese Reise wirklich löschen?")</f>
        <v>Möchten Sie diese Reise wirklich löschen?</v>
      </c>
      <c r="H404" s="4" t="str">
        <f>IFERROR(__xludf.DUMMYFUNCTION("GOOGLETRANSLATE(B404,""en"",""es"")"),"¿Estás seguro que deseas eliminar este viaje?")</f>
        <v>¿Estás seguro que deseas eliminar este viaje?</v>
      </c>
      <c r="I404" s="4" t="str">
        <f>IFERROR(__xludf.DUMMYFUNCTION("GOOGLETRANSLATE(B404,""en"",""fr"")"),"Êtes-vous sûr de vouloir supprimer ce voyage ?")</f>
        <v>Êtes-vous sûr de vouloir supprimer ce voyage ?</v>
      </c>
      <c r="J404" s="4" t="str">
        <f>IFERROR(__xludf.DUMMYFUNCTION("GOOGLETRANSLATE(B404,""en"",""it"")"),"Sei sicuro di voler eliminare questo viaggio?")</f>
        <v>Sei sicuro di voler eliminare questo viaggio?</v>
      </c>
      <c r="K404" s="4" t="str">
        <f>IFERROR(__xludf.DUMMYFUNCTION("GOOGLETRANSLATE(B404,""en"",""pt"")"),"Tem certeza de que deseja excluir esta viagem?")</f>
        <v>Tem certeza de que deseja excluir esta viagem?</v>
      </c>
      <c r="L404" s="4" t="str">
        <f>IFERROR(__xludf.DUMMYFUNCTION("GOOGLETRANSLATE(B404,""en"",""ro"")"),"Sigur doriți să ștergeți această călătorie?")</f>
        <v>Sigur doriți să ștergeți această călătorie?</v>
      </c>
      <c r="M404" s="4" t="str">
        <f>IFERROR(__xludf.DUMMYFUNCTION("GOOGLETRANSLATE(B404,""en"",""vi"")"),"Bạn có chắc chắn muốn xóa chuyến đi này không?")</f>
        <v>Bạn có chắc chắn muốn xóa chuyến đi này không?</v>
      </c>
      <c r="N404" s="4" t="str">
        <f>IFERROR(__xludf.DUMMYFUNCTION("GOOGLETRANSLATE(B404,""en"",""ru"")"),"Вы уверены, что хотите удалить эту поездку?")</f>
        <v>Вы уверены, что хотите удалить эту поездку?</v>
      </c>
      <c r="O404" s="4" t="str">
        <f>IFERROR(__xludf.DUMMYFUNCTION("GOOGLETRANSLATE(B404,""en"",""tr"")"),"Bu seyahati silmek istediğinizden emin misiniz?")</f>
        <v>Bu seyahati silmek istediğinizden emin misiniz?</v>
      </c>
      <c r="P404" s="4" t="str">
        <f>IFERROR(__xludf.DUMMYFUNCTION("GOOGLETRANSLATE(B404,""en"",""ar"")"),"هل أنت متأكد أنك تريد حذف هذه الرحلة؟")</f>
        <v>هل أنت متأكد أنك تريد حذف هذه الرحلة؟</v>
      </c>
      <c r="Q404" s="4" t="str">
        <f>IFERROR(__xludf.DUMMYFUNCTION("GOOGLETRANSLATE(B404,""en"",""mr"")"),"तुमची खात्री आहे की तुम्ही ही सहल हटवू इच्छिता?")</f>
        <v>तुमची खात्री आहे की तुम्ही ही सहल हटवू इच्छिता?</v>
      </c>
      <c r="R404" s="4" t="str">
        <f>IFERROR(__xludf.DUMMYFUNCTION("GOOGLETRANSLATE(B404,""en"",""gu"")"),"શું તમે ખરેખર આ ટ્રિપ ડિલીટ કરવા માંગો છો?")</f>
        <v>શું તમે ખરેખર આ ટ્રિપ ડિલીટ કરવા માંગો છો?</v>
      </c>
      <c r="S404" s="4" t="str">
        <f>IFERROR(__xludf.DUMMYFUNCTION("GOOGLETRANSLATE(B404,""en"",""bn"")"),"আপনি কি নিশ্চিত আপনি এই ট্রিপ মুছে দিতে চান?")</f>
        <v>আপনি কি নিশ্চিত আপনি এই ট্রিপ মুছে দিতে চান?</v>
      </c>
      <c r="T404" s="4" t="str">
        <f>IFERROR(__xludf.DUMMYFUNCTION("GOOGLETRANSLATE(B404,""en"",""pa"")"),"ਕੀ ਤੁਸੀਂ ਯਕੀਨੀ ਤੌਰ 'ਤੇ ਇਸ ਯਾਤਰਾ ਨੂੰ ਮਿਟਾਉਣਾ ਚਾਹੁੰਦੇ ਹੋ?")</f>
        <v>ਕੀ ਤੁਸੀਂ ਯਕੀਨੀ ਤੌਰ 'ਤੇ ਇਸ ਯਾਤਰਾ ਨੂੰ ਮਿਟਾਉਣਾ ਚਾਹੁੰਦੇ ਹੋ?</v>
      </c>
      <c r="U404" s="4" t="str">
        <f>IFERROR(__xludf.DUMMYFUNCTION("GOOGLETRANSLATE(B404,""en"",""te"")"),"మీరు ఖచ్చితంగా ఈ పర్యటనను తొలగించాలనుకుంటున్నారా?")</f>
        <v>మీరు ఖచ్చితంగా ఈ పర్యటనను తొలగించాలనుకుంటున్నారా?</v>
      </c>
      <c r="V404" s="4" t="str">
        <f>IFERROR(__xludf.DUMMYFUNCTION("GOOGLETRANSLATE(B404,""en"",""kn"")"),"ಈ ಪ್ರವಾಸವನ್ನು ಅಳಿಸಲು ನೀವು ಖಚಿತವಾಗಿ ಬಯಸುವಿರಾ?")</f>
        <v>ಈ ಪ್ರವಾಸವನ್ನು ಅಳಿಸಲು ನೀವು ಖಚಿತವಾಗಿ ಬಯಸುವಿರಾ?</v>
      </c>
      <c r="W404" s="4" t="str">
        <f>IFERROR(__xludf.DUMMYFUNCTION("GOOGLETRANSLATE(B404,""en"",""ml"")"),"ഈ യാത്ര ഇല്ലാതാക്കണമെന്ന് തീർച്ചയാണോ?")</f>
        <v>ഈ യാത്ര ഇല്ലാതാക്കണമെന്ന് തീർച്ചയാണോ?</v>
      </c>
      <c r="X404" s="4" t="str">
        <f>IFERROR(__xludf.DUMMYFUNCTION("GOOGLETRANSLATE(B404,""en"",""th"")"),"คุณแน่ใจว่าต้องการลบทริปนี้หรือไม่?")</f>
        <v>คุณแน่ใจว่าต้องการลบทริปนี้หรือไม่?</v>
      </c>
      <c r="Y404" s="4" t="str">
        <f>IFERROR(__xludf.DUMMYFUNCTION("GOOGLETRANSLATE(B404,""en"",""ko"")"),"이 여행을 삭제하시겠습니까?")</f>
        <v>이 여행을 삭제하시겠습니까?</v>
      </c>
      <c r="Z404" s="4" t="str">
        <f>IFERROR(__xludf.DUMMYFUNCTION("GOOGLETRANSLATE(B404,""en"",""zh"")"),"您确定要删除此行程吗？")</f>
        <v>您确定要删除此行程吗？</v>
      </c>
      <c r="AA404" s="4" t="str">
        <f>IFERROR(__xludf.DUMMYFUNCTION("GOOGLETRANSLATE(B404,""en"",""zh-TW"")"),"您確定要刪除此行程嗎？")</f>
        <v>您確定要刪除此行程嗎？</v>
      </c>
      <c r="AB404" s="4" t="str">
        <f>IFERROR(__xludf.DUMMYFUNCTION("GOOGLETRANSLATE(B404,""en"",""ja"")"),"この旅行を削除してもよろしいですか?")</f>
        <v>この旅行を削除してもよろしいですか?</v>
      </c>
      <c r="AC404" s="4" t="str">
        <f>IFERROR(__xludf.DUMMYFUNCTION("GOOGLETRANSLATE(B404,""en"",""bg"")"),"Сигурни ли сте, че искате да изтриете това пътуване?")</f>
        <v>Сигурни ли сте, че искате да изтриете това пътуване?</v>
      </c>
      <c r="AD404" s="4" t="str">
        <f>IFERROR(__xludf.DUMMYFUNCTION("GOOGLETRANSLATE(B404,""en"",""cs"")"),"Opravdu chcete smazat tuto cestu?")</f>
        <v>Opravdu chcete smazat tuto cestu?</v>
      </c>
      <c r="AE404" s="4" t="str">
        <f>IFERROR(__xludf.DUMMYFUNCTION("GOOGLETRANSLATE(B404,""en"",""da"")"),"Er du sikker på, at du vil slette denne rejse?")</f>
        <v>Er du sikker på, at du vil slette denne rejse?</v>
      </c>
      <c r="AF404" s="4" t="str">
        <f>IFERROR(__xludf.DUMMYFUNCTION("GOOGLETRANSLATE(B404,""en"",""el"")"),"Είστε βέβαιοι ότι θέλετε να διαγράψετε αυτό το ταξίδι;")</f>
        <v>Είστε βέβαιοι ότι θέλετε να διαγράψετε αυτό το ταξίδι;</v>
      </c>
      <c r="AG404" s="4" t="str">
        <f>IFERROR(__xludf.DUMMYFUNCTION("GOOGLETRANSLATE(B404,""en"",""et"")"),"Kas olete kindel, et soovite selle reisi kustutada?")</f>
        <v>Kas olete kindel, et soovite selle reisi kustutada?</v>
      </c>
      <c r="AH404" s="4" t="str">
        <f>IFERROR(__xludf.DUMMYFUNCTION("GOOGLETRANSLATE(B404,""en"",""fi"")"),"Haluatko varmasti poistaa tämän matkan?")</f>
        <v>Haluatko varmasti poistaa tämän matkan?</v>
      </c>
      <c r="AI404" s="4" t="str">
        <f>IFERROR(__xludf.DUMMYFUNCTION("GOOGLETRANSLATE(B404,""en"",""hr"")"),"Jeste li sigurni da želite izbrisati ovo putovanje?")</f>
        <v>Jeste li sigurni da želite izbrisati ovo putovanje?</v>
      </c>
      <c r="AJ404" s="4" t="str">
        <f>IFERROR(__xludf.DUMMYFUNCTION("GOOGLETRANSLATE(B404,""en"",""hu"")"),"Biztosan törli ezt az utat?")</f>
        <v>Biztosan törli ezt az utat?</v>
      </c>
      <c r="AK404" s="4" t="str">
        <f>IFERROR(__xludf.DUMMYFUNCTION("GOOGLETRANSLATE(B404,""en"",""hy"")"),"Իսկապե՞ս ուզում եք ջնջել այս ուղևորությունը:")</f>
        <v>Իսկապե՞ս ուզում եք ջնջել այս ուղևորությունը:</v>
      </c>
      <c r="AL404" s="4" t="str">
        <f>IFERROR(__xludf.DUMMYFUNCTION("GOOGLETRANSLATE(B404,""en"",""ca"")"),"Esteu segur que voleu suprimir aquest viatge?")</f>
        <v>Esteu segur que voleu suprimir aquest viatge?</v>
      </c>
      <c r="AM404" s="4" t="str">
        <f>IFERROR(__xludf.DUMMYFUNCTION("GOOGLETRANSLATE(B404,""en"",""nl"")"),"Weet u zeker dat u deze reis wilt verwijderen?")</f>
        <v>Weet u zeker dat u deze reis wilt verwijderen?</v>
      </c>
      <c r="AN404" s="4" t="str">
        <f>IFERROR(__xludf.DUMMYFUNCTION("GOOGLETRANSLATE(B404,""en"",""he"")"),"האם אתה בטוח שברצונך למחוק את הטיול הזה?")</f>
        <v>האם אתה בטוח שברצונך למחוק את הטיול הזה?</v>
      </c>
      <c r="AO404" s="4" t="str">
        <f>IFERROR(__xludf.DUMMYFUNCTION("GOOGLETRANSLATE(B404,""en"",""is"")"),"Ertu viss um að þú viljir eyða þessari ferð?")</f>
        <v>Ertu viss um að þú viljir eyða þessari ferð?</v>
      </c>
      <c r="AP404" s="4" t="str">
        <f>IFERROR(__xludf.DUMMYFUNCTION("GOOGLETRANSLATE(B404,""en"",""no"")"),"Er du sikker på at du vil slette denne turen?")</f>
        <v>Er du sikker på at du vil slette denne turen?</v>
      </c>
      <c r="AQ404" s="4" t="str">
        <f>IFERROR(__xludf.DUMMYFUNCTION("GOOGLETRANSLATE(B404,""en"",""fa"")"),"آیا مطمئنید که می خواهید این سفر را حذف کنید؟")</f>
        <v>آیا مطمئنید که می خواهید این سفر را حذف کنید؟</v>
      </c>
      <c r="AR404" s="4" t="str">
        <f>IFERROR(__xludf.DUMMYFUNCTION("GOOGLETRANSLATE(B404,""en"",""pl"")"),"Czy na pewno chcesz usunąć tę podróż?")</f>
        <v>Czy na pewno chcesz usunąć tę podróż?</v>
      </c>
      <c r="AS404" s="4" t="str">
        <f>IFERROR(__xludf.DUMMYFUNCTION("GOOGLETRANSLATE(B404,""en"",""sv"")"),"Är du säker på att du vill ta bort den här resan?")</f>
        <v>Är du säker på att du vill ta bort den här resan?</v>
      </c>
      <c r="AT404" s="4" t="str">
        <f>IFERROR(__xludf.DUMMYFUNCTION("GOOGLETRANSLATE(B404,""en"",""uk"")"),"Ви впевнені, що хочете видалити цю подорож?")</f>
        <v>Ви впевнені, що хочете видалити цю подорож?</v>
      </c>
      <c r="AU404" s="4" t="str">
        <f>IFERROR(__xludf.DUMMYFUNCTION("GOOGLETRANSLATE(B404,""en"",""zu"")"),"Uqinisekile ukuthi ufuna ukususa lolu hambo?")</f>
        <v>Uqinisekile ukuthi ufuna ukususa lolu hambo?</v>
      </c>
      <c r="AV404" s="4" t="str">
        <f>IFERROR(__xludf.DUMMYFUNCTION("GOOGLETRANSLATE(B404,""en"",""sr"")"),"Да ли сте сигурни да желите да избришете ово путовање?")</f>
        <v>Да ли сте сигурни да желите да избришете ово путовање?</v>
      </c>
    </row>
    <row r="405">
      <c r="A405" s="3" t="s">
        <v>792</v>
      </c>
      <c r="B405" s="3" t="s">
        <v>793</v>
      </c>
      <c r="C405" s="4" t="str">
        <f>IFERROR(__xludf.DUMMYFUNCTION("GOOGLETRANSLATE(B405,""en"",""ta"")"),"இல்லை")</f>
        <v>இல்லை</v>
      </c>
      <c r="D405" s="4" t="str">
        <f>IFERROR(__xludf.DUMMYFUNCTION("GOOGLETRANSLATE(B405,""en"",""hi"")"),"नहीं")</f>
        <v>नहीं</v>
      </c>
      <c r="E405" s="4" t="str">
        <f>IFERROR(__xludf.DUMMYFUNCTION("GOOGLETRANSLATE(B405,""en"",""id"")"),"TIDAK")</f>
        <v>TIDAK</v>
      </c>
      <c r="F405" s="4" t="str">
        <f>IFERROR(__xludf.DUMMYFUNCTION("GOOGLETRANSLATE(B405,""en"",""ms"")"),"Tidak")</f>
        <v>Tidak</v>
      </c>
      <c r="G405" s="4" t="str">
        <f>IFERROR(__xludf.DUMMYFUNCTION("GOOGLETRANSLATE(B405,""en"",""de"")"),"NEIN")</f>
        <v>NEIN</v>
      </c>
      <c r="H405" s="4" t="str">
        <f>IFERROR(__xludf.DUMMYFUNCTION("GOOGLETRANSLATE(B405,""en"",""es"")"),"No")</f>
        <v>No</v>
      </c>
      <c r="I405" s="4" t="str">
        <f>IFERROR(__xludf.DUMMYFUNCTION("GOOGLETRANSLATE(B405,""en"",""fr"")"),"Non")</f>
        <v>Non</v>
      </c>
      <c r="J405" s="4" t="str">
        <f>IFERROR(__xludf.DUMMYFUNCTION("GOOGLETRANSLATE(B405,""en"",""it"")"),"NO")</f>
        <v>NO</v>
      </c>
      <c r="K405" s="4" t="str">
        <f>IFERROR(__xludf.DUMMYFUNCTION("GOOGLETRANSLATE(B405,""en"",""pt"")"),"Não")</f>
        <v>Não</v>
      </c>
      <c r="L405" s="4" t="str">
        <f>IFERROR(__xludf.DUMMYFUNCTION("GOOGLETRANSLATE(B405,""en"",""ro"")"),"Nu")</f>
        <v>Nu</v>
      </c>
      <c r="M405" s="4" t="str">
        <f>IFERROR(__xludf.DUMMYFUNCTION("GOOGLETRANSLATE(B405,""en"",""vi"")"),"KHÔNG")</f>
        <v>KHÔNG</v>
      </c>
      <c r="N405" s="4" t="str">
        <f>IFERROR(__xludf.DUMMYFUNCTION("GOOGLETRANSLATE(B405,""en"",""ru"")"),"Нет")</f>
        <v>Нет</v>
      </c>
      <c r="O405" s="4" t="str">
        <f>IFERROR(__xludf.DUMMYFUNCTION("GOOGLETRANSLATE(B405,""en"",""tr"")"),"HAYIR")</f>
        <v>HAYIR</v>
      </c>
      <c r="P405" s="4" t="str">
        <f>IFERROR(__xludf.DUMMYFUNCTION("GOOGLETRANSLATE(B405,""en"",""ar"")"),"لا")</f>
        <v>لا</v>
      </c>
      <c r="Q405" s="4" t="str">
        <f>IFERROR(__xludf.DUMMYFUNCTION("GOOGLETRANSLATE(B405,""en"",""mr"")"),"नाही")</f>
        <v>नाही</v>
      </c>
      <c r="R405" s="4" t="str">
        <f>IFERROR(__xludf.DUMMYFUNCTION("GOOGLETRANSLATE(B405,""en"",""gu"")"),"ના")</f>
        <v>ના</v>
      </c>
      <c r="S405" s="4" t="str">
        <f>IFERROR(__xludf.DUMMYFUNCTION("GOOGLETRANSLATE(B405,""en"",""bn"")"),"না")</f>
        <v>না</v>
      </c>
      <c r="T405" s="4" t="str">
        <f>IFERROR(__xludf.DUMMYFUNCTION("GOOGLETRANSLATE(B405,""en"",""pa"")"),"ਨੰ")</f>
        <v>ਨੰ</v>
      </c>
      <c r="U405" s="4" t="str">
        <f>IFERROR(__xludf.DUMMYFUNCTION("GOOGLETRANSLATE(B405,""en"",""te"")"),"నం")</f>
        <v>నం</v>
      </c>
      <c r="V405" s="4" t="str">
        <f>IFERROR(__xludf.DUMMYFUNCTION("GOOGLETRANSLATE(B405,""en"",""kn"")"),"ಸಂ")</f>
        <v>ಸಂ</v>
      </c>
      <c r="W405" s="4" t="str">
        <f>IFERROR(__xludf.DUMMYFUNCTION("GOOGLETRANSLATE(B405,""en"",""ml"")"),"ഇല്ല")</f>
        <v>ഇല്ല</v>
      </c>
      <c r="X405" s="4" t="str">
        <f>IFERROR(__xludf.DUMMYFUNCTION("GOOGLETRANSLATE(B405,""en"",""th"")"),"เลขที่")</f>
        <v>เลขที่</v>
      </c>
      <c r="Y405" s="4" t="str">
        <f>IFERROR(__xludf.DUMMYFUNCTION("GOOGLETRANSLATE(B405,""en"",""ko"")"),"아니요")</f>
        <v>아니요</v>
      </c>
      <c r="Z405" s="4" t="str">
        <f>IFERROR(__xludf.DUMMYFUNCTION("GOOGLETRANSLATE(B405,""en"",""zh"")"),"不")</f>
        <v>不</v>
      </c>
      <c r="AA405" s="4" t="str">
        <f>IFERROR(__xludf.DUMMYFUNCTION("GOOGLETRANSLATE(B405,""en"",""zh-TW"")"),"不")</f>
        <v>不</v>
      </c>
      <c r="AB405" s="4" t="str">
        <f>IFERROR(__xludf.DUMMYFUNCTION("GOOGLETRANSLATE(B405,""en"",""ja"")"),"いいえ")</f>
        <v>いいえ</v>
      </c>
      <c r="AC405" s="4" t="str">
        <f>IFERROR(__xludf.DUMMYFUNCTION("GOOGLETRANSLATE(B405,""en"",""bg"")"),"не")</f>
        <v>не</v>
      </c>
      <c r="AD405" s="4" t="str">
        <f>IFERROR(__xludf.DUMMYFUNCTION("GOOGLETRANSLATE(B405,""en"",""cs"")"),"Žádný")</f>
        <v>Žádný</v>
      </c>
      <c r="AE405" s="4" t="str">
        <f>IFERROR(__xludf.DUMMYFUNCTION("GOOGLETRANSLATE(B405,""en"",""da"")"),"Ingen")</f>
        <v>Ingen</v>
      </c>
      <c r="AF405" s="4" t="str">
        <f>IFERROR(__xludf.DUMMYFUNCTION("GOOGLETRANSLATE(B405,""en"",""el"")"),"Οχι")</f>
        <v>Οχι</v>
      </c>
      <c r="AG405" s="4" t="str">
        <f>IFERROR(__xludf.DUMMYFUNCTION("GOOGLETRANSLATE(B405,""en"",""et"")"),"Ei")</f>
        <v>Ei</v>
      </c>
      <c r="AH405" s="4" t="str">
        <f>IFERROR(__xludf.DUMMYFUNCTION("GOOGLETRANSLATE(B405,""en"",""fi"")"),"Ei")</f>
        <v>Ei</v>
      </c>
      <c r="AI405" s="4" t="str">
        <f>IFERROR(__xludf.DUMMYFUNCTION("GOOGLETRANSLATE(B405,""en"",""hr"")"),"Ne")</f>
        <v>Ne</v>
      </c>
      <c r="AJ405" s="4" t="str">
        <f>IFERROR(__xludf.DUMMYFUNCTION("GOOGLETRANSLATE(B405,""en"",""hu"")"),"Nem")</f>
        <v>Nem</v>
      </c>
      <c r="AK405" s="4" t="str">
        <f>IFERROR(__xludf.DUMMYFUNCTION("GOOGLETRANSLATE(B405,""en"",""hy"")"),"Ոչ")</f>
        <v>Ոչ</v>
      </c>
      <c r="AL405" s="4" t="str">
        <f>IFERROR(__xludf.DUMMYFUNCTION("GOOGLETRANSLATE(B405,""en"",""ca"")"),"No")</f>
        <v>No</v>
      </c>
      <c r="AM405" s="4" t="str">
        <f>IFERROR(__xludf.DUMMYFUNCTION("GOOGLETRANSLATE(B405,""en"",""nl"")"),"Nee")</f>
        <v>Nee</v>
      </c>
      <c r="AN405" s="4" t="str">
        <f>IFERROR(__xludf.DUMMYFUNCTION("GOOGLETRANSLATE(B405,""en"",""he"")"),"לֹא")</f>
        <v>לֹא</v>
      </c>
      <c r="AO405" s="4" t="str">
        <f>IFERROR(__xludf.DUMMYFUNCTION("GOOGLETRANSLATE(B405,""en"",""is"")"),"Nei")</f>
        <v>Nei</v>
      </c>
      <c r="AP405" s="4" t="str">
        <f>IFERROR(__xludf.DUMMYFUNCTION("GOOGLETRANSLATE(B405,""en"",""no"")"),"Ingen")</f>
        <v>Ingen</v>
      </c>
      <c r="AQ405" s="4" t="str">
        <f>IFERROR(__xludf.DUMMYFUNCTION("GOOGLETRANSLATE(B405,""en"",""fa"")"),"خیر")</f>
        <v>خیر</v>
      </c>
      <c r="AR405" s="4" t="str">
        <f>IFERROR(__xludf.DUMMYFUNCTION("GOOGLETRANSLATE(B405,""en"",""pl"")"),"NIE")</f>
        <v>NIE</v>
      </c>
      <c r="AS405" s="4" t="str">
        <f>IFERROR(__xludf.DUMMYFUNCTION("GOOGLETRANSLATE(B405,""en"",""sv"")"),"Inga")</f>
        <v>Inga</v>
      </c>
      <c r="AT405" s="4" t="str">
        <f>IFERROR(__xludf.DUMMYFUNCTION("GOOGLETRANSLATE(B405,""en"",""uk"")"),"немає")</f>
        <v>немає</v>
      </c>
      <c r="AU405" s="4" t="str">
        <f>IFERROR(__xludf.DUMMYFUNCTION("GOOGLETRANSLATE(B405,""en"",""zu"")"),"Cha")</f>
        <v>Cha</v>
      </c>
      <c r="AV405" s="4" t="str">
        <f>IFERROR(__xludf.DUMMYFUNCTION("GOOGLETRANSLATE(B405,""en"",""sr"")"),"бр")</f>
        <v>бр</v>
      </c>
    </row>
    <row r="406">
      <c r="A406" s="3" t="s">
        <v>794</v>
      </c>
      <c r="B406" s="3" t="s">
        <v>731</v>
      </c>
      <c r="C406" s="4" t="str">
        <f>IFERROR(__xludf.DUMMYFUNCTION("GOOGLETRANSLATE(B406,""en"",""ta"")"),"நீக்கு")</f>
        <v>நீக்கு</v>
      </c>
      <c r="D406" s="4" t="str">
        <f>IFERROR(__xludf.DUMMYFUNCTION("GOOGLETRANSLATE(B406,""en"",""hi"")"),"मिटाना")</f>
        <v>मिटाना</v>
      </c>
      <c r="E406" s="4" t="str">
        <f>IFERROR(__xludf.DUMMYFUNCTION("GOOGLETRANSLATE(B406,""en"",""id"")"),"Menghapus")</f>
        <v>Menghapus</v>
      </c>
      <c r="F406" s="4" t="str">
        <f>IFERROR(__xludf.DUMMYFUNCTION("GOOGLETRANSLATE(B406,""en"",""ms"")"),"Padam")</f>
        <v>Padam</v>
      </c>
      <c r="G406" s="4" t="str">
        <f>IFERROR(__xludf.DUMMYFUNCTION("GOOGLETRANSLATE(B406,""en"",""de"")"),"Löschen")</f>
        <v>Löschen</v>
      </c>
      <c r="H406" s="4" t="str">
        <f>IFERROR(__xludf.DUMMYFUNCTION("GOOGLETRANSLATE(B406,""en"",""es"")"),"Borrar")</f>
        <v>Borrar</v>
      </c>
      <c r="I406" s="4" t="str">
        <f>IFERROR(__xludf.DUMMYFUNCTION("GOOGLETRANSLATE(B406,""en"",""fr"")"),"Supprimer")</f>
        <v>Supprimer</v>
      </c>
      <c r="J406" s="4" t="str">
        <f>IFERROR(__xludf.DUMMYFUNCTION("GOOGLETRANSLATE(B406,""en"",""it"")"),"Eliminare")</f>
        <v>Eliminare</v>
      </c>
      <c r="K406" s="4" t="str">
        <f>IFERROR(__xludf.DUMMYFUNCTION("GOOGLETRANSLATE(B406,""en"",""pt"")"),"Excluir")</f>
        <v>Excluir</v>
      </c>
      <c r="L406" s="4" t="str">
        <f>IFERROR(__xludf.DUMMYFUNCTION("GOOGLETRANSLATE(B406,""en"",""ro"")"),"Şterge")</f>
        <v>Şterge</v>
      </c>
      <c r="M406" s="4" t="str">
        <f>IFERROR(__xludf.DUMMYFUNCTION("GOOGLETRANSLATE(B406,""en"",""vi"")"),"Xóa bỏ")</f>
        <v>Xóa bỏ</v>
      </c>
      <c r="N406" s="4" t="str">
        <f>IFERROR(__xludf.DUMMYFUNCTION("GOOGLETRANSLATE(B406,""en"",""ru"")"),"Удалить")</f>
        <v>Удалить</v>
      </c>
      <c r="O406" s="4" t="str">
        <f>IFERROR(__xludf.DUMMYFUNCTION("GOOGLETRANSLATE(B406,""en"",""tr"")"),"Silmek")</f>
        <v>Silmek</v>
      </c>
      <c r="P406" s="4" t="str">
        <f>IFERROR(__xludf.DUMMYFUNCTION("GOOGLETRANSLATE(B406,""en"",""ar"")"),"يمسح")</f>
        <v>يمسح</v>
      </c>
      <c r="Q406" s="4" t="str">
        <f>IFERROR(__xludf.DUMMYFUNCTION("GOOGLETRANSLATE(B406,""en"",""mr"")"),"हटवा")</f>
        <v>हटवा</v>
      </c>
      <c r="R406" s="4" t="str">
        <f>IFERROR(__xludf.DUMMYFUNCTION("GOOGLETRANSLATE(B406,""en"",""gu"")"),"કાઢી નાખો")</f>
        <v>કાઢી નાખો</v>
      </c>
      <c r="S406" s="4" t="str">
        <f>IFERROR(__xludf.DUMMYFUNCTION("GOOGLETRANSLATE(B406,""en"",""bn"")"),"মুছে দিন")</f>
        <v>মুছে দিন</v>
      </c>
      <c r="T406" s="4" t="str">
        <f>IFERROR(__xludf.DUMMYFUNCTION("GOOGLETRANSLATE(B406,""en"",""pa"")"),"ਮਿਟਾਓ")</f>
        <v>ਮਿਟਾਓ</v>
      </c>
      <c r="U406" s="4" t="str">
        <f>IFERROR(__xludf.DUMMYFUNCTION("GOOGLETRANSLATE(B406,""en"",""te"")"),"తొలగించు")</f>
        <v>తొలగించు</v>
      </c>
      <c r="V406" s="4" t="str">
        <f>IFERROR(__xludf.DUMMYFUNCTION("GOOGLETRANSLATE(B406,""en"",""kn"")"),"ಅಳಿಸಿ")</f>
        <v>ಅಳಿಸಿ</v>
      </c>
      <c r="W406" s="4" t="str">
        <f>IFERROR(__xludf.DUMMYFUNCTION("GOOGLETRANSLATE(B406,""en"",""ml"")"),"ഇല്ലാതാക്കുക")</f>
        <v>ഇല്ലാതാക്കുക</v>
      </c>
      <c r="X406" s="4" t="str">
        <f>IFERROR(__xludf.DUMMYFUNCTION("GOOGLETRANSLATE(B406,""en"",""th"")"),"ลบ")</f>
        <v>ลบ</v>
      </c>
      <c r="Y406" s="4" t="str">
        <f>IFERROR(__xludf.DUMMYFUNCTION("GOOGLETRANSLATE(B406,""en"",""ko"")"),"삭제")</f>
        <v>삭제</v>
      </c>
      <c r="Z406" s="4" t="str">
        <f>IFERROR(__xludf.DUMMYFUNCTION("GOOGLETRANSLATE(B406,""en"",""zh"")"),"删除")</f>
        <v>删除</v>
      </c>
      <c r="AA406" s="4" t="str">
        <f>IFERROR(__xludf.DUMMYFUNCTION("GOOGLETRANSLATE(B406,""en"",""zh-TW"")"),"刪除")</f>
        <v>刪除</v>
      </c>
      <c r="AB406" s="4" t="str">
        <f>IFERROR(__xludf.DUMMYFUNCTION("GOOGLETRANSLATE(B406,""en"",""ja"")"),"消去")</f>
        <v>消去</v>
      </c>
      <c r="AC406" s="4" t="str">
        <f>IFERROR(__xludf.DUMMYFUNCTION("GOOGLETRANSLATE(B406,""en"",""bg"")"),"Изтриване")</f>
        <v>Изтриване</v>
      </c>
      <c r="AD406" s="4" t="str">
        <f>IFERROR(__xludf.DUMMYFUNCTION("GOOGLETRANSLATE(B406,""en"",""cs"")"),"Vymazat")</f>
        <v>Vymazat</v>
      </c>
      <c r="AE406" s="4" t="str">
        <f>IFERROR(__xludf.DUMMYFUNCTION("GOOGLETRANSLATE(B406,""en"",""da"")"),"Slet")</f>
        <v>Slet</v>
      </c>
      <c r="AF406" s="4" t="str">
        <f>IFERROR(__xludf.DUMMYFUNCTION("GOOGLETRANSLATE(B406,""en"",""el"")"),"Διαγράφω")</f>
        <v>Διαγράφω</v>
      </c>
      <c r="AG406" s="4" t="str">
        <f>IFERROR(__xludf.DUMMYFUNCTION("GOOGLETRANSLATE(B406,""en"",""et"")"),"Kustuta")</f>
        <v>Kustuta</v>
      </c>
      <c r="AH406" s="4" t="str">
        <f>IFERROR(__xludf.DUMMYFUNCTION("GOOGLETRANSLATE(B406,""en"",""fi"")"),"Poistaa")</f>
        <v>Poistaa</v>
      </c>
      <c r="AI406" s="4" t="str">
        <f>IFERROR(__xludf.DUMMYFUNCTION("GOOGLETRANSLATE(B406,""en"",""hr"")"),"Izbrisati")</f>
        <v>Izbrisati</v>
      </c>
      <c r="AJ406" s="4" t="str">
        <f>IFERROR(__xludf.DUMMYFUNCTION("GOOGLETRANSLATE(B406,""en"",""hu"")"),"Töröl")</f>
        <v>Töröl</v>
      </c>
      <c r="AK406" s="4" t="str">
        <f>IFERROR(__xludf.DUMMYFUNCTION("GOOGLETRANSLATE(B406,""en"",""hy"")"),"Ջնջել")</f>
        <v>Ջնջել</v>
      </c>
      <c r="AL406" s="4" t="str">
        <f>IFERROR(__xludf.DUMMYFUNCTION("GOOGLETRANSLATE(B406,""en"",""ca"")"),"Suprimeix")</f>
        <v>Suprimeix</v>
      </c>
      <c r="AM406" s="4" t="str">
        <f>IFERROR(__xludf.DUMMYFUNCTION("GOOGLETRANSLATE(B406,""en"",""nl"")"),"Verwijderen")</f>
        <v>Verwijderen</v>
      </c>
      <c r="AN406" s="4" t="str">
        <f>IFERROR(__xludf.DUMMYFUNCTION("GOOGLETRANSLATE(B406,""en"",""he"")"),"לִמְחוֹק")</f>
        <v>לִמְחוֹק</v>
      </c>
      <c r="AO406" s="4" t="str">
        <f>IFERROR(__xludf.DUMMYFUNCTION("GOOGLETRANSLATE(B406,""en"",""is"")"),"Eyða")</f>
        <v>Eyða</v>
      </c>
      <c r="AP406" s="4" t="str">
        <f>IFERROR(__xludf.DUMMYFUNCTION("GOOGLETRANSLATE(B406,""en"",""no"")"),"Slett")</f>
        <v>Slett</v>
      </c>
      <c r="AQ406" s="4" t="str">
        <f>IFERROR(__xludf.DUMMYFUNCTION("GOOGLETRANSLATE(B406,""en"",""fa"")"),"حذف کنید")</f>
        <v>حذف کنید</v>
      </c>
      <c r="AR406" s="4" t="str">
        <f>IFERROR(__xludf.DUMMYFUNCTION("GOOGLETRANSLATE(B406,""en"",""pl"")"),"Usuwać")</f>
        <v>Usuwać</v>
      </c>
      <c r="AS406" s="4" t="str">
        <f>IFERROR(__xludf.DUMMYFUNCTION("GOOGLETRANSLATE(B406,""en"",""sv"")"),"Radera")</f>
        <v>Radera</v>
      </c>
      <c r="AT406" s="4" t="str">
        <f>IFERROR(__xludf.DUMMYFUNCTION("GOOGLETRANSLATE(B406,""en"",""uk"")"),"Видалити")</f>
        <v>Видалити</v>
      </c>
      <c r="AU406" s="4" t="str">
        <f>IFERROR(__xludf.DUMMYFUNCTION("GOOGLETRANSLATE(B406,""en"",""zu"")"),"Susa")</f>
        <v>Susa</v>
      </c>
      <c r="AV406" s="4" t="str">
        <f>IFERROR(__xludf.DUMMYFUNCTION("GOOGLETRANSLATE(B406,""en"",""sr"")"),"Избриши")</f>
        <v>Избриши</v>
      </c>
    </row>
    <row r="407">
      <c r="A407" s="3" t="s">
        <v>795</v>
      </c>
      <c r="B407" s="3" t="s">
        <v>773</v>
      </c>
      <c r="C407" s="4" t="str">
        <f>IFERROR(__xludf.DUMMYFUNCTION("GOOGLETRANSLATE(B407,""en"",""ta"")"),"தொடக்க இடம்")</f>
        <v>தொடக்க இடம்</v>
      </c>
      <c r="D407" s="4" t="str">
        <f>IFERROR(__xludf.DUMMYFUNCTION("GOOGLETRANSLATE(B407,""en"",""hi"")"),"आरंभ स्थान")</f>
        <v>आरंभ स्थान</v>
      </c>
      <c r="E407" s="4" t="str">
        <f>IFERROR(__xludf.DUMMYFUNCTION("GOOGLETRANSLATE(B407,""en"",""id"")"),"Tempat Mulai")</f>
        <v>Tempat Mulai</v>
      </c>
      <c r="F407" s="4" t="str">
        <f>IFERROR(__xludf.DUMMYFUNCTION("GOOGLETRANSLATE(B407,""en"",""ms"")"),"Tempat Mula")</f>
        <v>Tempat Mula</v>
      </c>
      <c r="G407" s="4" t="str">
        <f>IFERROR(__xludf.DUMMYFUNCTION("GOOGLETRANSLATE(B407,""en"",""de"")"),"Startort")</f>
        <v>Startort</v>
      </c>
      <c r="H407" s="4" t="str">
        <f>IFERROR(__xludf.DUMMYFUNCTION("GOOGLETRANSLATE(B407,""en"",""es"")"),"Lugar de inicio")</f>
        <v>Lugar de inicio</v>
      </c>
      <c r="I407" s="4" t="str">
        <f>IFERROR(__xludf.DUMMYFUNCTION("GOOGLETRANSLATE(B407,""en"",""fr"")"),"Lieu de départ")</f>
        <v>Lieu de départ</v>
      </c>
      <c r="J407" s="4" t="str">
        <f>IFERROR(__xludf.DUMMYFUNCTION("GOOGLETRANSLATE(B407,""en"",""it"")"),"Luogo di partenza")</f>
        <v>Luogo di partenza</v>
      </c>
      <c r="K407" s="4" t="str">
        <f>IFERROR(__xludf.DUMMYFUNCTION("GOOGLETRANSLATE(B407,""en"",""pt"")"),"Local de início")</f>
        <v>Local de início</v>
      </c>
      <c r="L407" s="4" t="str">
        <f>IFERROR(__xludf.DUMMYFUNCTION("GOOGLETRANSLATE(B407,""en"",""ro"")"),"Locul de pornire")</f>
        <v>Locul de pornire</v>
      </c>
      <c r="M407" s="4" t="str">
        <f>IFERROR(__xludf.DUMMYFUNCTION("GOOGLETRANSLATE(B407,""en"",""vi"")"),"Nơi bắt đầu")</f>
        <v>Nơi bắt đầu</v>
      </c>
      <c r="N407" s="4" t="str">
        <f>IFERROR(__xludf.DUMMYFUNCTION("GOOGLETRANSLATE(B407,""en"",""ru"")"),"Место старта")</f>
        <v>Место старта</v>
      </c>
      <c r="O407" s="4" t="str">
        <f>IFERROR(__xludf.DUMMYFUNCTION("GOOGLETRANSLATE(B407,""en"",""tr"")"),"Başlangıç ​​Yeri")</f>
        <v>Başlangıç ​​Yeri</v>
      </c>
      <c r="P407" s="4" t="str">
        <f>IFERROR(__xludf.DUMMYFUNCTION("GOOGLETRANSLATE(B407,""en"",""ar"")"),"مكان البداية")</f>
        <v>مكان البداية</v>
      </c>
      <c r="Q407" s="4" t="str">
        <f>IFERROR(__xludf.DUMMYFUNCTION("GOOGLETRANSLATE(B407,""en"",""mr"")"),"प्रारंभ ठिकाण")</f>
        <v>प्रारंभ ठिकाण</v>
      </c>
      <c r="R407" s="4" t="str">
        <f>IFERROR(__xludf.DUMMYFUNCTION("GOOGLETRANSLATE(B407,""en"",""gu"")"),"સ્ટાર્ટ પ્લેસ")</f>
        <v>સ્ટાર્ટ પ્લેસ</v>
      </c>
      <c r="S407" s="4" t="str">
        <f>IFERROR(__xludf.DUMMYFUNCTION("GOOGLETRANSLATE(B407,""en"",""bn"")"),"স্টার্ট প্লেস")</f>
        <v>স্টার্ট প্লেস</v>
      </c>
      <c r="T407" s="4" t="str">
        <f>IFERROR(__xludf.DUMMYFUNCTION("GOOGLETRANSLATE(B407,""en"",""pa"")"),"ਸ਼ੁਰੂਆਤੀ ਸਥਾਨ")</f>
        <v>ਸ਼ੁਰੂਆਤੀ ਸਥਾਨ</v>
      </c>
      <c r="U407" s="4" t="str">
        <f>IFERROR(__xludf.DUMMYFUNCTION("GOOGLETRANSLATE(B407,""en"",""te"")"),"ప్రారంభ స్థలం")</f>
        <v>ప్రారంభ స్థలం</v>
      </c>
      <c r="V407" s="4" t="str">
        <f>IFERROR(__xludf.DUMMYFUNCTION("GOOGLETRANSLATE(B407,""en"",""kn"")"),"ಪ್ರಾರಂಭದ ಸ್ಥಳ")</f>
        <v>ಪ್ರಾರಂಭದ ಸ್ಥಳ</v>
      </c>
      <c r="W407" s="4" t="str">
        <f>IFERROR(__xludf.DUMMYFUNCTION("GOOGLETRANSLATE(B407,""en"",""ml"")"),"ആരംഭ സ്ഥലം")</f>
        <v>ആരംഭ സ്ഥലം</v>
      </c>
      <c r="X407" s="4" t="str">
        <f>IFERROR(__xludf.DUMMYFUNCTION("GOOGLETRANSLATE(B407,""en"",""th"")"),"สถานที่เริ่มต้น")</f>
        <v>สถานที่เริ่มต้น</v>
      </c>
      <c r="Y407" s="4" t="str">
        <f>IFERROR(__xludf.DUMMYFUNCTION("GOOGLETRANSLATE(B407,""en"",""ko"")"),"시작 장소")</f>
        <v>시작 장소</v>
      </c>
      <c r="Z407" s="4" t="str">
        <f>IFERROR(__xludf.DUMMYFUNCTION("GOOGLETRANSLATE(B407,""en"",""zh"")"),"起始地点")</f>
        <v>起始地点</v>
      </c>
      <c r="AA407" s="4" t="str">
        <f>IFERROR(__xludf.DUMMYFUNCTION("GOOGLETRANSLATE(B407,""en"",""zh-TW"")"),"起始地點")</f>
        <v>起始地點</v>
      </c>
      <c r="AB407" s="4" t="str">
        <f>IFERROR(__xludf.DUMMYFUNCTION("GOOGLETRANSLATE(B407,""en"",""ja"")"),"スタート地点")</f>
        <v>スタート地点</v>
      </c>
      <c r="AC407" s="4" t="str">
        <f>IFERROR(__xludf.DUMMYFUNCTION("GOOGLETRANSLATE(B407,""en"",""bg"")"),"Начално място")</f>
        <v>Начално място</v>
      </c>
      <c r="AD407" s="4" t="str">
        <f>IFERROR(__xludf.DUMMYFUNCTION("GOOGLETRANSLATE(B407,""en"",""cs"")"),"Místo startu")</f>
        <v>Místo startu</v>
      </c>
      <c r="AE407" s="4" t="str">
        <f>IFERROR(__xludf.DUMMYFUNCTION("GOOGLETRANSLATE(B407,""en"",""da"")"),"Startsted")</f>
        <v>Startsted</v>
      </c>
      <c r="AF407" s="4" t="str">
        <f>IFERROR(__xludf.DUMMYFUNCTION("GOOGLETRANSLATE(B407,""en"",""el"")"),"Θέση εκκίνησης")</f>
        <v>Θέση εκκίνησης</v>
      </c>
      <c r="AG407" s="4" t="str">
        <f>IFERROR(__xludf.DUMMYFUNCTION("GOOGLETRANSLATE(B407,""en"",""et"")"),"Alguskoht")</f>
        <v>Alguskoht</v>
      </c>
      <c r="AH407" s="4" t="str">
        <f>IFERROR(__xludf.DUMMYFUNCTION("GOOGLETRANSLATE(B407,""en"",""fi"")"),"Aloituspaikka")</f>
        <v>Aloituspaikka</v>
      </c>
      <c r="AI407" s="4" t="str">
        <f>IFERROR(__xludf.DUMMYFUNCTION("GOOGLETRANSLATE(B407,""en"",""hr"")"),"Startno mjesto")</f>
        <v>Startno mjesto</v>
      </c>
      <c r="AJ407" s="4" t="str">
        <f>IFERROR(__xludf.DUMMYFUNCTION("GOOGLETRANSLATE(B407,""en"",""hu"")"),"Kezdőhely")</f>
        <v>Kezdőhely</v>
      </c>
      <c r="AK407" s="4" t="str">
        <f>IFERROR(__xludf.DUMMYFUNCTION("GOOGLETRANSLATE(B407,""en"",""hy"")"),"Մեկնարկային վայր")</f>
        <v>Մեկնարկային վայր</v>
      </c>
      <c r="AL407" s="4" t="str">
        <f>IFERROR(__xludf.DUMMYFUNCTION("GOOGLETRANSLATE(B407,""en"",""ca"")"),"Lloc d'inici")</f>
        <v>Lloc d'inici</v>
      </c>
      <c r="AM407" s="4" t="str">
        <f>IFERROR(__xludf.DUMMYFUNCTION("GOOGLETRANSLATE(B407,""en"",""nl"")"),"Startplaats")</f>
        <v>Startplaats</v>
      </c>
      <c r="AN407" s="4" t="str">
        <f>IFERROR(__xludf.DUMMYFUNCTION("GOOGLETRANSLATE(B407,""en"",""he"")"),"מקום התחלה")</f>
        <v>מקום התחלה</v>
      </c>
      <c r="AO407" s="4" t="str">
        <f>IFERROR(__xludf.DUMMYFUNCTION("GOOGLETRANSLATE(B407,""en"",""is"")"),"Upphafsstaður")</f>
        <v>Upphafsstaður</v>
      </c>
      <c r="AP407" s="4" t="str">
        <f>IFERROR(__xludf.DUMMYFUNCTION("GOOGLETRANSLATE(B407,""en"",""no"")"),"Startsted")</f>
        <v>Startsted</v>
      </c>
      <c r="AQ407" s="4" t="str">
        <f>IFERROR(__xludf.DUMMYFUNCTION("GOOGLETRANSLATE(B407,""en"",""fa"")"),"محل شروع")</f>
        <v>محل شروع</v>
      </c>
      <c r="AR407" s="4" t="str">
        <f>IFERROR(__xludf.DUMMYFUNCTION("GOOGLETRANSLATE(B407,""en"",""pl"")"),"Miejsce startu")</f>
        <v>Miejsce startu</v>
      </c>
      <c r="AS407" s="4" t="str">
        <f>IFERROR(__xludf.DUMMYFUNCTION("GOOGLETRANSLATE(B407,""en"",""sv"")"),"Startplats")</f>
        <v>Startplats</v>
      </c>
      <c r="AT407" s="4" t="str">
        <f>IFERROR(__xludf.DUMMYFUNCTION("GOOGLETRANSLATE(B407,""en"",""uk"")"),"Місце старту")</f>
        <v>Місце старту</v>
      </c>
      <c r="AU407" s="4" t="str">
        <f>IFERROR(__xludf.DUMMYFUNCTION("GOOGLETRANSLATE(B407,""en"",""zu"")"),"Indawo yokuqala")</f>
        <v>Indawo yokuqala</v>
      </c>
      <c r="AV407" s="4" t="str">
        <f>IFERROR(__xludf.DUMMYFUNCTION("GOOGLETRANSLATE(B407,""en"",""sr"")"),"Старт Плаце")</f>
        <v>Старт Плаце</v>
      </c>
    </row>
    <row r="408">
      <c r="A408" s="3" t="s">
        <v>796</v>
      </c>
      <c r="B408" s="3" t="s">
        <v>777</v>
      </c>
      <c r="C408" s="4" t="str">
        <f>IFERROR(__xludf.DUMMYFUNCTION("GOOGLETRANSLATE(B408,""en"",""ta"")"),"இறுதி இடம்")</f>
        <v>இறுதி இடம்</v>
      </c>
      <c r="D408" s="4" t="str">
        <f>IFERROR(__xludf.DUMMYFUNCTION("GOOGLETRANSLATE(B408,""en"",""hi"")"),"अंतिम स्थान")</f>
        <v>अंतिम स्थान</v>
      </c>
      <c r="E408" s="4" t="str">
        <f>IFERROR(__xludf.DUMMYFUNCTION("GOOGLETRANSLATE(B408,""en"",""id"")"),"Tempat Akhir")</f>
        <v>Tempat Akhir</v>
      </c>
      <c r="F408" s="4" t="str">
        <f>IFERROR(__xludf.DUMMYFUNCTION("GOOGLETRANSLATE(B408,""en"",""ms"")"),"Tempat Tamat")</f>
        <v>Tempat Tamat</v>
      </c>
      <c r="G408" s="4" t="str">
        <f>IFERROR(__xludf.DUMMYFUNCTION("GOOGLETRANSLATE(B408,""en"",""de"")"),"Endplatz")</f>
        <v>Endplatz</v>
      </c>
      <c r="H408" s="4" t="str">
        <f>IFERROR(__xludf.DUMMYFUNCTION("GOOGLETRANSLATE(B408,""en"",""es"")"),"Lugar final")</f>
        <v>Lugar final</v>
      </c>
      <c r="I408" s="4" t="str">
        <f>IFERROR(__xludf.DUMMYFUNCTION("GOOGLETRANSLATE(B408,""en"",""fr"")"),"Lieu de fin")</f>
        <v>Lieu de fin</v>
      </c>
      <c r="J408" s="4" t="str">
        <f>IFERROR(__xludf.DUMMYFUNCTION("GOOGLETRANSLATE(B408,""en"",""it"")"),"Luogo di fine")</f>
        <v>Luogo di fine</v>
      </c>
      <c r="K408" s="4" t="str">
        <f>IFERROR(__xludf.DUMMYFUNCTION("GOOGLETRANSLATE(B408,""en"",""pt"")"),"Lugar final")</f>
        <v>Lugar final</v>
      </c>
      <c r="L408" s="4" t="str">
        <f>IFERROR(__xludf.DUMMYFUNCTION("GOOGLETRANSLATE(B408,""en"",""ro"")"),"Locul final")</f>
        <v>Locul final</v>
      </c>
      <c r="M408" s="4" t="str">
        <f>IFERROR(__xludf.DUMMYFUNCTION("GOOGLETRANSLATE(B408,""en"",""vi"")"),"Nơi kết thúc")</f>
        <v>Nơi kết thúc</v>
      </c>
      <c r="N408" s="4" t="str">
        <f>IFERROR(__xludf.DUMMYFUNCTION("GOOGLETRANSLATE(B408,""en"",""ru"")"),"Конечное место")</f>
        <v>Конечное место</v>
      </c>
      <c r="O408" s="4" t="str">
        <f>IFERROR(__xludf.DUMMYFUNCTION("GOOGLETRANSLATE(B408,""en"",""tr"")"),"Son Yer")</f>
        <v>Son Yer</v>
      </c>
      <c r="P408" s="4" t="str">
        <f>IFERROR(__xludf.DUMMYFUNCTION("GOOGLETRANSLATE(B408,""en"",""ar"")"),"مكان النهاية")</f>
        <v>مكان النهاية</v>
      </c>
      <c r="Q408" s="4" t="str">
        <f>IFERROR(__xludf.DUMMYFUNCTION("GOOGLETRANSLATE(B408,""en"",""mr"")"),"शेवटचे ठिकाण")</f>
        <v>शेवटचे ठिकाण</v>
      </c>
      <c r="R408" s="4" t="str">
        <f>IFERROR(__xludf.DUMMYFUNCTION("GOOGLETRANSLATE(B408,""en"",""gu"")"),"અંતિમ સ્થાન")</f>
        <v>અંતિમ સ્થાન</v>
      </c>
      <c r="S408" s="4" t="str">
        <f>IFERROR(__xludf.DUMMYFUNCTION("GOOGLETRANSLATE(B408,""en"",""bn"")"),"শেষ স্থান")</f>
        <v>শেষ স্থান</v>
      </c>
      <c r="T408" s="4" t="str">
        <f>IFERROR(__xludf.DUMMYFUNCTION("GOOGLETRANSLATE(B408,""en"",""pa"")"),"ਸਮਾਪਤੀ ਸਥਾਨ")</f>
        <v>ਸਮਾਪਤੀ ਸਥਾਨ</v>
      </c>
      <c r="U408" s="4" t="str">
        <f>IFERROR(__xludf.DUMMYFUNCTION("GOOGLETRANSLATE(B408,""en"",""te"")"),"ముగింపు స్థలం")</f>
        <v>ముగింపు స్థలం</v>
      </c>
      <c r="V408" s="4" t="str">
        <f>IFERROR(__xludf.DUMMYFUNCTION("GOOGLETRANSLATE(B408,""en"",""kn"")"),"ಅಂತಿಮ ಸ್ಥಳ")</f>
        <v>ಅಂತಿಮ ಸ್ಥಳ</v>
      </c>
      <c r="W408" s="4" t="str">
        <f>IFERROR(__xludf.DUMMYFUNCTION("GOOGLETRANSLATE(B408,""en"",""ml"")"),"അവസാന സ്ഥലം")</f>
        <v>അവസാന സ്ഥലം</v>
      </c>
      <c r="X408" s="4" t="str">
        <f>IFERROR(__xludf.DUMMYFUNCTION("GOOGLETRANSLATE(B408,""en"",""th"")"),"สถานที่สิ้นสุด")</f>
        <v>สถานที่สิ้นสุด</v>
      </c>
      <c r="Y408" s="4" t="str">
        <f>IFERROR(__xludf.DUMMYFUNCTION("GOOGLETRANSLATE(B408,""en"",""ko"")"),"끝 장소")</f>
        <v>끝 장소</v>
      </c>
      <c r="Z408" s="4" t="str">
        <f>IFERROR(__xludf.DUMMYFUNCTION("GOOGLETRANSLATE(B408,""en"",""zh"")"),"终点")</f>
        <v>终点</v>
      </c>
      <c r="AA408" s="4" t="str">
        <f>IFERROR(__xludf.DUMMYFUNCTION("GOOGLETRANSLATE(B408,""en"",""zh-TW"")"),"終點")</f>
        <v>終點</v>
      </c>
      <c r="AB408" s="4" t="str">
        <f>IFERROR(__xludf.DUMMYFUNCTION("GOOGLETRANSLATE(B408,""en"",""ja"")"),"終了場所")</f>
        <v>終了場所</v>
      </c>
      <c r="AC408" s="4" t="str">
        <f>IFERROR(__xludf.DUMMYFUNCTION("GOOGLETRANSLATE(B408,""en"",""bg"")"),"Крайно място")</f>
        <v>Крайно място</v>
      </c>
      <c r="AD408" s="4" t="str">
        <f>IFERROR(__xludf.DUMMYFUNCTION("GOOGLETRANSLATE(B408,""en"",""cs"")"),"Konečné místo")</f>
        <v>Konečné místo</v>
      </c>
      <c r="AE408" s="4" t="str">
        <f>IFERROR(__xludf.DUMMYFUNCTION("GOOGLETRANSLATE(B408,""en"",""da"")"),"Slutsted")</f>
        <v>Slutsted</v>
      </c>
      <c r="AF408" s="4" t="str">
        <f>IFERROR(__xludf.DUMMYFUNCTION("GOOGLETRANSLATE(B408,""en"",""el"")"),"Τέρμα")</f>
        <v>Τέρμα</v>
      </c>
      <c r="AG408" s="4" t="str">
        <f>IFERROR(__xludf.DUMMYFUNCTION("GOOGLETRANSLATE(B408,""en"",""et"")"),"Lõpukoht")</f>
        <v>Lõpukoht</v>
      </c>
      <c r="AH408" s="4" t="str">
        <f>IFERROR(__xludf.DUMMYFUNCTION("GOOGLETRANSLATE(B408,""en"",""fi"")"),"Loppupaikka")</f>
        <v>Loppupaikka</v>
      </c>
      <c r="AI408" s="4" t="str">
        <f>IFERROR(__xludf.DUMMYFUNCTION("GOOGLETRANSLATE(B408,""en"",""hr"")"),"Krajnje mjesto")</f>
        <v>Krajnje mjesto</v>
      </c>
      <c r="AJ408" s="4" t="str">
        <f>IFERROR(__xludf.DUMMYFUNCTION("GOOGLETRANSLATE(B408,""en"",""hu"")"),"Véghely")</f>
        <v>Véghely</v>
      </c>
      <c r="AK408" s="4" t="str">
        <f>IFERROR(__xludf.DUMMYFUNCTION("GOOGLETRANSLATE(B408,""en"",""hy"")"),"Վերջի տեղը")</f>
        <v>Վերջի տեղը</v>
      </c>
      <c r="AL408" s="4" t="str">
        <f>IFERROR(__xludf.DUMMYFUNCTION("GOOGLETRANSLATE(B408,""en"",""ca"")"),"Lloc final")</f>
        <v>Lloc final</v>
      </c>
      <c r="AM408" s="4" t="str">
        <f>IFERROR(__xludf.DUMMYFUNCTION("GOOGLETRANSLATE(B408,""en"",""nl"")"),"Eindplaats")</f>
        <v>Eindplaats</v>
      </c>
      <c r="AN408" s="4" t="str">
        <f>IFERROR(__xludf.DUMMYFUNCTION("GOOGLETRANSLATE(B408,""en"",""he"")"),"מקום סיום")</f>
        <v>מקום סיום</v>
      </c>
      <c r="AO408" s="4" t="str">
        <f>IFERROR(__xludf.DUMMYFUNCTION("GOOGLETRANSLATE(B408,""en"",""is"")"),"Lokastaður")</f>
        <v>Lokastaður</v>
      </c>
      <c r="AP408" s="4" t="str">
        <f>IFERROR(__xludf.DUMMYFUNCTION("GOOGLETRANSLATE(B408,""en"",""no"")"),"Sluttsted")</f>
        <v>Sluttsted</v>
      </c>
      <c r="AQ408" s="4" t="str">
        <f>IFERROR(__xludf.DUMMYFUNCTION("GOOGLETRANSLATE(B408,""en"",""fa"")"),"مکان پایانی")</f>
        <v>مکان پایانی</v>
      </c>
      <c r="AR408" s="4" t="str">
        <f>IFERROR(__xludf.DUMMYFUNCTION("GOOGLETRANSLATE(B408,""en"",""pl"")"),"Miejsce końcowe")</f>
        <v>Miejsce końcowe</v>
      </c>
      <c r="AS408" s="4" t="str">
        <f>IFERROR(__xludf.DUMMYFUNCTION("GOOGLETRANSLATE(B408,""en"",""sv"")"),"Slutplats")</f>
        <v>Slutplats</v>
      </c>
      <c r="AT408" s="4" t="str">
        <f>IFERROR(__xludf.DUMMYFUNCTION("GOOGLETRANSLATE(B408,""en"",""uk"")"),"Кінцеве місце")</f>
        <v>Кінцеве місце</v>
      </c>
      <c r="AU408" s="4" t="str">
        <f>IFERROR(__xludf.DUMMYFUNCTION("GOOGLETRANSLATE(B408,""en"",""zu"")"),"Indawo yokugcina")</f>
        <v>Indawo yokugcina</v>
      </c>
      <c r="AV408" s="4" t="str">
        <f>IFERROR(__xludf.DUMMYFUNCTION("GOOGLETRANSLATE(B408,""en"",""sr"")"),"Крај место")</f>
        <v>Крај место</v>
      </c>
    </row>
    <row r="409">
      <c r="A409" s="3" t="s">
        <v>797</v>
      </c>
      <c r="B409" s="3" t="s">
        <v>798</v>
      </c>
      <c r="C409" s="4" t="str">
        <f>IFERROR(__xludf.DUMMYFUNCTION("GOOGLETRANSLATE(B409,""en"",""ta"")"),"வேக வரம்பை அமைக்கவும்")</f>
        <v>வேக வரம்பை அமைக்கவும்</v>
      </c>
      <c r="D409" s="4" t="str">
        <f>IFERROR(__xludf.DUMMYFUNCTION("GOOGLETRANSLATE(B409,""en"",""hi"")"),"गति सीमा निर्धारित करें")</f>
        <v>गति सीमा निर्धारित करें</v>
      </c>
      <c r="E409" s="4" t="str">
        <f>IFERROR(__xludf.DUMMYFUNCTION("GOOGLETRANSLATE(B409,""en"",""id"")"),"Tetapkan Batas Kecepatan")</f>
        <v>Tetapkan Batas Kecepatan</v>
      </c>
      <c r="F409" s="4" t="str">
        <f>IFERROR(__xludf.DUMMYFUNCTION("GOOGLETRANSLATE(B409,""en"",""ms"")"),"Tetapkan Had Kelajuan")</f>
        <v>Tetapkan Had Kelajuan</v>
      </c>
      <c r="G409" s="4" t="str">
        <f>IFERROR(__xludf.DUMMYFUNCTION("GOOGLETRANSLATE(B409,""en"",""de"")"),"Geschwindigkeitsbegrenzung festlegen")</f>
        <v>Geschwindigkeitsbegrenzung festlegen</v>
      </c>
      <c r="H409" s="4" t="str">
        <f>IFERROR(__xludf.DUMMYFUNCTION("GOOGLETRANSLATE(B409,""en"",""es"")"),"Establecer límite de velocidad")</f>
        <v>Establecer límite de velocidad</v>
      </c>
      <c r="I409" s="4" t="str">
        <f>IFERROR(__xludf.DUMMYFUNCTION("GOOGLETRANSLATE(B409,""en"",""fr"")"),"Définir la limite de vitesse")</f>
        <v>Définir la limite de vitesse</v>
      </c>
      <c r="J409" s="4" t="str">
        <f>IFERROR(__xludf.DUMMYFUNCTION("GOOGLETRANSLATE(B409,""en"",""it"")"),"Imposta il limite di velocità")</f>
        <v>Imposta il limite di velocità</v>
      </c>
      <c r="K409" s="4" t="str">
        <f>IFERROR(__xludf.DUMMYFUNCTION("GOOGLETRANSLATE(B409,""en"",""pt"")"),"Definir limite de velocidade")</f>
        <v>Definir limite de velocidade</v>
      </c>
      <c r="L409" s="4" t="str">
        <f>IFERROR(__xludf.DUMMYFUNCTION("GOOGLETRANSLATE(B409,""en"",""ro"")"),"Setați limita de viteză")</f>
        <v>Setați limita de viteză</v>
      </c>
      <c r="M409" s="4" t="str">
        <f>IFERROR(__xludf.DUMMYFUNCTION("GOOGLETRANSLATE(B409,""en"",""vi"")"),"Đặt giới hạn tốc độ")</f>
        <v>Đặt giới hạn tốc độ</v>
      </c>
      <c r="N409" s="4" t="str">
        <f>IFERROR(__xludf.DUMMYFUNCTION("GOOGLETRANSLATE(B409,""en"",""ru"")"),"Установить ограничение скорости")</f>
        <v>Установить ограничение скорости</v>
      </c>
      <c r="O409" s="4" t="str">
        <f>IFERROR(__xludf.DUMMYFUNCTION("GOOGLETRANSLATE(B409,""en"",""tr"")"),"Hız Sınırını Ayarla")</f>
        <v>Hız Sınırını Ayarla</v>
      </c>
      <c r="P409" s="4" t="str">
        <f>IFERROR(__xludf.DUMMYFUNCTION("GOOGLETRANSLATE(B409,""en"",""ar"")"),"تعيين حد السرعة")</f>
        <v>تعيين حد السرعة</v>
      </c>
      <c r="Q409" s="4" t="str">
        <f>IFERROR(__xludf.DUMMYFUNCTION("GOOGLETRANSLATE(B409,""en"",""mr"")"),"वेग मर्यादा सेट करा")</f>
        <v>वेग मर्यादा सेट करा</v>
      </c>
      <c r="R409" s="4" t="str">
        <f>IFERROR(__xludf.DUMMYFUNCTION("GOOGLETRANSLATE(B409,""en"",""gu"")"),"ઝડપ મર્યાદા સેટ કરો")</f>
        <v>ઝડપ મર્યાદા સેટ કરો</v>
      </c>
      <c r="S409" s="4" t="str">
        <f>IFERROR(__xludf.DUMMYFUNCTION("GOOGLETRANSLATE(B409,""en"",""bn"")"),"গতি সীমা সেট করুন")</f>
        <v>গতি সীমা সেট করুন</v>
      </c>
      <c r="T409" s="4" t="str">
        <f>IFERROR(__xludf.DUMMYFUNCTION("GOOGLETRANSLATE(B409,""en"",""pa"")"),"ਸਪੀਡ ਸੀਮਾ ਸੈੱਟ ਕਰੋ")</f>
        <v>ਸਪੀਡ ਸੀਮਾ ਸੈੱਟ ਕਰੋ</v>
      </c>
      <c r="U409" s="4" t="str">
        <f>IFERROR(__xludf.DUMMYFUNCTION("GOOGLETRANSLATE(B409,""en"",""te"")"),"వేగ పరిమితిని సెట్ చేయండి")</f>
        <v>వేగ పరిమితిని సెట్ చేయండి</v>
      </c>
      <c r="V409" s="4" t="str">
        <f>IFERROR(__xludf.DUMMYFUNCTION("GOOGLETRANSLATE(B409,""en"",""kn"")"),"ವೇಗದ ಮಿತಿಯನ್ನು ಹೊಂದಿಸಿ")</f>
        <v>ವೇಗದ ಮಿತಿಯನ್ನು ಹೊಂದಿಸಿ</v>
      </c>
      <c r="W409" s="4" t="str">
        <f>IFERROR(__xludf.DUMMYFUNCTION("GOOGLETRANSLATE(B409,""en"",""ml"")"),"വേഗത പരിധി നിശ്ചയിക്കുക")</f>
        <v>വേഗത പരിധി നിശ്ചയിക്കുക</v>
      </c>
      <c r="X409" s="4" t="str">
        <f>IFERROR(__xludf.DUMMYFUNCTION("GOOGLETRANSLATE(B409,""en"",""th"")"),"ตั้งค่าจำกัดความเร็ว")</f>
        <v>ตั้งค่าจำกัดความเร็ว</v>
      </c>
      <c r="Y409" s="4" t="str">
        <f>IFERROR(__xludf.DUMMYFUNCTION("GOOGLETRANSLATE(B409,""en"",""ko"")"),"속도 제한 설정")</f>
        <v>속도 제한 설정</v>
      </c>
      <c r="Z409" s="4" t="str">
        <f>IFERROR(__xludf.DUMMYFUNCTION("GOOGLETRANSLATE(B409,""en"",""zh"")"),"设置速度限制")</f>
        <v>设置速度限制</v>
      </c>
      <c r="AA409" s="4" t="str">
        <f>IFERROR(__xludf.DUMMYFUNCTION("GOOGLETRANSLATE(B409,""en"",""zh-TW"")"),"設定速度限制")</f>
        <v>設定速度限制</v>
      </c>
      <c r="AB409" s="4" t="str">
        <f>IFERROR(__xludf.DUMMYFUNCTION("GOOGLETRANSLATE(B409,""en"",""ja"")"),"速度制限を設定する")</f>
        <v>速度制限を設定する</v>
      </c>
      <c r="AC409" s="4" t="str">
        <f>IFERROR(__xludf.DUMMYFUNCTION("GOOGLETRANSLATE(B409,""en"",""bg"")"),"Задайте ограничение на скоростта")</f>
        <v>Задайте ограничение на скоростта</v>
      </c>
      <c r="AD409" s="4" t="str">
        <f>IFERROR(__xludf.DUMMYFUNCTION("GOOGLETRANSLATE(B409,""en"",""cs"")"),"Nastavte rychlostní limit")</f>
        <v>Nastavte rychlostní limit</v>
      </c>
      <c r="AE409" s="4" t="str">
        <f>IFERROR(__xludf.DUMMYFUNCTION("GOOGLETRANSLATE(B409,""en"",""da"")"),"Indstil hastighedsgrænse")</f>
        <v>Indstil hastighedsgrænse</v>
      </c>
      <c r="AF409" s="4" t="str">
        <f>IFERROR(__xludf.DUMMYFUNCTION("GOOGLETRANSLATE(B409,""en"",""el"")"),"Ορίστε όριο ταχύτητας")</f>
        <v>Ορίστε όριο ταχύτητας</v>
      </c>
      <c r="AG409" s="4" t="str">
        <f>IFERROR(__xludf.DUMMYFUNCTION("GOOGLETRANSLATE(B409,""en"",""et"")"),"Määra kiiruspiirang")</f>
        <v>Määra kiiruspiirang</v>
      </c>
      <c r="AH409" s="4" t="str">
        <f>IFERROR(__xludf.DUMMYFUNCTION("GOOGLETRANSLATE(B409,""en"",""fi"")"),"Aseta nopeusrajoitus")</f>
        <v>Aseta nopeusrajoitus</v>
      </c>
      <c r="AI409" s="4" t="str">
        <f>IFERROR(__xludf.DUMMYFUNCTION("GOOGLETRANSLATE(B409,""en"",""hr"")"),"Postavite ograničenje brzine")</f>
        <v>Postavite ograničenje brzine</v>
      </c>
      <c r="AJ409" s="4" t="str">
        <f>IFERROR(__xludf.DUMMYFUNCTION("GOOGLETRANSLATE(B409,""en"",""hu"")"),"Sebességkorlát beállítása")</f>
        <v>Sebességkorlát beállítása</v>
      </c>
      <c r="AK409" s="4" t="str">
        <f>IFERROR(__xludf.DUMMYFUNCTION("GOOGLETRANSLATE(B409,""en"",""hy"")"),"Սահմանեք արագության սահմանաչափը")</f>
        <v>Սահմանեք արագության սահմանաչափը</v>
      </c>
      <c r="AL409" s="4" t="str">
        <f>IFERROR(__xludf.DUMMYFUNCTION("GOOGLETRANSLATE(B409,""en"",""ca"")"),"Estableix el límit de velocitat")</f>
        <v>Estableix el límit de velocitat</v>
      </c>
      <c r="AM409" s="4" t="str">
        <f>IFERROR(__xludf.DUMMYFUNCTION("GOOGLETRANSLATE(B409,""en"",""nl"")"),"Snelheidslimiet instellen")</f>
        <v>Snelheidslimiet instellen</v>
      </c>
      <c r="AN409" s="4" t="str">
        <f>IFERROR(__xludf.DUMMYFUNCTION("GOOGLETRANSLATE(B409,""en"",""he"")"),"הגדר מגבלת מהירות")</f>
        <v>הגדר מגבלת מהירות</v>
      </c>
      <c r="AO409" s="4" t="str">
        <f>IFERROR(__xludf.DUMMYFUNCTION("GOOGLETRANSLATE(B409,""en"",""is"")"),"Stilltu hámarkshraða")</f>
        <v>Stilltu hámarkshraða</v>
      </c>
      <c r="AP409" s="4" t="str">
        <f>IFERROR(__xludf.DUMMYFUNCTION("GOOGLETRANSLATE(B409,""en"",""no"")"),"Still inn fartsgrense")</f>
        <v>Still inn fartsgrense</v>
      </c>
      <c r="AQ409" s="4" t="str">
        <f>IFERROR(__xludf.DUMMYFUNCTION("GOOGLETRANSLATE(B409,""en"",""fa"")"),"محدودیت سرعت را تنظیم کنید")</f>
        <v>محدودیت سرعت را تنظیم کنید</v>
      </c>
      <c r="AR409" s="4" t="str">
        <f>IFERROR(__xludf.DUMMYFUNCTION("GOOGLETRANSLATE(B409,""en"",""pl"")"),"Ustaw ograniczenie prędkości")</f>
        <v>Ustaw ograniczenie prędkości</v>
      </c>
      <c r="AS409" s="4" t="str">
        <f>IFERROR(__xludf.DUMMYFUNCTION("GOOGLETRANSLATE(B409,""en"",""sv"")"),"Ställ in hastighetsgräns")</f>
        <v>Ställ in hastighetsgräns</v>
      </c>
      <c r="AT409" s="4" t="str">
        <f>IFERROR(__xludf.DUMMYFUNCTION("GOOGLETRANSLATE(B409,""en"",""uk"")"),"Встановити обмеження швидкості")</f>
        <v>Встановити обмеження швидкості</v>
      </c>
      <c r="AU409" s="4" t="str">
        <f>IFERROR(__xludf.DUMMYFUNCTION("GOOGLETRANSLATE(B409,""en"",""zu"")"),"Setha Umkhawulo Wejubane")</f>
        <v>Setha Umkhawulo Wejubane</v>
      </c>
      <c r="AV409" s="4" t="str">
        <f>IFERROR(__xludf.DUMMYFUNCTION("GOOGLETRANSLATE(B409,""en"",""sr"")"),"Подесите ограничење брзине")</f>
        <v>Подесите ограничење брзине</v>
      </c>
    </row>
    <row r="410">
      <c r="A410" s="3" t="s">
        <v>799</v>
      </c>
      <c r="B410" s="3" t="s">
        <v>800</v>
      </c>
      <c r="C410" s="4" t="str">
        <f>IFERROR(__xludf.DUMMYFUNCTION("GOOGLETRANSLATE(B410,""en"",""ta"")"),"வாகனத்தைத் தேர்ந்தெடுக்கவும்")</f>
        <v>வாகனத்தைத் தேர்ந்தெடுக்கவும்</v>
      </c>
      <c r="D410" s="4" t="str">
        <f>IFERROR(__xludf.DUMMYFUNCTION("GOOGLETRANSLATE(B410,""en"",""hi"")"),"वाहन का चयन करें")</f>
        <v>वाहन का चयन करें</v>
      </c>
      <c r="E410" s="4" t="str">
        <f>IFERROR(__xludf.DUMMYFUNCTION("GOOGLETRANSLATE(B410,""en"",""id"")"),"Pilih Kendaraan")</f>
        <v>Pilih Kendaraan</v>
      </c>
      <c r="F410" s="4" t="str">
        <f>IFERROR(__xludf.DUMMYFUNCTION("GOOGLETRANSLATE(B410,""en"",""ms"")"),"Pilih Kenderaan")</f>
        <v>Pilih Kenderaan</v>
      </c>
      <c r="G410" s="4" t="str">
        <f>IFERROR(__xludf.DUMMYFUNCTION("GOOGLETRANSLATE(B410,""en"",""de"")"),"Fahrzeug auswählen")</f>
        <v>Fahrzeug auswählen</v>
      </c>
      <c r="H410" s="4" t="str">
        <f>IFERROR(__xludf.DUMMYFUNCTION("GOOGLETRANSLATE(B410,""en"",""es"")"),"Seleccionar vehículo")</f>
        <v>Seleccionar vehículo</v>
      </c>
      <c r="I410" s="4" t="str">
        <f>IFERROR(__xludf.DUMMYFUNCTION("GOOGLETRANSLATE(B410,""en"",""fr"")"),"Sélectionnez le véhicule")</f>
        <v>Sélectionnez le véhicule</v>
      </c>
      <c r="J410" s="4" t="str">
        <f>IFERROR(__xludf.DUMMYFUNCTION("GOOGLETRANSLATE(B410,""en"",""it"")"),"Seleziona veicolo")</f>
        <v>Seleziona veicolo</v>
      </c>
      <c r="K410" s="4" t="str">
        <f>IFERROR(__xludf.DUMMYFUNCTION("GOOGLETRANSLATE(B410,""en"",""pt"")"),"Selecione o veículo")</f>
        <v>Selecione o veículo</v>
      </c>
      <c r="L410" s="4" t="str">
        <f>IFERROR(__xludf.DUMMYFUNCTION("GOOGLETRANSLATE(B410,""en"",""ro"")"),"Selectați Vehicul")</f>
        <v>Selectați Vehicul</v>
      </c>
      <c r="M410" s="4" t="str">
        <f>IFERROR(__xludf.DUMMYFUNCTION("GOOGLETRANSLATE(B410,""en"",""vi"")"),"Chọn xe")</f>
        <v>Chọn xe</v>
      </c>
      <c r="N410" s="4" t="str">
        <f>IFERROR(__xludf.DUMMYFUNCTION("GOOGLETRANSLATE(B410,""en"",""ru"")"),"Выбрать автомобиль")</f>
        <v>Выбрать автомобиль</v>
      </c>
      <c r="O410" s="4" t="str">
        <f>IFERROR(__xludf.DUMMYFUNCTION("GOOGLETRANSLATE(B410,""en"",""tr"")"),"Araç Seçin")</f>
        <v>Araç Seçin</v>
      </c>
      <c r="P410" s="4" t="str">
        <f>IFERROR(__xludf.DUMMYFUNCTION("GOOGLETRANSLATE(B410,""en"",""ar"")"),"اختر السيارة")</f>
        <v>اختر السيارة</v>
      </c>
      <c r="Q410" s="4" t="str">
        <f>IFERROR(__xludf.DUMMYFUNCTION("GOOGLETRANSLATE(B410,""en"",""mr"")"),"वाहन निवडा")</f>
        <v>वाहन निवडा</v>
      </c>
      <c r="R410" s="4" t="str">
        <f>IFERROR(__xludf.DUMMYFUNCTION("GOOGLETRANSLATE(B410,""en"",""gu"")"),"વાહન પસંદ કરો")</f>
        <v>વાહન પસંદ કરો</v>
      </c>
      <c r="S410" s="4" t="str">
        <f>IFERROR(__xludf.DUMMYFUNCTION("GOOGLETRANSLATE(B410,""en"",""bn"")"),"যানবাহন নির্বাচন করুন")</f>
        <v>যানবাহন নির্বাচন করুন</v>
      </c>
      <c r="T410" s="4" t="str">
        <f>IFERROR(__xludf.DUMMYFUNCTION("GOOGLETRANSLATE(B410,""en"",""pa"")"),"ਵਾਹਨ ਚੁਣੋ")</f>
        <v>ਵਾਹਨ ਚੁਣੋ</v>
      </c>
      <c r="U410" s="4" t="str">
        <f>IFERROR(__xludf.DUMMYFUNCTION("GOOGLETRANSLATE(B410,""en"",""te"")"),"వాహనాన్ని ఎంచుకోండి")</f>
        <v>వాహనాన్ని ఎంచుకోండి</v>
      </c>
      <c r="V410" s="4" t="str">
        <f>IFERROR(__xludf.DUMMYFUNCTION("GOOGLETRANSLATE(B410,""en"",""kn"")"),"ವಾಹನವನ್ನು ಆಯ್ಕೆಮಾಡಿ")</f>
        <v>ವಾಹನವನ್ನು ಆಯ್ಕೆಮಾಡಿ</v>
      </c>
      <c r="W410" s="4" t="str">
        <f>IFERROR(__xludf.DUMMYFUNCTION("GOOGLETRANSLATE(B410,""en"",""ml"")"),"വാഹനം തിരഞ്ഞെടുക്കുക")</f>
        <v>വാഹനം തിരഞ്ഞെടുക്കുക</v>
      </c>
      <c r="X410" s="4" t="str">
        <f>IFERROR(__xludf.DUMMYFUNCTION("GOOGLETRANSLATE(B410,""en"",""th"")"),"เลือกยานพาหนะ")</f>
        <v>เลือกยานพาหนะ</v>
      </c>
      <c r="Y410" s="4" t="str">
        <f>IFERROR(__xludf.DUMMYFUNCTION("GOOGLETRANSLATE(B410,""en"",""ko"")"),"차량 선택")</f>
        <v>차량 선택</v>
      </c>
      <c r="Z410" s="4" t="str">
        <f>IFERROR(__xludf.DUMMYFUNCTION("GOOGLETRANSLATE(B410,""en"",""zh"")"),"选择车辆")</f>
        <v>选择车辆</v>
      </c>
      <c r="AA410" s="4" t="str">
        <f>IFERROR(__xludf.DUMMYFUNCTION("GOOGLETRANSLATE(B410,""en"",""zh-TW"")"),"選擇車輛")</f>
        <v>選擇車輛</v>
      </c>
      <c r="AB410" s="4" t="str">
        <f>IFERROR(__xludf.DUMMYFUNCTION("GOOGLETRANSLATE(B410,""en"",""ja"")"),"車両を選択")</f>
        <v>車両を選択</v>
      </c>
      <c r="AC410" s="4" t="str">
        <f>IFERROR(__xludf.DUMMYFUNCTION("GOOGLETRANSLATE(B410,""en"",""bg"")"),"Изберете Превозно средство")</f>
        <v>Изберете Превозно средство</v>
      </c>
      <c r="AD410" s="4" t="str">
        <f>IFERROR(__xludf.DUMMYFUNCTION("GOOGLETRANSLATE(B410,""en"",""cs"")"),"Vyberte Vozidlo")</f>
        <v>Vyberte Vozidlo</v>
      </c>
      <c r="AE410" s="4" t="str">
        <f>IFERROR(__xludf.DUMMYFUNCTION("GOOGLETRANSLATE(B410,""en"",""da"")"),"Vælg Køretøj")</f>
        <v>Vælg Køretøj</v>
      </c>
      <c r="AF410" s="4" t="str">
        <f>IFERROR(__xludf.DUMMYFUNCTION("GOOGLETRANSLATE(B410,""en"",""el"")"),"Επιλέξτε Όχημα")</f>
        <v>Επιλέξτε Όχημα</v>
      </c>
      <c r="AG410" s="4" t="str">
        <f>IFERROR(__xludf.DUMMYFUNCTION("GOOGLETRANSLATE(B410,""en"",""et"")"),"Valige Sõiduk")</f>
        <v>Valige Sõiduk</v>
      </c>
      <c r="AH410" s="4" t="str">
        <f>IFERROR(__xludf.DUMMYFUNCTION("GOOGLETRANSLATE(B410,""en"",""fi"")"),"Valitse Ajoneuvo")</f>
        <v>Valitse Ajoneuvo</v>
      </c>
      <c r="AI410" s="4" t="str">
        <f>IFERROR(__xludf.DUMMYFUNCTION("GOOGLETRANSLATE(B410,""en"",""hr"")"),"Odaberite Vozilo")</f>
        <v>Odaberite Vozilo</v>
      </c>
      <c r="AJ410" s="4" t="str">
        <f>IFERROR(__xludf.DUMMYFUNCTION("GOOGLETRANSLATE(B410,""en"",""hu"")"),"Válassza a Jármű lehetőséget")</f>
        <v>Válassza a Jármű lehetőséget</v>
      </c>
      <c r="AK410" s="4" t="str">
        <f>IFERROR(__xludf.DUMMYFUNCTION("GOOGLETRANSLATE(B410,""en"",""hy"")"),"Ընտրեք մեքենա")</f>
        <v>Ընտրեք մեքենա</v>
      </c>
      <c r="AL410" s="4" t="str">
        <f>IFERROR(__xludf.DUMMYFUNCTION("GOOGLETRANSLATE(B410,""en"",""ca"")"),"Seleccioneu Vehicle")</f>
        <v>Seleccioneu Vehicle</v>
      </c>
      <c r="AM410" s="4" t="str">
        <f>IFERROR(__xludf.DUMMYFUNCTION("GOOGLETRANSLATE(B410,""en"",""nl"")"),"Selecteer voertuig")</f>
        <v>Selecteer voertuig</v>
      </c>
      <c r="AN410" s="4" t="str">
        <f>IFERROR(__xludf.DUMMYFUNCTION("GOOGLETRANSLATE(B410,""en"",""he"")"),"בחר רכב")</f>
        <v>בחר רכב</v>
      </c>
      <c r="AO410" s="4" t="str">
        <f>IFERROR(__xludf.DUMMYFUNCTION("GOOGLETRANSLATE(B410,""en"",""is"")"),"Veldu Ökutæki")</f>
        <v>Veldu Ökutæki</v>
      </c>
      <c r="AP410" s="4" t="str">
        <f>IFERROR(__xludf.DUMMYFUNCTION("GOOGLETRANSLATE(B410,""en"",""no"")"),"Velg Kjøretøy")</f>
        <v>Velg Kjøretøy</v>
      </c>
      <c r="AQ410" s="4" t="str">
        <f>IFERROR(__xludf.DUMMYFUNCTION("GOOGLETRANSLATE(B410,""en"",""fa"")"),"Vehicle را انتخاب کنید")</f>
        <v>Vehicle را انتخاب کنید</v>
      </c>
      <c r="AR410" s="4" t="str">
        <f>IFERROR(__xludf.DUMMYFUNCTION("GOOGLETRANSLATE(B410,""en"",""pl"")"),"Wybierz pojazd")</f>
        <v>Wybierz pojazd</v>
      </c>
      <c r="AS410" s="4" t="str">
        <f>IFERROR(__xludf.DUMMYFUNCTION("GOOGLETRANSLATE(B410,""en"",""sv"")"),"Välj Fordon")</f>
        <v>Välj Fordon</v>
      </c>
      <c r="AT410" s="4" t="str">
        <f>IFERROR(__xludf.DUMMYFUNCTION("GOOGLETRANSLATE(B410,""en"",""uk"")"),"Виберіть Транспортний засіб")</f>
        <v>Виберіть Транспортний засіб</v>
      </c>
      <c r="AU410" s="4" t="str">
        <f>IFERROR(__xludf.DUMMYFUNCTION("GOOGLETRANSLATE(B410,""en"",""zu"")"),"Khetha Imoto")</f>
        <v>Khetha Imoto</v>
      </c>
      <c r="AV410" s="4" t="str">
        <f>IFERROR(__xludf.DUMMYFUNCTION("GOOGLETRANSLATE(B410,""en"",""sr"")"),"Изаберите Возило")</f>
        <v>Изаберите Возило</v>
      </c>
    </row>
    <row r="411">
      <c r="A411" s="3" t="s">
        <v>801</v>
      </c>
      <c r="B411" s="3" t="s">
        <v>802</v>
      </c>
      <c r="C411" s="4" t="str">
        <f>IFERROR(__xludf.DUMMYFUNCTION("GOOGLETRANSLATE(B411,""en"",""ta"")"),"வேக வரம்பை உள்ளிடவும்")</f>
        <v>வேக வரம்பை உள்ளிடவும்</v>
      </c>
      <c r="D411" s="4" t="str">
        <f>IFERROR(__xludf.DUMMYFUNCTION("GOOGLETRANSLATE(B411,""en"",""hi"")"),"गति सीमा दर्ज करें")</f>
        <v>गति सीमा दर्ज करें</v>
      </c>
      <c r="E411" s="4" t="str">
        <f>IFERROR(__xludf.DUMMYFUNCTION("GOOGLETRANSLATE(B411,""en"",""id"")"),"Masukkan Batas Kecepatan")</f>
        <v>Masukkan Batas Kecepatan</v>
      </c>
      <c r="F411" s="4" t="str">
        <f>IFERROR(__xludf.DUMMYFUNCTION("GOOGLETRANSLATE(B411,""en"",""ms"")"),"Masukkan Had Kelajuan")</f>
        <v>Masukkan Had Kelajuan</v>
      </c>
      <c r="G411" s="4" t="str">
        <f>IFERROR(__xludf.DUMMYFUNCTION("GOOGLETRANSLATE(B411,""en"",""de"")"),"Geschwindigkeitsbegrenzung eingeben")</f>
        <v>Geschwindigkeitsbegrenzung eingeben</v>
      </c>
      <c r="H411" s="4" t="str">
        <f>IFERROR(__xludf.DUMMYFUNCTION("GOOGLETRANSLATE(B411,""en"",""es"")"),"Introducir límite de velocidad")</f>
        <v>Introducir límite de velocidad</v>
      </c>
      <c r="I411" s="4" t="str">
        <f>IFERROR(__xludf.DUMMYFUNCTION("GOOGLETRANSLATE(B411,""en"",""fr"")"),"Entrez la limite de vitesse")</f>
        <v>Entrez la limite de vitesse</v>
      </c>
      <c r="J411" s="4" t="str">
        <f>IFERROR(__xludf.DUMMYFUNCTION("GOOGLETRANSLATE(B411,""en"",""it"")"),"Inserisci il limite di velocità")</f>
        <v>Inserisci il limite di velocità</v>
      </c>
      <c r="K411" s="4" t="str">
        <f>IFERROR(__xludf.DUMMYFUNCTION("GOOGLETRANSLATE(B411,""en"",""pt"")"),"Digite o limite de velocidade")</f>
        <v>Digite o limite de velocidade</v>
      </c>
      <c r="L411" s="4" t="str">
        <f>IFERROR(__xludf.DUMMYFUNCTION("GOOGLETRANSLATE(B411,""en"",""ro"")"),"Introduceți limita de viteză")</f>
        <v>Introduceți limita de viteză</v>
      </c>
      <c r="M411" s="4" t="str">
        <f>IFERROR(__xludf.DUMMYFUNCTION("GOOGLETRANSLATE(B411,""en"",""vi"")"),"Nhập giới hạn tốc độ")</f>
        <v>Nhập giới hạn tốc độ</v>
      </c>
      <c r="N411" s="4" t="str">
        <f>IFERROR(__xludf.DUMMYFUNCTION("GOOGLETRANSLATE(B411,""en"",""ru"")"),"Введите ограничение скорости")</f>
        <v>Введите ограничение скорости</v>
      </c>
      <c r="O411" s="4" t="str">
        <f>IFERROR(__xludf.DUMMYFUNCTION("GOOGLETRANSLATE(B411,""en"",""tr"")"),"Hız Sınırını Girin")</f>
        <v>Hız Sınırını Girin</v>
      </c>
      <c r="P411" s="4" t="str">
        <f>IFERROR(__xludf.DUMMYFUNCTION("GOOGLETRANSLATE(B411,""en"",""ar"")"),"أدخل حد السرعة")</f>
        <v>أدخل حد السرعة</v>
      </c>
      <c r="Q411" s="4" t="str">
        <f>IFERROR(__xludf.DUMMYFUNCTION("GOOGLETRANSLATE(B411,""en"",""mr"")"),"गती मर्यादा प्रविष्ट करा")</f>
        <v>गती मर्यादा प्रविष्ट करा</v>
      </c>
      <c r="R411" s="4" t="str">
        <f>IFERROR(__xludf.DUMMYFUNCTION("GOOGLETRANSLATE(B411,""en"",""gu"")"),"ઝડપ મર્યાદા દાખલ કરો")</f>
        <v>ઝડપ મર્યાદા દાખલ કરો</v>
      </c>
      <c r="S411" s="4" t="str">
        <f>IFERROR(__xludf.DUMMYFUNCTION("GOOGLETRANSLATE(B411,""en"",""bn"")"),"গতি সীমা লিখুন")</f>
        <v>গতি সীমা লিখুন</v>
      </c>
      <c r="T411" s="4" t="str">
        <f>IFERROR(__xludf.DUMMYFUNCTION("GOOGLETRANSLATE(B411,""en"",""pa"")"),"ਸਪੀਡ ਸੀਮਾ ਦਰਜ ਕਰੋ")</f>
        <v>ਸਪੀਡ ਸੀਮਾ ਦਰਜ ਕਰੋ</v>
      </c>
      <c r="U411" s="4" t="str">
        <f>IFERROR(__xludf.DUMMYFUNCTION("GOOGLETRANSLATE(B411,""en"",""te"")"),"వేగ పరిమితిని నమోదు చేయండి")</f>
        <v>వేగ పరిమితిని నమోదు చేయండి</v>
      </c>
      <c r="V411" s="4" t="str">
        <f>IFERROR(__xludf.DUMMYFUNCTION("GOOGLETRANSLATE(B411,""en"",""kn"")"),"ವೇಗದ ಮಿತಿಯನ್ನು ನಮೂದಿಸಿ")</f>
        <v>ವೇಗದ ಮಿತಿಯನ್ನು ನಮೂದಿಸಿ</v>
      </c>
      <c r="W411" s="4" t="str">
        <f>IFERROR(__xludf.DUMMYFUNCTION("GOOGLETRANSLATE(B411,""en"",""ml"")"),"വേഗത പരിധി നൽകുക")</f>
        <v>വേഗത പരിധി നൽകുക</v>
      </c>
      <c r="X411" s="4" t="str">
        <f>IFERROR(__xludf.DUMMYFUNCTION("GOOGLETRANSLATE(B411,""en"",""th"")"),"กรอกจำกัดความเร็ว")</f>
        <v>กรอกจำกัดความเร็ว</v>
      </c>
      <c r="Y411" s="4" t="str">
        <f>IFERROR(__xludf.DUMMYFUNCTION("GOOGLETRANSLATE(B411,""en"",""ko"")"),"속도 제한을 입력하세요")</f>
        <v>속도 제한을 입력하세요</v>
      </c>
      <c r="Z411" s="4" t="str">
        <f>IFERROR(__xludf.DUMMYFUNCTION("GOOGLETRANSLATE(B411,""en"",""zh"")"),"输入限速")</f>
        <v>输入限速</v>
      </c>
      <c r="AA411" s="4" t="str">
        <f>IFERROR(__xludf.DUMMYFUNCTION("GOOGLETRANSLATE(B411,""en"",""zh-TW"")"),"輸入限速")</f>
        <v>輸入限速</v>
      </c>
      <c r="AB411" s="4" t="str">
        <f>IFERROR(__xludf.DUMMYFUNCTION("GOOGLETRANSLATE(B411,""en"",""ja"")"),"速度制限を入力してください")</f>
        <v>速度制限を入力してください</v>
      </c>
      <c r="AC411" s="4" t="str">
        <f>IFERROR(__xludf.DUMMYFUNCTION("GOOGLETRANSLATE(B411,""en"",""bg"")"),"Въведете ограничение на скоростта")</f>
        <v>Въведете ограничение на скоростта</v>
      </c>
      <c r="AD411" s="4" t="str">
        <f>IFERROR(__xludf.DUMMYFUNCTION("GOOGLETRANSLATE(B411,""en"",""cs"")"),"Zadejte rychlostní limit")</f>
        <v>Zadejte rychlostní limit</v>
      </c>
      <c r="AE411" s="4" t="str">
        <f>IFERROR(__xludf.DUMMYFUNCTION("GOOGLETRANSLATE(B411,""en"",""da"")"),"Indtast hastighedsgrænse")</f>
        <v>Indtast hastighedsgrænse</v>
      </c>
      <c r="AF411" s="4" t="str">
        <f>IFERROR(__xludf.DUMMYFUNCTION("GOOGLETRANSLATE(B411,""en"",""el"")"),"Εισαγάγετε το όριο ταχύτητας")</f>
        <v>Εισαγάγετε το όριο ταχύτητας</v>
      </c>
      <c r="AG411" s="4" t="str">
        <f>IFERROR(__xludf.DUMMYFUNCTION("GOOGLETRANSLATE(B411,""en"",""et"")"),"Sisesta kiirusepiirang")</f>
        <v>Sisesta kiirusepiirang</v>
      </c>
      <c r="AH411" s="4" t="str">
        <f>IFERROR(__xludf.DUMMYFUNCTION("GOOGLETRANSLATE(B411,""en"",""fi"")"),"Anna nopeusrajoitus")</f>
        <v>Anna nopeusrajoitus</v>
      </c>
      <c r="AI411" s="4" t="str">
        <f>IFERROR(__xludf.DUMMYFUNCTION("GOOGLETRANSLATE(B411,""en"",""hr"")"),"Unesite ograničenje brzine")</f>
        <v>Unesite ograničenje brzine</v>
      </c>
      <c r="AJ411" s="4" t="str">
        <f>IFERROR(__xludf.DUMMYFUNCTION("GOOGLETRANSLATE(B411,""en"",""hu"")"),"Adja meg a sebességkorlátozást")</f>
        <v>Adja meg a sebességkorlátozást</v>
      </c>
      <c r="AK411" s="4" t="str">
        <f>IFERROR(__xludf.DUMMYFUNCTION("GOOGLETRANSLATE(B411,""en"",""hy"")"),"Մուտքագրեք արագության սահմանաչափը")</f>
        <v>Մուտքագրեք արագության սահմանաչափը</v>
      </c>
      <c r="AL411" s="4" t="str">
        <f>IFERROR(__xludf.DUMMYFUNCTION("GOOGLETRANSLATE(B411,""en"",""ca"")"),"Introduïu el límit de velocitat")</f>
        <v>Introduïu el límit de velocitat</v>
      </c>
      <c r="AM411" s="4" t="str">
        <f>IFERROR(__xludf.DUMMYFUNCTION("GOOGLETRANSLATE(B411,""en"",""nl"")"),"Voer de snelheidslimiet in")</f>
        <v>Voer de snelheidslimiet in</v>
      </c>
      <c r="AN411" s="4" t="str">
        <f>IFERROR(__xludf.DUMMYFUNCTION("GOOGLETRANSLATE(B411,""en"",""he"")"),"הזן את מגבלת המהירות")</f>
        <v>הזן את מגבלת המהירות</v>
      </c>
      <c r="AO411" s="4" t="str">
        <f>IFERROR(__xludf.DUMMYFUNCTION("GOOGLETRANSLATE(B411,""en"",""is"")"),"Sláðu inn hraðatakmörk")</f>
        <v>Sláðu inn hraðatakmörk</v>
      </c>
      <c r="AP411" s="4" t="str">
        <f>IFERROR(__xludf.DUMMYFUNCTION("GOOGLETRANSLATE(B411,""en"",""no"")"),"Angi fartsgrense")</f>
        <v>Angi fartsgrense</v>
      </c>
      <c r="AQ411" s="4" t="str">
        <f>IFERROR(__xludf.DUMMYFUNCTION("GOOGLETRANSLATE(B411,""en"",""fa"")"),"محدودیت سرعت را وارد کنید")</f>
        <v>محدودیت سرعت را وارد کنید</v>
      </c>
      <c r="AR411" s="4" t="str">
        <f>IFERROR(__xludf.DUMMYFUNCTION("GOOGLETRANSLATE(B411,""en"",""pl"")"),"Wprowadź ograniczenie prędkości")</f>
        <v>Wprowadź ograniczenie prędkości</v>
      </c>
      <c r="AS411" s="4" t="str">
        <f>IFERROR(__xludf.DUMMYFUNCTION("GOOGLETRANSLATE(B411,""en"",""sv"")"),"Ange hastighetsgräns")</f>
        <v>Ange hastighetsgräns</v>
      </c>
      <c r="AT411" s="4" t="str">
        <f>IFERROR(__xludf.DUMMYFUNCTION("GOOGLETRANSLATE(B411,""en"",""uk"")"),"Введіть обмеження швидкості")</f>
        <v>Введіть обмеження швидкості</v>
      </c>
      <c r="AU411" s="4" t="str">
        <f>IFERROR(__xludf.DUMMYFUNCTION("GOOGLETRANSLATE(B411,""en"",""zu"")"),"Faka Umkhawulo Wejubane")</f>
        <v>Faka Umkhawulo Wejubane</v>
      </c>
      <c r="AV411" s="4" t="str">
        <f>IFERROR(__xludf.DUMMYFUNCTION("GOOGLETRANSLATE(B411,""en"",""sr"")"),"Унесите ограничење брзине")</f>
        <v>Унесите ограничење брзине</v>
      </c>
    </row>
    <row r="412">
      <c r="A412" s="3" t="s">
        <v>803</v>
      </c>
      <c r="B412" s="3" t="s">
        <v>804</v>
      </c>
      <c r="C412" s="4" t="str">
        <f>IFERROR(__xludf.DUMMYFUNCTION("GOOGLETRANSLATE(B412,""en"",""ta"")"),"அலகு")</f>
        <v>அலகு</v>
      </c>
      <c r="D412" s="4" t="str">
        <f>IFERROR(__xludf.DUMMYFUNCTION("GOOGLETRANSLATE(B412,""en"",""hi"")"),"इकाई")</f>
        <v>इकाई</v>
      </c>
      <c r="E412" s="4" t="str">
        <f>IFERROR(__xludf.DUMMYFUNCTION("GOOGLETRANSLATE(B412,""en"",""id"")"),"Satuan")</f>
        <v>Satuan</v>
      </c>
      <c r="F412" s="4" t="str">
        <f>IFERROR(__xludf.DUMMYFUNCTION("GOOGLETRANSLATE(B412,""en"",""ms"")"),"Unit")</f>
        <v>Unit</v>
      </c>
      <c r="G412" s="4" t="str">
        <f>IFERROR(__xludf.DUMMYFUNCTION("GOOGLETRANSLATE(B412,""en"",""de"")"),"Einheit")</f>
        <v>Einheit</v>
      </c>
      <c r="H412" s="4" t="str">
        <f>IFERROR(__xludf.DUMMYFUNCTION("GOOGLETRANSLATE(B412,""en"",""es"")"),"Unidad")</f>
        <v>Unidad</v>
      </c>
      <c r="I412" s="4" t="str">
        <f>IFERROR(__xludf.DUMMYFUNCTION("GOOGLETRANSLATE(B412,""en"",""fr"")"),"Unité")</f>
        <v>Unité</v>
      </c>
      <c r="J412" s="4" t="str">
        <f>IFERROR(__xludf.DUMMYFUNCTION("GOOGLETRANSLATE(B412,""en"",""it"")"),"Unità")</f>
        <v>Unità</v>
      </c>
      <c r="K412" s="4" t="str">
        <f>IFERROR(__xludf.DUMMYFUNCTION("GOOGLETRANSLATE(B412,""en"",""pt"")"),"Unidade")</f>
        <v>Unidade</v>
      </c>
      <c r="L412" s="4" t="str">
        <f>IFERROR(__xludf.DUMMYFUNCTION("GOOGLETRANSLATE(B412,""en"",""ro"")"),"Unitate")</f>
        <v>Unitate</v>
      </c>
      <c r="M412" s="4" t="str">
        <f>IFERROR(__xludf.DUMMYFUNCTION("GOOGLETRANSLATE(B412,""en"",""vi"")"),"Đơn vị")</f>
        <v>Đơn vị</v>
      </c>
      <c r="N412" s="4" t="str">
        <f>IFERROR(__xludf.DUMMYFUNCTION("GOOGLETRANSLATE(B412,""en"",""ru"")"),"Единица")</f>
        <v>Единица</v>
      </c>
      <c r="O412" s="4" t="str">
        <f>IFERROR(__xludf.DUMMYFUNCTION("GOOGLETRANSLATE(B412,""en"",""tr"")"),"Birim")</f>
        <v>Birim</v>
      </c>
      <c r="P412" s="4" t="str">
        <f>IFERROR(__xludf.DUMMYFUNCTION("GOOGLETRANSLATE(B412,""en"",""ar"")"),"وحدة")</f>
        <v>وحدة</v>
      </c>
      <c r="Q412" s="4" t="str">
        <f>IFERROR(__xludf.DUMMYFUNCTION("GOOGLETRANSLATE(B412,""en"",""mr"")"),"युनिट")</f>
        <v>युनिट</v>
      </c>
      <c r="R412" s="4" t="str">
        <f>IFERROR(__xludf.DUMMYFUNCTION("GOOGLETRANSLATE(B412,""en"",""gu"")"),"એકમ")</f>
        <v>એકમ</v>
      </c>
      <c r="S412" s="4" t="str">
        <f>IFERROR(__xludf.DUMMYFUNCTION("GOOGLETRANSLATE(B412,""en"",""bn"")"),"ইউনিট")</f>
        <v>ইউনিট</v>
      </c>
      <c r="T412" s="4" t="str">
        <f>IFERROR(__xludf.DUMMYFUNCTION("GOOGLETRANSLATE(B412,""en"",""pa"")"),"ਯੂਨਿਟ")</f>
        <v>ਯੂਨਿਟ</v>
      </c>
      <c r="U412" s="4" t="str">
        <f>IFERROR(__xludf.DUMMYFUNCTION("GOOGLETRANSLATE(B412,""en"",""te"")"),"యూనిట్")</f>
        <v>యూనిట్</v>
      </c>
      <c r="V412" s="4" t="str">
        <f>IFERROR(__xludf.DUMMYFUNCTION("GOOGLETRANSLATE(B412,""en"",""kn"")"),"ಘಟಕ")</f>
        <v>ಘಟಕ</v>
      </c>
      <c r="W412" s="4" t="str">
        <f>IFERROR(__xludf.DUMMYFUNCTION("GOOGLETRANSLATE(B412,""en"",""ml"")"),"യൂണിറ്റ്")</f>
        <v>യൂണിറ്റ്</v>
      </c>
      <c r="X412" s="4" t="str">
        <f>IFERROR(__xludf.DUMMYFUNCTION("GOOGLETRANSLATE(B412,""en"",""th"")"),"หน่วย")</f>
        <v>หน่วย</v>
      </c>
      <c r="Y412" s="4" t="str">
        <f>IFERROR(__xludf.DUMMYFUNCTION("GOOGLETRANSLATE(B412,""en"",""ko"")"),"단위")</f>
        <v>단위</v>
      </c>
      <c r="Z412" s="4" t="str">
        <f>IFERROR(__xludf.DUMMYFUNCTION("GOOGLETRANSLATE(B412,""en"",""zh"")"),"单元")</f>
        <v>单元</v>
      </c>
      <c r="AA412" s="4" t="str">
        <f>IFERROR(__xludf.DUMMYFUNCTION("GOOGLETRANSLATE(B412,""en"",""zh-TW"")"),"單元")</f>
        <v>單元</v>
      </c>
      <c r="AB412" s="4" t="str">
        <f>IFERROR(__xludf.DUMMYFUNCTION("GOOGLETRANSLATE(B412,""en"",""ja"")"),"ユニット")</f>
        <v>ユニット</v>
      </c>
      <c r="AC412" s="4" t="str">
        <f>IFERROR(__xludf.DUMMYFUNCTION("GOOGLETRANSLATE(B412,""en"",""bg"")"),"единица")</f>
        <v>единица</v>
      </c>
      <c r="AD412" s="4" t="str">
        <f>IFERROR(__xludf.DUMMYFUNCTION("GOOGLETRANSLATE(B412,""en"",""cs"")"),"Jednotka")</f>
        <v>Jednotka</v>
      </c>
      <c r="AE412" s="4" t="str">
        <f>IFERROR(__xludf.DUMMYFUNCTION("GOOGLETRANSLATE(B412,""en"",""da"")"),"Enhed")</f>
        <v>Enhed</v>
      </c>
      <c r="AF412" s="4" t="str">
        <f>IFERROR(__xludf.DUMMYFUNCTION("GOOGLETRANSLATE(B412,""en"",""el"")"),"Μονάδα")</f>
        <v>Μονάδα</v>
      </c>
      <c r="AG412" s="4" t="str">
        <f>IFERROR(__xludf.DUMMYFUNCTION("GOOGLETRANSLATE(B412,""en"",""et"")"),"Üksus")</f>
        <v>Üksus</v>
      </c>
      <c r="AH412" s="4" t="str">
        <f>IFERROR(__xludf.DUMMYFUNCTION("GOOGLETRANSLATE(B412,""en"",""fi"")"),"Yksikkö")</f>
        <v>Yksikkö</v>
      </c>
      <c r="AI412" s="4" t="str">
        <f>IFERROR(__xludf.DUMMYFUNCTION("GOOGLETRANSLATE(B412,""en"",""hr"")"),"Jedinica")</f>
        <v>Jedinica</v>
      </c>
      <c r="AJ412" s="4" t="str">
        <f>IFERROR(__xludf.DUMMYFUNCTION("GOOGLETRANSLATE(B412,""en"",""hu"")"),"Egység")</f>
        <v>Egység</v>
      </c>
      <c r="AK412" s="4" t="str">
        <f>IFERROR(__xludf.DUMMYFUNCTION("GOOGLETRANSLATE(B412,""en"",""hy"")"),"Միավոր")</f>
        <v>Միավոր</v>
      </c>
      <c r="AL412" s="4" t="str">
        <f>IFERROR(__xludf.DUMMYFUNCTION("GOOGLETRANSLATE(B412,""en"",""ca"")"),"Unitat")</f>
        <v>Unitat</v>
      </c>
      <c r="AM412" s="4" t="str">
        <f>IFERROR(__xludf.DUMMYFUNCTION("GOOGLETRANSLATE(B412,""en"",""nl"")"),"Eenheid")</f>
        <v>Eenheid</v>
      </c>
      <c r="AN412" s="4" t="str">
        <f>IFERROR(__xludf.DUMMYFUNCTION("GOOGLETRANSLATE(B412,""en"",""he"")"),"יְחִידָה")</f>
        <v>יְחִידָה</v>
      </c>
      <c r="AO412" s="4" t="str">
        <f>IFERROR(__xludf.DUMMYFUNCTION("GOOGLETRANSLATE(B412,""en"",""is"")"),"Eining")</f>
        <v>Eining</v>
      </c>
      <c r="AP412" s="4" t="str">
        <f>IFERROR(__xludf.DUMMYFUNCTION("GOOGLETRANSLATE(B412,""en"",""no"")"),"Enhet")</f>
        <v>Enhet</v>
      </c>
      <c r="AQ412" s="4" t="str">
        <f>IFERROR(__xludf.DUMMYFUNCTION("GOOGLETRANSLATE(B412,""en"",""fa"")"),"واحد")</f>
        <v>واحد</v>
      </c>
      <c r="AR412" s="4" t="str">
        <f>IFERROR(__xludf.DUMMYFUNCTION("GOOGLETRANSLATE(B412,""en"",""pl"")"),"Jednostka")</f>
        <v>Jednostka</v>
      </c>
      <c r="AS412" s="4" t="str">
        <f>IFERROR(__xludf.DUMMYFUNCTION("GOOGLETRANSLATE(B412,""en"",""sv"")"),"Enhet")</f>
        <v>Enhet</v>
      </c>
      <c r="AT412" s="4" t="str">
        <f>IFERROR(__xludf.DUMMYFUNCTION("GOOGLETRANSLATE(B412,""en"",""uk"")"),"одиниця")</f>
        <v>одиниця</v>
      </c>
      <c r="AU412" s="4" t="str">
        <f>IFERROR(__xludf.DUMMYFUNCTION("GOOGLETRANSLATE(B412,""en"",""zu"")"),"Iyunithi")</f>
        <v>Iyunithi</v>
      </c>
      <c r="AV412" s="4" t="str">
        <f>IFERROR(__xludf.DUMMYFUNCTION("GOOGLETRANSLATE(B412,""en"",""sr"")"),"Јединица")</f>
        <v>Јединица</v>
      </c>
    </row>
    <row r="413">
      <c r="A413" s="3" t="s">
        <v>805</v>
      </c>
      <c r="B413" s="3" t="s">
        <v>806</v>
      </c>
      <c r="C413" s="4" t="str">
        <f>IFERROR(__xludf.DUMMYFUNCTION("GOOGLETRANSLATE(B413,""en"",""ta"")"),"மீண்டும்")</f>
        <v>மீண்டும்</v>
      </c>
      <c r="D413" s="4" t="str">
        <f>IFERROR(__xludf.DUMMYFUNCTION("GOOGLETRANSLATE(B413,""en"",""hi"")"),"पीछे")</f>
        <v>पीछे</v>
      </c>
      <c r="E413" s="4" t="str">
        <f>IFERROR(__xludf.DUMMYFUNCTION("GOOGLETRANSLATE(B413,""en"",""id"")"),"Kembali")</f>
        <v>Kembali</v>
      </c>
      <c r="F413" s="4" t="str">
        <f>IFERROR(__xludf.DUMMYFUNCTION("GOOGLETRANSLATE(B413,""en"",""ms"")"),"belakang")</f>
        <v>belakang</v>
      </c>
      <c r="G413" s="4" t="str">
        <f>IFERROR(__xludf.DUMMYFUNCTION("GOOGLETRANSLATE(B413,""en"",""de"")"),"Zurück")</f>
        <v>Zurück</v>
      </c>
      <c r="H413" s="4" t="str">
        <f>IFERROR(__xludf.DUMMYFUNCTION("GOOGLETRANSLATE(B413,""en"",""es"")"),"Atrás")</f>
        <v>Atrás</v>
      </c>
      <c r="I413" s="4" t="str">
        <f>IFERROR(__xludf.DUMMYFUNCTION("GOOGLETRANSLATE(B413,""en"",""fr"")"),"Dos")</f>
        <v>Dos</v>
      </c>
      <c r="J413" s="4" t="str">
        <f>IFERROR(__xludf.DUMMYFUNCTION("GOOGLETRANSLATE(B413,""en"",""it"")"),"Indietro")</f>
        <v>Indietro</v>
      </c>
      <c r="K413" s="4" t="str">
        <f>IFERROR(__xludf.DUMMYFUNCTION("GOOGLETRANSLATE(B413,""en"",""pt"")"),"Voltar")</f>
        <v>Voltar</v>
      </c>
      <c r="L413" s="4" t="str">
        <f>IFERROR(__xludf.DUMMYFUNCTION("GOOGLETRANSLATE(B413,""en"",""ro"")"),"Spate")</f>
        <v>Spate</v>
      </c>
      <c r="M413" s="4" t="str">
        <f>IFERROR(__xludf.DUMMYFUNCTION("GOOGLETRANSLATE(B413,""en"",""vi"")"),"Mặt sau")</f>
        <v>Mặt sau</v>
      </c>
      <c r="N413" s="4" t="str">
        <f>IFERROR(__xludf.DUMMYFUNCTION("GOOGLETRANSLATE(B413,""en"",""ru"")"),"Назад")</f>
        <v>Назад</v>
      </c>
      <c r="O413" s="4" t="str">
        <f>IFERROR(__xludf.DUMMYFUNCTION("GOOGLETRANSLATE(B413,""en"",""tr"")"),"Geri")</f>
        <v>Geri</v>
      </c>
      <c r="P413" s="4" t="str">
        <f>IFERROR(__xludf.DUMMYFUNCTION("GOOGLETRANSLATE(B413,""en"",""ar"")"),"خلف")</f>
        <v>خلف</v>
      </c>
      <c r="Q413" s="4" t="str">
        <f>IFERROR(__xludf.DUMMYFUNCTION("GOOGLETRANSLATE(B413,""en"",""mr"")"),"मागे")</f>
        <v>मागे</v>
      </c>
      <c r="R413" s="4" t="str">
        <f>IFERROR(__xludf.DUMMYFUNCTION("GOOGLETRANSLATE(B413,""en"",""gu"")"),"પાછળ")</f>
        <v>પાછળ</v>
      </c>
      <c r="S413" s="4" t="str">
        <f>IFERROR(__xludf.DUMMYFUNCTION("GOOGLETRANSLATE(B413,""en"",""bn"")"),"ব্যাক")</f>
        <v>ব্যাক</v>
      </c>
      <c r="T413" s="4" t="str">
        <f>IFERROR(__xludf.DUMMYFUNCTION("GOOGLETRANSLATE(B413,""en"",""pa"")"),"ਵਾਪਸ")</f>
        <v>ਵਾਪਸ</v>
      </c>
      <c r="U413" s="4" t="str">
        <f>IFERROR(__xludf.DUMMYFUNCTION("GOOGLETRANSLATE(B413,""en"",""te"")"),"వెనుకకు")</f>
        <v>వెనుకకు</v>
      </c>
      <c r="V413" s="4" t="str">
        <f>IFERROR(__xludf.DUMMYFUNCTION("GOOGLETRANSLATE(B413,""en"",""kn"")"),"ಹಿಂದೆ")</f>
        <v>ಹಿಂದೆ</v>
      </c>
      <c r="W413" s="4" t="str">
        <f>IFERROR(__xludf.DUMMYFUNCTION("GOOGLETRANSLATE(B413,""en"",""ml"")"),"തിരികെ")</f>
        <v>തിരികെ</v>
      </c>
      <c r="X413" s="4" t="str">
        <f>IFERROR(__xludf.DUMMYFUNCTION("GOOGLETRANSLATE(B413,""en"",""th"")"),"กลับ")</f>
        <v>กลับ</v>
      </c>
      <c r="Y413" s="4" t="str">
        <f>IFERROR(__xludf.DUMMYFUNCTION("GOOGLETRANSLATE(B413,""en"",""ko"")"),"뒤쪽에")</f>
        <v>뒤쪽에</v>
      </c>
      <c r="Z413" s="4" t="str">
        <f>IFERROR(__xludf.DUMMYFUNCTION("GOOGLETRANSLATE(B413,""en"",""zh"")"),"后退")</f>
        <v>后退</v>
      </c>
      <c r="AA413" s="4" t="str">
        <f>IFERROR(__xludf.DUMMYFUNCTION("GOOGLETRANSLATE(B413,""en"",""zh-TW"")"),"後退")</f>
        <v>後退</v>
      </c>
      <c r="AB413" s="4" t="str">
        <f>IFERROR(__xludf.DUMMYFUNCTION("GOOGLETRANSLATE(B413,""en"",""ja"")"),"戻る")</f>
        <v>戻る</v>
      </c>
      <c r="AC413" s="4" t="str">
        <f>IFERROR(__xludf.DUMMYFUNCTION("GOOGLETRANSLATE(B413,""en"",""bg"")"),"Назад")</f>
        <v>Назад</v>
      </c>
      <c r="AD413" s="4" t="str">
        <f>IFERROR(__xludf.DUMMYFUNCTION("GOOGLETRANSLATE(B413,""en"",""cs"")"),"Zadní")</f>
        <v>Zadní</v>
      </c>
      <c r="AE413" s="4" t="str">
        <f>IFERROR(__xludf.DUMMYFUNCTION("GOOGLETRANSLATE(B413,""en"",""da"")"),"Tilbage")</f>
        <v>Tilbage</v>
      </c>
      <c r="AF413" s="4" t="str">
        <f>IFERROR(__xludf.DUMMYFUNCTION("GOOGLETRANSLATE(B413,""en"",""el"")"),"Πίσω")</f>
        <v>Πίσω</v>
      </c>
      <c r="AG413" s="4" t="str">
        <f>IFERROR(__xludf.DUMMYFUNCTION("GOOGLETRANSLATE(B413,""en"",""et"")"),"Tagasi")</f>
        <v>Tagasi</v>
      </c>
      <c r="AH413" s="4" t="str">
        <f>IFERROR(__xludf.DUMMYFUNCTION("GOOGLETRANSLATE(B413,""en"",""fi"")"),"Takaisin")</f>
        <v>Takaisin</v>
      </c>
      <c r="AI413" s="4" t="str">
        <f>IFERROR(__xludf.DUMMYFUNCTION("GOOGLETRANSLATE(B413,""en"",""hr"")"),"Nazad")</f>
        <v>Nazad</v>
      </c>
      <c r="AJ413" s="4" t="str">
        <f>IFERROR(__xludf.DUMMYFUNCTION("GOOGLETRANSLATE(B413,""en"",""hu"")"),"Vissza")</f>
        <v>Vissza</v>
      </c>
      <c r="AK413" s="4" t="str">
        <f>IFERROR(__xludf.DUMMYFUNCTION("GOOGLETRANSLATE(B413,""en"",""hy"")"),"Ետ")</f>
        <v>Ետ</v>
      </c>
      <c r="AL413" s="4" t="str">
        <f>IFERROR(__xludf.DUMMYFUNCTION("GOOGLETRANSLATE(B413,""en"",""ca"")"),"Enrere")</f>
        <v>Enrere</v>
      </c>
      <c r="AM413" s="4" t="str">
        <f>IFERROR(__xludf.DUMMYFUNCTION("GOOGLETRANSLATE(B413,""en"",""nl"")"),"Rug")</f>
        <v>Rug</v>
      </c>
      <c r="AN413" s="4" t="str">
        <f>IFERROR(__xludf.DUMMYFUNCTION("GOOGLETRANSLATE(B413,""en"",""he"")"),"בְּחֲזָרָה")</f>
        <v>בְּחֲזָרָה</v>
      </c>
      <c r="AO413" s="4" t="str">
        <f>IFERROR(__xludf.DUMMYFUNCTION("GOOGLETRANSLATE(B413,""en"",""is"")"),"Til baka")</f>
        <v>Til baka</v>
      </c>
      <c r="AP413" s="4" t="str">
        <f>IFERROR(__xludf.DUMMYFUNCTION("GOOGLETRANSLATE(B413,""en"",""no"")"),"Tilbake")</f>
        <v>Tilbake</v>
      </c>
      <c r="AQ413" s="4" t="str">
        <f>IFERROR(__xludf.DUMMYFUNCTION("GOOGLETRANSLATE(B413,""en"",""fa"")"),"برگشت")</f>
        <v>برگشت</v>
      </c>
      <c r="AR413" s="4" t="str">
        <f>IFERROR(__xludf.DUMMYFUNCTION("GOOGLETRANSLATE(B413,""en"",""pl"")"),"Z powrotem")</f>
        <v>Z powrotem</v>
      </c>
      <c r="AS413" s="4" t="str">
        <f>IFERROR(__xludf.DUMMYFUNCTION("GOOGLETRANSLATE(B413,""en"",""sv"")"),"Tillbaka")</f>
        <v>Tillbaka</v>
      </c>
      <c r="AT413" s="4" t="str">
        <f>IFERROR(__xludf.DUMMYFUNCTION("GOOGLETRANSLATE(B413,""en"",""uk"")"),"Назад")</f>
        <v>Назад</v>
      </c>
      <c r="AU413" s="4" t="str">
        <f>IFERROR(__xludf.DUMMYFUNCTION("GOOGLETRANSLATE(B413,""en"",""zu"")"),"Emuva")</f>
        <v>Emuva</v>
      </c>
      <c r="AV413" s="4" t="str">
        <f>IFERROR(__xludf.DUMMYFUNCTION("GOOGLETRANSLATE(B413,""en"",""sr"")"),"Назад")</f>
        <v>Назад</v>
      </c>
    </row>
    <row r="414">
      <c r="A414" s="3" t="s">
        <v>807</v>
      </c>
      <c r="B414" s="3" t="s">
        <v>808</v>
      </c>
      <c r="C414" s="4" t="str">
        <f>IFERROR(__xludf.DUMMYFUNCTION("GOOGLETRANSLATE(B414,""en"",""ta"")"),"வரம்பை அமைக்கவும்")</f>
        <v>வரம்பை அமைக்கவும்</v>
      </c>
      <c r="D414" s="4" t="str">
        <f>IFERROR(__xludf.DUMMYFUNCTION("GOOGLETRANSLATE(B414,""en"",""hi"")"),"सीमा निर्धारित करें")</f>
        <v>सीमा निर्धारित करें</v>
      </c>
      <c r="E414" s="4" t="str">
        <f>IFERROR(__xludf.DUMMYFUNCTION("GOOGLETRANSLATE(B414,""en"",""id"")"),"Tetapkan Batas")</f>
        <v>Tetapkan Batas</v>
      </c>
      <c r="F414" s="4" t="str">
        <f>IFERROR(__xludf.DUMMYFUNCTION("GOOGLETRANSLATE(B414,""en"",""ms"")"),"Tetapkan Had")</f>
        <v>Tetapkan Had</v>
      </c>
      <c r="G414" s="4" t="str">
        <f>IFERROR(__xludf.DUMMYFUNCTION("GOOGLETRANSLATE(B414,""en"",""de"")"),"Limit festlegen")</f>
        <v>Limit festlegen</v>
      </c>
      <c r="H414" s="4" t="str">
        <f>IFERROR(__xludf.DUMMYFUNCTION("GOOGLETRANSLATE(B414,""en"",""es"")"),"Establecer límite")</f>
        <v>Establecer límite</v>
      </c>
      <c r="I414" s="4" t="str">
        <f>IFERROR(__xludf.DUMMYFUNCTION("GOOGLETRANSLATE(B414,""en"",""fr"")"),"Définir une limite")</f>
        <v>Définir une limite</v>
      </c>
      <c r="J414" s="4" t="str">
        <f>IFERROR(__xludf.DUMMYFUNCTION("GOOGLETRANSLATE(B414,""en"",""it"")"),"Imposta limite")</f>
        <v>Imposta limite</v>
      </c>
      <c r="K414" s="4" t="str">
        <f>IFERROR(__xludf.DUMMYFUNCTION("GOOGLETRANSLATE(B414,""en"",""pt"")"),"Definir limite")</f>
        <v>Definir limite</v>
      </c>
      <c r="L414" s="4" t="str">
        <f>IFERROR(__xludf.DUMMYFUNCTION("GOOGLETRANSLATE(B414,""en"",""ro"")"),"Setați Limita")</f>
        <v>Setați Limita</v>
      </c>
      <c r="M414" s="4" t="str">
        <f>IFERROR(__xludf.DUMMYFUNCTION("GOOGLETRANSLATE(B414,""en"",""vi"")"),"Đặt giới hạn")</f>
        <v>Đặt giới hạn</v>
      </c>
      <c r="N414" s="4" t="str">
        <f>IFERROR(__xludf.DUMMYFUNCTION("GOOGLETRANSLATE(B414,""en"",""ru"")"),"Установить предел")</f>
        <v>Установить предел</v>
      </c>
      <c r="O414" s="4" t="str">
        <f>IFERROR(__xludf.DUMMYFUNCTION("GOOGLETRANSLATE(B414,""en"",""tr"")"),"Limit Ayarla")</f>
        <v>Limit Ayarla</v>
      </c>
      <c r="P414" s="4" t="str">
        <f>IFERROR(__xludf.DUMMYFUNCTION("GOOGLETRANSLATE(B414,""en"",""ar"")"),"تعيين الحد")</f>
        <v>تعيين الحد</v>
      </c>
      <c r="Q414" s="4" t="str">
        <f>IFERROR(__xludf.DUMMYFUNCTION("GOOGLETRANSLATE(B414,""en"",""mr"")"),"मर्यादा सेट करा")</f>
        <v>मर्यादा सेट करा</v>
      </c>
      <c r="R414" s="4" t="str">
        <f>IFERROR(__xludf.DUMMYFUNCTION("GOOGLETRANSLATE(B414,""en"",""gu"")"),"મર્યાદા સેટ કરો")</f>
        <v>મર્યાદા સેટ કરો</v>
      </c>
      <c r="S414" s="4" t="str">
        <f>IFERROR(__xludf.DUMMYFUNCTION("GOOGLETRANSLATE(B414,""en"",""bn"")"),"সীমা নির্ধারণ করুন")</f>
        <v>সীমা নির্ধারণ করুন</v>
      </c>
      <c r="T414" s="4" t="str">
        <f>IFERROR(__xludf.DUMMYFUNCTION("GOOGLETRANSLATE(B414,""en"",""pa"")"),"ਸੀਮਾ ਸੈੱਟ ਕਰੋ")</f>
        <v>ਸੀਮਾ ਸੈੱਟ ਕਰੋ</v>
      </c>
      <c r="U414" s="4" t="str">
        <f>IFERROR(__xludf.DUMMYFUNCTION("GOOGLETRANSLATE(B414,""en"",""te"")"),"పరిమితిని సెట్ చేయండి")</f>
        <v>పరిమితిని సెట్ చేయండి</v>
      </c>
      <c r="V414" s="4" t="str">
        <f>IFERROR(__xludf.DUMMYFUNCTION("GOOGLETRANSLATE(B414,""en"",""kn"")"),"ಮಿತಿಯನ್ನು ಹೊಂದಿಸಿ")</f>
        <v>ಮಿತಿಯನ್ನು ಹೊಂದಿಸಿ</v>
      </c>
      <c r="W414" s="4" t="str">
        <f>IFERROR(__xludf.DUMMYFUNCTION("GOOGLETRANSLATE(B414,""en"",""ml"")"),"പരിധി നിശ്ചയിക്കുക")</f>
        <v>പരിധി നിശ്ചയിക്കുക</v>
      </c>
      <c r="X414" s="4" t="str">
        <f>IFERROR(__xludf.DUMMYFUNCTION("GOOGLETRANSLATE(B414,""en"",""th"")"),"ตั้งค่าขีดจำกัด")</f>
        <v>ตั้งค่าขีดจำกัด</v>
      </c>
      <c r="Y414" s="4" t="str">
        <f>IFERROR(__xludf.DUMMYFUNCTION("GOOGLETRANSLATE(B414,""en"",""ko"")"),"제한 설정")</f>
        <v>제한 설정</v>
      </c>
      <c r="Z414" s="4" t="str">
        <f>IFERROR(__xludf.DUMMYFUNCTION("GOOGLETRANSLATE(B414,""en"",""zh"")"),"设置限制")</f>
        <v>设置限制</v>
      </c>
      <c r="AA414" s="4" t="str">
        <f>IFERROR(__xludf.DUMMYFUNCTION("GOOGLETRANSLATE(B414,""en"",""zh-TW"")"),"設定限制")</f>
        <v>設定限制</v>
      </c>
      <c r="AB414" s="4" t="str">
        <f>IFERROR(__xludf.DUMMYFUNCTION("GOOGLETRANSLATE(B414,""en"",""ja"")"),"制限を設定する")</f>
        <v>制限を設定する</v>
      </c>
      <c r="AC414" s="4" t="str">
        <f>IFERROR(__xludf.DUMMYFUNCTION("GOOGLETRANSLATE(B414,""en"",""bg"")"),"Задайте лимит")</f>
        <v>Задайте лимит</v>
      </c>
      <c r="AD414" s="4" t="str">
        <f>IFERROR(__xludf.DUMMYFUNCTION("GOOGLETRANSLATE(B414,""en"",""cs"")"),"Nastavit limit")</f>
        <v>Nastavit limit</v>
      </c>
      <c r="AE414" s="4" t="str">
        <f>IFERROR(__xludf.DUMMYFUNCTION("GOOGLETRANSLATE(B414,""en"",""da"")"),"Indstil grænse")</f>
        <v>Indstil grænse</v>
      </c>
      <c r="AF414" s="4" t="str">
        <f>IFERROR(__xludf.DUMMYFUNCTION("GOOGLETRANSLATE(B414,""en"",""el"")"),"Ορισμός ορίου")</f>
        <v>Ορισμός ορίου</v>
      </c>
      <c r="AG414" s="4" t="str">
        <f>IFERROR(__xludf.DUMMYFUNCTION("GOOGLETRANSLATE(B414,""en"",""et"")"),"Määra Limiit")</f>
        <v>Määra Limiit</v>
      </c>
      <c r="AH414" s="4" t="str">
        <f>IFERROR(__xludf.DUMMYFUNCTION("GOOGLETRANSLATE(B414,""en"",""fi"")"),"Aseta raja")</f>
        <v>Aseta raja</v>
      </c>
      <c r="AI414" s="4" t="str">
        <f>IFERROR(__xludf.DUMMYFUNCTION("GOOGLETRANSLATE(B414,""en"",""hr"")"),"Postavi ograničenje")</f>
        <v>Postavi ograničenje</v>
      </c>
      <c r="AJ414" s="4" t="str">
        <f>IFERROR(__xludf.DUMMYFUNCTION("GOOGLETRANSLATE(B414,""en"",""hu"")"),"Állítsa be a korlátot")</f>
        <v>Állítsa be a korlátot</v>
      </c>
      <c r="AK414" s="4" t="str">
        <f>IFERROR(__xludf.DUMMYFUNCTION("GOOGLETRANSLATE(B414,""en"",""hy"")"),"Սահմանել սահմանը")</f>
        <v>Սահմանել սահմանը</v>
      </c>
      <c r="AL414" s="4" t="str">
        <f>IFERROR(__xludf.DUMMYFUNCTION("GOOGLETRANSLATE(B414,""en"",""ca"")"),"Establir límit")</f>
        <v>Establir límit</v>
      </c>
      <c r="AM414" s="4" t="str">
        <f>IFERROR(__xludf.DUMMYFUNCTION("GOOGLETRANSLATE(B414,""en"",""nl"")"),"Limiet instellen")</f>
        <v>Limiet instellen</v>
      </c>
      <c r="AN414" s="4" t="str">
        <f>IFERROR(__xludf.DUMMYFUNCTION("GOOGLETRANSLATE(B414,""en"",""he"")"),"הגדר מגבלה")</f>
        <v>הגדר מגבלה</v>
      </c>
      <c r="AO414" s="4" t="str">
        <f>IFERROR(__xludf.DUMMYFUNCTION("GOOGLETRANSLATE(B414,""en"",""is"")"),"Setja takmörk")</f>
        <v>Setja takmörk</v>
      </c>
      <c r="AP414" s="4" t="str">
        <f>IFERROR(__xludf.DUMMYFUNCTION("GOOGLETRANSLATE(B414,""en"",""no"")"),"Sett grense")</f>
        <v>Sett grense</v>
      </c>
      <c r="AQ414" s="4" t="str">
        <f>IFERROR(__xludf.DUMMYFUNCTION("GOOGLETRANSLATE(B414,""en"",""fa"")"),"حد را تنظیم کنید")</f>
        <v>حد را تنظیم کنید</v>
      </c>
      <c r="AR414" s="4" t="str">
        <f>IFERROR(__xludf.DUMMYFUNCTION("GOOGLETRANSLATE(B414,""en"",""pl"")"),"Ustaw limit")</f>
        <v>Ustaw limit</v>
      </c>
      <c r="AS414" s="4" t="str">
        <f>IFERROR(__xludf.DUMMYFUNCTION("GOOGLETRANSLATE(B414,""en"",""sv"")"),"Ställ in gräns")</f>
        <v>Ställ in gräns</v>
      </c>
      <c r="AT414" s="4" t="str">
        <f>IFERROR(__xludf.DUMMYFUNCTION("GOOGLETRANSLATE(B414,""en"",""uk"")"),"Встановити ліміт")</f>
        <v>Встановити ліміт</v>
      </c>
      <c r="AU414" s="4" t="str">
        <f>IFERROR(__xludf.DUMMYFUNCTION("GOOGLETRANSLATE(B414,""en"",""zu"")"),"Setha Umkhawulo")</f>
        <v>Setha Umkhawulo</v>
      </c>
      <c r="AV414" s="4" t="str">
        <f>IFERROR(__xludf.DUMMYFUNCTION("GOOGLETRANSLATE(B414,""en"",""sr"")"),"Сет Лимит")</f>
        <v>Сет Лимит</v>
      </c>
    </row>
    <row r="415">
      <c r="A415" s="3" t="s">
        <v>809</v>
      </c>
      <c r="B415" s="3" t="s">
        <v>810</v>
      </c>
      <c r="C415" s="4" t="str">
        <f>IFERROR(__xludf.DUMMYFUNCTION("GOOGLETRANSLATE(B415,""en"",""ta"")"),"வேக வரம்பை அணைக்கவும்")</f>
        <v>வேக வரம்பை அணைக்கவும்</v>
      </c>
      <c r="D415" s="4" t="str">
        <f>IFERROR(__xludf.DUMMYFUNCTION("GOOGLETRANSLATE(B415,""en"",""hi"")"),"गति सीमा बंद करें")</f>
        <v>गति सीमा बंद करें</v>
      </c>
      <c r="E415" s="4" t="str">
        <f>IFERROR(__xludf.DUMMYFUNCTION("GOOGLETRANSLATE(B415,""en"",""id"")"),"Matikan Batas Kecepatan")</f>
        <v>Matikan Batas Kecepatan</v>
      </c>
      <c r="F415" s="4" t="str">
        <f>IFERROR(__xludf.DUMMYFUNCTION("GOOGLETRANSLATE(B415,""en"",""ms"")"),"Matikan Had Kelajuan")</f>
        <v>Matikan Had Kelajuan</v>
      </c>
      <c r="G415" s="4" t="str">
        <f>IFERROR(__xludf.DUMMYFUNCTION("GOOGLETRANSLATE(B415,""en"",""de"")"),"Geschwindigkeitsbegrenzung ausschalten")</f>
        <v>Geschwindigkeitsbegrenzung ausschalten</v>
      </c>
      <c r="H415" s="4" t="str">
        <f>IFERROR(__xludf.DUMMYFUNCTION("GOOGLETRANSLATE(B415,""en"",""es"")"),"Desactivar el límite de velocidad")</f>
        <v>Desactivar el límite de velocidad</v>
      </c>
      <c r="I415" s="4" t="str">
        <f>IFERROR(__xludf.DUMMYFUNCTION("GOOGLETRANSLATE(B415,""en"",""fr"")"),"Désactiver la limitation de vitesse")</f>
        <v>Désactiver la limitation de vitesse</v>
      </c>
      <c r="J415" s="4" t="str">
        <f>IFERROR(__xludf.DUMMYFUNCTION("GOOGLETRANSLATE(B415,""en"",""it"")"),"Disattiva il limite di velocità")</f>
        <v>Disattiva il limite di velocità</v>
      </c>
      <c r="K415" s="4" t="str">
        <f>IFERROR(__xludf.DUMMYFUNCTION("GOOGLETRANSLATE(B415,""en"",""pt"")"),"Desligar o limite de velocidade")</f>
        <v>Desligar o limite de velocidade</v>
      </c>
      <c r="L415" s="4" t="str">
        <f>IFERROR(__xludf.DUMMYFUNCTION("GOOGLETRANSLATE(B415,""en"",""ro"")"),"Dezactivați limita de viteză")</f>
        <v>Dezactivați limita de viteză</v>
      </c>
      <c r="M415" s="4" t="str">
        <f>IFERROR(__xludf.DUMMYFUNCTION("GOOGLETRANSLATE(B415,""en"",""vi"")"),"Tắt giới hạn tốc độ")</f>
        <v>Tắt giới hạn tốc độ</v>
      </c>
      <c r="N415" s="4" t="str">
        <f>IFERROR(__xludf.DUMMYFUNCTION("GOOGLETRANSLATE(B415,""en"",""ru"")"),"Отключить ограничение скорости")</f>
        <v>Отключить ограничение скорости</v>
      </c>
      <c r="O415" s="4" t="str">
        <f>IFERROR(__xludf.DUMMYFUNCTION("GOOGLETRANSLATE(B415,""en"",""tr"")"),"Hız Sınırını Kapat")</f>
        <v>Hız Sınırını Kapat</v>
      </c>
      <c r="P415" s="4" t="str">
        <f>IFERROR(__xludf.DUMMYFUNCTION("GOOGLETRANSLATE(B415,""en"",""ar"")"),"إيقاف حد السرعة")</f>
        <v>إيقاف حد السرعة</v>
      </c>
      <c r="Q415" s="4" t="str">
        <f>IFERROR(__xludf.DUMMYFUNCTION("GOOGLETRANSLATE(B415,""en"",""mr"")"),"गती मर्यादा बंद करा")</f>
        <v>गती मर्यादा बंद करा</v>
      </c>
      <c r="R415" s="4" t="str">
        <f>IFERROR(__xludf.DUMMYFUNCTION("GOOGLETRANSLATE(B415,""en"",""gu"")"),"ઝડપ મર્યાદા બંધ કરો")</f>
        <v>ઝડપ મર્યાદા બંધ કરો</v>
      </c>
      <c r="S415" s="4" t="str">
        <f>IFERROR(__xludf.DUMMYFUNCTION("GOOGLETRANSLATE(B415,""en"",""bn"")"),"গতি সীমা বন্ধ করুন")</f>
        <v>গতি সীমা বন্ধ করুন</v>
      </c>
      <c r="T415" s="4" t="str">
        <f>IFERROR(__xludf.DUMMYFUNCTION("GOOGLETRANSLATE(B415,""en"",""pa"")"),"ਸਪੀਡ ਸੀਮਾ ਬੰਦ ਕਰੋ")</f>
        <v>ਸਪੀਡ ਸੀਮਾ ਬੰਦ ਕਰੋ</v>
      </c>
      <c r="U415" s="4" t="str">
        <f>IFERROR(__xludf.DUMMYFUNCTION("GOOGLETRANSLATE(B415,""en"",""te"")"),"వేగ పరిమితిని ఆఫ్ చేయండి")</f>
        <v>వేగ పరిమితిని ఆఫ్ చేయండి</v>
      </c>
      <c r="V415" s="4" t="str">
        <f>IFERROR(__xludf.DUMMYFUNCTION("GOOGLETRANSLATE(B415,""en"",""kn"")"),"ವೇಗದ ಮಿತಿಯನ್ನು ಆಫ್ ಮಾಡಿ")</f>
        <v>ವೇಗದ ಮಿತಿಯನ್ನು ಆಫ್ ಮಾಡಿ</v>
      </c>
      <c r="W415" s="4" t="str">
        <f>IFERROR(__xludf.DUMMYFUNCTION("GOOGLETRANSLATE(B415,""en"",""ml"")"),"വേഗത പരിധി ഓഫാക്കുക")</f>
        <v>വേഗത പരിധി ഓഫാക്കുക</v>
      </c>
      <c r="X415" s="4" t="str">
        <f>IFERROR(__xludf.DUMMYFUNCTION("GOOGLETRANSLATE(B415,""en"",""th"")"),"ปิดการจำกัดความเร็ว")</f>
        <v>ปิดการจำกัดความเร็ว</v>
      </c>
      <c r="Y415" s="4" t="str">
        <f>IFERROR(__xludf.DUMMYFUNCTION("GOOGLETRANSLATE(B415,""en"",""ko"")"),"속도 제한 해제")</f>
        <v>속도 제한 해제</v>
      </c>
      <c r="Z415" s="4" t="str">
        <f>IFERROR(__xludf.DUMMYFUNCTION("GOOGLETRANSLATE(B415,""en"",""zh"")"),"关闭速度限制")</f>
        <v>关闭速度限制</v>
      </c>
      <c r="AA415" s="4" t="str">
        <f>IFERROR(__xludf.DUMMYFUNCTION("GOOGLETRANSLATE(B415,""en"",""zh-TW"")"),"關閉速度限制")</f>
        <v>關閉速度限制</v>
      </c>
      <c r="AB415" s="4" t="str">
        <f>IFERROR(__xludf.DUMMYFUNCTION("GOOGLETRANSLATE(B415,""en"",""ja"")"),"速度制限をオフにする")</f>
        <v>速度制限をオフにする</v>
      </c>
      <c r="AC415" s="4" t="str">
        <f>IFERROR(__xludf.DUMMYFUNCTION("GOOGLETRANSLATE(B415,""en"",""bg"")"),"Изключете ограничението на скоростта")</f>
        <v>Изключете ограничението на скоростта</v>
      </c>
      <c r="AD415" s="4" t="str">
        <f>IFERROR(__xludf.DUMMYFUNCTION("GOOGLETRANSLATE(B415,""en"",""cs"")"),"Vypnout omezení rychlosti")</f>
        <v>Vypnout omezení rychlosti</v>
      </c>
      <c r="AE415" s="4" t="str">
        <f>IFERROR(__xludf.DUMMYFUNCTION("GOOGLETRANSLATE(B415,""en"",""da"")"),"Slå hastighedsgrænse fra")</f>
        <v>Slå hastighedsgrænse fra</v>
      </c>
      <c r="AF415" s="4" t="str">
        <f>IFERROR(__xludf.DUMMYFUNCTION("GOOGLETRANSLATE(B415,""en"",""el"")"),"Απενεργοποιήστε το όριο ταχύτητας")</f>
        <v>Απενεργοποιήστε το όριο ταχύτητας</v>
      </c>
      <c r="AG415" s="4" t="str">
        <f>IFERROR(__xludf.DUMMYFUNCTION("GOOGLETRANSLATE(B415,""en"",""et"")"),"Lülitage kiiruspiirang välja")</f>
        <v>Lülitage kiiruspiirang välja</v>
      </c>
      <c r="AH415" s="4" t="str">
        <f>IFERROR(__xludf.DUMMYFUNCTION("GOOGLETRANSLATE(B415,""en"",""fi"")"),"Poista nopeusrajoitus käytöstä")</f>
        <v>Poista nopeusrajoitus käytöstä</v>
      </c>
      <c r="AI415" s="4" t="str">
        <f>IFERROR(__xludf.DUMMYFUNCTION("GOOGLETRANSLATE(B415,""en"",""hr"")"),"Isključi ograničenje brzine")</f>
        <v>Isključi ograničenje brzine</v>
      </c>
      <c r="AJ415" s="4" t="str">
        <f>IFERROR(__xludf.DUMMYFUNCTION("GOOGLETRANSLATE(B415,""en"",""hu"")"),"Kapcsolja ki a sebességkorlátozást")</f>
        <v>Kapcsolja ki a sebességkorlátozást</v>
      </c>
      <c r="AK415" s="4" t="str">
        <f>IFERROR(__xludf.DUMMYFUNCTION("GOOGLETRANSLATE(B415,""en"",""hy"")"),"Անջատեք արագության սահմանաչափը")</f>
        <v>Անջատեք արագության սահմանաչափը</v>
      </c>
      <c r="AL415" s="4" t="str">
        <f>IFERROR(__xludf.DUMMYFUNCTION("GOOGLETRANSLATE(B415,""en"",""ca"")"),"Desactiva el límit de velocitat")</f>
        <v>Desactiva el límit de velocitat</v>
      </c>
      <c r="AM415" s="4" t="str">
        <f>IFERROR(__xludf.DUMMYFUNCTION("GOOGLETRANSLATE(B415,""en"",""nl"")"),"Snelheidslimiet uitschakelen")</f>
        <v>Snelheidslimiet uitschakelen</v>
      </c>
      <c r="AN415" s="4" t="str">
        <f>IFERROR(__xludf.DUMMYFUNCTION("GOOGLETRANSLATE(B415,""en"",""he"")"),"כבה את מגבלת המהירות")</f>
        <v>כבה את מגבלת המהירות</v>
      </c>
      <c r="AO415" s="4" t="str">
        <f>IFERROR(__xludf.DUMMYFUNCTION("GOOGLETRANSLATE(B415,""en"",""is"")"),"Slökktu á hámarkshraða")</f>
        <v>Slökktu á hámarkshraða</v>
      </c>
      <c r="AP415" s="4" t="str">
        <f>IFERROR(__xludf.DUMMYFUNCTION("GOOGLETRANSLATE(B415,""en"",""no"")"),"Slå av fartsgrense")</f>
        <v>Slå av fartsgrense</v>
      </c>
      <c r="AQ415" s="4" t="str">
        <f>IFERROR(__xludf.DUMMYFUNCTION("GOOGLETRANSLATE(B415,""en"",""fa"")"),"محدودیت سرعت را خاموش کنید")</f>
        <v>محدودیت سرعت را خاموش کنید</v>
      </c>
      <c r="AR415" s="4" t="str">
        <f>IFERROR(__xludf.DUMMYFUNCTION("GOOGLETRANSLATE(B415,""en"",""pl"")"),"Wyłącz ograniczenie prędkości")</f>
        <v>Wyłącz ograniczenie prędkości</v>
      </c>
      <c r="AS415" s="4" t="str">
        <f>IFERROR(__xludf.DUMMYFUNCTION("GOOGLETRANSLATE(B415,""en"",""sv"")"),"Stäng av hastighetsbegränsning")</f>
        <v>Stäng av hastighetsbegränsning</v>
      </c>
      <c r="AT415" s="4" t="str">
        <f>IFERROR(__xludf.DUMMYFUNCTION("GOOGLETRANSLATE(B415,""en"",""uk"")"),"Вимкніть обмеження швидкості")</f>
        <v>Вимкніть обмеження швидкості</v>
      </c>
      <c r="AU415" s="4" t="str">
        <f>IFERROR(__xludf.DUMMYFUNCTION("GOOGLETRANSLATE(B415,""en"",""zu"")"),"Vala Umkhawulo Wejubane")</f>
        <v>Vala Umkhawulo Wejubane</v>
      </c>
      <c r="AV415" s="4" t="str">
        <f>IFERROR(__xludf.DUMMYFUNCTION("GOOGLETRANSLATE(B415,""en"",""sr"")"),"Искључите ограничење брзине")</f>
        <v>Искључите ограничење брзине</v>
      </c>
    </row>
    <row r="416">
      <c r="A416" s="3" t="s">
        <v>811</v>
      </c>
      <c r="B416" s="3" t="s">
        <v>557</v>
      </c>
      <c r="C416" s="4" t="str">
        <f>IFERROR(__xludf.DUMMYFUNCTION("GOOGLETRANSLATE(B416,""en"",""ta"")"),"தொடங்கு")</f>
        <v>தொடங்கு</v>
      </c>
      <c r="D416" s="4" t="str">
        <f>IFERROR(__xludf.DUMMYFUNCTION("GOOGLETRANSLATE(B416,""en"",""hi"")"),"शुरू")</f>
        <v>शुरू</v>
      </c>
      <c r="E416" s="4" t="str">
        <f>IFERROR(__xludf.DUMMYFUNCTION("GOOGLETRANSLATE(B416,""en"",""id"")"),"Awal")</f>
        <v>Awal</v>
      </c>
      <c r="F416" s="4" t="str">
        <f>IFERROR(__xludf.DUMMYFUNCTION("GOOGLETRANSLATE(B416,""en"",""ms"")"),"Mulakan")</f>
        <v>Mulakan</v>
      </c>
      <c r="G416" s="4" t="str">
        <f>IFERROR(__xludf.DUMMYFUNCTION("GOOGLETRANSLATE(B416,""en"",""de"")"),"Start")</f>
        <v>Start</v>
      </c>
      <c r="H416" s="4" t="str">
        <f>IFERROR(__xludf.DUMMYFUNCTION("GOOGLETRANSLATE(B416,""en"",""es"")"),"Comenzar")</f>
        <v>Comenzar</v>
      </c>
      <c r="I416" s="4" t="str">
        <f>IFERROR(__xludf.DUMMYFUNCTION("GOOGLETRANSLATE(B416,""en"",""fr"")"),"Commencer")</f>
        <v>Commencer</v>
      </c>
      <c r="J416" s="4" t="str">
        <f>IFERROR(__xludf.DUMMYFUNCTION("GOOGLETRANSLATE(B416,""en"",""it"")"),"Inizio")</f>
        <v>Inizio</v>
      </c>
      <c r="K416" s="4" t="str">
        <f>IFERROR(__xludf.DUMMYFUNCTION("GOOGLETRANSLATE(B416,""en"",""pt"")"),"Começar")</f>
        <v>Começar</v>
      </c>
      <c r="L416" s="4" t="str">
        <f>IFERROR(__xludf.DUMMYFUNCTION("GOOGLETRANSLATE(B416,""en"",""ro"")"),"Început")</f>
        <v>Început</v>
      </c>
      <c r="M416" s="4" t="str">
        <f>IFERROR(__xludf.DUMMYFUNCTION("GOOGLETRANSLATE(B416,""en"",""vi"")"),"Bắt đầu")</f>
        <v>Bắt đầu</v>
      </c>
      <c r="N416" s="4" t="str">
        <f>IFERROR(__xludf.DUMMYFUNCTION("GOOGLETRANSLATE(B416,""en"",""ru"")"),"Начинать")</f>
        <v>Начинать</v>
      </c>
      <c r="O416" s="4" t="str">
        <f>IFERROR(__xludf.DUMMYFUNCTION("GOOGLETRANSLATE(B416,""en"",""tr"")"),"Başlangıç")</f>
        <v>Başlangıç</v>
      </c>
      <c r="P416" s="4" t="str">
        <f>IFERROR(__xludf.DUMMYFUNCTION("GOOGLETRANSLATE(B416,""en"",""ar"")"),"يبدأ")</f>
        <v>يبدأ</v>
      </c>
      <c r="Q416" s="4" t="str">
        <f>IFERROR(__xludf.DUMMYFUNCTION("GOOGLETRANSLATE(B416,""en"",""mr"")"),"सुरू करा")</f>
        <v>सुरू करा</v>
      </c>
      <c r="R416" s="4" t="str">
        <f>IFERROR(__xludf.DUMMYFUNCTION("GOOGLETRANSLATE(B416,""en"",""gu"")"),"શરૂ કરો")</f>
        <v>શરૂ કરો</v>
      </c>
      <c r="S416" s="4" t="str">
        <f>IFERROR(__xludf.DUMMYFUNCTION("GOOGLETRANSLATE(B416,""en"",""bn"")"),"শুরু করুন")</f>
        <v>শুরু করুন</v>
      </c>
      <c r="T416" s="4" t="str">
        <f>IFERROR(__xludf.DUMMYFUNCTION("GOOGLETRANSLATE(B416,""en"",""pa"")"),"ਸ਼ੁਰੂ ਕਰੋ")</f>
        <v>ਸ਼ੁਰੂ ਕਰੋ</v>
      </c>
      <c r="U416" s="4" t="str">
        <f>IFERROR(__xludf.DUMMYFUNCTION("GOOGLETRANSLATE(B416,""en"",""te"")"),"ప్రారంభించండి")</f>
        <v>ప్రారంభించండి</v>
      </c>
      <c r="V416" s="4" t="str">
        <f>IFERROR(__xludf.DUMMYFUNCTION("GOOGLETRANSLATE(B416,""en"",""kn"")"),"ಪ್ರಾರಂಭಿಸಿ")</f>
        <v>ಪ್ರಾರಂಭಿಸಿ</v>
      </c>
      <c r="W416" s="4" t="str">
        <f>IFERROR(__xludf.DUMMYFUNCTION("GOOGLETRANSLATE(B416,""en"",""ml"")"),"ആരംഭിക്കുക")</f>
        <v>ആരംഭിക്കുക</v>
      </c>
      <c r="X416" s="4" t="str">
        <f>IFERROR(__xludf.DUMMYFUNCTION("GOOGLETRANSLATE(B416,""en"",""th"")"),"เริ่ม")</f>
        <v>เริ่ม</v>
      </c>
      <c r="Y416" s="4" t="str">
        <f>IFERROR(__xludf.DUMMYFUNCTION("GOOGLETRANSLATE(B416,""en"",""ko"")"),"시작")</f>
        <v>시작</v>
      </c>
      <c r="Z416" s="4" t="str">
        <f>IFERROR(__xludf.DUMMYFUNCTION("GOOGLETRANSLATE(B416,""en"",""zh"")"),"开始")</f>
        <v>开始</v>
      </c>
      <c r="AA416" s="4" t="str">
        <f>IFERROR(__xludf.DUMMYFUNCTION("GOOGLETRANSLATE(B416,""en"",""zh-TW"")"),"開始")</f>
        <v>開始</v>
      </c>
      <c r="AB416" s="4" t="str">
        <f>IFERROR(__xludf.DUMMYFUNCTION("GOOGLETRANSLATE(B416,""en"",""ja"")"),"始める")</f>
        <v>始める</v>
      </c>
      <c r="AC416" s="4" t="str">
        <f>IFERROR(__xludf.DUMMYFUNCTION("GOOGLETRANSLATE(B416,""en"",""bg"")"),"Започнете")</f>
        <v>Започнете</v>
      </c>
      <c r="AD416" s="4" t="str">
        <f>IFERROR(__xludf.DUMMYFUNCTION("GOOGLETRANSLATE(B416,""en"",""cs"")"),"Start")</f>
        <v>Start</v>
      </c>
      <c r="AE416" s="4" t="str">
        <f>IFERROR(__xludf.DUMMYFUNCTION("GOOGLETRANSLATE(B416,""en"",""da"")"),"Starte")</f>
        <v>Starte</v>
      </c>
      <c r="AF416" s="4" t="str">
        <f>IFERROR(__xludf.DUMMYFUNCTION("GOOGLETRANSLATE(B416,""en"",""el"")"),"Αρχή")</f>
        <v>Αρχή</v>
      </c>
      <c r="AG416" s="4" t="str">
        <f>IFERROR(__xludf.DUMMYFUNCTION("GOOGLETRANSLATE(B416,""en"",""et"")"),"Alusta")</f>
        <v>Alusta</v>
      </c>
      <c r="AH416" s="4" t="str">
        <f>IFERROR(__xludf.DUMMYFUNCTION("GOOGLETRANSLATE(B416,""en"",""fi"")"),"Aloita")</f>
        <v>Aloita</v>
      </c>
      <c r="AI416" s="4" t="str">
        <f>IFERROR(__xludf.DUMMYFUNCTION("GOOGLETRANSLATE(B416,""en"",""hr"")"),"Start")</f>
        <v>Start</v>
      </c>
      <c r="AJ416" s="4" t="str">
        <f>IFERROR(__xludf.DUMMYFUNCTION("GOOGLETRANSLATE(B416,""en"",""hu"")"),"Indul")</f>
        <v>Indul</v>
      </c>
      <c r="AK416" s="4" t="str">
        <f>IFERROR(__xludf.DUMMYFUNCTION("GOOGLETRANSLATE(B416,""en"",""hy"")"),"Սկսել")</f>
        <v>Սկսել</v>
      </c>
      <c r="AL416" s="4" t="str">
        <f>IFERROR(__xludf.DUMMYFUNCTION("GOOGLETRANSLATE(B416,""en"",""ca"")"),"Comença")</f>
        <v>Comença</v>
      </c>
      <c r="AM416" s="4" t="str">
        <f>IFERROR(__xludf.DUMMYFUNCTION("GOOGLETRANSLATE(B416,""en"",""nl"")"),"Begin")</f>
        <v>Begin</v>
      </c>
      <c r="AN416" s="4" t="str">
        <f>IFERROR(__xludf.DUMMYFUNCTION("GOOGLETRANSLATE(B416,""en"",""he"")"),"הַתחָלָה")</f>
        <v>הַתחָלָה</v>
      </c>
      <c r="AO416" s="4" t="str">
        <f>IFERROR(__xludf.DUMMYFUNCTION("GOOGLETRANSLATE(B416,""en"",""is"")"),"Byrjaðu")</f>
        <v>Byrjaðu</v>
      </c>
      <c r="AP416" s="4" t="str">
        <f>IFERROR(__xludf.DUMMYFUNCTION("GOOGLETRANSLATE(B416,""en"",""no"")"),"Start")</f>
        <v>Start</v>
      </c>
      <c r="AQ416" s="4" t="str">
        <f>IFERROR(__xludf.DUMMYFUNCTION("GOOGLETRANSLATE(B416,""en"",""fa"")"),"شروع کنید")</f>
        <v>شروع کنید</v>
      </c>
      <c r="AR416" s="4" t="str">
        <f>IFERROR(__xludf.DUMMYFUNCTION("GOOGLETRANSLATE(B416,""en"",""pl"")"),"Start")</f>
        <v>Start</v>
      </c>
      <c r="AS416" s="4" t="str">
        <f>IFERROR(__xludf.DUMMYFUNCTION("GOOGLETRANSLATE(B416,""en"",""sv"")"),"Start")</f>
        <v>Start</v>
      </c>
      <c r="AT416" s="4" t="str">
        <f>IFERROR(__xludf.DUMMYFUNCTION("GOOGLETRANSLATE(B416,""en"",""uk"")"),"Почніть")</f>
        <v>Почніть</v>
      </c>
      <c r="AU416" s="4" t="str">
        <f>IFERROR(__xludf.DUMMYFUNCTION("GOOGLETRANSLATE(B416,""en"",""zu"")"),"Qala")</f>
        <v>Qala</v>
      </c>
      <c r="AV416" s="4" t="str">
        <f>IFERROR(__xludf.DUMMYFUNCTION("GOOGLETRANSLATE(B416,""en"",""sr"")"),"Почни")</f>
        <v>Почни</v>
      </c>
    </row>
    <row r="417">
      <c r="A417" s="3" t="s">
        <v>812</v>
      </c>
      <c r="B417" s="3" t="s">
        <v>813</v>
      </c>
      <c r="C417" s="4" t="str">
        <f>IFERROR(__xludf.DUMMYFUNCTION("GOOGLETRANSLATE(B417,""en"",""ta"")"),"முடிவு")</f>
        <v>முடிவு</v>
      </c>
      <c r="D417" s="4" t="str">
        <f>IFERROR(__xludf.DUMMYFUNCTION("GOOGLETRANSLATE(B417,""en"",""hi"")"),"अंत")</f>
        <v>अंत</v>
      </c>
      <c r="E417" s="4" t="str">
        <f>IFERROR(__xludf.DUMMYFUNCTION("GOOGLETRANSLATE(B417,""en"",""id"")"),"Akhir")</f>
        <v>Akhir</v>
      </c>
      <c r="F417" s="4" t="str">
        <f>IFERROR(__xludf.DUMMYFUNCTION("GOOGLETRANSLATE(B417,""en"",""ms"")"),"tamat")</f>
        <v>tamat</v>
      </c>
      <c r="G417" s="4" t="str">
        <f>IFERROR(__xludf.DUMMYFUNCTION("GOOGLETRANSLATE(B417,""en"",""de"")"),"Ende")</f>
        <v>Ende</v>
      </c>
      <c r="H417" s="4" t="str">
        <f>IFERROR(__xludf.DUMMYFUNCTION("GOOGLETRANSLATE(B417,""en"",""es"")"),"Fin")</f>
        <v>Fin</v>
      </c>
      <c r="I417" s="4" t="str">
        <f>IFERROR(__xludf.DUMMYFUNCTION("GOOGLETRANSLATE(B417,""en"",""fr"")"),"Fin")</f>
        <v>Fin</v>
      </c>
      <c r="J417" s="4" t="str">
        <f>IFERROR(__xludf.DUMMYFUNCTION("GOOGLETRANSLATE(B417,""en"",""it"")"),"FINE")</f>
        <v>FINE</v>
      </c>
      <c r="K417" s="4" t="str">
        <f>IFERROR(__xludf.DUMMYFUNCTION("GOOGLETRANSLATE(B417,""en"",""pt"")"),"Fim")</f>
        <v>Fim</v>
      </c>
      <c r="L417" s="4" t="str">
        <f>IFERROR(__xludf.DUMMYFUNCTION("GOOGLETRANSLATE(B417,""en"",""ro"")"),"Sfârşit")</f>
        <v>Sfârşit</v>
      </c>
      <c r="M417" s="4" t="str">
        <f>IFERROR(__xludf.DUMMYFUNCTION("GOOGLETRANSLATE(B417,""en"",""vi"")"),"Kết thúc")</f>
        <v>Kết thúc</v>
      </c>
      <c r="N417" s="4" t="str">
        <f>IFERROR(__xludf.DUMMYFUNCTION("GOOGLETRANSLATE(B417,""en"",""ru"")"),"Конец")</f>
        <v>Конец</v>
      </c>
      <c r="O417" s="4" t="str">
        <f>IFERROR(__xludf.DUMMYFUNCTION("GOOGLETRANSLATE(B417,""en"",""tr"")"),"Son")</f>
        <v>Son</v>
      </c>
      <c r="P417" s="4" t="str">
        <f>IFERROR(__xludf.DUMMYFUNCTION("GOOGLETRANSLATE(B417,""en"",""ar"")"),"نهاية")</f>
        <v>نهاية</v>
      </c>
      <c r="Q417" s="4" t="str">
        <f>IFERROR(__xludf.DUMMYFUNCTION("GOOGLETRANSLATE(B417,""en"",""mr"")"),"शेवट")</f>
        <v>शेवट</v>
      </c>
      <c r="R417" s="4" t="str">
        <f>IFERROR(__xludf.DUMMYFUNCTION("GOOGLETRANSLATE(B417,""en"",""gu"")"),"અંત")</f>
        <v>અંત</v>
      </c>
      <c r="S417" s="4" t="str">
        <f>IFERROR(__xludf.DUMMYFUNCTION("GOOGLETRANSLATE(B417,""en"",""bn"")"),"শেষ")</f>
        <v>শেষ</v>
      </c>
      <c r="T417" s="4" t="str">
        <f>IFERROR(__xludf.DUMMYFUNCTION("GOOGLETRANSLATE(B417,""en"",""pa"")"),"ਅੰਤ")</f>
        <v>ਅੰਤ</v>
      </c>
      <c r="U417" s="4" t="str">
        <f>IFERROR(__xludf.DUMMYFUNCTION("GOOGLETRANSLATE(B417,""en"",""te"")"),"ముగింపు")</f>
        <v>ముగింపు</v>
      </c>
      <c r="V417" s="4" t="str">
        <f>IFERROR(__xludf.DUMMYFUNCTION("GOOGLETRANSLATE(B417,""en"",""kn"")"),"ಅಂತ್ಯ")</f>
        <v>ಅಂತ್ಯ</v>
      </c>
      <c r="W417" s="4" t="str">
        <f>IFERROR(__xludf.DUMMYFUNCTION("GOOGLETRANSLATE(B417,""en"",""ml"")"),"അവസാനിക്കുന്നു")</f>
        <v>അവസാനിക്കുന്നു</v>
      </c>
      <c r="X417" s="4" t="str">
        <f>IFERROR(__xludf.DUMMYFUNCTION("GOOGLETRANSLATE(B417,""en"",""th"")"),"จบ")</f>
        <v>จบ</v>
      </c>
      <c r="Y417" s="4" t="str">
        <f>IFERROR(__xludf.DUMMYFUNCTION("GOOGLETRANSLATE(B417,""en"",""ko"")"),"끝")</f>
        <v>끝</v>
      </c>
      <c r="Z417" s="4" t="str">
        <f>IFERROR(__xludf.DUMMYFUNCTION("GOOGLETRANSLATE(B417,""en"",""zh"")"),"结尾")</f>
        <v>结尾</v>
      </c>
      <c r="AA417" s="4" t="str">
        <f>IFERROR(__xludf.DUMMYFUNCTION("GOOGLETRANSLATE(B417,""en"",""zh-TW"")"),"結尾")</f>
        <v>結尾</v>
      </c>
      <c r="AB417" s="4" t="str">
        <f>IFERROR(__xludf.DUMMYFUNCTION("GOOGLETRANSLATE(B417,""en"",""ja"")"),"終わり")</f>
        <v>終わり</v>
      </c>
      <c r="AC417" s="4" t="str">
        <f>IFERROR(__xludf.DUMMYFUNCTION("GOOGLETRANSLATE(B417,""en"",""bg"")"),"Край")</f>
        <v>Край</v>
      </c>
      <c r="AD417" s="4" t="str">
        <f>IFERROR(__xludf.DUMMYFUNCTION("GOOGLETRANSLATE(B417,""en"",""cs"")"),"Konec")</f>
        <v>Konec</v>
      </c>
      <c r="AE417" s="4" t="str">
        <f>IFERROR(__xludf.DUMMYFUNCTION("GOOGLETRANSLATE(B417,""en"",""da"")"),"Ende")</f>
        <v>Ende</v>
      </c>
      <c r="AF417" s="4" t="str">
        <f>IFERROR(__xludf.DUMMYFUNCTION("GOOGLETRANSLATE(B417,""en"",""el"")"),"Τέλος")</f>
        <v>Τέλος</v>
      </c>
      <c r="AG417" s="4" t="str">
        <f>IFERROR(__xludf.DUMMYFUNCTION("GOOGLETRANSLATE(B417,""en"",""et"")"),"Lõpp")</f>
        <v>Lõpp</v>
      </c>
      <c r="AH417" s="4" t="str">
        <f>IFERROR(__xludf.DUMMYFUNCTION("GOOGLETRANSLATE(B417,""en"",""fi"")"),"Loppu")</f>
        <v>Loppu</v>
      </c>
      <c r="AI417" s="4" t="str">
        <f>IFERROR(__xludf.DUMMYFUNCTION("GOOGLETRANSLATE(B417,""en"",""hr"")"),"Kraj")</f>
        <v>Kraj</v>
      </c>
      <c r="AJ417" s="4" t="str">
        <f>IFERROR(__xludf.DUMMYFUNCTION("GOOGLETRANSLATE(B417,""en"",""hu"")"),"Vége")</f>
        <v>Vége</v>
      </c>
      <c r="AK417" s="4" t="str">
        <f>IFERROR(__xludf.DUMMYFUNCTION("GOOGLETRANSLATE(B417,""en"",""hy"")"),"Վերջ")</f>
        <v>Վերջ</v>
      </c>
      <c r="AL417" s="4" t="str">
        <f>IFERROR(__xludf.DUMMYFUNCTION("GOOGLETRANSLATE(B417,""en"",""ca"")"),"Final")</f>
        <v>Final</v>
      </c>
      <c r="AM417" s="4" t="str">
        <f>IFERROR(__xludf.DUMMYFUNCTION("GOOGLETRANSLATE(B417,""en"",""nl"")"),"Einde")</f>
        <v>Einde</v>
      </c>
      <c r="AN417" s="4" t="str">
        <f>IFERROR(__xludf.DUMMYFUNCTION("GOOGLETRANSLATE(B417,""en"",""he"")"),"סוֹף")</f>
        <v>סוֹף</v>
      </c>
      <c r="AO417" s="4" t="str">
        <f>IFERROR(__xludf.DUMMYFUNCTION("GOOGLETRANSLATE(B417,""en"",""is"")"),"Enda")</f>
        <v>Enda</v>
      </c>
      <c r="AP417" s="4" t="str">
        <f>IFERROR(__xludf.DUMMYFUNCTION("GOOGLETRANSLATE(B417,""en"",""no"")"),"Slutt")</f>
        <v>Slutt</v>
      </c>
      <c r="AQ417" s="4" t="str">
        <f>IFERROR(__xludf.DUMMYFUNCTION("GOOGLETRANSLATE(B417,""en"",""fa"")"),"پایان")</f>
        <v>پایان</v>
      </c>
      <c r="AR417" s="4" t="str">
        <f>IFERROR(__xludf.DUMMYFUNCTION("GOOGLETRANSLATE(B417,""en"",""pl"")"),"Koniec")</f>
        <v>Koniec</v>
      </c>
      <c r="AS417" s="4" t="str">
        <f>IFERROR(__xludf.DUMMYFUNCTION("GOOGLETRANSLATE(B417,""en"",""sv"")"),"Avsluta")</f>
        <v>Avsluta</v>
      </c>
      <c r="AT417" s="4" t="str">
        <f>IFERROR(__xludf.DUMMYFUNCTION("GOOGLETRANSLATE(B417,""en"",""uk"")"),"Кінець")</f>
        <v>Кінець</v>
      </c>
      <c r="AU417" s="4" t="str">
        <f>IFERROR(__xludf.DUMMYFUNCTION("GOOGLETRANSLATE(B417,""en"",""zu"")"),"Qeda")</f>
        <v>Qeda</v>
      </c>
      <c r="AV417" s="4" t="str">
        <f>IFERROR(__xludf.DUMMYFUNCTION("GOOGLETRANSLATE(B417,""en"",""sr"")"),"Крај")</f>
        <v>Крај</v>
      </c>
    </row>
    <row r="418">
      <c r="A418" s="3" t="s">
        <v>814</v>
      </c>
      <c r="B418" s="3" t="s">
        <v>815</v>
      </c>
      <c r="C418" s="4" t="str">
        <f>IFERROR(__xludf.DUMMYFUNCTION("GOOGLETRANSLATE(B418,""en"",""ta"")"),"வேக பகுப்பாய்வு")</f>
        <v>வேக பகுப்பாய்வு</v>
      </c>
      <c r="D418" s="4" t="str">
        <f>IFERROR(__xludf.DUMMYFUNCTION("GOOGLETRANSLATE(B418,""en"",""hi"")"),"गति विश्लेषण")</f>
        <v>गति विश्लेषण</v>
      </c>
      <c r="E418" s="4" t="str">
        <f>IFERROR(__xludf.DUMMYFUNCTION("GOOGLETRANSLATE(B418,""en"",""id"")"),"Analisis Kecepatan")</f>
        <v>Analisis Kecepatan</v>
      </c>
      <c r="F418" s="4" t="str">
        <f>IFERROR(__xludf.DUMMYFUNCTION("GOOGLETRANSLATE(B418,""en"",""ms"")"),"Analisis Kepantasan")</f>
        <v>Analisis Kepantasan</v>
      </c>
      <c r="G418" s="4" t="str">
        <f>IFERROR(__xludf.DUMMYFUNCTION("GOOGLETRANSLATE(B418,""en"",""de"")"),"Geschwindigkeitsanalyse")</f>
        <v>Geschwindigkeitsanalyse</v>
      </c>
      <c r="H418" s="4" t="str">
        <f>IFERROR(__xludf.DUMMYFUNCTION("GOOGLETRANSLATE(B418,""en"",""es"")"),"Análisis de velocidad")</f>
        <v>Análisis de velocidad</v>
      </c>
      <c r="I418" s="4" t="str">
        <f>IFERROR(__xludf.DUMMYFUNCTION("GOOGLETRANSLATE(B418,""en"",""fr"")"),"Analyse de la vitesse")</f>
        <v>Analyse de la vitesse</v>
      </c>
      <c r="J418" s="4" t="str">
        <f>IFERROR(__xludf.DUMMYFUNCTION("GOOGLETRANSLATE(B418,""en"",""it"")"),"Analisi della velocità")</f>
        <v>Analisi della velocità</v>
      </c>
      <c r="K418" s="4" t="str">
        <f>IFERROR(__xludf.DUMMYFUNCTION("GOOGLETRANSLATE(B418,""en"",""pt"")"),"Análise de velocidade")</f>
        <v>Análise de velocidade</v>
      </c>
      <c r="L418" s="4" t="str">
        <f>IFERROR(__xludf.DUMMYFUNCTION("GOOGLETRANSLATE(B418,""en"",""ro"")"),"Analiza vitezei")</f>
        <v>Analiza vitezei</v>
      </c>
      <c r="M418" s="4" t="str">
        <f>IFERROR(__xludf.DUMMYFUNCTION("GOOGLETRANSLATE(B418,""en"",""vi"")"),"Phân tích tốc độ")</f>
        <v>Phân tích tốc độ</v>
      </c>
      <c r="N418" s="4" t="str">
        <f>IFERROR(__xludf.DUMMYFUNCTION("GOOGLETRANSLATE(B418,""en"",""ru"")"),"Анализ скорости")</f>
        <v>Анализ скорости</v>
      </c>
      <c r="O418" s="4" t="str">
        <f>IFERROR(__xludf.DUMMYFUNCTION("GOOGLETRANSLATE(B418,""en"",""tr"")"),"Hız Analizi")</f>
        <v>Hız Analizi</v>
      </c>
      <c r="P418" s="4" t="str">
        <f>IFERROR(__xludf.DUMMYFUNCTION("GOOGLETRANSLATE(B418,""en"",""ar"")"),"تحليل السرعة")</f>
        <v>تحليل السرعة</v>
      </c>
      <c r="Q418" s="4" t="str">
        <f>IFERROR(__xludf.DUMMYFUNCTION("GOOGLETRANSLATE(B418,""en"",""mr"")"),"गती विश्लेषण")</f>
        <v>गती विश्लेषण</v>
      </c>
      <c r="R418" s="4" t="str">
        <f>IFERROR(__xludf.DUMMYFUNCTION("GOOGLETRANSLATE(B418,""en"",""gu"")"),"ઝડપ વિશ્લેષણ")</f>
        <v>ઝડપ વિશ્લેષણ</v>
      </c>
      <c r="S418" s="4" t="str">
        <f>IFERROR(__xludf.DUMMYFUNCTION("GOOGLETRANSLATE(B418,""en"",""bn"")"),"গতি বিশ্লেষণ")</f>
        <v>গতি বিশ্লেষণ</v>
      </c>
      <c r="T418" s="4" t="str">
        <f>IFERROR(__xludf.DUMMYFUNCTION("GOOGLETRANSLATE(B418,""en"",""pa"")"),"ਸਪੀਡ ਵਿਸ਼ਲੇਸ਼ਣ")</f>
        <v>ਸਪੀਡ ਵਿਸ਼ਲੇਸ਼ਣ</v>
      </c>
      <c r="U418" s="4" t="str">
        <f>IFERROR(__xludf.DUMMYFUNCTION("GOOGLETRANSLATE(B418,""en"",""te"")"),"స్పీడ్ అనాలిసిస్")</f>
        <v>స్పీడ్ అనాలిసిస్</v>
      </c>
      <c r="V418" s="4" t="str">
        <f>IFERROR(__xludf.DUMMYFUNCTION("GOOGLETRANSLATE(B418,""en"",""kn"")"),"ವೇಗ ವಿಶ್ಲೇಷಣೆ")</f>
        <v>ವೇಗ ವಿಶ್ಲೇಷಣೆ</v>
      </c>
      <c r="W418" s="4" t="str">
        <f>IFERROR(__xludf.DUMMYFUNCTION("GOOGLETRANSLATE(B418,""en"",""ml"")"),"സ്പീഡ് അനാലിസിസ്")</f>
        <v>സ്പീഡ് അനാലിസിസ്</v>
      </c>
      <c r="X418" s="4" t="str">
        <f>IFERROR(__xludf.DUMMYFUNCTION("GOOGLETRANSLATE(B418,""en"",""th"")"),"การวิเคราะห์ความเร็ว")</f>
        <v>การวิเคราะห์ความเร็ว</v>
      </c>
      <c r="Y418" s="4" t="str">
        <f>IFERROR(__xludf.DUMMYFUNCTION("GOOGLETRANSLATE(B418,""en"",""ko"")"),"속도 분석")</f>
        <v>속도 분석</v>
      </c>
      <c r="Z418" s="4" t="str">
        <f>IFERROR(__xludf.DUMMYFUNCTION("GOOGLETRANSLATE(B418,""en"",""zh"")"),"速度分析")</f>
        <v>速度分析</v>
      </c>
      <c r="AA418" s="4" t="str">
        <f>IFERROR(__xludf.DUMMYFUNCTION("GOOGLETRANSLATE(B418,""en"",""zh-TW"")"),"速度分析")</f>
        <v>速度分析</v>
      </c>
      <c r="AB418" s="4" t="str">
        <f>IFERROR(__xludf.DUMMYFUNCTION("GOOGLETRANSLATE(B418,""en"",""ja"")"),"速度分析")</f>
        <v>速度分析</v>
      </c>
      <c r="AC418" s="4" t="str">
        <f>IFERROR(__xludf.DUMMYFUNCTION("GOOGLETRANSLATE(B418,""en"",""bg"")"),"Анализ на скоростта")</f>
        <v>Анализ на скоростта</v>
      </c>
      <c r="AD418" s="4" t="str">
        <f>IFERROR(__xludf.DUMMYFUNCTION("GOOGLETRANSLATE(B418,""en"",""cs"")"),"Analýza rychlosti")</f>
        <v>Analýza rychlosti</v>
      </c>
      <c r="AE418" s="4" t="str">
        <f>IFERROR(__xludf.DUMMYFUNCTION("GOOGLETRANSLATE(B418,""en"",""da"")"),"Hastighedsanalyse")</f>
        <v>Hastighedsanalyse</v>
      </c>
      <c r="AF418" s="4" t="str">
        <f>IFERROR(__xludf.DUMMYFUNCTION("GOOGLETRANSLATE(B418,""en"",""el"")"),"Ανάλυση Ταχύτητας")</f>
        <v>Ανάλυση Ταχύτητας</v>
      </c>
      <c r="AG418" s="4" t="str">
        <f>IFERROR(__xludf.DUMMYFUNCTION("GOOGLETRANSLATE(B418,""en"",""et"")"),"Kiiruse analüüs")</f>
        <v>Kiiruse analüüs</v>
      </c>
      <c r="AH418" s="4" t="str">
        <f>IFERROR(__xludf.DUMMYFUNCTION("GOOGLETRANSLATE(B418,""en"",""fi"")"),"Nopeusanalyysi")</f>
        <v>Nopeusanalyysi</v>
      </c>
      <c r="AI418" s="4" t="str">
        <f>IFERROR(__xludf.DUMMYFUNCTION("GOOGLETRANSLATE(B418,""en"",""hr"")"),"Analiza brzine")</f>
        <v>Analiza brzine</v>
      </c>
      <c r="AJ418" s="4" t="str">
        <f>IFERROR(__xludf.DUMMYFUNCTION("GOOGLETRANSLATE(B418,""en"",""hu"")"),"Sebességelemzés")</f>
        <v>Sebességelemzés</v>
      </c>
      <c r="AK418" s="4" t="str">
        <f>IFERROR(__xludf.DUMMYFUNCTION("GOOGLETRANSLATE(B418,""en"",""hy"")"),"Արագության վերլուծություն")</f>
        <v>Արագության վերլուծություն</v>
      </c>
      <c r="AL418" s="4" t="str">
        <f>IFERROR(__xludf.DUMMYFUNCTION("GOOGLETRANSLATE(B418,""en"",""ca"")"),"Anàlisi de velocitat")</f>
        <v>Anàlisi de velocitat</v>
      </c>
      <c r="AM418" s="4" t="str">
        <f>IFERROR(__xludf.DUMMYFUNCTION("GOOGLETRANSLATE(B418,""en"",""nl"")"),"Snelheidsanalyse")</f>
        <v>Snelheidsanalyse</v>
      </c>
      <c r="AN418" s="4" t="str">
        <f>IFERROR(__xludf.DUMMYFUNCTION("GOOGLETRANSLATE(B418,""en"",""he"")"),"ניתוח מהירות")</f>
        <v>ניתוח מהירות</v>
      </c>
      <c r="AO418" s="4" t="str">
        <f>IFERROR(__xludf.DUMMYFUNCTION("GOOGLETRANSLATE(B418,""en"",""is"")"),"Hraðagreining")</f>
        <v>Hraðagreining</v>
      </c>
      <c r="AP418" s="4" t="str">
        <f>IFERROR(__xludf.DUMMYFUNCTION("GOOGLETRANSLATE(B418,""en"",""no"")"),"Hastighetsanalyse")</f>
        <v>Hastighetsanalyse</v>
      </c>
      <c r="AQ418" s="4" t="str">
        <f>IFERROR(__xludf.DUMMYFUNCTION("GOOGLETRANSLATE(B418,""en"",""fa"")"),"تجزیه و تحلیل سرعت")</f>
        <v>تجزیه و تحلیل سرعت</v>
      </c>
      <c r="AR418" s="4" t="str">
        <f>IFERROR(__xludf.DUMMYFUNCTION("GOOGLETRANSLATE(B418,""en"",""pl"")"),"Analiza prędkości")</f>
        <v>Analiza prędkości</v>
      </c>
      <c r="AS418" s="4" t="str">
        <f>IFERROR(__xludf.DUMMYFUNCTION("GOOGLETRANSLATE(B418,""en"",""sv"")"),"Hastighetsanalys")</f>
        <v>Hastighetsanalys</v>
      </c>
      <c r="AT418" s="4" t="str">
        <f>IFERROR(__xludf.DUMMYFUNCTION("GOOGLETRANSLATE(B418,""en"",""uk"")"),"Аналіз швидкості")</f>
        <v>Аналіз швидкості</v>
      </c>
      <c r="AU418" s="4" t="str">
        <f>IFERROR(__xludf.DUMMYFUNCTION("GOOGLETRANSLATE(B418,""en"",""zu"")"),"Ukuhlaziywa Kwejubane")</f>
        <v>Ukuhlaziywa Kwejubane</v>
      </c>
      <c r="AV418" s="4" t="str">
        <f>IFERROR(__xludf.DUMMYFUNCTION("GOOGLETRANSLATE(B418,""en"",""sr"")"),"Анализа брзине")</f>
        <v>Анализа брзине</v>
      </c>
    </row>
    <row r="419">
      <c r="A419" s="3" t="s">
        <v>816</v>
      </c>
      <c r="B419" s="3" t="s">
        <v>817</v>
      </c>
      <c r="C419" s="4" t="str">
        <f>IFERROR(__xludf.DUMMYFUNCTION("GOOGLETRANSLATE(B419,""en"",""ta"")"),"சரியான வேகத் தரவு எதுவும் பதிவு செய்யப்படவில்லை. தயவுசெய்து நகரத் தொடங்குங்கள்.")</f>
        <v>சரியான வேகத் தரவு எதுவும் பதிவு செய்யப்படவில்லை. தயவுசெய்து நகரத் தொடங்குங்கள்.</v>
      </c>
      <c r="D419" s="4" t="str">
        <f>IFERROR(__xludf.DUMMYFUNCTION("GOOGLETRANSLATE(B419,""en"",""hi"")"),"कोई वैध गति डेटा रिकॉर्ड नहीं किया गया। कृपया चलना शुरू करें।")</f>
        <v>कोई वैध गति डेटा रिकॉर्ड नहीं किया गया। कृपया चलना शुरू करें।</v>
      </c>
      <c r="E419" s="4" t="str">
        <f>IFERROR(__xludf.DUMMYFUNCTION("GOOGLETRANSLATE(B419,""en"",""id"")"),"Tidak ada data kecepatan yang valid yang tercatat. Silakan mulai bergerak.")</f>
        <v>Tidak ada data kecepatan yang valid yang tercatat. Silakan mulai bergerak.</v>
      </c>
      <c r="F419" s="4" t="str">
        <f>IFERROR(__xludf.DUMMYFUNCTION("GOOGLETRANSLATE(B419,""en"",""ms"")"),"Tiada data kelajuan yang sah direkodkan. Sila mula bergerak.")</f>
        <v>Tiada data kelajuan yang sah direkodkan. Sila mula bergerak.</v>
      </c>
      <c r="G419" s="4" t="str">
        <f>IFERROR(__xludf.DUMMYFUNCTION("GOOGLETRANSLATE(B419,""en"",""de"")"),"Keine gültigen Geschwindigkeitsdaten aufgezeichnet. Bitte setzen Sie sich in Bewegung.")</f>
        <v>Keine gültigen Geschwindigkeitsdaten aufgezeichnet. Bitte setzen Sie sich in Bewegung.</v>
      </c>
      <c r="H419" s="4" t="str">
        <f>IFERROR(__xludf.DUMMYFUNCTION("GOOGLETRANSLATE(B419,""en"",""es"")"),"No se han registrado datos de velocidad válidos. Por favor, comience a moverse.")</f>
        <v>No se han registrado datos de velocidad válidos. Por favor, comience a moverse.</v>
      </c>
      <c r="I419" s="4" t="str">
        <f>IFERROR(__xludf.DUMMYFUNCTION("GOOGLETRANSLATE(B419,""en"",""fr"")"),"Aucune donnée de vitesse valide n'a été enregistrée. Veuillez vous déplacer.")</f>
        <v>Aucune donnée de vitesse valide n'a été enregistrée. Veuillez vous déplacer.</v>
      </c>
      <c r="J419" s="4" t="str">
        <f>IFERROR(__xludf.DUMMYFUNCTION("GOOGLETRANSLATE(B419,""en"",""it"")"),"Nessun dato di velocità valido registrato. Inizia a muoverti.")</f>
        <v>Nessun dato di velocità valido registrato. Inizia a muoverti.</v>
      </c>
      <c r="K419" s="4" t="str">
        <f>IFERROR(__xludf.DUMMYFUNCTION("GOOGLETRANSLATE(B419,""en"",""pt"")"),"Nenhum dado de velocidade válido registrado. Por favor, comece a se mover.")</f>
        <v>Nenhum dado de velocidade válido registrado. Por favor, comece a se mover.</v>
      </c>
      <c r="L419" s="4" t="str">
        <f>IFERROR(__xludf.DUMMYFUNCTION("GOOGLETRANSLATE(B419,""en"",""ro"")"),"Nu au fost înregistrate date valide de viteză. Vă rugăm să începeți să vă mișcați.")</f>
        <v>Nu au fost înregistrate date valide de viteză. Vă rugăm să începeți să vă mișcați.</v>
      </c>
      <c r="M419" s="4" t="str">
        <f>IFERROR(__xludf.DUMMYFUNCTION("GOOGLETRANSLATE(B419,""en"",""vi"")"),"Không có dữ liệu tốc độ hợp lệ nào được ghi lại. Vui lòng bắt đầu di chuyển.")</f>
        <v>Không có dữ liệu tốc độ hợp lệ nào được ghi lại. Vui lòng bắt đầu di chuyển.</v>
      </c>
      <c r="N419" s="4" t="str">
        <f>IFERROR(__xludf.DUMMYFUNCTION("GOOGLETRANSLATE(B419,""en"",""ru"")"),"Нет достоверных данных о скорости. Пожалуйста, начните движение.")</f>
        <v>Нет достоверных данных о скорости. Пожалуйста, начните движение.</v>
      </c>
      <c r="O419" s="4" t="str">
        <f>IFERROR(__xludf.DUMMYFUNCTION("GOOGLETRANSLATE(B419,""en"",""tr"")"),"Geçerli hız verisi kaydedilmedi. Lütfen hareket etmeye başlayın.")</f>
        <v>Geçerli hız verisi kaydedilmedi. Lütfen hareket etmeye başlayın.</v>
      </c>
      <c r="P419" s="4" t="str">
        <f>IFERROR(__xludf.DUMMYFUNCTION("GOOGLETRANSLATE(B419,""en"",""ar"")"),"لم يتم تسجيل بيانات سرعة صحيحة. يُرجى البدء بالتحرك.")</f>
        <v>لم يتم تسجيل بيانات سرعة صحيحة. يُرجى البدء بالتحرك.</v>
      </c>
      <c r="Q419" s="4" t="str">
        <f>IFERROR(__xludf.DUMMYFUNCTION("GOOGLETRANSLATE(B419,""en"",""mr"")"),"कोणताही वैध वेग डेटा रेकॉर्ड केलेला नाही. कृपया हालचाल सुरू करा.")</f>
        <v>कोणताही वैध वेग डेटा रेकॉर्ड केलेला नाही. कृपया हालचाल सुरू करा.</v>
      </c>
      <c r="R419" s="4" t="str">
        <f>IFERROR(__xludf.DUMMYFUNCTION("GOOGLETRANSLATE(B419,""en"",""gu"")"),"કોઈ માન્ય સ્પીડ ડેટા રેકોર્ડ નથી. કૃપા કરીને ખસેડવાનું શરૂ કરો.")</f>
        <v>કોઈ માન્ય સ્પીડ ડેટા રેકોર્ડ નથી. કૃપા કરીને ખસેડવાનું શરૂ કરો.</v>
      </c>
      <c r="S419" s="4" t="str">
        <f>IFERROR(__xludf.DUMMYFUNCTION("GOOGLETRANSLATE(B419,""en"",""bn"")"),"কোনো বৈধ গতি ডেটা রেকর্ড করা হয়নি। চলুন শুরু করুন.")</f>
        <v>কোনো বৈধ গতি ডেটা রেকর্ড করা হয়নি। চলুন শুরু করুন.</v>
      </c>
      <c r="T419" s="4" t="str">
        <f>IFERROR(__xludf.DUMMYFUNCTION("GOOGLETRANSLATE(B419,""en"",""pa"")"),"ਕੋਈ ਵੈਧ ਸਪੀਡ ਡਾਟਾ ਰਿਕਾਰਡ ਨਹੀਂ ਕੀਤਾ ਗਿਆ। ਕਿਰਪਾ ਕਰਕੇ ਚਲਣਾ ਸ਼ੁਰੂ ਕਰੋ।")</f>
        <v>ਕੋਈ ਵੈਧ ਸਪੀਡ ਡਾਟਾ ਰਿਕਾਰਡ ਨਹੀਂ ਕੀਤਾ ਗਿਆ। ਕਿਰਪਾ ਕਰਕੇ ਚਲਣਾ ਸ਼ੁਰੂ ਕਰੋ।</v>
      </c>
      <c r="U419" s="4" t="str">
        <f>IFERROR(__xludf.DUMMYFUNCTION("GOOGLETRANSLATE(B419,""en"",""te"")"),"చెల్లుబాటు అయ్యే వేగం డేటా నమోదు చేయబడలేదు. దయచేసి కదలడం ప్రారంభించండి.")</f>
        <v>చెల్లుబాటు అయ్యే వేగం డేటా నమోదు చేయబడలేదు. దయచేసి కదలడం ప్రారంభించండి.</v>
      </c>
      <c r="V419" s="4" t="str">
        <f>IFERROR(__xludf.DUMMYFUNCTION("GOOGLETRANSLATE(B419,""en"",""kn"")"),"ಯಾವುದೇ ಮಾನ್ಯವಾದ ವೇಗದ ಡೇಟಾವನ್ನು ದಾಖಲಿಸಲಾಗಿಲ್ಲ. ದಯವಿಟ್ಟು ಚಲಿಸಲು ಪ್ರಾರಂಭಿಸಿ.")</f>
        <v>ಯಾವುದೇ ಮಾನ್ಯವಾದ ವೇಗದ ಡೇಟಾವನ್ನು ದಾಖಲಿಸಲಾಗಿಲ್ಲ. ದಯವಿಟ್ಟು ಚಲಿಸಲು ಪ್ರಾರಂಭಿಸಿ.</v>
      </c>
      <c r="W419" s="4" t="str">
        <f>IFERROR(__xludf.DUMMYFUNCTION("GOOGLETRANSLATE(B419,""en"",""ml"")"),"സാധുവായ വേഗത ഡാറ്റയൊന്നും രേഖപ്പെടുത്തിയിട്ടില്ല. ദയവായി നീങ്ങാൻ തുടങ്ങുക.")</f>
        <v>സാധുവായ വേഗത ഡാറ്റയൊന്നും രേഖപ്പെടുത്തിയിട്ടില്ല. ദയവായി നീങ്ങാൻ തുടങ്ങുക.</v>
      </c>
      <c r="X419" s="4" t="str">
        <f>IFERROR(__xludf.DUMMYFUNCTION("GOOGLETRANSLATE(B419,""en"",""th"")"),"ไม่มีการบันทึกข้อมูลความเร็วที่ถูกต้อง กรุณาเริ่มเคลื่อนที่")</f>
        <v>ไม่มีการบันทึกข้อมูลความเร็วที่ถูกต้อง กรุณาเริ่มเคลื่อนที่</v>
      </c>
      <c r="Y419" s="4" t="str">
        <f>IFERROR(__xludf.DUMMYFUNCTION("GOOGLETRANSLATE(B419,""en"",""ko"")"),"유효한 속도 데이터가 기록되지 않았습니다. 이동을 시작하세요.")</f>
        <v>유효한 속도 데이터가 기록되지 않았습니다. 이동을 시작하세요.</v>
      </c>
      <c r="Z419" s="4" t="str">
        <f>IFERROR(__xludf.DUMMYFUNCTION("GOOGLETRANSLATE(B419,""en"",""zh"")"),"未记录有效的速度数据。请开始移动。")</f>
        <v>未记录有效的速度数据。请开始移动。</v>
      </c>
      <c r="AA419" s="4" t="str">
        <f>IFERROR(__xludf.DUMMYFUNCTION("GOOGLETRANSLATE(B419,""en"",""zh-TW"")"),"未記錄有效的速度數據。請開始移動。")</f>
        <v>未記錄有效的速度數據。請開始移動。</v>
      </c>
      <c r="AB419" s="4" t="str">
        <f>IFERROR(__xludf.DUMMYFUNCTION("GOOGLETRANSLATE(B419,""en"",""ja"")"),"有効な速度データが記録されていません。移動を開始してください。")</f>
        <v>有効な速度データが記録されていません。移動を開始してください。</v>
      </c>
      <c r="AC419" s="4" t="str">
        <f>IFERROR(__xludf.DUMMYFUNCTION("GOOGLETRANSLATE(B419,""en"",""bg"")"),"Няма записани валидни данни за скоростта. Моля, започнете да се движите.")</f>
        <v>Няма записани валидни данни за скоростта. Моля, започнете да се движите.</v>
      </c>
      <c r="AD419" s="4" t="str">
        <f>IFERROR(__xludf.DUMMYFUNCTION("GOOGLETRANSLATE(B419,""en"",""cs"")"),"Nejsou zaznamenány žádné platné údaje o rychlosti. Prosím, začněte se hýbat.")</f>
        <v>Nejsou zaznamenány žádné platné údaje o rychlosti. Prosím, začněte se hýbat.</v>
      </c>
      <c r="AE419" s="4" t="str">
        <f>IFERROR(__xludf.DUMMYFUNCTION("GOOGLETRANSLATE(B419,""en"",""da"")"),"Ingen gyldige hastighedsdata registreret. Begynd venligst at flytte.")</f>
        <v>Ingen gyldige hastighedsdata registreret. Begynd venligst at flytte.</v>
      </c>
      <c r="AF419" s="4" t="str">
        <f>IFERROR(__xludf.DUMMYFUNCTION("GOOGLETRANSLATE(B419,""en"",""el"")"),"Δεν έχουν καταγραφεί έγκυρα δεδομένα ταχύτητας. Παρακαλώ ξεκινήστε να κινείστε.")</f>
        <v>Δεν έχουν καταγραφεί έγκυρα δεδομένα ταχύτητας. Παρακαλώ ξεκινήστε να κινείστε.</v>
      </c>
      <c r="AG419" s="4" t="str">
        <f>IFERROR(__xludf.DUMMYFUNCTION("GOOGLETRANSLATE(B419,""en"",""et"")"),"Kehtivaid kiirusandmeid pole salvestatud. Palun hakake liikuma.")</f>
        <v>Kehtivaid kiirusandmeid pole salvestatud. Palun hakake liikuma.</v>
      </c>
      <c r="AH419" s="4" t="str">
        <f>IFERROR(__xludf.DUMMYFUNCTION("GOOGLETRANSLATE(B419,""en"",""fi"")"),"Kelvollisia nopeustietoja ei ole tallennettu. Aloita liikkuminen.")</f>
        <v>Kelvollisia nopeustietoja ei ole tallennettu. Aloita liikkuminen.</v>
      </c>
      <c r="AI419" s="4" t="str">
        <f>IFERROR(__xludf.DUMMYFUNCTION("GOOGLETRANSLATE(B419,""en"",""hr"")"),"Nisu zabilježeni valjani podaci o brzini. Molim te počni se kretati.")</f>
        <v>Nisu zabilježeni valjani podaci o brzini. Molim te počni se kretati.</v>
      </c>
      <c r="AJ419" s="4" t="str">
        <f>IFERROR(__xludf.DUMMYFUNCTION("GOOGLETRANSLATE(B419,""en"",""hu"")"),"Nem rögzítettek érvényes sebességadatokat. Kérlek kezdj el mozogni.")</f>
        <v>Nem rögzítettek érvényes sebességadatokat. Kérlek kezdj el mozogni.</v>
      </c>
      <c r="AK419" s="4" t="str">
        <f>IFERROR(__xludf.DUMMYFUNCTION("GOOGLETRANSLATE(B419,""en"",""hy"")"),"Արագության վավեր տվյալներ չեն գրանցվել: Խնդրում եմ, սկսեք շարժվել:")</f>
        <v>Արագության վավեր տվյալներ չեն գրանցվել: Խնդրում եմ, սկսեք շարժվել:</v>
      </c>
      <c r="AL419" s="4" t="str">
        <f>IFERROR(__xludf.DUMMYFUNCTION("GOOGLETRANSLATE(B419,""en"",""ca"")"),"No s'han registrat dades de velocitat vàlides. Si us plau, comença a moure't.")</f>
        <v>No s'han registrat dades de velocitat vàlides. Si us plau, comença a moure't.</v>
      </c>
      <c r="AM419" s="4" t="str">
        <f>IFERROR(__xludf.DUMMYFUNCTION("GOOGLETRANSLATE(B419,""en"",""nl"")"),"Er zijn geen geldige snelheidsgegevens geregistreerd. Begin met rijden.")</f>
        <v>Er zijn geen geldige snelheidsgegevens geregistreerd. Begin met rijden.</v>
      </c>
      <c r="AN419" s="4" t="str">
        <f>IFERROR(__xludf.DUMMYFUNCTION("GOOGLETRANSLATE(B419,""en"",""he"")"),"לא נרשמו נתוני מהירות חוקיים. נא להתחיל לזוז.")</f>
        <v>לא נרשמו נתוני מהירות חוקיים. נא להתחיל לזוז.</v>
      </c>
      <c r="AO419" s="4" t="str">
        <f>IFERROR(__xludf.DUMMYFUNCTION("GOOGLETRANSLATE(B419,""en"",""is"")"),"Engin gild hraðagögn skráð. Vinsamlegast byrjaðu að hreyfa þig.")</f>
        <v>Engin gild hraðagögn skráð. Vinsamlegast byrjaðu að hreyfa þig.</v>
      </c>
      <c r="AP419" s="4" t="str">
        <f>IFERROR(__xludf.DUMMYFUNCTION("GOOGLETRANSLATE(B419,""en"",""no"")"),"Ingen gyldige hastighetsdata registrert. Begynn å flytte.")</f>
        <v>Ingen gyldige hastighetsdata registrert. Begynn å flytte.</v>
      </c>
      <c r="AQ419" s="4" t="str">
        <f>IFERROR(__xludf.DUMMYFUNCTION("GOOGLETRANSLATE(B419,""en"",""fa"")"),"هیچ داده سرعت معتبری ثبت نشده است. لطفا حرکت را شروع کنید.")</f>
        <v>هیچ داده سرعت معتبری ثبت نشده است. لطفا حرکت را شروع کنید.</v>
      </c>
      <c r="AR419" s="4" t="str">
        <f>IFERROR(__xludf.DUMMYFUNCTION("GOOGLETRANSLATE(B419,""en"",""pl"")"),"Nie zarejestrowano żadnych prawidłowych danych dotyczących prędkości. Proszę zacząć się ruszać.")</f>
        <v>Nie zarejestrowano żadnych prawidłowych danych dotyczących prędkości. Proszę zacząć się ruszać.</v>
      </c>
      <c r="AS419" s="4" t="str">
        <f>IFERROR(__xludf.DUMMYFUNCTION("GOOGLETRANSLATE(B419,""en"",""sv"")"),"Inga giltiga hastighetsdata registrerade. Snälla börja röra på dig.")</f>
        <v>Inga giltiga hastighetsdata registrerade. Snälla börja röra på dig.</v>
      </c>
      <c r="AT419" s="4" t="str">
        <f>IFERROR(__xludf.DUMMYFUNCTION("GOOGLETRANSLATE(B419,""en"",""uk"")"),"Немає дійсних даних про швидкість. Будь ласка, почніть рухатися.")</f>
        <v>Немає дійсних даних про швидкість. Будь ласка, почніть рухатися.</v>
      </c>
      <c r="AU419" s="4" t="str">
        <f>IFERROR(__xludf.DUMMYFUNCTION("GOOGLETRANSLATE(B419,""en"",""zu"")"),"Ayikho idatha yesivinini evumelekile erekhodiwe. Sicela uqale ukunyakaza.")</f>
        <v>Ayikho idatha yesivinini evumelekile erekhodiwe. Sicela uqale ukunyakaza.</v>
      </c>
      <c r="AV419" s="4" t="str">
        <f>IFERROR(__xludf.DUMMYFUNCTION("GOOGLETRANSLATE(B419,""en"",""sr"")"),"Нису забележени важећи подаци о брзини. Молим вас почните да се крећете.")</f>
        <v>Нису забележени важећи подаци о брзини. Молим вас почните да се крећете.</v>
      </c>
    </row>
    <row r="420">
      <c r="A420" s="3" t="s">
        <v>818</v>
      </c>
      <c r="B420" s="3" t="s">
        <v>819</v>
      </c>
      <c r="C420" s="4" t="str">
        <f>IFERROR(__xludf.DUMMYFUNCTION("GOOGLETRANSLATE(B420,""en"",""ta"")"),"கி.மீ")</f>
        <v>கி.மீ</v>
      </c>
      <c r="D420" s="4" t="str">
        <f>IFERROR(__xludf.DUMMYFUNCTION("GOOGLETRANSLATE(B420,""en"",""hi"")"),"किलोमीटर प्रति घंटा")</f>
        <v>किलोमीटर प्रति घंटा</v>
      </c>
      <c r="E420" s="4" t="str">
        <f>IFERROR(__xludf.DUMMYFUNCTION("GOOGLETRANSLATE(B420,""en"",""id"")"),"km/jam")</f>
        <v>km/jam</v>
      </c>
      <c r="F420" s="4" t="str">
        <f>IFERROR(__xludf.DUMMYFUNCTION("GOOGLETRANSLATE(B420,""en"",""ms"")"),"kph")</f>
        <v>kph</v>
      </c>
      <c r="G420" s="4" t="str">
        <f>IFERROR(__xludf.DUMMYFUNCTION("GOOGLETRANSLATE(B420,""en"",""de"")"),"km/h")</f>
        <v>km/h</v>
      </c>
      <c r="H420" s="4" t="str">
        <f>IFERROR(__xludf.DUMMYFUNCTION("GOOGLETRANSLATE(B420,""en"",""es"")"),"kilómetros por hora")</f>
        <v>kilómetros por hora</v>
      </c>
      <c r="I420" s="4" t="str">
        <f>IFERROR(__xludf.DUMMYFUNCTION("GOOGLETRANSLATE(B420,""en"",""fr"")"),"km/h")</f>
        <v>km/h</v>
      </c>
      <c r="J420" s="4" t="str">
        <f>IFERROR(__xludf.DUMMYFUNCTION("GOOGLETRANSLATE(B420,""en"",""it"")"),"km/h")</f>
        <v>km/h</v>
      </c>
      <c r="K420" s="4" t="str">
        <f>IFERROR(__xludf.DUMMYFUNCTION("GOOGLETRANSLATE(B420,""en"",""pt"")"),"km/h")</f>
        <v>km/h</v>
      </c>
      <c r="L420" s="4" t="str">
        <f>IFERROR(__xludf.DUMMYFUNCTION("GOOGLETRANSLATE(B420,""en"",""ro"")"),"kph")</f>
        <v>kph</v>
      </c>
      <c r="M420" s="4" t="str">
        <f>IFERROR(__xludf.DUMMYFUNCTION("GOOGLETRANSLATE(B420,""en"",""vi"")"),"km/giờ")</f>
        <v>km/giờ</v>
      </c>
      <c r="N420" s="4" t="str">
        <f>IFERROR(__xludf.DUMMYFUNCTION("GOOGLETRANSLATE(B420,""en"",""ru"")"),"км/ч")</f>
        <v>км/ч</v>
      </c>
      <c r="O420" s="4" t="str">
        <f>IFERROR(__xludf.DUMMYFUNCTION("GOOGLETRANSLATE(B420,""en"",""tr"")"),"km/s")</f>
        <v>km/s</v>
      </c>
      <c r="P420" s="4" t="str">
        <f>IFERROR(__xludf.DUMMYFUNCTION("GOOGLETRANSLATE(B420,""en"",""ar"")"),"كيلومتر في الساعة")</f>
        <v>كيلومتر في الساعة</v>
      </c>
      <c r="Q420" s="4" t="str">
        <f>IFERROR(__xludf.DUMMYFUNCTION("GOOGLETRANSLATE(B420,""en"",""mr"")"),"किमी प्रति तास")</f>
        <v>किमी प्रति तास</v>
      </c>
      <c r="R420" s="4" t="str">
        <f>IFERROR(__xludf.DUMMYFUNCTION("GOOGLETRANSLATE(B420,""en"",""gu"")"),"કિમી પ્રતિ કલાક")</f>
        <v>કિમી પ્રતિ કલાક</v>
      </c>
      <c r="S420" s="4" t="str">
        <f>IFERROR(__xludf.DUMMYFUNCTION("GOOGLETRANSLATE(B420,""en"",""bn"")"),"kph")</f>
        <v>kph</v>
      </c>
      <c r="T420" s="4" t="str">
        <f>IFERROR(__xludf.DUMMYFUNCTION("GOOGLETRANSLATE(B420,""en"",""pa"")"),"kph")</f>
        <v>kph</v>
      </c>
      <c r="U420" s="4" t="str">
        <f>IFERROR(__xludf.DUMMYFUNCTION("GOOGLETRANSLATE(B420,""en"",""te"")"),"కి.మీ")</f>
        <v>కి.మీ</v>
      </c>
      <c r="V420" s="4" t="str">
        <f>IFERROR(__xludf.DUMMYFUNCTION("GOOGLETRANSLATE(B420,""en"",""kn"")"),"ಕಿ.ಮೀ")</f>
        <v>ಕಿ.ಮೀ</v>
      </c>
      <c r="W420" s="4" t="str">
        <f>IFERROR(__xludf.DUMMYFUNCTION("GOOGLETRANSLATE(B420,""en"",""ml"")"),"കി.മീ")</f>
        <v>കി.മീ</v>
      </c>
      <c r="X420" s="4" t="str">
        <f>IFERROR(__xludf.DUMMYFUNCTION("GOOGLETRANSLATE(B420,""en"",""th"")"),"กม./ชม.")</f>
        <v>กม./ชม.</v>
      </c>
      <c r="Y420" s="4" t="str">
        <f>IFERROR(__xludf.DUMMYFUNCTION("GOOGLETRANSLATE(B420,""en"",""ko"")"),"시속")</f>
        <v>시속</v>
      </c>
      <c r="Z420" s="4" t="str">
        <f>IFERROR(__xludf.DUMMYFUNCTION("GOOGLETRANSLATE(B420,""en"",""zh"")"),"公里/小时")</f>
        <v>公里/小时</v>
      </c>
      <c r="AA420" s="4" t="str">
        <f>IFERROR(__xludf.DUMMYFUNCTION("GOOGLETRANSLATE(B420,""en"",""zh-TW"")"),"公里/小時")</f>
        <v>公里/小時</v>
      </c>
      <c r="AB420" s="4" t="str">
        <f>IFERROR(__xludf.DUMMYFUNCTION("GOOGLETRANSLATE(B420,""en"",""ja"")"),"時速")</f>
        <v>時速</v>
      </c>
      <c r="AC420" s="4" t="str">
        <f>IFERROR(__xludf.DUMMYFUNCTION("GOOGLETRANSLATE(B420,""en"",""bg"")"),"км/ч")</f>
        <v>км/ч</v>
      </c>
      <c r="AD420" s="4" t="str">
        <f>IFERROR(__xludf.DUMMYFUNCTION("GOOGLETRANSLATE(B420,""en"",""cs"")"),"km/h")</f>
        <v>km/h</v>
      </c>
      <c r="AE420" s="4" t="str">
        <f>IFERROR(__xludf.DUMMYFUNCTION("GOOGLETRANSLATE(B420,""en"",""da"")"),"km/t")</f>
        <v>km/t</v>
      </c>
      <c r="AF420" s="4" t="str">
        <f>IFERROR(__xludf.DUMMYFUNCTION("GOOGLETRANSLATE(B420,""en"",""el"")"),"km/h")</f>
        <v>km/h</v>
      </c>
      <c r="AG420" s="4" t="str">
        <f>IFERROR(__xludf.DUMMYFUNCTION("GOOGLETRANSLATE(B420,""en"",""et"")"),"kph")</f>
        <v>kph</v>
      </c>
      <c r="AH420" s="4" t="str">
        <f>IFERROR(__xludf.DUMMYFUNCTION("GOOGLETRANSLATE(B420,""en"",""fi"")"),"kph")</f>
        <v>kph</v>
      </c>
      <c r="AI420" s="4" t="str">
        <f>IFERROR(__xludf.DUMMYFUNCTION("GOOGLETRANSLATE(B420,""en"",""hr"")"),"km/h")</f>
        <v>km/h</v>
      </c>
      <c r="AJ420" s="4" t="str">
        <f>IFERROR(__xludf.DUMMYFUNCTION("GOOGLETRANSLATE(B420,""en"",""hu"")"),"kph")</f>
        <v>kph</v>
      </c>
      <c r="AK420" s="4" t="str">
        <f>IFERROR(__xludf.DUMMYFUNCTION("GOOGLETRANSLATE(B420,""en"",""hy"")"),"կմ/ժ")</f>
        <v>կմ/ժ</v>
      </c>
      <c r="AL420" s="4" t="str">
        <f>IFERROR(__xludf.DUMMYFUNCTION("GOOGLETRANSLATE(B420,""en"",""ca"")"),"kph")</f>
        <v>kph</v>
      </c>
      <c r="AM420" s="4" t="str">
        <f>IFERROR(__xludf.DUMMYFUNCTION("GOOGLETRANSLATE(B420,""en"",""nl"")"),"km/u")</f>
        <v>km/u</v>
      </c>
      <c r="AN420" s="4" t="str">
        <f>IFERROR(__xludf.DUMMYFUNCTION("GOOGLETRANSLATE(B420,""en"",""he"")"),"קמ""ש")</f>
        <v>קמ"ש</v>
      </c>
      <c r="AO420" s="4" t="str">
        <f>IFERROR(__xludf.DUMMYFUNCTION("GOOGLETRANSLATE(B420,""en"",""is"")"),"kph")</f>
        <v>kph</v>
      </c>
      <c r="AP420" s="4" t="str">
        <f>IFERROR(__xludf.DUMMYFUNCTION("GOOGLETRANSLATE(B420,""en"",""no"")"),"km/t")</f>
        <v>km/t</v>
      </c>
      <c r="AQ420" s="4" t="str">
        <f>IFERROR(__xludf.DUMMYFUNCTION("GOOGLETRANSLATE(B420,""en"",""fa"")"),"کیلومتر در ساعت")</f>
        <v>کیلومتر در ساعت</v>
      </c>
      <c r="AR420" s="4" t="str">
        <f>IFERROR(__xludf.DUMMYFUNCTION("GOOGLETRANSLATE(B420,""en"",""pl"")"),"km/h")</f>
        <v>km/h</v>
      </c>
      <c r="AS420" s="4" t="str">
        <f>IFERROR(__xludf.DUMMYFUNCTION("GOOGLETRANSLATE(B420,""en"",""sv"")"),"km/h")</f>
        <v>km/h</v>
      </c>
      <c r="AT420" s="4" t="str">
        <f>IFERROR(__xludf.DUMMYFUNCTION("GOOGLETRANSLATE(B420,""en"",""uk"")"),"км/год")</f>
        <v>км/год</v>
      </c>
      <c r="AU420" s="4" t="str">
        <f>IFERROR(__xludf.DUMMYFUNCTION("GOOGLETRANSLATE(B420,""en"",""zu"")"),"kph")</f>
        <v>kph</v>
      </c>
      <c r="AV420" s="4" t="str">
        <f>IFERROR(__xludf.DUMMYFUNCTION("GOOGLETRANSLATE(B420,""en"",""sr"")"),"кпх")</f>
        <v>кпх</v>
      </c>
    </row>
    <row r="421">
      <c r="A421" s="3" t="s">
        <v>820</v>
      </c>
      <c r="B421" s="3" t="s">
        <v>821</v>
      </c>
      <c r="C421" s="4" t="str">
        <f>IFERROR(__xludf.DUMMYFUNCTION("GOOGLETRANSLATE(B421,""en"",""ta"")"),"mph")</f>
        <v>mph</v>
      </c>
      <c r="D421" s="4" t="str">
        <f>IFERROR(__xludf.DUMMYFUNCTION("GOOGLETRANSLATE(B421,""en"",""hi"")"),"मील प्रति घंटा")</f>
        <v>मील प्रति घंटा</v>
      </c>
      <c r="E421" s="4" t="str">
        <f>IFERROR(__xludf.DUMMYFUNCTION("GOOGLETRANSLATE(B421,""en"",""id"")"),"kecepatan mph")</f>
        <v>kecepatan mph</v>
      </c>
      <c r="F421" s="4" t="str">
        <f>IFERROR(__xludf.DUMMYFUNCTION("GOOGLETRANSLATE(B421,""en"",""ms"")"),"mph")</f>
        <v>mph</v>
      </c>
      <c r="G421" s="4" t="str">
        <f>IFERROR(__xludf.DUMMYFUNCTION("GOOGLETRANSLATE(B421,""en"",""de"")"),"Meilen pro Stunde")</f>
        <v>Meilen pro Stunde</v>
      </c>
      <c r="H421" s="4" t="str">
        <f>IFERROR(__xludf.DUMMYFUNCTION("GOOGLETRANSLATE(B421,""en"",""es"")"),"millas por hora")</f>
        <v>millas por hora</v>
      </c>
      <c r="I421" s="4" t="str">
        <f>IFERROR(__xludf.DUMMYFUNCTION("GOOGLETRANSLATE(B421,""en"",""fr"")"),"mph")</f>
        <v>mph</v>
      </c>
      <c r="J421" s="4" t="str">
        <f>IFERROR(__xludf.DUMMYFUNCTION("GOOGLETRANSLATE(B421,""en"",""it"")"),"miglia orarie")</f>
        <v>miglia orarie</v>
      </c>
      <c r="K421" s="4" t="str">
        <f>IFERROR(__xludf.DUMMYFUNCTION("GOOGLETRANSLATE(B421,""en"",""pt"")"),"milhas por hora")</f>
        <v>milhas por hora</v>
      </c>
      <c r="L421" s="4" t="str">
        <f>IFERROR(__xludf.DUMMYFUNCTION("GOOGLETRANSLATE(B421,""en"",""ro"")"),"mph")</f>
        <v>mph</v>
      </c>
      <c r="M421" s="4" t="str">
        <f>IFERROR(__xludf.DUMMYFUNCTION("GOOGLETRANSLATE(B421,""en"",""vi"")"),"dặm/giờ")</f>
        <v>dặm/giờ</v>
      </c>
      <c r="N421" s="4" t="str">
        <f>IFERROR(__xludf.DUMMYFUNCTION("GOOGLETRANSLATE(B421,""en"",""ru"")"),"миль/ч")</f>
        <v>миль/ч</v>
      </c>
      <c r="O421" s="4" t="str">
        <f>IFERROR(__xludf.DUMMYFUNCTION("GOOGLETRANSLATE(B421,""en"",""tr"")"),"mil/saat")</f>
        <v>mil/saat</v>
      </c>
      <c r="P421" s="4" t="str">
        <f>IFERROR(__xludf.DUMMYFUNCTION("GOOGLETRANSLATE(B421,""en"",""ar"")"),"ميل في الساعة")</f>
        <v>ميل في الساعة</v>
      </c>
      <c r="Q421" s="4" t="str">
        <f>IFERROR(__xludf.DUMMYFUNCTION("GOOGLETRANSLATE(B421,""en"",""mr"")"),"mph")</f>
        <v>mph</v>
      </c>
      <c r="R421" s="4" t="str">
        <f>IFERROR(__xludf.DUMMYFUNCTION("GOOGLETRANSLATE(B421,""en"",""gu"")"),"mph")</f>
        <v>mph</v>
      </c>
      <c r="S421" s="4" t="str">
        <f>IFERROR(__xludf.DUMMYFUNCTION("GOOGLETRANSLATE(B421,""en"",""bn"")"),"mph")</f>
        <v>mph</v>
      </c>
      <c r="T421" s="4" t="str">
        <f>IFERROR(__xludf.DUMMYFUNCTION("GOOGLETRANSLATE(B421,""en"",""pa"")"),"mph")</f>
        <v>mph</v>
      </c>
      <c r="U421" s="4" t="str">
        <f>IFERROR(__xludf.DUMMYFUNCTION("GOOGLETRANSLATE(B421,""en"",""te"")"),"mph")</f>
        <v>mph</v>
      </c>
      <c r="V421" s="4" t="str">
        <f>IFERROR(__xludf.DUMMYFUNCTION("GOOGLETRANSLATE(B421,""en"",""kn"")"),"mph")</f>
        <v>mph</v>
      </c>
      <c r="W421" s="4" t="str">
        <f>IFERROR(__xludf.DUMMYFUNCTION("GOOGLETRANSLATE(B421,""en"",""ml"")"),"mph")</f>
        <v>mph</v>
      </c>
      <c r="X421" s="4" t="str">
        <f>IFERROR(__xludf.DUMMYFUNCTION("GOOGLETRANSLATE(B421,""en"",""th"")"),"ไมล์ต่อชั่วโมง")</f>
        <v>ไมล์ต่อชั่วโมง</v>
      </c>
      <c r="Y421" s="4" t="str">
        <f>IFERROR(__xludf.DUMMYFUNCTION("GOOGLETRANSLATE(B421,""en"",""ko"")"),"시속")</f>
        <v>시속</v>
      </c>
      <c r="Z421" s="4" t="str">
        <f>IFERROR(__xludf.DUMMYFUNCTION("GOOGLETRANSLATE(B421,""en"",""zh"")"),"英里/小时")</f>
        <v>英里/小时</v>
      </c>
      <c r="AA421" s="4" t="str">
        <f>IFERROR(__xludf.DUMMYFUNCTION("GOOGLETRANSLATE(B421,""en"",""zh-TW"")"),"英里/小時")</f>
        <v>英里/小時</v>
      </c>
      <c r="AB421" s="4" t="str">
        <f>IFERROR(__xludf.DUMMYFUNCTION("GOOGLETRANSLATE(B421,""en"",""ja"")"),"時速")</f>
        <v>時速</v>
      </c>
      <c r="AC421" s="4" t="str">
        <f>IFERROR(__xludf.DUMMYFUNCTION("GOOGLETRANSLATE(B421,""en"",""bg"")"),"mph")</f>
        <v>mph</v>
      </c>
      <c r="AD421" s="4" t="str">
        <f>IFERROR(__xludf.DUMMYFUNCTION("GOOGLETRANSLATE(B421,""en"",""cs"")"),"mph")</f>
        <v>mph</v>
      </c>
      <c r="AE421" s="4" t="str">
        <f>IFERROR(__xludf.DUMMYFUNCTION("GOOGLETRANSLATE(B421,""en"",""da"")"),"mph")</f>
        <v>mph</v>
      </c>
      <c r="AF421" s="4" t="str">
        <f>IFERROR(__xludf.DUMMYFUNCTION("GOOGLETRANSLATE(B421,""en"",""el"")"),"μίλι/ώρα")</f>
        <v>μίλι/ώρα</v>
      </c>
      <c r="AG421" s="4" t="str">
        <f>IFERROR(__xludf.DUMMYFUNCTION("GOOGLETRANSLATE(B421,""en"",""et"")"),"mph")</f>
        <v>mph</v>
      </c>
      <c r="AH421" s="4" t="str">
        <f>IFERROR(__xludf.DUMMYFUNCTION("GOOGLETRANSLATE(B421,""en"",""fi"")"),"mph")</f>
        <v>mph</v>
      </c>
      <c r="AI421" s="4" t="str">
        <f>IFERROR(__xludf.DUMMYFUNCTION("GOOGLETRANSLATE(B421,""en"",""hr"")"),"mph")</f>
        <v>mph</v>
      </c>
      <c r="AJ421" s="4" t="str">
        <f>IFERROR(__xludf.DUMMYFUNCTION("GOOGLETRANSLATE(B421,""en"",""hu"")"),"mph")</f>
        <v>mph</v>
      </c>
      <c r="AK421" s="4" t="str">
        <f>IFERROR(__xludf.DUMMYFUNCTION("GOOGLETRANSLATE(B421,""en"",""hy"")"),"մղոն/ժ")</f>
        <v>մղոն/ժ</v>
      </c>
      <c r="AL421" s="4" t="str">
        <f>IFERROR(__xludf.DUMMYFUNCTION("GOOGLETRANSLATE(B421,""en"",""ca"")"),"mph")</f>
        <v>mph</v>
      </c>
      <c r="AM421" s="4" t="str">
        <f>IFERROR(__xludf.DUMMYFUNCTION("GOOGLETRANSLATE(B421,""en"",""nl"")"),"mph")</f>
        <v>mph</v>
      </c>
      <c r="AN421" s="4" t="str">
        <f>IFERROR(__xludf.DUMMYFUNCTION("GOOGLETRANSLATE(B421,""en"",""he"")"),"מייל לשעה")</f>
        <v>מייל לשעה</v>
      </c>
      <c r="AO421" s="4" t="str">
        <f>IFERROR(__xludf.DUMMYFUNCTION("GOOGLETRANSLATE(B421,""en"",""is"")"),"mph")</f>
        <v>mph</v>
      </c>
      <c r="AP421" s="4" t="str">
        <f>IFERROR(__xludf.DUMMYFUNCTION("GOOGLETRANSLATE(B421,""en"",""no"")"),"mph")</f>
        <v>mph</v>
      </c>
      <c r="AQ421" s="4" t="str">
        <f>IFERROR(__xludf.DUMMYFUNCTION("GOOGLETRANSLATE(B421,""en"",""fa"")"),"مایل در ساعت")</f>
        <v>مایل در ساعت</v>
      </c>
      <c r="AR421" s="4" t="str">
        <f>IFERROR(__xludf.DUMMYFUNCTION("GOOGLETRANSLATE(B421,""en"",""pl"")"),"mil na godzinę")</f>
        <v>mil na godzinę</v>
      </c>
      <c r="AS421" s="4" t="str">
        <f>IFERROR(__xludf.DUMMYFUNCTION("GOOGLETRANSLATE(B421,""en"",""sv"")"),"mph")</f>
        <v>mph</v>
      </c>
      <c r="AT421" s="4" t="str">
        <f>IFERROR(__xludf.DUMMYFUNCTION("GOOGLETRANSLATE(B421,""en"",""uk"")"),"миль/год")</f>
        <v>миль/год</v>
      </c>
      <c r="AU421" s="4" t="str">
        <f>IFERROR(__xludf.DUMMYFUNCTION("GOOGLETRANSLATE(B421,""en"",""zu"")"),"mph")</f>
        <v>mph</v>
      </c>
      <c r="AV421" s="4" t="str">
        <f>IFERROR(__xludf.DUMMYFUNCTION("GOOGLETRANSLATE(B421,""en"",""sr"")"),"мпх")</f>
        <v>мпх</v>
      </c>
    </row>
    <row r="422">
      <c r="A422" s="3" t="s">
        <v>822</v>
      </c>
      <c r="B422" s="3" t="s">
        <v>823</v>
      </c>
      <c r="C422" s="4" t="str">
        <f>IFERROR(__xludf.DUMMYFUNCTION("GOOGLETRANSLATE(B422,""en"",""ta"")"),"முடிச்சுகள்")</f>
        <v>முடிச்சுகள்</v>
      </c>
      <c r="D422" s="4" t="str">
        <f>IFERROR(__xludf.DUMMYFUNCTION("GOOGLETRANSLATE(B422,""en"",""hi"")"),"समुद्री मील")</f>
        <v>समुद्री मील</v>
      </c>
      <c r="E422" s="4" t="str">
        <f>IFERROR(__xludf.DUMMYFUNCTION("GOOGLETRANSLATE(B422,""en"",""id"")"),"simpul")</f>
        <v>simpul</v>
      </c>
      <c r="F422" s="4" t="str">
        <f>IFERROR(__xludf.DUMMYFUNCTION("GOOGLETRANSLATE(B422,""en"",""ms"")"),"simpulan")</f>
        <v>simpulan</v>
      </c>
      <c r="G422" s="4" t="str">
        <f>IFERROR(__xludf.DUMMYFUNCTION("GOOGLETRANSLATE(B422,""en"",""de"")"),"Knoten")</f>
        <v>Knoten</v>
      </c>
      <c r="H422" s="4" t="str">
        <f>IFERROR(__xludf.DUMMYFUNCTION("GOOGLETRANSLATE(B422,""en"",""es"")"),"nudos")</f>
        <v>nudos</v>
      </c>
      <c r="I422" s="4" t="str">
        <f>IFERROR(__xludf.DUMMYFUNCTION("GOOGLETRANSLATE(B422,""en"",""fr"")"),"nœuds")</f>
        <v>nœuds</v>
      </c>
      <c r="J422" s="4" t="str">
        <f>IFERROR(__xludf.DUMMYFUNCTION("GOOGLETRANSLATE(B422,""en"",""it"")"),"nodi")</f>
        <v>nodi</v>
      </c>
      <c r="K422" s="4" t="str">
        <f>IFERROR(__xludf.DUMMYFUNCTION("GOOGLETRANSLATE(B422,""en"",""pt"")"),"nós")</f>
        <v>nós</v>
      </c>
      <c r="L422" s="4" t="str">
        <f>IFERROR(__xludf.DUMMYFUNCTION("GOOGLETRANSLATE(B422,""en"",""ro"")"),"noduri")</f>
        <v>noduri</v>
      </c>
      <c r="M422" s="4" t="str">
        <f>IFERROR(__xludf.DUMMYFUNCTION("GOOGLETRANSLATE(B422,""en"",""vi"")"),"nút thắt")</f>
        <v>nút thắt</v>
      </c>
      <c r="N422" s="4" t="str">
        <f>IFERROR(__xludf.DUMMYFUNCTION("GOOGLETRANSLATE(B422,""en"",""ru"")"),"узлы")</f>
        <v>узлы</v>
      </c>
      <c r="O422" s="4" t="str">
        <f>IFERROR(__xludf.DUMMYFUNCTION("GOOGLETRANSLATE(B422,""en"",""tr"")"),"düğümler")</f>
        <v>düğümler</v>
      </c>
      <c r="P422" s="4" t="str">
        <f>IFERROR(__xludf.DUMMYFUNCTION("GOOGLETRANSLATE(B422,""en"",""ar"")"),"عقدة")</f>
        <v>عقدة</v>
      </c>
      <c r="Q422" s="4" t="str">
        <f>IFERROR(__xludf.DUMMYFUNCTION("GOOGLETRANSLATE(B422,""en"",""mr"")"),"गाठी")</f>
        <v>गाठी</v>
      </c>
      <c r="R422" s="4" t="str">
        <f>IFERROR(__xludf.DUMMYFUNCTION("GOOGLETRANSLATE(B422,""en"",""gu"")"),"ગાંઠ")</f>
        <v>ગાંઠ</v>
      </c>
      <c r="S422" s="4" t="str">
        <f>IFERROR(__xludf.DUMMYFUNCTION("GOOGLETRANSLATE(B422,""en"",""bn"")"),"গিঁট")</f>
        <v>গিঁট</v>
      </c>
      <c r="T422" s="4" t="str">
        <f>IFERROR(__xludf.DUMMYFUNCTION("GOOGLETRANSLATE(B422,""en"",""pa"")"),"ਗੰਢਾਂ")</f>
        <v>ਗੰਢਾਂ</v>
      </c>
      <c r="U422" s="4" t="str">
        <f>IFERROR(__xludf.DUMMYFUNCTION("GOOGLETRANSLATE(B422,""en"",""te"")"),"నాట్లు")</f>
        <v>నాట్లు</v>
      </c>
      <c r="V422" s="4" t="str">
        <f>IFERROR(__xludf.DUMMYFUNCTION("GOOGLETRANSLATE(B422,""en"",""kn"")"),"ಗಂಟುಗಳು")</f>
        <v>ಗಂಟುಗಳು</v>
      </c>
      <c r="W422" s="4" t="str">
        <f>IFERROR(__xludf.DUMMYFUNCTION("GOOGLETRANSLATE(B422,""en"",""ml"")"),"കെട്ടുകൾ")</f>
        <v>കെട്ടുകൾ</v>
      </c>
      <c r="X422" s="4" t="str">
        <f>IFERROR(__xludf.DUMMYFUNCTION("GOOGLETRANSLATE(B422,""en"",""th"")"),"ปม")</f>
        <v>ปม</v>
      </c>
      <c r="Y422" s="4" t="str">
        <f>IFERROR(__xludf.DUMMYFUNCTION("GOOGLETRANSLATE(B422,""en"",""ko"")"),"매듭")</f>
        <v>매듭</v>
      </c>
      <c r="Z422" s="4" t="str">
        <f>IFERROR(__xludf.DUMMYFUNCTION("GOOGLETRANSLATE(B422,""en"",""zh"")"),"结")</f>
        <v>结</v>
      </c>
      <c r="AA422" s="4" t="str">
        <f>IFERROR(__xludf.DUMMYFUNCTION("GOOGLETRANSLATE(B422,""en"",""zh-TW"")"),"結")</f>
        <v>結</v>
      </c>
      <c r="AB422" s="4" t="str">
        <f>IFERROR(__xludf.DUMMYFUNCTION("GOOGLETRANSLATE(B422,""en"",""ja"")"),"結び目")</f>
        <v>結び目</v>
      </c>
      <c r="AC422" s="4" t="str">
        <f>IFERROR(__xludf.DUMMYFUNCTION("GOOGLETRANSLATE(B422,""en"",""bg"")"),"възли")</f>
        <v>възли</v>
      </c>
      <c r="AD422" s="4" t="str">
        <f>IFERROR(__xludf.DUMMYFUNCTION("GOOGLETRANSLATE(B422,""en"",""cs"")"),"uzly")</f>
        <v>uzly</v>
      </c>
      <c r="AE422" s="4" t="str">
        <f>IFERROR(__xludf.DUMMYFUNCTION("GOOGLETRANSLATE(B422,""en"",""da"")"),"knob")</f>
        <v>knob</v>
      </c>
      <c r="AF422" s="4" t="str">
        <f>IFERROR(__xludf.DUMMYFUNCTION("GOOGLETRANSLATE(B422,""en"",""el"")"),"κόμβους")</f>
        <v>κόμβους</v>
      </c>
      <c r="AG422" s="4" t="str">
        <f>IFERROR(__xludf.DUMMYFUNCTION("GOOGLETRANSLATE(B422,""en"",""et"")"),"sõlmed")</f>
        <v>sõlmed</v>
      </c>
      <c r="AH422" s="4" t="str">
        <f>IFERROR(__xludf.DUMMYFUNCTION("GOOGLETRANSLATE(B422,""en"",""fi"")"),"solmut")</f>
        <v>solmut</v>
      </c>
      <c r="AI422" s="4" t="str">
        <f>IFERROR(__xludf.DUMMYFUNCTION("GOOGLETRANSLATE(B422,""en"",""hr"")"),"čvorovi")</f>
        <v>čvorovi</v>
      </c>
      <c r="AJ422" s="4" t="str">
        <f>IFERROR(__xludf.DUMMYFUNCTION("GOOGLETRANSLATE(B422,""en"",""hu"")"),"csomók")</f>
        <v>csomók</v>
      </c>
      <c r="AK422" s="4" t="str">
        <f>IFERROR(__xludf.DUMMYFUNCTION("GOOGLETRANSLATE(B422,""en"",""hy"")"),"հանգույցներ")</f>
        <v>հանգույցներ</v>
      </c>
      <c r="AL422" s="4" t="str">
        <f>IFERROR(__xludf.DUMMYFUNCTION("GOOGLETRANSLATE(B422,""en"",""ca"")"),"nusos")</f>
        <v>nusos</v>
      </c>
      <c r="AM422" s="4" t="str">
        <f>IFERROR(__xludf.DUMMYFUNCTION("GOOGLETRANSLATE(B422,""en"",""nl"")"),"knopen")</f>
        <v>knopen</v>
      </c>
      <c r="AN422" s="4" t="str">
        <f>IFERROR(__xludf.DUMMYFUNCTION("GOOGLETRANSLATE(B422,""en"",""he"")"),"קשרים")</f>
        <v>קשרים</v>
      </c>
      <c r="AO422" s="4" t="str">
        <f>IFERROR(__xludf.DUMMYFUNCTION("GOOGLETRANSLATE(B422,""en"",""is"")"),"hnúta")</f>
        <v>hnúta</v>
      </c>
      <c r="AP422" s="4" t="str">
        <f>IFERROR(__xludf.DUMMYFUNCTION("GOOGLETRANSLATE(B422,""en"",""no"")"),"knuter")</f>
        <v>knuter</v>
      </c>
      <c r="AQ422" s="4" t="str">
        <f>IFERROR(__xludf.DUMMYFUNCTION("GOOGLETRANSLATE(B422,""en"",""fa"")"),"گره ها")</f>
        <v>گره ها</v>
      </c>
      <c r="AR422" s="4" t="str">
        <f>IFERROR(__xludf.DUMMYFUNCTION("GOOGLETRANSLATE(B422,""en"",""pl"")"),"węzły")</f>
        <v>węzły</v>
      </c>
      <c r="AS422" s="4" t="str">
        <f>IFERROR(__xludf.DUMMYFUNCTION("GOOGLETRANSLATE(B422,""en"",""sv"")"),"knutar")</f>
        <v>knutar</v>
      </c>
      <c r="AT422" s="4" t="str">
        <f>IFERROR(__xludf.DUMMYFUNCTION("GOOGLETRANSLATE(B422,""en"",""uk"")"),"вузли")</f>
        <v>вузли</v>
      </c>
      <c r="AU422" s="4" t="str">
        <f>IFERROR(__xludf.DUMMYFUNCTION("GOOGLETRANSLATE(B422,""en"",""zu"")"),"amafindo")</f>
        <v>amafindo</v>
      </c>
      <c r="AV422" s="4" t="str">
        <f>IFERROR(__xludf.DUMMYFUNCTION("GOOGLETRANSLATE(B422,""en"",""sr"")"),"чворови")</f>
        <v>чворови</v>
      </c>
    </row>
    <row r="423">
      <c r="A423" s="3" t="s">
        <v>824</v>
      </c>
      <c r="B423" s="3" t="s">
        <v>596</v>
      </c>
      <c r="C423" s="4" t="str">
        <f>IFERROR(__xludf.DUMMYFUNCTION("GOOGLETRANSLATE(B423,""en"",""ta"")"),"கால அளவு")</f>
        <v>கால அளவு</v>
      </c>
      <c r="D423" s="4" t="str">
        <f>IFERROR(__xludf.DUMMYFUNCTION("GOOGLETRANSLATE(B423,""en"",""hi"")"),"अवधि")</f>
        <v>अवधि</v>
      </c>
      <c r="E423" s="4" t="str">
        <f>IFERROR(__xludf.DUMMYFUNCTION("GOOGLETRANSLATE(B423,""en"",""id"")"),"Lamanya")</f>
        <v>Lamanya</v>
      </c>
      <c r="F423" s="4" t="str">
        <f>IFERROR(__xludf.DUMMYFUNCTION("GOOGLETRANSLATE(B423,""en"",""ms"")"),"Tempoh")</f>
        <v>Tempoh</v>
      </c>
      <c r="G423" s="4" t="str">
        <f>IFERROR(__xludf.DUMMYFUNCTION("GOOGLETRANSLATE(B423,""en"",""de"")"),"Dauer")</f>
        <v>Dauer</v>
      </c>
      <c r="H423" s="4" t="str">
        <f>IFERROR(__xludf.DUMMYFUNCTION("GOOGLETRANSLATE(B423,""en"",""es"")"),"Duración")</f>
        <v>Duración</v>
      </c>
      <c r="I423" s="4" t="str">
        <f>IFERROR(__xludf.DUMMYFUNCTION("GOOGLETRANSLATE(B423,""en"",""fr"")"),"Durée")</f>
        <v>Durée</v>
      </c>
      <c r="J423" s="4" t="str">
        <f>IFERROR(__xludf.DUMMYFUNCTION("GOOGLETRANSLATE(B423,""en"",""it"")"),"Durata")</f>
        <v>Durata</v>
      </c>
      <c r="K423" s="4" t="str">
        <f>IFERROR(__xludf.DUMMYFUNCTION("GOOGLETRANSLATE(B423,""en"",""pt"")"),"Duração")</f>
        <v>Duração</v>
      </c>
      <c r="L423" s="4" t="str">
        <f>IFERROR(__xludf.DUMMYFUNCTION("GOOGLETRANSLATE(B423,""en"",""ro"")"),"Durată")</f>
        <v>Durată</v>
      </c>
      <c r="M423" s="4" t="str">
        <f>IFERROR(__xludf.DUMMYFUNCTION("GOOGLETRANSLATE(B423,""en"",""vi"")"),"Khoảng thời gian")</f>
        <v>Khoảng thời gian</v>
      </c>
      <c r="N423" s="4" t="str">
        <f>IFERROR(__xludf.DUMMYFUNCTION("GOOGLETRANSLATE(B423,""en"",""ru"")"),"Продолжительность")</f>
        <v>Продолжительность</v>
      </c>
      <c r="O423" s="4" t="str">
        <f>IFERROR(__xludf.DUMMYFUNCTION("GOOGLETRANSLATE(B423,""en"",""tr"")"),"Süre")</f>
        <v>Süre</v>
      </c>
      <c r="P423" s="4" t="str">
        <f>IFERROR(__xludf.DUMMYFUNCTION("GOOGLETRANSLATE(B423,""en"",""ar"")"),"مدة")</f>
        <v>مدة</v>
      </c>
      <c r="Q423" s="4" t="str">
        <f>IFERROR(__xludf.DUMMYFUNCTION("GOOGLETRANSLATE(B423,""en"",""mr"")"),"कालावधी")</f>
        <v>कालावधी</v>
      </c>
      <c r="R423" s="4" t="str">
        <f>IFERROR(__xludf.DUMMYFUNCTION("GOOGLETRANSLATE(B423,""en"",""gu"")"),"અવધિ")</f>
        <v>અવધિ</v>
      </c>
      <c r="S423" s="4" t="str">
        <f>IFERROR(__xludf.DUMMYFUNCTION("GOOGLETRANSLATE(B423,""en"",""bn"")"),"সময়কাল")</f>
        <v>সময়কাল</v>
      </c>
      <c r="T423" s="4" t="str">
        <f>IFERROR(__xludf.DUMMYFUNCTION("GOOGLETRANSLATE(B423,""en"",""pa"")"),"ਮਿਆਦ")</f>
        <v>ਮਿਆਦ</v>
      </c>
      <c r="U423" s="4" t="str">
        <f>IFERROR(__xludf.DUMMYFUNCTION("GOOGLETRANSLATE(B423,""en"",""te"")"),"వ్యవధి")</f>
        <v>వ్యవధి</v>
      </c>
      <c r="V423" s="4" t="str">
        <f>IFERROR(__xludf.DUMMYFUNCTION("GOOGLETRANSLATE(B423,""en"",""kn"")"),"ಅವಧಿ")</f>
        <v>ಅವಧಿ</v>
      </c>
      <c r="W423" s="4" t="str">
        <f>IFERROR(__xludf.DUMMYFUNCTION("GOOGLETRANSLATE(B423,""en"",""ml"")"),"ദൈർഘ്യം")</f>
        <v>ദൈർഘ്യം</v>
      </c>
      <c r="X423" s="4" t="str">
        <f>IFERROR(__xludf.DUMMYFUNCTION("GOOGLETRANSLATE(B423,""en"",""th"")"),"ระยะเวลา")</f>
        <v>ระยะเวลา</v>
      </c>
      <c r="Y423" s="4" t="str">
        <f>IFERROR(__xludf.DUMMYFUNCTION("GOOGLETRANSLATE(B423,""en"",""ko"")"),"지속")</f>
        <v>지속</v>
      </c>
      <c r="Z423" s="4" t="str">
        <f>IFERROR(__xludf.DUMMYFUNCTION("GOOGLETRANSLATE(B423,""en"",""zh"")"),"期间")</f>
        <v>期间</v>
      </c>
      <c r="AA423" s="4" t="str">
        <f>IFERROR(__xludf.DUMMYFUNCTION("GOOGLETRANSLATE(B423,""en"",""zh-TW"")"),"期間")</f>
        <v>期間</v>
      </c>
      <c r="AB423" s="4" t="str">
        <f>IFERROR(__xludf.DUMMYFUNCTION("GOOGLETRANSLATE(B423,""en"",""ja"")"),"間隔")</f>
        <v>間隔</v>
      </c>
      <c r="AC423" s="4" t="str">
        <f>IFERROR(__xludf.DUMMYFUNCTION("GOOGLETRANSLATE(B423,""en"",""bg"")"),"Продължителност")</f>
        <v>Продължителност</v>
      </c>
      <c r="AD423" s="4" t="str">
        <f>IFERROR(__xludf.DUMMYFUNCTION("GOOGLETRANSLATE(B423,""en"",""cs"")"),"Trvání")</f>
        <v>Trvání</v>
      </c>
      <c r="AE423" s="4" t="str">
        <f>IFERROR(__xludf.DUMMYFUNCTION("GOOGLETRANSLATE(B423,""en"",""da"")"),"Varighed")</f>
        <v>Varighed</v>
      </c>
      <c r="AF423" s="4" t="str">
        <f>IFERROR(__xludf.DUMMYFUNCTION("GOOGLETRANSLATE(B423,""en"",""el"")"),"Διάρκεια")</f>
        <v>Διάρκεια</v>
      </c>
      <c r="AG423" s="4" t="str">
        <f>IFERROR(__xludf.DUMMYFUNCTION("GOOGLETRANSLATE(B423,""en"",""et"")"),"Kestus")</f>
        <v>Kestus</v>
      </c>
      <c r="AH423" s="4" t="str">
        <f>IFERROR(__xludf.DUMMYFUNCTION("GOOGLETRANSLATE(B423,""en"",""fi"")"),"Kesto")</f>
        <v>Kesto</v>
      </c>
      <c r="AI423" s="4" t="str">
        <f>IFERROR(__xludf.DUMMYFUNCTION("GOOGLETRANSLATE(B423,""en"",""hr"")"),"Trajanje")</f>
        <v>Trajanje</v>
      </c>
      <c r="AJ423" s="4" t="str">
        <f>IFERROR(__xludf.DUMMYFUNCTION("GOOGLETRANSLATE(B423,""en"",""hu"")"),"Időtartam")</f>
        <v>Időtartam</v>
      </c>
      <c r="AK423" s="4" t="str">
        <f>IFERROR(__xludf.DUMMYFUNCTION("GOOGLETRANSLATE(B423,""en"",""hy"")"),"Տևողությունը")</f>
        <v>Տևողությունը</v>
      </c>
      <c r="AL423" s="4" t="str">
        <f>IFERROR(__xludf.DUMMYFUNCTION("GOOGLETRANSLATE(B423,""en"",""ca"")"),"Durada")</f>
        <v>Durada</v>
      </c>
      <c r="AM423" s="4" t="str">
        <f>IFERROR(__xludf.DUMMYFUNCTION("GOOGLETRANSLATE(B423,""en"",""nl"")"),"Duur")</f>
        <v>Duur</v>
      </c>
      <c r="AN423" s="4" t="str">
        <f>IFERROR(__xludf.DUMMYFUNCTION("GOOGLETRANSLATE(B423,""en"",""he"")"),"מֶשֶׁך")</f>
        <v>מֶשֶׁך</v>
      </c>
      <c r="AO423" s="4" t="str">
        <f>IFERROR(__xludf.DUMMYFUNCTION("GOOGLETRANSLATE(B423,""en"",""is"")"),"Lengd")</f>
        <v>Lengd</v>
      </c>
      <c r="AP423" s="4" t="str">
        <f>IFERROR(__xludf.DUMMYFUNCTION("GOOGLETRANSLATE(B423,""en"",""no"")"),"Varighet")</f>
        <v>Varighet</v>
      </c>
      <c r="AQ423" s="4" t="str">
        <f>IFERROR(__xludf.DUMMYFUNCTION("GOOGLETRANSLATE(B423,""en"",""fa"")"),"مدت زمان")</f>
        <v>مدت زمان</v>
      </c>
      <c r="AR423" s="4" t="str">
        <f>IFERROR(__xludf.DUMMYFUNCTION("GOOGLETRANSLATE(B423,""en"",""pl"")"),"Czas trwania")</f>
        <v>Czas trwania</v>
      </c>
      <c r="AS423" s="4" t="str">
        <f>IFERROR(__xludf.DUMMYFUNCTION("GOOGLETRANSLATE(B423,""en"",""sv"")"),"Varaktighet")</f>
        <v>Varaktighet</v>
      </c>
      <c r="AT423" s="4" t="str">
        <f>IFERROR(__xludf.DUMMYFUNCTION("GOOGLETRANSLATE(B423,""en"",""uk"")"),"Тривалість")</f>
        <v>Тривалість</v>
      </c>
      <c r="AU423" s="4" t="str">
        <f>IFERROR(__xludf.DUMMYFUNCTION("GOOGLETRANSLATE(B423,""en"",""zu"")"),"Ubude besikhathi")</f>
        <v>Ubude besikhathi</v>
      </c>
      <c r="AV423" s="4" t="str">
        <f>IFERROR(__xludf.DUMMYFUNCTION("GOOGLETRANSLATE(B423,""en"",""sr"")"),"Трајање")</f>
        <v>Трајање</v>
      </c>
    </row>
    <row r="424">
      <c r="A424" s="3" t="s">
        <v>825</v>
      </c>
      <c r="B424" s="3" t="s">
        <v>495</v>
      </c>
      <c r="C424" s="4" t="str">
        <f>IFERROR(__xludf.DUMMYFUNCTION("GOOGLETRANSLATE(B424,""en"",""ta"")"),"தூரம்")</f>
        <v>தூரம்</v>
      </c>
      <c r="D424" s="4" t="str">
        <f>IFERROR(__xludf.DUMMYFUNCTION("GOOGLETRANSLATE(B424,""en"",""hi"")"),"दूरी")</f>
        <v>दूरी</v>
      </c>
      <c r="E424" s="4" t="str">
        <f>IFERROR(__xludf.DUMMYFUNCTION("GOOGLETRANSLATE(B424,""en"",""id"")"),"Jarak")</f>
        <v>Jarak</v>
      </c>
      <c r="F424" s="4" t="str">
        <f>IFERROR(__xludf.DUMMYFUNCTION("GOOGLETRANSLATE(B424,""en"",""ms"")"),"Jarak")</f>
        <v>Jarak</v>
      </c>
      <c r="G424" s="4" t="str">
        <f>IFERROR(__xludf.DUMMYFUNCTION("GOOGLETRANSLATE(B424,""en"",""de"")"),"Distanz")</f>
        <v>Distanz</v>
      </c>
      <c r="H424" s="4" t="str">
        <f>IFERROR(__xludf.DUMMYFUNCTION("GOOGLETRANSLATE(B424,""en"",""es"")"),"Distancia")</f>
        <v>Distancia</v>
      </c>
      <c r="I424" s="4" t="str">
        <f>IFERROR(__xludf.DUMMYFUNCTION("GOOGLETRANSLATE(B424,""en"",""fr"")"),"Distance")</f>
        <v>Distance</v>
      </c>
      <c r="J424" s="4" t="str">
        <f>IFERROR(__xludf.DUMMYFUNCTION("GOOGLETRANSLATE(B424,""en"",""it"")"),"Distanza")</f>
        <v>Distanza</v>
      </c>
      <c r="K424" s="4" t="str">
        <f>IFERROR(__xludf.DUMMYFUNCTION("GOOGLETRANSLATE(B424,""en"",""pt"")"),"Distância")</f>
        <v>Distância</v>
      </c>
      <c r="L424" s="4" t="str">
        <f>IFERROR(__xludf.DUMMYFUNCTION("GOOGLETRANSLATE(B424,""en"",""ro"")"),"Distanţă")</f>
        <v>Distanţă</v>
      </c>
      <c r="M424" s="4" t="str">
        <f>IFERROR(__xludf.DUMMYFUNCTION("GOOGLETRANSLATE(B424,""en"",""vi"")"),"Khoảng cách")</f>
        <v>Khoảng cách</v>
      </c>
      <c r="N424" s="4" t="str">
        <f>IFERROR(__xludf.DUMMYFUNCTION("GOOGLETRANSLATE(B424,""en"",""ru"")"),"Расстояние")</f>
        <v>Расстояние</v>
      </c>
      <c r="O424" s="4" t="str">
        <f>IFERROR(__xludf.DUMMYFUNCTION("GOOGLETRANSLATE(B424,""en"",""tr"")"),"Mesafe")</f>
        <v>Mesafe</v>
      </c>
      <c r="P424" s="4" t="str">
        <f>IFERROR(__xludf.DUMMYFUNCTION("GOOGLETRANSLATE(B424,""en"",""ar"")"),"مسافة")</f>
        <v>مسافة</v>
      </c>
      <c r="Q424" s="4" t="str">
        <f>IFERROR(__xludf.DUMMYFUNCTION("GOOGLETRANSLATE(B424,""en"",""mr"")"),"अंतर")</f>
        <v>अंतर</v>
      </c>
      <c r="R424" s="4" t="str">
        <f>IFERROR(__xludf.DUMMYFUNCTION("GOOGLETRANSLATE(B424,""en"",""gu"")"),"અંતર")</f>
        <v>અંતર</v>
      </c>
      <c r="S424" s="4" t="str">
        <f>IFERROR(__xludf.DUMMYFUNCTION("GOOGLETRANSLATE(B424,""en"",""bn"")"),"দূরত্ব")</f>
        <v>দূরত্ব</v>
      </c>
      <c r="T424" s="4" t="str">
        <f>IFERROR(__xludf.DUMMYFUNCTION("GOOGLETRANSLATE(B424,""en"",""pa"")"),"ਦੂਰੀ")</f>
        <v>ਦੂਰੀ</v>
      </c>
      <c r="U424" s="4" t="str">
        <f>IFERROR(__xludf.DUMMYFUNCTION("GOOGLETRANSLATE(B424,""en"",""te"")"),"దూరం")</f>
        <v>దూరం</v>
      </c>
      <c r="V424" s="4" t="str">
        <f>IFERROR(__xludf.DUMMYFUNCTION("GOOGLETRANSLATE(B424,""en"",""kn"")"),"ದೂರ")</f>
        <v>ದೂರ</v>
      </c>
      <c r="W424" s="4" t="str">
        <f>IFERROR(__xludf.DUMMYFUNCTION("GOOGLETRANSLATE(B424,""en"",""ml"")"),"ദൂരം")</f>
        <v>ദൂരം</v>
      </c>
      <c r="X424" s="4" t="str">
        <f>IFERROR(__xludf.DUMMYFUNCTION("GOOGLETRANSLATE(B424,""en"",""th"")"),"ระยะทาง")</f>
        <v>ระยะทาง</v>
      </c>
      <c r="Y424" s="4" t="str">
        <f>IFERROR(__xludf.DUMMYFUNCTION("GOOGLETRANSLATE(B424,""en"",""ko"")"),"거리")</f>
        <v>거리</v>
      </c>
      <c r="Z424" s="4" t="str">
        <f>IFERROR(__xludf.DUMMYFUNCTION("GOOGLETRANSLATE(B424,""en"",""zh"")"),"距离")</f>
        <v>距离</v>
      </c>
      <c r="AA424" s="4" t="str">
        <f>IFERROR(__xludf.DUMMYFUNCTION("GOOGLETRANSLATE(B424,""en"",""zh-TW"")"),"距離")</f>
        <v>距離</v>
      </c>
      <c r="AB424" s="4" t="str">
        <f>IFERROR(__xludf.DUMMYFUNCTION("GOOGLETRANSLATE(B424,""en"",""ja"")"),"距離")</f>
        <v>距離</v>
      </c>
      <c r="AC424" s="4" t="str">
        <f>IFERROR(__xludf.DUMMYFUNCTION("GOOGLETRANSLATE(B424,""en"",""bg"")"),"Разстояние")</f>
        <v>Разстояние</v>
      </c>
      <c r="AD424" s="4" t="str">
        <f>IFERROR(__xludf.DUMMYFUNCTION("GOOGLETRANSLATE(B424,""en"",""cs"")"),"Vzdálenost")</f>
        <v>Vzdálenost</v>
      </c>
      <c r="AE424" s="4" t="str">
        <f>IFERROR(__xludf.DUMMYFUNCTION("GOOGLETRANSLATE(B424,""en"",""da"")"),"Afstand")</f>
        <v>Afstand</v>
      </c>
      <c r="AF424" s="4" t="str">
        <f>IFERROR(__xludf.DUMMYFUNCTION("GOOGLETRANSLATE(B424,""en"",""el"")"),"Απόσταση")</f>
        <v>Απόσταση</v>
      </c>
      <c r="AG424" s="4" t="str">
        <f>IFERROR(__xludf.DUMMYFUNCTION("GOOGLETRANSLATE(B424,""en"",""et"")"),"Kaugus")</f>
        <v>Kaugus</v>
      </c>
      <c r="AH424" s="4" t="str">
        <f>IFERROR(__xludf.DUMMYFUNCTION("GOOGLETRANSLATE(B424,""en"",""fi"")"),"Etäisyys")</f>
        <v>Etäisyys</v>
      </c>
      <c r="AI424" s="4" t="str">
        <f>IFERROR(__xludf.DUMMYFUNCTION("GOOGLETRANSLATE(B424,""en"",""hr"")"),"Udaljenost")</f>
        <v>Udaljenost</v>
      </c>
      <c r="AJ424" s="4" t="str">
        <f>IFERROR(__xludf.DUMMYFUNCTION("GOOGLETRANSLATE(B424,""en"",""hu"")"),"Távolság")</f>
        <v>Távolság</v>
      </c>
      <c r="AK424" s="4" t="str">
        <f>IFERROR(__xludf.DUMMYFUNCTION("GOOGLETRANSLATE(B424,""en"",""hy"")"),"Հեռավորությունը")</f>
        <v>Հեռավորությունը</v>
      </c>
      <c r="AL424" s="4" t="str">
        <f>IFERROR(__xludf.DUMMYFUNCTION("GOOGLETRANSLATE(B424,""en"",""ca"")"),"Distància")</f>
        <v>Distància</v>
      </c>
      <c r="AM424" s="4" t="str">
        <f>IFERROR(__xludf.DUMMYFUNCTION("GOOGLETRANSLATE(B424,""en"",""nl"")"),"Afstand")</f>
        <v>Afstand</v>
      </c>
      <c r="AN424" s="4" t="str">
        <f>IFERROR(__xludf.DUMMYFUNCTION("GOOGLETRANSLATE(B424,""en"",""he"")"),"מֶרְחָק")</f>
        <v>מֶרְחָק</v>
      </c>
      <c r="AO424" s="4" t="str">
        <f>IFERROR(__xludf.DUMMYFUNCTION("GOOGLETRANSLATE(B424,""en"",""is"")"),"Fjarlægð")</f>
        <v>Fjarlægð</v>
      </c>
      <c r="AP424" s="4" t="str">
        <f>IFERROR(__xludf.DUMMYFUNCTION("GOOGLETRANSLATE(B424,""en"",""no"")"),"Avstand")</f>
        <v>Avstand</v>
      </c>
      <c r="AQ424" s="4" t="str">
        <f>IFERROR(__xludf.DUMMYFUNCTION("GOOGLETRANSLATE(B424,""en"",""fa"")"),"فاصله")</f>
        <v>فاصله</v>
      </c>
      <c r="AR424" s="4" t="str">
        <f>IFERROR(__xludf.DUMMYFUNCTION("GOOGLETRANSLATE(B424,""en"",""pl"")"),"Dystans")</f>
        <v>Dystans</v>
      </c>
      <c r="AS424" s="4" t="str">
        <f>IFERROR(__xludf.DUMMYFUNCTION("GOOGLETRANSLATE(B424,""en"",""sv"")"),"Avstånd")</f>
        <v>Avstånd</v>
      </c>
      <c r="AT424" s="4" t="str">
        <f>IFERROR(__xludf.DUMMYFUNCTION("GOOGLETRANSLATE(B424,""en"",""uk"")"),"Відстань")</f>
        <v>Відстань</v>
      </c>
      <c r="AU424" s="4" t="str">
        <f>IFERROR(__xludf.DUMMYFUNCTION("GOOGLETRANSLATE(B424,""en"",""zu"")"),"Ibanga")</f>
        <v>Ibanga</v>
      </c>
      <c r="AV424" s="4" t="str">
        <f>IFERROR(__xludf.DUMMYFUNCTION("GOOGLETRANSLATE(B424,""en"",""sr"")"),"Удаљеност")</f>
        <v>Удаљеност</v>
      </c>
    </row>
    <row r="425">
      <c r="A425" s="3" t="s">
        <v>826</v>
      </c>
      <c r="B425" s="3" t="s">
        <v>827</v>
      </c>
      <c r="C425" s="4" t="str">
        <f>IFERROR(__xludf.DUMMYFUNCTION("GOOGLETRANSLATE(B425,""en"",""ta"")"),"அதிகபட்ச வேகம்")</f>
        <v>அதிகபட்ச வேகம்</v>
      </c>
      <c r="D425" s="4" t="str">
        <f>IFERROR(__xludf.DUMMYFUNCTION("GOOGLETRANSLATE(B425,""en"",""hi"")"),"अधिकतम गति")</f>
        <v>अधिकतम गति</v>
      </c>
      <c r="E425" s="4" t="str">
        <f>IFERROR(__xludf.DUMMYFUNCTION("GOOGLETRANSLATE(B425,""en"",""id"")"),"Kecepatan Maksimum")</f>
        <v>Kecepatan Maksimum</v>
      </c>
      <c r="F425" s="4" t="str">
        <f>IFERROR(__xludf.DUMMYFUNCTION("GOOGLETRANSLATE(B425,""en"",""ms"")"),"Kelajuan Maks")</f>
        <v>Kelajuan Maks</v>
      </c>
      <c r="G425" s="4" t="str">
        <f>IFERROR(__xludf.DUMMYFUNCTION("GOOGLETRANSLATE(B425,""en"",""de"")"),"Maximalgeschwindigkeit")</f>
        <v>Maximalgeschwindigkeit</v>
      </c>
      <c r="H425" s="4" t="str">
        <f>IFERROR(__xludf.DUMMYFUNCTION("GOOGLETRANSLATE(B425,""en"",""es"")"),"Velocidad máxima")</f>
        <v>Velocidad máxima</v>
      </c>
      <c r="I425" s="4" t="str">
        <f>IFERROR(__xludf.DUMMYFUNCTION("GOOGLETRANSLATE(B425,""en"",""fr"")"),"Vitesse maximale")</f>
        <v>Vitesse maximale</v>
      </c>
      <c r="J425" s="4" t="str">
        <f>IFERROR(__xludf.DUMMYFUNCTION("GOOGLETRANSLATE(B425,""en"",""it"")"),"Velocità massima")</f>
        <v>Velocità massima</v>
      </c>
      <c r="K425" s="4" t="str">
        <f>IFERROR(__xludf.DUMMYFUNCTION("GOOGLETRANSLATE(B425,""en"",""pt"")"),"Velocidade máxima")</f>
        <v>Velocidade máxima</v>
      </c>
      <c r="L425" s="4" t="str">
        <f>IFERROR(__xludf.DUMMYFUNCTION("GOOGLETRANSLATE(B425,""en"",""ro"")"),"Viteza maxima")</f>
        <v>Viteza maxima</v>
      </c>
      <c r="M425" s="4" t="str">
        <f>IFERROR(__xludf.DUMMYFUNCTION("GOOGLETRANSLATE(B425,""en"",""vi"")"),"Tốc độ tối đa")</f>
        <v>Tốc độ tối đa</v>
      </c>
      <c r="N425" s="4" t="str">
        <f>IFERROR(__xludf.DUMMYFUNCTION("GOOGLETRANSLATE(B425,""en"",""ru"")"),"Максимальная скорость")</f>
        <v>Максимальная скорость</v>
      </c>
      <c r="O425" s="4" t="str">
        <f>IFERROR(__xludf.DUMMYFUNCTION("GOOGLETRANSLATE(B425,""en"",""tr"")"),"Maksimum Hız")</f>
        <v>Maksimum Hız</v>
      </c>
      <c r="P425" s="4" t="str">
        <f>IFERROR(__xludf.DUMMYFUNCTION("GOOGLETRANSLATE(B425,""en"",""ar"")"),"السرعة القصوى")</f>
        <v>السرعة القصوى</v>
      </c>
      <c r="Q425" s="4" t="str">
        <f>IFERROR(__xludf.DUMMYFUNCTION("GOOGLETRANSLATE(B425,""en"",""mr"")"),"कमाल गती")</f>
        <v>कमाल गती</v>
      </c>
      <c r="R425" s="4" t="str">
        <f>IFERROR(__xludf.DUMMYFUNCTION("GOOGLETRANSLATE(B425,""en"",""gu"")"),"મહત્તમ ઝડપ")</f>
        <v>મહત્તમ ઝડપ</v>
      </c>
      <c r="S425" s="4" t="str">
        <f>IFERROR(__xludf.DUMMYFUNCTION("GOOGLETRANSLATE(B425,""en"",""bn"")"),"সর্বোচ্চ গতি")</f>
        <v>সর্বোচ্চ গতি</v>
      </c>
      <c r="T425" s="4" t="str">
        <f>IFERROR(__xludf.DUMMYFUNCTION("GOOGLETRANSLATE(B425,""en"",""pa"")"),"ਅਧਿਕਤਮ ਗਤੀ")</f>
        <v>ਅਧਿਕਤਮ ਗਤੀ</v>
      </c>
      <c r="U425" s="4" t="str">
        <f>IFERROR(__xludf.DUMMYFUNCTION("GOOGLETRANSLATE(B425,""en"",""te"")"),"గరిష్ట వేగం")</f>
        <v>గరిష్ట వేగం</v>
      </c>
      <c r="V425" s="4" t="str">
        <f>IFERROR(__xludf.DUMMYFUNCTION("GOOGLETRANSLATE(B425,""en"",""kn"")"),"ಗರಿಷ್ಠ ವೇಗ")</f>
        <v>ಗರಿಷ್ಠ ವೇಗ</v>
      </c>
      <c r="W425" s="4" t="str">
        <f>IFERROR(__xludf.DUMMYFUNCTION("GOOGLETRANSLATE(B425,""en"",""ml"")"),"പരമാവധി വേഗത")</f>
        <v>പരമാവധി വേഗത</v>
      </c>
      <c r="X425" s="4" t="str">
        <f>IFERROR(__xludf.DUMMYFUNCTION("GOOGLETRANSLATE(B425,""en"",""th"")"),"ความเร็วสูงสุด")</f>
        <v>ความเร็วสูงสุด</v>
      </c>
      <c r="Y425" s="4" t="str">
        <f>IFERROR(__xludf.DUMMYFUNCTION("GOOGLETRANSLATE(B425,""en"",""ko"")"),"최대 속도")</f>
        <v>최대 속도</v>
      </c>
      <c r="Z425" s="4" t="str">
        <f>IFERROR(__xludf.DUMMYFUNCTION("GOOGLETRANSLATE(B425,""en"",""zh"")"),"最大速度")</f>
        <v>最大速度</v>
      </c>
      <c r="AA425" s="4" t="str">
        <f>IFERROR(__xludf.DUMMYFUNCTION("GOOGLETRANSLATE(B425,""en"",""zh-TW"")"),"最大速度")</f>
        <v>最大速度</v>
      </c>
      <c r="AB425" s="4" t="str">
        <f>IFERROR(__xludf.DUMMYFUNCTION("GOOGLETRANSLATE(B425,""en"",""ja"")"),"最高速度")</f>
        <v>最高速度</v>
      </c>
      <c r="AC425" s="4" t="str">
        <f>IFERROR(__xludf.DUMMYFUNCTION("GOOGLETRANSLATE(B425,""en"",""bg"")"),"Максимална скорост")</f>
        <v>Максимална скорост</v>
      </c>
      <c r="AD425" s="4" t="str">
        <f>IFERROR(__xludf.DUMMYFUNCTION("GOOGLETRANSLATE(B425,""en"",""cs"")"),"Maximální rychlost")</f>
        <v>Maximální rychlost</v>
      </c>
      <c r="AE425" s="4" t="str">
        <f>IFERROR(__xludf.DUMMYFUNCTION("GOOGLETRANSLATE(B425,""en"",""da"")"),"Max hastighed")</f>
        <v>Max hastighed</v>
      </c>
      <c r="AF425" s="4" t="str">
        <f>IFERROR(__xludf.DUMMYFUNCTION("GOOGLETRANSLATE(B425,""en"",""el"")"),"Μέγιστη ταχύτητα")</f>
        <v>Μέγιστη ταχύτητα</v>
      </c>
      <c r="AG425" s="4" t="str">
        <f>IFERROR(__xludf.DUMMYFUNCTION("GOOGLETRANSLATE(B425,""en"",""et"")"),"Maksimaalne kiirus")</f>
        <v>Maksimaalne kiirus</v>
      </c>
      <c r="AH425" s="4" t="str">
        <f>IFERROR(__xludf.DUMMYFUNCTION("GOOGLETRANSLATE(B425,""en"",""fi"")"),"Max nopeus")</f>
        <v>Max nopeus</v>
      </c>
      <c r="AI425" s="4" t="str">
        <f>IFERROR(__xludf.DUMMYFUNCTION("GOOGLETRANSLATE(B425,""en"",""hr"")"),"Maksimalna brzina")</f>
        <v>Maksimalna brzina</v>
      </c>
      <c r="AJ425" s="4" t="str">
        <f>IFERROR(__xludf.DUMMYFUNCTION("GOOGLETRANSLATE(B425,""en"",""hu"")"),"Max sebesség")</f>
        <v>Max sebesség</v>
      </c>
      <c r="AK425" s="4" t="str">
        <f>IFERROR(__xludf.DUMMYFUNCTION("GOOGLETRANSLATE(B425,""en"",""hy"")"),"Առավելագույն արագություն")</f>
        <v>Առավելագույն արագություն</v>
      </c>
      <c r="AL425" s="4" t="str">
        <f>IFERROR(__xludf.DUMMYFUNCTION("GOOGLETRANSLATE(B425,""en"",""ca"")"),"Velocitat màxima")</f>
        <v>Velocitat màxima</v>
      </c>
      <c r="AM425" s="4" t="str">
        <f>IFERROR(__xludf.DUMMYFUNCTION("GOOGLETRANSLATE(B425,""en"",""nl"")"),"Maximale snelheid")</f>
        <v>Maximale snelheid</v>
      </c>
      <c r="AN425" s="4" t="str">
        <f>IFERROR(__xludf.DUMMYFUNCTION("GOOGLETRANSLATE(B425,""en"",""he"")"),"מהירות מקסימלית")</f>
        <v>מהירות מקסימלית</v>
      </c>
      <c r="AO425" s="4" t="str">
        <f>IFERROR(__xludf.DUMMYFUNCTION("GOOGLETRANSLATE(B425,""en"",""is"")"),"Hámarkshraði")</f>
        <v>Hámarkshraði</v>
      </c>
      <c r="AP425" s="4" t="str">
        <f>IFERROR(__xludf.DUMMYFUNCTION("GOOGLETRANSLATE(B425,""en"",""no"")"),"Maks hastighet")</f>
        <v>Maks hastighet</v>
      </c>
      <c r="AQ425" s="4" t="str">
        <f>IFERROR(__xludf.DUMMYFUNCTION("GOOGLETRANSLATE(B425,""en"",""fa"")"),"حداکثر سرعت")</f>
        <v>حداکثر سرعت</v>
      </c>
      <c r="AR425" s="4" t="str">
        <f>IFERROR(__xludf.DUMMYFUNCTION("GOOGLETRANSLATE(B425,""en"",""pl"")"),"Maksymalna prędkość")</f>
        <v>Maksymalna prędkość</v>
      </c>
      <c r="AS425" s="4" t="str">
        <f>IFERROR(__xludf.DUMMYFUNCTION("GOOGLETRANSLATE(B425,""en"",""sv"")"),"Max hastighet")</f>
        <v>Max hastighet</v>
      </c>
      <c r="AT425" s="4" t="str">
        <f>IFERROR(__xludf.DUMMYFUNCTION("GOOGLETRANSLATE(B425,""en"",""uk"")"),"Максимальна швидкість")</f>
        <v>Максимальна швидкість</v>
      </c>
      <c r="AU425" s="4" t="str">
        <f>IFERROR(__xludf.DUMMYFUNCTION("GOOGLETRANSLATE(B425,""en"",""zu"")"),"Isivinini esikhulu")</f>
        <v>Isivinini esikhulu</v>
      </c>
      <c r="AV425" s="4" t="str">
        <f>IFERROR(__xludf.DUMMYFUNCTION("GOOGLETRANSLATE(B425,""en"",""sr"")"),"Мак Спеед")</f>
        <v>Мак Спеед</v>
      </c>
    </row>
    <row r="426">
      <c r="A426" s="3" t="s">
        <v>828</v>
      </c>
      <c r="B426" s="3" t="s">
        <v>829</v>
      </c>
      <c r="C426" s="4" t="str">
        <f>IFERROR(__xludf.DUMMYFUNCTION("GOOGLETRANSLATE(B426,""en"",""ta"")"),"சராசரி வேகம்")</f>
        <v>சராசரி வேகம்</v>
      </c>
      <c r="D426" s="4" t="str">
        <f>IFERROR(__xludf.DUMMYFUNCTION("GOOGLETRANSLATE(B426,""en"",""hi"")"),"औसत गति")</f>
        <v>औसत गति</v>
      </c>
      <c r="E426" s="4" t="str">
        <f>IFERROR(__xludf.DUMMYFUNCTION("GOOGLETRANSLATE(B426,""en"",""id"")"),"Kecepatan Rata-rata")</f>
        <v>Kecepatan Rata-rata</v>
      </c>
      <c r="F426" s="4" t="str">
        <f>IFERROR(__xludf.DUMMYFUNCTION("GOOGLETRANSLATE(B426,""en"",""ms"")"),"Kelajuan Purata")</f>
        <v>Kelajuan Purata</v>
      </c>
      <c r="G426" s="4" t="str">
        <f>IFERROR(__xludf.DUMMYFUNCTION("GOOGLETRANSLATE(B426,""en"",""de"")"),"Durchschnittsgeschwindigkeit")</f>
        <v>Durchschnittsgeschwindigkeit</v>
      </c>
      <c r="H426" s="4" t="str">
        <f>IFERROR(__xludf.DUMMYFUNCTION("GOOGLETRANSLATE(B426,""en"",""es"")"),"Velocidad media")</f>
        <v>Velocidad media</v>
      </c>
      <c r="I426" s="4" t="str">
        <f>IFERROR(__xludf.DUMMYFUNCTION("GOOGLETRANSLATE(B426,""en"",""fr"")"),"Vitesse moyenne")</f>
        <v>Vitesse moyenne</v>
      </c>
      <c r="J426" s="4" t="str">
        <f>IFERROR(__xludf.DUMMYFUNCTION("GOOGLETRANSLATE(B426,""en"",""it"")"),"Velocità media")</f>
        <v>Velocità media</v>
      </c>
      <c r="K426" s="4" t="str">
        <f>IFERROR(__xludf.DUMMYFUNCTION("GOOGLETRANSLATE(B426,""en"",""pt"")"),"Velocidade média")</f>
        <v>Velocidade média</v>
      </c>
      <c r="L426" s="4" t="str">
        <f>IFERROR(__xludf.DUMMYFUNCTION("GOOGLETRANSLATE(B426,""en"",""ro"")"),"Viteza medie")</f>
        <v>Viteza medie</v>
      </c>
      <c r="M426" s="4" t="str">
        <f>IFERROR(__xludf.DUMMYFUNCTION("GOOGLETRANSLATE(B426,""en"",""vi"")"),"Tốc độ trung bình")</f>
        <v>Tốc độ trung bình</v>
      </c>
      <c r="N426" s="4" t="str">
        <f>IFERROR(__xludf.DUMMYFUNCTION("GOOGLETRANSLATE(B426,""en"",""ru"")"),"Средняя скорость")</f>
        <v>Средняя скорость</v>
      </c>
      <c r="O426" s="4" t="str">
        <f>IFERROR(__xludf.DUMMYFUNCTION("GOOGLETRANSLATE(B426,""en"",""tr"")"),"Ortalama Hız")</f>
        <v>Ortalama Hız</v>
      </c>
      <c r="P426" s="4" t="str">
        <f>IFERROR(__xludf.DUMMYFUNCTION("GOOGLETRANSLATE(B426,""en"",""ar"")"),"متوسط ​​السرعة")</f>
        <v>متوسط ​​السرعة</v>
      </c>
      <c r="Q426" s="4" t="str">
        <f>IFERROR(__xludf.DUMMYFUNCTION("GOOGLETRANSLATE(B426,""en"",""mr"")"),"सरासरी वेग")</f>
        <v>सरासरी वेग</v>
      </c>
      <c r="R426" s="4" t="str">
        <f>IFERROR(__xludf.DUMMYFUNCTION("GOOGLETRANSLATE(B426,""en"",""gu"")"),"સરેરાશ ઝડપ")</f>
        <v>સરેરાશ ઝડપ</v>
      </c>
      <c r="S426" s="4" t="str">
        <f>IFERROR(__xludf.DUMMYFUNCTION("GOOGLETRANSLATE(B426,""en"",""bn"")"),"গড় গতি")</f>
        <v>গড় গতি</v>
      </c>
      <c r="T426" s="4" t="str">
        <f>IFERROR(__xludf.DUMMYFUNCTION("GOOGLETRANSLATE(B426,""en"",""pa"")"),"ਔਸਤ ਗਤੀ")</f>
        <v>ਔਸਤ ਗਤੀ</v>
      </c>
      <c r="U426" s="4" t="str">
        <f>IFERROR(__xludf.DUMMYFUNCTION("GOOGLETRANSLATE(B426,""en"",""te"")"),"సగటు వేగం")</f>
        <v>సగటు వేగం</v>
      </c>
      <c r="V426" s="4" t="str">
        <f>IFERROR(__xludf.DUMMYFUNCTION("GOOGLETRANSLATE(B426,""en"",""kn"")"),"ಸರಾಸರಿ ವೇಗ")</f>
        <v>ಸರಾಸರಿ ವೇಗ</v>
      </c>
      <c r="W426" s="4" t="str">
        <f>IFERROR(__xludf.DUMMYFUNCTION("GOOGLETRANSLATE(B426,""en"",""ml"")"),"ശരാശരി വേഗത")</f>
        <v>ശരാശരി വേഗത</v>
      </c>
      <c r="X426" s="4" t="str">
        <f>IFERROR(__xludf.DUMMYFUNCTION("GOOGLETRANSLATE(B426,""en"",""th"")"),"ความเร็วเฉลี่ย")</f>
        <v>ความเร็วเฉลี่ย</v>
      </c>
      <c r="Y426" s="4" t="str">
        <f>IFERROR(__xludf.DUMMYFUNCTION("GOOGLETRANSLATE(B426,""en"",""ko"")"),"평균 속도")</f>
        <v>평균 속도</v>
      </c>
      <c r="Z426" s="4" t="str">
        <f>IFERROR(__xludf.DUMMYFUNCTION("GOOGLETRANSLATE(B426,""en"",""zh"")"),"平均速度")</f>
        <v>平均速度</v>
      </c>
      <c r="AA426" s="4" t="str">
        <f>IFERROR(__xludf.DUMMYFUNCTION("GOOGLETRANSLATE(B426,""en"",""zh-TW"")"),"平均速度")</f>
        <v>平均速度</v>
      </c>
      <c r="AB426" s="4" t="str">
        <f>IFERROR(__xludf.DUMMYFUNCTION("GOOGLETRANSLATE(B426,""en"",""ja"")"),"平均速度")</f>
        <v>平均速度</v>
      </c>
      <c r="AC426" s="4" t="str">
        <f>IFERROR(__xludf.DUMMYFUNCTION("GOOGLETRANSLATE(B426,""en"",""bg"")"),"Средна скорост")</f>
        <v>Средна скорост</v>
      </c>
      <c r="AD426" s="4" t="str">
        <f>IFERROR(__xludf.DUMMYFUNCTION("GOOGLETRANSLATE(B426,""en"",""cs"")"),"Průměrná rychlost")</f>
        <v>Průměrná rychlost</v>
      </c>
      <c r="AE426" s="4" t="str">
        <f>IFERROR(__xludf.DUMMYFUNCTION("GOOGLETRANSLATE(B426,""en"",""da"")"),"Gennemsnitshastighed")</f>
        <v>Gennemsnitshastighed</v>
      </c>
      <c r="AF426" s="4" t="str">
        <f>IFERROR(__xludf.DUMMYFUNCTION("GOOGLETRANSLATE(B426,""en"",""el"")"),"Μέση Ταχύτητα")</f>
        <v>Μέση Ταχύτητα</v>
      </c>
      <c r="AG426" s="4" t="str">
        <f>IFERROR(__xludf.DUMMYFUNCTION("GOOGLETRANSLATE(B426,""en"",""et"")"),"Keskmine kiirus")</f>
        <v>Keskmine kiirus</v>
      </c>
      <c r="AH426" s="4" t="str">
        <f>IFERROR(__xludf.DUMMYFUNCTION("GOOGLETRANSLATE(B426,""en"",""fi"")"),"Keskinopeus")</f>
        <v>Keskinopeus</v>
      </c>
      <c r="AI426" s="4" t="str">
        <f>IFERROR(__xludf.DUMMYFUNCTION("GOOGLETRANSLATE(B426,""en"",""hr"")"),"Prosječna brzina")</f>
        <v>Prosječna brzina</v>
      </c>
      <c r="AJ426" s="4" t="str">
        <f>IFERROR(__xludf.DUMMYFUNCTION("GOOGLETRANSLATE(B426,""en"",""hu"")"),"Átlagsebesség")</f>
        <v>Átlagsebesség</v>
      </c>
      <c r="AK426" s="4" t="str">
        <f>IFERROR(__xludf.DUMMYFUNCTION("GOOGLETRANSLATE(B426,""en"",""hy"")"),"Միջին արագություն")</f>
        <v>Միջին արագություն</v>
      </c>
      <c r="AL426" s="4" t="str">
        <f>IFERROR(__xludf.DUMMYFUNCTION("GOOGLETRANSLATE(B426,""en"",""ca"")"),"Velocitat mitjana")</f>
        <v>Velocitat mitjana</v>
      </c>
      <c r="AM426" s="4" t="str">
        <f>IFERROR(__xludf.DUMMYFUNCTION("GOOGLETRANSLATE(B426,""en"",""nl"")"),"Gemiddelde snelheid")</f>
        <v>Gemiddelde snelheid</v>
      </c>
      <c r="AN426" s="4" t="str">
        <f>IFERROR(__xludf.DUMMYFUNCTION("GOOGLETRANSLATE(B426,""en"",""he"")"),"מהירות ממוצעת")</f>
        <v>מהירות ממוצעת</v>
      </c>
      <c r="AO426" s="4" t="str">
        <f>IFERROR(__xludf.DUMMYFUNCTION("GOOGLETRANSLATE(B426,""en"",""is"")"),"Meðalhraði")</f>
        <v>Meðalhraði</v>
      </c>
      <c r="AP426" s="4" t="str">
        <f>IFERROR(__xludf.DUMMYFUNCTION("GOOGLETRANSLATE(B426,""en"",""no"")"),"Gjennomsnittlig hastighet")</f>
        <v>Gjennomsnittlig hastighet</v>
      </c>
      <c r="AQ426" s="4" t="str">
        <f>IFERROR(__xludf.DUMMYFUNCTION("GOOGLETRANSLATE(B426,""en"",""fa"")"),"سرعت متوسط")</f>
        <v>سرعت متوسط</v>
      </c>
      <c r="AR426" s="4" t="str">
        <f>IFERROR(__xludf.DUMMYFUNCTION("GOOGLETRANSLATE(B426,""en"",""pl"")"),"Średnia prędkość")</f>
        <v>Średnia prędkość</v>
      </c>
      <c r="AS426" s="4" t="str">
        <f>IFERROR(__xludf.DUMMYFUNCTION("GOOGLETRANSLATE(B426,""en"",""sv"")"),"Medelhastighet")</f>
        <v>Medelhastighet</v>
      </c>
      <c r="AT426" s="4" t="str">
        <f>IFERROR(__xludf.DUMMYFUNCTION("GOOGLETRANSLATE(B426,""en"",""uk"")"),"Середня швидкість")</f>
        <v>Середня швидкість</v>
      </c>
      <c r="AU426" s="4" t="str">
        <f>IFERROR(__xludf.DUMMYFUNCTION("GOOGLETRANSLATE(B426,""en"",""zu"")"),"Isivinini esimaphakathi")</f>
        <v>Isivinini esimaphakathi</v>
      </c>
      <c r="AV426" s="4" t="str">
        <f>IFERROR(__xludf.DUMMYFUNCTION("GOOGLETRANSLATE(B426,""en"",""sr"")"),"Просечна брзина")</f>
        <v>Просечна брзина</v>
      </c>
    </row>
    <row r="427">
      <c r="A427" s="3" t="s">
        <v>830</v>
      </c>
      <c r="B427" s="3" t="s">
        <v>831</v>
      </c>
      <c r="C427" s="4" t="str">
        <f>IFERROR(__xludf.DUMMYFUNCTION("GOOGLETRANSLATE(B427,""en"",""ta"")"),"கள்")</f>
        <v>கள்</v>
      </c>
      <c r="D427" s="4" t="str">
        <f>IFERROR(__xludf.DUMMYFUNCTION("GOOGLETRANSLATE(B427,""en"",""hi"")"),"एस")</f>
        <v>एस</v>
      </c>
      <c r="E427" s="4" t="str">
        <f>IFERROR(__xludf.DUMMYFUNCTION("GOOGLETRANSLATE(B427,""en"",""id"")"),"S")</f>
        <v>S</v>
      </c>
      <c r="F427" s="4" t="str">
        <f>IFERROR(__xludf.DUMMYFUNCTION("GOOGLETRANSLATE(B427,""en"",""ms"")"),"s")</f>
        <v>s</v>
      </c>
      <c r="G427" s="4" t="str">
        <f>IFERROR(__xludf.DUMMYFUNCTION("GOOGLETRANSLATE(B427,""en"",""de"")"),"S")</f>
        <v>S</v>
      </c>
      <c r="H427" s="4" t="str">
        <f>IFERROR(__xludf.DUMMYFUNCTION("GOOGLETRANSLATE(B427,""en"",""es"")"),"s")</f>
        <v>s</v>
      </c>
      <c r="I427" s="4" t="str">
        <f>IFERROR(__xludf.DUMMYFUNCTION("GOOGLETRANSLATE(B427,""en"",""fr"")"),"s")</f>
        <v>s</v>
      </c>
      <c r="J427" s="4" t="str">
        <f>IFERROR(__xludf.DUMMYFUNCTION("GOOGLETRANSLATE(B427,""en"",""it"")"),"S")</f>
        <v>S</v>
      </c>
      <c r="K427" s="4" t="str">
        <f>IFERROR(__xludf.DUMMYFUNCTION("GOOGLETRANSLATE(B427,""en"",""pt"")"),"s")</f>
        <v>s</v>
      </c>
      <c r="L427" s="4" t="str">
        <f>IFERROR(__xludf.DUMMYFUNCTION("GOOGLETRANSLATE(B427,""en"",""ro"")"),"s")</f>
        <v>s</v>
      </c>
      <c r="M427" s="4" t="str">
        <f>IFERROR(__xludf.DUMMYFUNCTION("GOOGLETRANSLATE(B427,""en"",""vi"")"),"S")</f>
        <v>S</v>
      </c>
      <c r="N427" s="4" t="str">
        <f>IFERROR(__xludf.DUMMYFUNCTION("GOOGLETRANSLATE(B427,""en"",""ru"")"),"с")</f>
        <v>с</v>
      </c>
      <c r="O427" s="4" t="str">
        <f>IFERROR(__xludf.DUMMYFUNCTION("GOOGLETRANSLATE(B427,""en"",""tr"")"),"S")</f>
        <v>S</v>
      </c>
      <c r="P427" s="4" t="str">
        <f>IFERROR(__xludf.DUMMYFUNCTION("GOOGLETRANSLATE(B427,""en"",""ar"")"),"س")</f>
        <v>س</v>
      </c>
      <c r="Q427" s="4" t="str">
        <f>IFERROR(__xludf.DUMMYFUNCTION("GOOGLETRANSLATE(B427,""en"",""mr"")"),"s")</f>
        <v>s</v>
      </c>
      <c r="R427" s="4" t="str">
        <f>IFERROR(__xludf.DUMMYFUNCTION("GOOGLETRANSLATE(B427,""en"",""gu"")"),"s")</f>
        <v>s</v>
      </c>
      <c r="S427" s="4" t="str">
        <f>IFERROR(__xludf.DUMMYFUNCTION("GOOGLETRANSLATE(B427,""en"",""bn"")"),"s")</f>
        <v>s</v>
      </c>
      <c r="T427" s="4" t="str">
        <f>IFERROR(__xludf.DUMMYFUNCTION("GOOGLETRANSLATE(B427,""en"",""pa"")"),"ਐੱਸ")</f>
        <v>ਐੱਸ</v>
      </c>
      <c r="U427" s="4" t="str">
        <f>IFERROR(__xludf.DUMMYFUNCTION("GOOGLETRANSLATE(B427,""en"",""te"")"),"లు")</f>
        <v>లు</v>
      </c>
      <c r="V427" s="4" t="str">
        <f>IFERROR(__xludf.DUMMYFUNCTION("GOOGLETRANSLATE(B427,""en"",""kn"")"),"ರು")</f>
        <v>ರು</v>
      </c>
      <c r="W427" s="4" t="str">
        <f>IFERROR(__xludf.DUMMYFUNCTION("GOOGLETRANSLATE(B427,""en"",""ml"")"),"എസ്")</f>
        <v>എസ്</v>
      </c>
      <c r="X427" s="4" t="str">
        <f>IFERROR(__xludf.DUMMYFUNCTION("GOOGLETRANSLATE(B427,""en"",""th"")"),"ส")</f>
        <v>ส</v>
      </c>
      <c r="Y427" s="4" t="str">
        <f>IFERROR(__xludf.DUMMYFUNCTION("GOOGLETRANSLATE(B427,""en"",""ko"")"),"에스")</f>
        <v>에스</v>
      </c>
      <c r="Z427" s="4" t="str">
        <f>IFERROR(__xludf.DUMMYFUNCTION("GOOGLETRANSLATE(B427,""en"",""zh"")"),"秒")</f>
        <v>秒</v>
      </c>
      <c r="AA427" s="4" t="str">
        <f>IFERROR(__xludf.DUMMYFUNCTION("GOOGLETRANSLATE(B427,""en"",""zh-TW"")"),"秒")</f>
        <v>秒</v>
      </c>
      <c r="AB427" s="4" t="str">
        <f>IFERROR(__xludf.DUMMYFUNCTION("GOOGLETRANSLATE(B427,""en"",""ja"")"),"s")</f>
        <v>s</v>
      </c>
      <c r="AC427" s="4" t="str">
        <f>IFERROR(__xludf.DUMMYFUNCTION("GOOGLETRANSLATE(B427,""en"",""bg"")"),"s")</f>
        <v>s</v>
      </c>
      <c r="AD427" s="4" t="str">
        <f>IFERROR(__xludf.DUMMYFUNCTION("GOOGLETRANSLATE(B427,""en"",""cs"")"),"s")</f>
        <v>s</v>
      </c>
      <c r="AE427" s="4" t="str">
        <f>IFERROR(__xludf.DUMMYFUNCTION("GOOGLETRANSLATE(B427,""en"",""da"")"),"s")</f>
        <v>s</v>
      </c>
      <c r="AF427" s="4" t="str">
        <f>IFERROR(__xludf.DUMMYFUNCTION("GOOGLETRANSLATE(B427,""en"",""el"")"),"μικρό")</f>
        <v>μικρό</v>
      </c>
      <c r="AG427" s="4" t="str">
        <f>IFERROR(__xludf.DUMMYFUNCTION("GOOGLETRANSLATE(B427,""en"",""et"")"),"s")</f>
        <v>s</v>
      </c>
      <c r="AH427" s="4" t="str">
        <f>IFERROR(__xludf.DUMMYFUNCTION("GOOGLETRANSLATE(B427,""en"",""fi"")"),"s")</f>
        <v>s</v>
      </c>
      <c r="AI427" s="4" t="str">
        <f>IFERROR(__xludf.DUMMYFUNCTION("GOOGLETRANSLATE(B427,""en"",""hr"")"),"s")</f>
        <v>s</v>
      </c>
      <c r="AJ427" s="4" t="str">
        <f>IFERROR(__xludf.DUMMYFUNCTION("GOOGLETRANSLATE(B427,""en"",""hu"")"),"s")</f>
        <v>s</v>
      </c>
      <c r="AK427" s="4" t="str">
        <f>IFERROR(__xludf.DUMMYFUNCTION("GOOGLETRANSLATE(B427,""en"",""hy"")"),"ս")</f>
        <v>ս</v>
      </c>
      <c r="AL427" s="4" t="str">
        <f>IFERROR(__xludf.DUMMYFUNCTION("GOOGLETRANSLATE(B427,""en"",""ca"")"),"s")</f>
        <v>s</v>
      </c>
      <c r="AM427" s="4" t="str">
        <f>IFERROR(__xludf.DUMMYFUNCTION("GOOGLETRANSLATE(B427,""en"",""nl"")"),"S")</f>
        <v>S</v>
      </c>
      <c r="AN427" s="4" t="str">
        <f>IFERROR(__xludf.DUMMYFUNCTION("GOOGLETRANSLATE(B427,""en"",""he"")"),"ס")</f>
        <v>ס</v>
      </c>
      <c r="AO427" s="4" t="str">
        <f>IFERROR(__xludf.DUMMYFUNCTION("GOOGLETRANSLATE(B427,""en"",""is"")"),"s")</f>
        <v>s</v>
      </c>
      <c r="AP427" s="4" t="str">
        <f>IFERROR(__xludf.DUMMYFUNCTION("GOOGLETRANSLATE(B427,""en"",""no"")"),"s")</f>
        <v>s</v>
      </c>
      <c r="AQ427" s="4" t="str">
        <f>IFERROR(__xludf.DUMMYFUNCTION("GOOGLETRANSLATE(B427,""en"",""fa"")"),"س")</f>
        <v>س</v>
      </c>
      <c r="AR427" s="4" t="str">
        <f>IFERROR(__xludf.DUMMYFUNCTION("GOOGLETRANSLATE(B427,""en"",""pl"")"),"S")</f>
        <v>S</v>
      </c>
      <c r="AS427" s="4" t="str">
        <f>IFERROR(__xludf.DUMMYFUNCTION("GOOGLETRANSLATE(B427,""en"",""sv"")"),"s")</f>
        <v>s</v>
      </c>
      <c r="AT427" s="4" t="str">
        <f>IFERROR(__xludf.DUMMYFUNCTION("GOOGLETRANSLATE(B427,""en"",""uk"")"),"с")</f>
        <v>с</v>
      </c>
      <c r="AU427" s="4" t="str">
        <f>IFERROR(__xludf.DUMMYFUNCTION("GOOGLETRANSLATE(B427,""en"",""zu"")"),"s")</f>
        <v>s</v>
      </c>
      <c r="AV427" s="4" t="str">
        <f>IFERROR(__xludf.DUMMYFUNCTION("GOOGLETRANSLATE(B427,""en"",""sr"")"),"с")</f>
        <v>с</v>
      </c>
    </row>
    <row r="428">
      <c r="A428" s="3" t="s">
        <v>832</v>
      </c>
      <c r="B428" s="3" t="s">
        <v>553</v>
      </c>
      <c r="C428" s="4" t="str">
        <f>IFERROR(__xludf.DUMMYFUNCTION("GOOGLETRANSLATE(B428,""en"",""ta"")"),"கி.மீ")</f>
        <v>கி.மீ</v>
      </c>
      <c r="D428" s="4" t="str">
        <f>IFERROR(__xludf.DUMMYFUNCTION("GOOGLETRANSLATE(B428,""en"",""hi"")"),"किमी")</f>
        <v>किमी</v>
      </c>
      <c r="E428" s="4" t="str">
        <f>IFERROR(__xludf.DUMMYFUNCTION("GOOGLETRANSLATE(B428,""en"",""id"")"),"kilometer")</f>
        <v>kilometer</v>
      </c>
      <c r="F428" s="4" t="str">
        <f>IFERROR(__xludf.DUMMYFUNCTION("GOOGLETRANSLATE(B428,""en"",""ms"")"),"km")</f>
        <v>km</v>
      </c>
      <c r="G428" s="4" t="str">
        <f>IFERROR(__xludf.DUMMYFUNCTION("GOOGLETRANSLATE(B428,""en"",""de"")"),"km")</f>
        <v>km</v>
      </c>
      <c r="H428" s="4" t="str">
        <f>IFERROR(__xludf.DUMMYFUNCTION("GOOGLETRANSLATE(B428,""en"",""es"")"),"kilómetros")</f>
        <v>kilómetros</v>
      </c>
      <c r="I428" s="4" t="str">
        <f>IFERROR(__xludf.DUMMYFUNCTION("GOOGLETRANSLATE(B428,""en"",""fr"")"),"km")</f>
        <v>km</v>
      </c>
      <c r="J428" s="4" t="str">
        <f>IFERROR(__xludf.DUMMYFUNCTION("GOOGLETRANSLATE(B428,""en"",""it"")"),"chilometri")</f>
        <v>chilometri</v>
      </c>
      <c r="K428" s="4" t="str">
        <f>IFERROR(__xludf.DUMMYFUNCTION("GOOGLETRANSLATE(B428,""en"",""pt"")"),"quilômetros")</f>
        <v>quilômetros</v>
      </c>
      <c r="L428" s="4" t="str">
        <f>IFERROR(__xludf.DUMMYFUNCTION("GOOGLETRANSLATE(B428,""en"",""ro"")"),"km")</f>
        <v>km</v>
      </c>
      <c r="M428" s="4" t="str">
        <f>IFERROR(__xludf.DUMMYFUNCTION("GOOGLETRANSLATE(B428,""en"",""vi"")"),"km")</f>
        <v>km</v>
      </c>
      <c r="N428" s="4" t="str">
        <f>IFERROR(__xludf.DUMMYFUNCTION("GOOGLETRANSLATE(B428,""en"",""ru"")"),"км")</f>
        <v>км</v>
      </c>
      <c r="O428" s="4" t="str">
        <f>IFERROR(__xludf.DUMMYFUNCTION("GOOGLETRANSLATE(B428,""en"",""tr"")"),"km")</f>
        <v>km</v>
      </c>
      <c r="P428" s="4" t="str">
        <f>IFERROR(__xludf.DUMMYFUNCTION("GOOGLETRANSLATE(B428,""en"",""ar"")"),"كم")</f>
        <v>كم</v>
      </c>
      <c r="Q428" s="4" t="str">
        <f>IFERROR(__xludf.DUMMYFUNCTION("GOOGLETRANSLATE(B428,""en"",""mr"")"),"किमी")</f>
        <v>किमी</v>
      </c>
      <c r="R428" s="4" t="str">
        <f>IFERROR(__xludf.DUMMYFUNCTION("GOOGLETRANSLATE(B428,""en"",""gu"")"),"કિમી")</f>
        <v>કિમી</v>
      </c>
      <c r="S428" s="4" t="str">
        <f>IFERROR(__xludf.DUMMYFUNCTION("GOOGLETRANSLATE(B428,""en"",""bn"")"),"কিমি")</f>
        <v>কিমি</v>
      </c>
      <c r="T428" s="4" t="str">
        <f>IFERROR(__xludf.DUMMYFUNCTION("GOOGLETRANSLATE(B428,""en"",""pa"")"),"ਕਿਲੋਮੀਟਰ")</f>
        <v>ਕਿਲੋਮੀਟਰ</v>
      </c>
      <c r="U428" s="4" t="str">
        <f>IFERROR(__xludf.DUMMYFUNCTION("GOOGLETRANSLATE(B428,""en"",""te"")"),"కి.మీ")</f>
        <v>కి.మీ</v>
      </c>
      <c r="V428" s="4" t="str">
        <f>IFERROR(__xludf.DUMMYFUNCTION("GOOGLETRANSLATE(B428,""en"",""kn"")"),"ಕಿ.ಮೀ")</f>
        <v>ಕಿ.ಮೀ</v>
      </c>
      <c r="W428" s="4" t="str">
        <f>IFERROR(__xludf.DUMMYFUNCTION("GOOGLETRANSLATE(B428,""en"",""ml"")"),"കി.മീ")</f>
        <v>കി.മീ</v>
      </c>
      <c r="X428" s="4" t="str">
        <f>IFERROR(__xludf.DUMMYFUNCTION("GOOGLETRANSLATE(B428,""en"",""th"")"),"กม.")</f>
        <v>กม.</v>
      </c>
      <c r="Y428" s="4" t="str">
        <f>IFERROR(__xludf.DUMMYFUNCTION("GOOGLETRANSLATE(B428,""en"",""ko"")"),"킬로미터")</f>
        <v>킬로미터</v>
      </c>
      <c r="Z428" s="4" t="str">
        <f>IFERROR(__xludf.DUMMYFUNCTION("GOOGLETRANSLATE(B428,""en"",""zh"")"),"公里")</f>
        <v>公里</v>
      </c>
      <c r="AA428" s="4" t="str">
        <f>IFERROR(__xludf.DUMMYFUNCTION("GOOGLETRANSLATE(B428,""en"",""zh-TW"")"),"公里")</f>
        <v>公里</v>
      </c>
      <c r="AB428" s="4" t="str">
        <f>IFERROR(__xludf.DUMMYFUNCTION("GOOGLETRANSLATE(B428,""en"",""ja"")"),"キロ")</f>
        <v>キロ</v>
      </c>
      <c r="AC428" s="4" t="str">
        <f>IFERROR(__xludf.DUMMYFUNCTION("GOOGLETRANSLATE(B428,""en"",""bg"")"),"км")</f>
        <v>км</v>
      </c>
      <c r="AD428" s="4" t="str">
        <f>IFERROR(__xludf.DUMMYFUNCTION("GOOGLETRANSLATE(B428,""en"",""cs"")"),"km")</f>
        <v>km</v>
      </c>
      <c r="AE428" s="4" t="str">
        <f>IFERROR(__xludf.DUMMYFUNCTION("GOOGLETRANSLATE(B428,""en"",""da"")"),"km")</f>
        <v>km</v>
      </c>
      <c r="AF428" s="4" t="str">
        <f>IFERROR(__xludf.DUMMYFUNCTION("GOOGLETRANSLATE(B428,""en"",""el"")"),"χλμ")</f>
        <v>χλμ</v>
      </c>
      <c r="AG428" s="4" t="str">
        <f>IFERROR(__xludf.DUMMYFUNCTION("GOOGLETRANSLATE(B428,""en"",""et"")"),"km")</f>
        <v>km</v>
      </c>
      <c r="AH428" s="4" t="str">
        <f>IFERROR(__xludf.DUMMYFUNCTION("GOOGLETRANSLATE(B428,""en"",""fi"")"),"km")</f>
        <v>km</v>
      </c>
      <c r="AI428" s="4" t="str">
        <f>IFERROR(__xludf.DUMMYFUNCTION("GOOGLETRANSLATE(B428,""en"",""hr"")"),"km")</f>
        <v>km</v>
      </c>
      <c r="AJ428" s="4" t="str">
        <f>IFERROR(__xludf.DUMMYFUNCTION("GOOGLETRANSLATE(B428,""en"",""hu"")"),"km")</f>
        <v>km</v>
      </c>
      <c r="AK428" s="4" t="str">
        <f>IFERROR(__xludf.DUMMYFUNCTION("GOOGLETRANSLATE(B428,""en"",""hy"")"),"կմ")</f>
        <v>կմ</v>
      </c>
      <c r="AL428" s="4" t="str">
        <f>IFERROR(__xludf.DUMMYFUNCTION("GOOGLETRANSLATE(B428,""en"",""ca"")"),"km")</f>
        <v>km</v>
      </c>
      <c r="AM428" s="4" t="str">
        <f>IFERROR(__xludf.DUMMYFUNCTION("GOOGLETRANSLATE(B428,""en"",""nl"")"),"km")</f>
        <v>km</v>
      </c>
      <c r="AN428" s="4" t="str">
        <f>IFERROR(__xludf.DUMMYFUNCTION("GOOGLETRANSLATE(B428,""en"",""he"")"),"ק""מ")</f>
        <v>ק"מ</v>
      </c>
      <c r="AO428" s="4" t="str">
        <f>IFERROR(__xludf.DUMMYFUNCTION("GOOGLETRANSLATE(B428,""en"",""is"")"),"km")</f>
        <v>km</v>
      </c>
      <c r="AP428" s="4" t="str">
        <f>IFERROR(__xludf.DUMMYFUNCTION("GOOGLETRANSLATE(B428,""en"",""no"")"),"km")</f>
        <v>km</v>
      </c>
      <c r="AQ428" s="4" t="str">
        <f>IFERROR(__xludf.DUMMYFUNCTION("GOOGLETRANSLATE(B428,""en"",""fa"")"),"کیلومتر")</f>
        <v>کیلومتر</v>
      </c>
      <c r="AR428" s="4" t="str">
        <f>IFERROR(__xludf.DUMMYFUNCTION("GOOGLETRANSLATE(B428,""en"",""pl"")"),"km")</f>
        <v>km</v>
      </c>
      <c r="AS428" s="4" t="str">
        <f>IFERROR(__xludf.DUMMYFUNCTION("GOOGLETRANSLATE(B428,""en"",""sv"")"),"km")</f>
        <v>km</v>
      </c>
      <c r="AT428" s="4" t="str">
        <f>IFERROR(__xludf.DUMMYFUNCTION("GOOGLETRANSLATE(B428,""en"",""uk"")"),"км")</f>
        <v>км</v>
      </c>
      <c r="AU428" s="4" t="str">
        <f>IFERROR(__xludf.DUMMYFUNCTION("GOOGLETRANSLATE(B428,""en"",""zu"")"),"km")</f>
        <v>km</v>
      </c>
      <c r="AV428" s="4" t="str">
        <f>IFERROR(__xludf.DUMMYFUNCTION("GOOGLETRANSLATE(B428,""en"",""sr"")"),"км")</f>
        <v>км</v>
      </c>
    </row>
    <row r="429">
      <c r="A429" s="3" t="s">
        <v>833</v>
      </c>
      <c r="B429" s="3" t="s">
        <v>834</v>
      </c>
      <c r="C429" s="4" t="str">
        <f>IFERROR(__xludf.DUMMYFUNCTION("GOOGLETRANSLATE(B429,""en"",""ta"")"),"கண்காணிக்கப்பட்ட இடம் கிடைக்கவில்லை")</f>
        <v>கண்காணிக்கப்பட்ட இடம் கிடைக்கவில்லை</v>
      </c>
      <c r="D429" s="4" t="str">
        <f>IFERROR(__xludf.DUMMYFUNCTION("GOOGLETRANSLATE(B429,""en"",""hi"")"),"ट्रैक किया गया स्थान नहीं मिला")</f>
        <v>ट्रैक किया गया स्थान नहीं मिला</v>
      </c>
      <c r="E429" s="4" t="str">
        <f>IFERROR(__xludf.DUMMYFUNCTION("GOOGLETRANSLATE(B429,""en"",""id"")"),"Lokasi yang dilacak tidak ditemukan")</f>
        <v>Lokasi yang dilacak tidak ditemukan</v>
      </c>
      <c r="F429" s="4" t="str">
        <f>IFERROR(__xludf.DUMMYFUNCTION("GOOGLETRANSLATE(B429,""en"",""ms"")"),"Lokasi yang dijejaki tidak ditemui")</f>
        <v>Lokasi yang dijejaki tidak ditemui</v>
      </c>
      <c r="G429" s="4" t="str">
        <f>IFERROR(__xludf.DUMMYFUNCTION("GOOGLETRANSLATE(B429,""en"",""de"")"),"Verfolgter Standort nicht gefunden")</f>
        <v>Verfolgter Standort nicht gefunden</v>
      </c>
      <c r="H429" s="4" t="str">
        <f>IFERROR(__xludf.DUMMYFUNCTION("GOOGLETRANSLATE(B429,""en"",""es"")"),"Ubicación rastreada no encontrada")</f>
        <v>Ubicación rastreada no encontrada</v>
      </c>
      <c r="I429" s="4" t="str">
        <f>IFERROR(__xludf.DUMMYFUNCTION("GOOGLETRANSLATE(B429,""en"",""fr"")"),"Emplacement suivi non trouvé")</f>
        <v>Emplacement suivi non trouvé</v>
      </c>
      <c r="J429" s="4" t="str">
        <f>IFERROR(__xludf.DUMMYFUNCTION("GOOGLETRANSLATE(B429,""en"",""it"")"),"Posizione tracciata non trovata")</f>
        <v>Posizione tracciata non trovata</v>
      </c>
      <c r="K429" s="4" t="str">
        <f>IFERROR(__xludf.DUMMYFUNCTION("GOOGLETRANSLATE(B429,""en"",""pt"")"),"Localização rastreada não encontrada")</f>
        <v>Localização rastreada não encontrada</v>
      </c>
      <c r="L429" s="4" t="str">
        <f>IFERROR(__xludf.DUMMYFUNCTION("GOOGLETRANSLATE(B429,""en"",""ro"")"),"Locația urmărită nu a fost găsită")</f>
        <v>Locația urmărită nu a fost găsită</v>
      </c>
      <c r="M429" s="4" t="str">
        <f>IFERROR(__xludf.DUMMYFUNCTION("GOOGLETRANSLATE(B429,""en"",""vi"")"),"Không tìm thấy vị trí đã theo dõi")</f>
        <v>Không tìm thấy vị trí đã theo dõi</v>
      </c>
      <c r="N429" s="4" t="str">
        <f>IFERROR(__xludf.DUMMYFUNCTION("GOOGLETRANSLATE(B429,""en"",""ru"")"),"Отслеживаемое местоположение не найдено")</f>
        <v>Отслеживаемое местоположение не найдено</v>
      </c>
      <c r="O429" s="4" t="str">
        <f>IFERROR(__xludf.DUMMYFUNCTION("GOOGLETRANSLATE(B429,""en"",""tr"")"),"Takip edilen konum bulunamadı")</f>
        <v>Takip edilen konum bulunamadı</v>
      </c>
      <c r="P429" s="4" t="str">
        <f>IFERROR(__xludf.DUMMYFUNCTION("GOOGLETRANSLATE(B429,""en"",""ar"")"),"لم يتم العثور على الموقع المتتبع")</f>
        <v>لم يتم العثور على الموقع المتتبع</v>
      </c>
      <c r="Q429" s="4" t="str">
        <f>IFERROR(__xludf.DUMMYFUNCTION("GOOGLETRANSLATE(B429,""en"",""mr"")"),"ट्रॅक केलेले स्थान सापडले नाही")</f>
        <v>ट्रॅक केलेले स्थान सापडले नाही</v>
      </c>
      <c r="R429" s="4" t="str">
        <f>IFERROR(__xludf.DUMMYFUNCTION("GOOGLETRANSLATE(B429,""en"",""gu"")"),"ટ્રૅક કરેલ સ્થાન મળ્યું નથી")</f>
        <v>ટ્રૅક કરેલ સ્થાન મળ્યું નથી</v>
      </c>
      <c r="S429" s="4" t="str">
        <f>IFERROR(__xludf.DUMMYFUNCTION("GOOGLETRANSLATE(B429,""en"",""bn"")"),"ট্র্যাক করা অবস্থান পাওয়া যায়নি")</f>
        <v>ট্র্যাক করা অবস্থান পাওয়া যায়নি</v>
      </c>
      <c r="T429" s="4" t="str">
        <f>IFERROR(__xludf.DUMMYFUNCTION("GOOGLETRANSLATE(B429,""en"",""pa"")"),"ਟਰੈਕ ਕੀਤਾ ਟਿਕਾਣਾ ਨਹੀਂ ਮਿਲਿਆ")</f>
        <v>ਟਰੈਕ ਕੀਤਾ ਟਿਕਾਣਾ ਨਹੀਂ ਮਿਲਿਆ</v>
      </c>
      <c r="U429" s="4" t="str">
        <f>IFERROR(__xludf.DUMMYFUNCTION("GOOGLETRANSLATE(B429,""en"",""te"")"),"ట్రాక్ చేయబడిన స్థానం కనుగొనబడలేదు")</f>
        <v>ట్రాక్ చేయబడిన స్థానం కనుగొనబడలేదు</v>
      </c>
      <c r="V429" s="4" t="str">
        <f>IFERROR(__xludf.DUMMYFUNCTION("GOOGLETRANSLATE(B429,""en"",""kn"")"),"ಟ್ರ್ಯಾಕ್ ಮಾಡಿದ ಸ್ಥಳ ಕಂಡುಬಂದಿಲ್ಲ")</f>
        <v>ಟ್ರ್ಯಾಕ್ ಮಾಡಿದ ಸ್ಥಳ ಕಂಡುಬಂದಿಲ್ಲ</v>
      </c>
      <c r="W429" s="4" t="str">
        <f>IFERROR(__xludf.DUMMYFUNCTION("GOOGLETRANSLATE(B429,""en"",""ml"")"),"ട്രാക്ക് ചെയ്‌ത സ്ഥലം കണ്ടെത്തിയില്ല")</f>
        <v>ട്രാക്ക് ചെയ്‌ത സ്ഥലം കണ്ടെത്തിയില്ല</v>
      </c>
      <c r="X429" s="4" t="str">
        <f>IFERROR(__xludf.DUMMYFUNCTION("GOOGLETRANSLATE(B429,""en"",""th"")"),"ไม่พบตำแหน่งที่ติดตาม")</f>
        <v>ไม่พบตำแหน่งที่ติดตาม</v>
      </c>
      <c r="Y429" s="4" t="str">
        <f>IFERROR(__xludf.DUMMYFUNCTION("GOOGLETRANSLATE(B429,""en"",""ko"")"),"추적된 위치를 찾을 수 없습니다")</f>
        <v>추적된 위치를 찾을 수 없습니다</v>
      </c>
      <c r="Z429" s="4" t="str">
        <f>IFERROR(__xludf.DUMMYFUNCTION("GOOGLETRANSLATE(B429,""en"",""zh"")"),"未找到追踪位置")</f>
        <v>未找到追踪位置</v>
      </c>
      <c r="AA429" s="4" t="str">
        <f>IFERROR(__xludf.DUMMYFUNCTION("GOOGLETRANSLATE(B429,""en"",""zh-TW"")"),"未找到追蹤位置")</f>
        <v>未找到追蹤位置</v>
      </c>
      <c r="AB429" s="4" t="str">
        <f>IFERROR(__xludf.DUMMYFUNCTION("GOOGLETRANSLATE(B429,""en"",""ja"")"),"追跡された場所が見つかりません")</f>
        <v>追跡された場所が見つかりません</v>
      </c>
      <c r="AC429" s="4" t="str">
        <f>IFERROR(__xludf.DUMMYFUNCTION("GOOGLETRANSLATE(B429,""en"",""bg"")"),"Проследеното местоположение не е намерено")</f>
        <v>Проследеното местоположение не е намерено</v>
      </c>
      <c r="AD429" s="4" t="str">
        <f>IFERROR(__xludf.DUMMYFUNCTION("GOOGLETRANSLATE(B429,""en"",""cs"")"),"Sledovaná poloha nebyla nalezena")</f>
        <v>Sledovaná poloha nebyla nalezena</v>
      </c>
      <c r="AE429" s="4" t="str">
        <f>IFERROR(__xludf.DUMMYFUNCTION("GOOGLETRANSLATE(B429,""en"",""da"")"),"Sporet placering blev ikke fundet")</f>
        <v>Sporet placering blev ikke fundet</v>
      </c>
      <c r="AF429" s="4" t="str">
        <f>IFERROR(__xludf.DUMMYFUNCTION("GOOGLETRANSLATE(B429,""en"",""el"")"),"Η εντοπισμένη τοποθεσία δεν βρέθηκε")</f>
        <v>Η εντοπισμένη τοποθεσία δεν βρέθηκε</v>
      </c>
      <c r="AG429" s="4" t="str">
        <f>IFERROR(__xludf.DUMMYFUNCTION("GOOGLETRANSLATE(B429,""en"",""et"")"),"Jälgitavat asukohta ei leitud")</f>
        <v>Jälgitavat asukohta ei leitud</v>
      </c>
      <c r="AH429" s="4" t="str">
        <f>IFERROR(__xludf.DUMMYFUNCTION("GOOGLETRANSLATE(B429,""en"",""fi"")"),"Seurattua sijaintia ei löydy")</f>
        <v>Seurattua sijaintia ei löydy</v>
      </c>
      <c r="AI429" s="4" t="str">
        <f>IFERROR(__xludf.DUMMYFUNCTION("GOOGLETRANSLATE(B429,""en"",""hr"")"),"Praćena lokacija nije pronađena")</f>
        <v>Praćena lokacija nije pronađena</v>
      </c>
      <c r="AJ429" s="4" t="str">
        <f>IFERROR(__xludf.DUMMYFUNCTION("GOOGLETRANSLATE(B429,""en"",""hu"")"),"A nyomon követett hely nem található")</f>
        <v>A nyomon követett hely nem található</v>
      </c>
      <c r="AK429" s="4" t="str">
        <f>IFERROR(__xludf.DUMMYFUNCTION("GOOGLETRANSLATE(B429,""en"",""hy"")"),"Հետևված գտնվելու վայրը չի գտնվել")</f>
        <v>Հետևված գտնվելու վայրը չի գտնվել</v>
      </c>
      <c r="AL429" s="4" t="str">
        <f>IFERROR(__xludf.DUMMYFUNCTION("GOOGLETRANSLATE(B429,""en"",""ca"")"),"No s'ha trobat la ubicació amb seguiment")</f>
        <v>No s'ha trobat la ubicació amb seguiment</v>
      </c>
      <c r="AM429" s="4" t="str">
        <f>IFERROR(__xludf.DUMMYFUNCTION("GOOGLETRANSLATE(B429,""en"",""nl"")"),"Gevolgde locatie niet gevonden")</f>
        <v>Gevolgde locatie niet gevonden</v>
      </c>
      <c r="AN429" s="4" t="str">
        <f>IFERROR(__xludf.DUMMYFUNCTION("GOOGLETRANSLATE(B429,""en"",""he"")"),"המיקום במעקב לא נמצא")</f>
        <v>המיקום במעקב לא נמצא</v>
      </c>
      <c r="AO429" s="4" t="str">
        <f>IFERROR(__xludf.DUMMYFUNCTION("GOOGLETRANSLATE(B429,""en"",""is"")"),"Rakin staðsetning fannst ekki")</f>
        <v>Rakin staðsetning fannst ekki</v>
      </c>
      <c r="AP429" s="4" t="str">
        <f>IFERROR(__xludf.DUMMYFUNCTION("GOOGLETRANSLATE(B429,""en"",""no"")"),"Finner ikke sporet sted")</f>
        <v>Finner ikke sporet sted</v>
      </c>
      <c r="AQ429" s="4" t="str">
        <f>IFERROR(__xludf.DUMMYFUNCTION("GOOGLETRANSLATE(B429,""en"",""fa"")"),"مکان ردیابی شده یافت نشد")</f>
        <v>مکان ردیابی شده یافت نشد</v>
      </c>
      <c r="AR429" s="4" t="str">
        <f>IFERROR(__xludf.DUMMYFUNCTION("GOOGLETRANSLATE(B429,""en"",""pl"")"),"Nie znaleziono śledzonej lokalizacji")</f>
        <v>Nie znaleziono śledzonej lokalizacji</v>
      </c>
      <c r="AS429" s="4" t="str">
        <f>IFERROR(__xludf.DUMMYFUNCTION("GOOGLETRANSLATE(B429,""en"",""sv"")"),"Spårad plats hittades inte")</f>
        <v>Spårad plats hittades inte</v>
      </c>
      <c r="AT429" s="4" t="str">
        <f>IFERROR(__xludf.DUMMYFUNCTION("GOOGLETRANSLATE(B429,""en"",""uk"")"),"Відстежене місцезнаходження не знайдено")</f>
        <v>Відстежене місцезнаходження не знайдено</v>
      </c>
      <c r="AU429" s="4" t="str">
        <f>IFERROR(__xludf.DUMMYFUNCTION("GOOGLETRANSLATE(B429,""en"",""zu"")"),"Indawo elandelelwe ayitholakali")</f>
        <v>Indawo elandelelwe ayitholakali</v>
      </c>
      <c r="AV429" s="4" t="str">
        <f>IFERROR(__xludf.DUMMYFUNCTION("GOOGLETRANSLATE(B429,""en"",""sr"")"),"Праћена локација није пронађена")</f>
        <v>Праћена локација није пронађена</v>
      </c>
    </row>
    <row r="430">
      <c r="A430" s="3" t="s">
        <v>835</v>
      </c>
      <c r="B430" s="3" t="s">
        <v>836</v>
      </c>
      <c r="C430" s="4" t="str">
        <f>IFERROR(__xludf.DUMMYFUNCTION("GOOGLETRANSLATE(B430,""en"",""ta"")"),"நீங்கள் அதே இடத்தில் உள்ளீர்கள் - கண்காணிப்பு புதுப்பிக்கப்படவில்லை.")</f>
        <v>நீங்கள் அதே இடத்தில் உள்ளீர்கள் - கண்காணிப்பு புதுப்பிக்கப்படவில்லை.</v>
      </c>
      <c r="D430" s="4" t="str">
        <f>IFERROR(__xludf.DUMMYFUNCTION("GOOGLETRANSLATE(B430,""en"",""hi"")"),"आप उसी स्थान पर हैं - ट्रैकिंग अपडेट नहीं है.")</f>
        <v>आप उसी स्थान पर हैं - ट्रैकिंग अपडेट नहीं है.</v>
      </c>
      <c r="E430" s="4" t="str">
        <f>IFERROR(__xludf.DUMMYFUNCTION("GOOGLETRANSLATE(B430,""en"",""id"")"),"Anda berada di lokasi yang sama—pelacakan tidak diperbarui.")</f>
        <v>Anda berada di lokasi yang sama—pelacakan tidak diperbarui.</v>
      </c>
      <c r="F430" s="4" t="str">
        <f>IFERROR(__xludf.DUMMYFUNCTION("GOOGLETRANSLATE(B430,""en"",""ms"")"),"Anda berada di lokasi yang sama—penjejakan tidak dikemas kini.")</f>
        <v>Anda berada di lokasi yang sama—penjejakan tidak dikemas kini.</v>
      </c>
      <c r="G430" s="4" t="str">
        <f>IFERROR(__xludf.DUMMYFUNCTION("GOOGLETRANSLATE(B430,""en"",""de"")"),"Sie befinden sich am selben Ort – die Sendungsverfolgung wurde nicht aktualisiert.")</f>
        <v>Sie befinden sich am selben Ort – die Sendungsverfolgung wurde nicht aktualisiert.</v>
      </c>
      <c r="H430" s="4" t="str">
        <f>IFERROR(__xludf.DUMMYFUNCTION("GOOGLETRANSLATE(B430,""en"",""es"")"),"Estás en la misma ubicación: seguimiento no actualizado.")</f>
        <v>Estás en la misma ubicación: seguimiento no actualizado.</v>
      </c>
      <c r="I430" s="4" t="str">
        <f>IFERROR(__xludf.DUMMYFUNCTION("GOOGLETRANSLATE(B430,""en"",""fr"")"),"Vous êtes au même endroit ; le suivi n'est pas mis à jour.")</f>
        <v>Vous êtes au même endroit ; le suivi n'est pas mis à jour.</v>
      </c>
      <c r="J430" s="4" t="str">
        <f>IFERROR(__xludf.DUMMYFUNCTION("GOOGLETRANSLATE(B430,""en"",""it"")"),"Ti trovi nella stessa posizione: il monitoraggio non è aggiornato.")</f>
        <v>Ti trovi nella stessa posizione: il monitoraggio non è aggiornato.</v>
      </c>
      <c r="K430" s="4" t="str">
        <f>IFERROR(__xludf.DUMMYFUNCTION("GOOGLETRANSLATE(B430,""en"",""pt"")"),"Você está no mesmo local — rastreamento não atualizado.")</f>
        <v>Você está no mesmo local — rastreamento não atualizado.</v>
      </c>
      <c r="L430" s="4" t="str">
        <f>IFERROR(__xludf.DUMMYFUNCTION("GOOGLETRANSLATE(B430,""en"",""ro"")"),"Vă aflați în aceeași locație — urmărirea nu a fost actualizată.")</f>
        <v>Vă aflați în aceeași locație — urmărirea nu a fost actualizată.</v>
      </c>
      <c r="M430" s="4" t="str">
        <f>IFERROR(__xludf.DUMMYFUNCTION("GOOGLETRANSLATE(B430,""en"",""vi"")"),"Bạn đang ở cùng một vị trí—thông tin theo dõi chưa được cập nhật.")</f>
        <v>Bạn đang ở cùng một vị trí—thông tin theo dõi chưa được cập nhật.</v>
      </c>
      <c r="N430" s="4" t="str">
        <f>IFERROR(__xludf.DUMMYFUNCTION("GOOGLETRANSLATE(B430,""en"",""ru"")"),"Вы находитесь в том же месте — отслеживание не обновлено.")</f>
        <v>Вы находитесь в том же месте — отслеживание не обновлено.</v>
      </c>
      <c r="O430" s="4" t="str">
        <f>IFERROR(__xludf.DUMMYFUNCTION("GOOGLETRANSLATE(B430,""en"",""tr"")"),"Aynı yerdesiniz, takip güncellenmiyor.")</f>
        <v>Aynı yerdesiniz, takip güncellenmiyor.</v>
      </c>
      <c r="P430" s="4" t="str">
        <f>IFERROR(__xludf.DUMMYFUNCTION("GOOGLETRANSLATE(B430,""en"",""ar"")"),"أنت في نفس الموقع - لم يتم تحديث التتبع.")</f>
        <v>أنت في نفس الموقع - لم يتم تحديث التتبع.</v>
      </c>
      <c r="Q430" s="4" t="str">
        <f>IFERROR(__xludf.DUMMYFUNCTION("GOOGLETRANSLATE(B430,""en"",""mr"")"),"तुम्ही त्याच स्थानावर आहात—ट्रॅकिंग अपडेट केलेले नाही.")</f>
        <v>तुम्ही त्याच स्थानावर आहात—ट्रॅकिंग अपडेट केलेले नाही.</v>
      </c>
      <c r="R430" s="4" t="str">
        <f>IFERROR(__xludf.DUMMYFUNCTION("GOOGLETRANSLATE(B430,""en"",""gu"")"),"તમે એ જ સ્થાન પર છો—ટ્રેકિંગ અપડેટ થયું નથી.")</f>
        <v>તમે એ જ સ્થાન પર છો—ટ્રેકિંગ અપડેટ થયું નથી.</v>
      </c>
      <c r="S430" s="4" t="str">
        <f>IFERROR(__xludf.DUMMYFUNCTION("GOOGLETRANSLATE(B430,""en"",""bn"")"),"আপনি একই অবস্থানে আছেন—ট্র্যাকিং আপডেট করা হয়নি।")</f>
        <v>আপনি একই অবস্থানে আছেন—ট্র্যাকিং আপডেট করা হয়নি।</v>
      </c>
      <c r="T430" s="4" t="str">
        <f>IFERROR(__xludf.DUMMYFUNCTION("GOOGLETRANSLATE(B430,""en"",""pa"")"),"ਤੁਸੀਂ ਉਸੇ ਟਿਕਾਣੇ 'ਤੇ ਹੋ—ਟ੍ਰੈਕਿੰਗ ਅੱਪਡੇਟ ਨਹੀਂ ਹੋਈ।")</f>
        <v>ਤੁਸੀਂ ਉਸੇ ਟਿਕਾਣੇ 'ਤੇ ਹੋ—ਟ੍ਰੈਕਿੰਗ ਅੱਪਡੇਟ ਨਹੀਂ ਹੋਈ।</v>
      </c>
      <c r="U430" s="4" t="str">
        <f>IFERROR(__xludf.DUMMYFUNCTION("GOOGLETRANSLATE(B430,""en"",""te"")"),"మీరు అదే స్థానంలో ఉన్నారు-ట్రాకింగ్ నవీకరించబడలేదు.")</f>
        <v>మీరు అదే స్థానంలో ఉన్నారు-ట్రాకింగ్ నవీకరించబడలేదు.</v>
      </c>
      <c r="V430" s="4" t="str">
        <f>IFERROR(__xludf.DUMMYFUNCTION("GOOGLETRANSLATE(B430,""en"",""kn"")"),"ನೀವು ಅದೇ ಸ್ಥಳದಲ್ಲಿರುವಿರಿ-ಟ್ರ್ಯಾಕಿಂಗ್ ಅನ್ನು ನವೀಕರಿಸಲಾಗಿಲ್ಲ.")</f>
        <v>ನೀವು ಅದೇ ಸ್ಥಳದಲ್ಲಿರುವಿರಿ-ಟ್ರ್ಯಾಕಿಂಗ್ ಅನ್ನು ನವೀಕರಿಸಲಾಗಿಲ್ಲ.</v>
      </c>
      <c r="W430" s="4" t="str">
        <f>IFERROR(__xludf.DUMMYFUNCTION("GOOGLETRANSLATE(B430,""en"",""ml"")"),"നിങ്ങൾ ഒരേ സ്ഥലത്താണ്-ട്രാക്കിംഗ് അപ്ഡേറ്റ് ചെയ്തിട്ടില്ല.")</f>
        <v>നിങ്ങൾ ഒരേ സ്ഥലത്താണ്-ട്രാക്കിംഗ് അപ്ഡേറ്റ് ചെയ്തിട്ടില്ല.</v>
      </c>
      <c r="X430" s="4" t="str">
        <f>IFERROR(__xludf.DUMMYFUNCTION("GOOGLETRANSLATE(B430,""en"",""th"")"),"คุณอยู่ในตำแหน่งเดียวกัน—การติดตามไม่ได้รับการอัปเดต")</f>
        <v>คุณอยู่ในตำแหน่งเดียวกัน—การติดตามไม่ได้รับการอัปเดต</v>
      </c>
      <c r="Y430" s="4" t="str">
        <f>IFERROR(__xludf.DUMMYFUNCTION("GOOGLETRANSLATE(B430,""en"",""ko"")"),"동일한 위치에 있습니다. 추적이 업데이트되지 않았습니다.")</f>
        <v>동일한 위치에 있습니다. 추적이 업데이트되지 않았습니다.</v>
      </c>
      <c r="Z430" s="4" t="str">
        <f>IFERROR(__xludf.DUMMYFUNCTION("GOOGLETRANSLATE(B430,""en"",""zh"")"),"您仍位于同一位置 — 跟踪未更新。")</f>
        <v>您仍位于同一位置 — 跟踪未更新。</v>
      </c>
      <c r="AA430" s="4" t="str">
        <f>IFERROR(__xludf.DUMMYFUNCTION("GOOGLETRANSLATE(B430,""en"",""zh-TW"")"),"您仍位於相同位置 — 追蹤未更新。")</f>
        <v>您仍位於相同位置 — 追蹤未更新。</v>
      </c>
      <c r="AB430" s="4" t="str">
        <f>IFERROR(__xludf.DUMMYFUNCTION("GOOGLETRANSLATE(B430,""en"",""ja"")"),"同じ場所にいます - 追跡は更新されていません。")</f>
        <v>同じ場所にいます - 追跡は更新されていません。</v>
      </c>
      <c r="AC430" s="4" t="str">
        <f>IFERROR(__xludf.DUMMYFUNCTION("GOOGLETRANSLATE(B430,""en"",""bg"")"),"Вие сте на едно и също място — проследяването не е актуализирано.")</f>
        <v>Вие сте на едно и също място — проследяването не е актуализирано.</v>
      </c>
      <c r="AD430" s="4" t="str">
        <f>IFERROR(__xludf.DUMMYFUNCTION("GOOGLETRANSLATE(B430,""en"",""cs"")"),"Nacházíte se na stejném místě – sledování není aktualizováno.")</f>
        <v>Nacházíte se na stejném místě – sledování není aktualizováno.</v>
      </c>
      <c r="AE430" s="4" t="str">
        <f>IFERROR(__xludf.DUMMYFUNCTION("GOOGLETRANSLATE(B430,""en"",""da"")"),"Du er på samme sted – sporing er ikke opdateret.")</f>
        <v>Du er på samme sted – sporing er ikke opdateret.</v>
      </c>
      <c r="AF430" s="4" t="str">
        <f>IFERROR(__xludf.DUMMYFUNCTION("GOOGLETRANSLATE(B430,""en"",""el"")"),"Βρίσκεστε στην ίδια τοποθεσία—η παρακολούθηση δεν ενημερώθηκε.")</f>
        <v>Βρίσκεστε στην ίδια τοποθεσία—η παρακολούθηση δεν ενημερώθηκε.</v>
      </c>
      <c r="AG430" s="4" t="str">
        <f>IFERROR(__xludf.DUMMYFUNCTION("GOOGLETRANSLATE(B430,""en"",""et"")"),"Asute samas kohas – jälgimist ei värskendata.")</f>
        <v>Asute samas kohas – jälgimist ei värskendata.</v>
      </c>
      <c r="AH430" s="4" t="str">
        <f>IFERROR(__xludf.DUMMYFUNCTION("GOOGLETRANSLATE(B430,""en"",""fi"")"),"Olet samassa paikassa – seurantaa ei ole päivitetty.")</f>
        <v>Olet samassa paikassa – seurantaa ei ole päivitetty.</v>
      </c>
      <c r="AI430" s="4" t="str">
        <f>IFERROR(__xludf.DUMMYFUNCTION("GOOGLETRANSLATE(B430,""en"",""hr"")"),"Na istoj ste lokaciji—praćenje nije ažurirano.")</f>
        <v>Na istoj ste lokaciji—praćenje nije ažurirano.</v>
      </c>
      <c r="AJ430" s="4" t="str">
        <f>IFERROR(__xludf.DUMMYFUNCTION("GOOGLETRANSLATE(B430,""en"",""hu"")"),"Ugyanazon a helyen tartózkodik – a követés nincs frissítve.")</f>
        <v>Ugyanazon a helyen tartózkodik – a követés nincs frissítve.</v>
      </c>
      <c r="AK430" s="4" t="str">
        <f>IFERROR(__xludf.DUMMYFUNCTION("GOOGLETRANSLATE(B430,""en"",""hy"")"),"Դուք նույն վայրում եք՝ հետագծումը թարմացված չէ:")</f>
        <v>Դուք նույն վայրում եք՝ հետագծումը թարմացված չէ:</v>
      </c>
      <c r="AL430" s="4" t="str">
        <f>IFERROR(__xludf.DUMMYFUNCTION("GOOGLETRANSLATE(B430,""en"",""ca"")"),"Et trobes a la mateixa ubicació; el seguiment no s'ha actualitzat.")</f>
        <v>Et trobes a la mateixa ubicació; el seguiment no s'ha actualitzat.</v>
      </c>
      <c r="AM430" s="4" t="str">
        <f>IFERROR(__xludf.DUMMYFUNCTION("GOOGLETRANSLATE(B430,""en"",""nl"")"),"U bevindt zich op dezelfde locatie. De tracking is niet bijgewerkt.")</f>
        <v>U bevindt zich op dezelfde locatie. De tracking is niet bijgewerkt.</v>
      </c>
      <c r="AN430" s="4" t="str">
        <f>IFERROR(__xludf.DUMMYFUNCTION("GOOGLETRANSLATE(B430,""en"",""he"")"),"אתה נמצא באותו מיקום — המעקב לא מעודכן.")</f>
        <v>אתה נמצא באותו מיקום — המעקב לא מעודכן.</v>
      </c>
      <c r="AO430" s="4" t="str">
        <f>IFERROR(__xludf.DUMMYFUNCTION("GOOGLETRANSLATE(B430,""en"",""is"")"),"Þú ert á sama stað — mælingar ekki uppfærðar.")</f>
        <v>Þú ert á sama stað — mælingar ekki uppfærðar.</v>
      </c>
      <c r="AP430" s="4" t="str">
        <f>IFERROR(__xludf.DUMMYFUNCTION("GOOGLETRANSLATE(B430,""en"",""no"")"),"Du er på samme sted – sporingen er ikke oppdatert.")</f>
        <v>Du er på samme sted – sporingen er ikke oppdatert.</v>
      </c>
      <c r="AQ430" s="4" t="str">
        <f>IFERROR(__xludf.DUMMYFUNCTION("GOOGLETRANSLATE(B430,""en"",""fa"")"),"شما در همان مکان هستید—ردیابی به‌روزرسانی نشد.")</f>
        <v>شما در همان مکان هستید—ردیابی به‌روزرسانی نشد.</v>
      </c>
      <c r="AR430" s="4" t="str">
        <f>IFERROR(__xludf.DUMMYFUNCTION("GOOGLETRANSLATE(B430,""en"",""pl"")"),"Jesteś w tym samym miejscu — śledzenie nie jest zaktualizowane.")</f>
        <v>Jesteś w tym samym miejscu — śledzenie nie jest zaktualizowane.</v>
      </c>
      <c r="AS430" s="4" t="str">
        <f>IFERROR(__xludf.DUMMYFUNCTION("GOOGLETRANSLATE(B430,""en"",""sv"")"),"Du är på samma plats – spårningen har inte uppdaterats.")</f>
        <v>Du är på samma plats – spårningen har inte uppdaterats.</v>
      </c>
      <c r="AT430" s="4" t="str">
        <f>IFERROR(__xludf.DUMMYFUNCTION("GOOGLETRANSLATE(B430,""en"",""uk"")"),"Ви перебуваєте в тому ж місці, відстеження не оновлено.")</f>
        <v>Ви перебуваєте в тому ж місці, відстеження не оновлено.</v>
      </c>
      <c r="AU430" s="4" t="str">
        <f>IFERROR(__xludf.DUMMYFUNCTION("GOOGLETRANSLATE(B430,""en"",""zu"")"),"Usendaweni efanayo—ukulandelela akubuyekeziwe.")</f>
        <v>Usendaweni efanayo—ukulandelela akubuyekeziwe.</v>
      </c>
      <c r="AV430" s="4" t="str">
        <f>IFERROR(__xludf.DUMMYFUNCTION("GOOGLETRANSLATE(B430,""en"",""sr"")"),"Налазите се на истој локацији—праћење није ажурирано.")</f>
        <v>Налазите се на истој локацији—праћење није ажурирано.</v>
      </c>
    </row>
    <row r="431">
      <c r="A431" s="3" t="s">
        <v>837</v>
      </c>
      <c r="B431" s="3" t="s">
        <v>838</v>
      </c>
      <c r="C431" s="4" t="str">
        <f>IFERROR(__xludf.DUMMYFUNCTION("GOOGLETRANSLATE(B431,""en"",""ta"")"),"எச்சரிக்கை")</f>
        <v>எச்சரிக்கை</v>
      </c>
      <c r="D431" s="4" t="str">
        <f>IFERROR(__xludf.DUMMYFUNCTION("GOOGLETRANSLATE(B431,""en"",""hi"")"),"चेतावनी")</f>
        <v>चेतावनी</v>
      </c>
      <c r="E431" s="4" t="str">
        <f>IFERROR(__xludf.DUMMYFUNCTION("GOOGLETRANSLATE(B431,""en"",""id"")"),"peringatan")</f>
        <v>peringatan</v>
      </c>
      <c r="F431" s="4" t="str">
        <f>IFERROR(__xludf.DUMMYFUNCTION("GOOGLETRANSLATE(B431,""en"",""ms"")"),"amaran")</f>
        <v>amaran</v>
      </c>
      <c r="G431" s="4" t="str">
        <f>IFERROR(__xludf.DUMMYFUNCTION("GOOGLETRANSLATE(B431,""en"",""de"")"),"Warnung")</f>
        <v>Warnung</v>
      </c>
      <c r="H431" s="4" t="str">
        <f>IFERROR(__xludf.DUMMYFUNCTION("GOOGLETRANSLATE(B431,""en"",""es"")"),"advertencia")</f>
        <v>advertencia</v>
      </c>
      <c r="I431" s="4" t="str">
        <f>IFERROR(__xludf.DUMMYFUNCTION("GOOGLETRANSLATE(B431,""en"",""fr"")"),"avertissement")</f>
        <v>avertissement</v>
      </c>
      <c r="J431" s="4" t="str">
        <f>IFERROR(__xludf.DUMMYFUNCTION("GOOGLETRANSLATE(B431,""en"",""it"")"),"avvertimento")</f>
        <v>avvertimento</v>
      </c>
      <c r="K431" s="4" t="str">
        <f>IFERROR(__xludf.DUMMYFUNCTION("GOOGLETRANSLATE(B431,""en"",""pt"")"),"aviso")</f>
        <v>aviso</v>
      </c>
      <c r="L431" s="4" t="str">
        <f>IFERROR(__xludf.DUMMYFUNCTION("GOOGLETRANSLATE(B431,""en"",""ro"")"),"avertizare")</f>
        <v>avertizare</v>
      </c>
      <c r="M431" s="4" t="str">
        <f>IFERROR(__xludf.DUMMYFUNCTION("GOOGLETRANSLATE(B431,""en"",""vi"")"),"cảnh báo")</f>
        <v>cảnh báo</v>
      </c>
      <c r="N431" s="4" t="str">
        <f>IFERROR(__xludf.DUMMYFUNCTION("GOOGLETRANSLATE(B431,""en"",""ru"")"),"предупреждение")</f>
        <v>предупреждение</v>
      </c>
      <c r="O431" s="4" t="str">
        <f>IFERROR(__xludf.DUMMYFUNCTION("GOOGLETRANSLATE(B431,""en"",""tr"")"),"uyarı")</f>
        <v>uyarı</v>
      </c>
      <c r="P431" s="4" t="str">
        <f>IFERROR(__xludf.DUMMYFUNCTION("GOOGLETRANSLATE(B431,""en"",""ar"")"),"تحذير")</f>
        <v>تحذير</v>
      </c>
      <c r="Q431" s="4" t="str">
        <f>IFERROR(__xludf.DUMMYFUNCTION("GOOGLETRANSLATE(B431,""en"",""mr"")"),"चेतावणी")</f>
        <v>चेतावणी</v>
      </c>
      <c r="R431" s="4" t="str">
        <f>IFERROR(__xludf.DUMMYFUNCTION("GOOGLETRANSLATE(B431,""en"",""gu"")"),"ચેતવણી")</f>
        <v>ચેતવણી</v>
      </c>
      <c r="S431" s="4" t="str">
        <f>IFERROR(__xludf.DUMMYFUNCTION("GOOGLETRANSLATE(B431,""en"",""bn"")"),"সতর্কতা")</f>
        <v>সতর্কতা</v>
      </c>
      <c r="T431" s="4" t="str">
        <f>IFERROR(__xludf.DUMMYFUNCTION("GOOGLETRANSLATE(B431,""en"",""pa"")"),"ਚੇਤਾਵਨੀ")</f>
        <v>ਚੇਤਾਵਨੀ</v>
      </c>
      <c r="U431" s="4" t="str">
        <f>IFERROR(__xludf.DUMMYFUNCTION("GOOGLETRANSLATE(B431,""en"",""te"")"),"హెచ్చరిక")</f>
        <v>హెచ్చరిక</v>
      </c>
      <c r="V431" s="4" t="str">
        <f>IFERROR(__xludf.DUMMYFUNCTION("GOOGLETRANSLATE(B431,""en"",""kn"")"),"ಎಚ್ಚರಿಕೆ")</f>
        <v>ಎಚ್ಚರಿಕೆ</v>
      </c>
      <c r="W431" s="4" t="str">
        <f>IFERROR(__xludf.DUMMYFUNCTION("GOOGLETRANSLATE(B431,""en"",""ml"")"),"മുന്നറിയിപ്പ്")</f>
        <v>മുന്നറിയിപ്പ്</v>
      </c>
      <c r="X431" s="4" t="str">
        <f>IFERROR(__xludf.DUMMYFUNCTION("GOOGLETRANSLATE(B431,""en"",""th"")"),"คำเตือน")</f>
        <v>คำเตือน</v>
      </c>
      <c r="Y431" s="4" t="str">
        <f>IFERROR(__xludf.DUMMYFUNCTION("GOOGLETRANSLATE(B431,""en"",""ko"")"),"경고")</f>
        <v>경고</v>
      </c>
      <c r="Z431" s="4" t="str">
        <f>IFERROR(__xludf.DUMMYFUNCTION("GOOGLETRANSLATE(B431,""en"",""zh"")"),"警告")</f>
        <v>警告</v>
      </c>
      <c r="AA431" s="4" t="str">
        <f>IFERROR(__xludf.DUMMYFUNCTION("GOOGLETRANSLATE(B431,""en"",""zh-TW"")"),"警告")</f>
        <v>警告</v>
      </c>
      <c r="AB431" s="4" t="str">
        <f>IFERROR(__xludf.DUMMYFUNCTION("GOOGLETRANSLATE(B431,""en"",""ja"")"),"警告")</f>
        <v>警告</v>
      </c>
      <c r="AC431" s="4" t="str">
        <f>IFERROR(__xludf.DUMMYFUNCTION("GOOGLETRANSLATE(B431,""en"",""bg"")"),"предупреждение")</f>
        <v>предупреждение</v>
      </c>
      <c r="AD431" s="4" t="str">
        <f>IFERROR(__xludf.DUMMYFUNCTION("GOOGLETRANSLATE(B431,""en"",""cs"")"),"varování")</f>
        <v>varování</v>
      </c>
      <c r="AE431" s="4" t="str">
        <f>IFERROR(__xludf.DUMMYFUNCTION("GOOGLETRANSLATE(B431,""en"",""da"")"),"advarsel")</f>
        <v>advarsel</v>
      </c>
      <c r="AF431" s="4" t="str">
        <f>IFERROR(__xludf.DUMMYFUNCTION("GOOGLETRANSLATE(B431,""en"",""el"")"),"προειδοποίηση")</f>
        <v>προειδοποίηση</v>
      </c>
      <c r="AG431" s="4" t="str">
        <f>IFERROR(__xludf.DUMMYFUNCTION("GOOGLETRANSLATE(B431,""en"",""et"")"),"hoiatus")</f>
        <v>hoiatus</v>
      </c>
      <c r="AH431" s="4" t="str">
        <f>IFERROR(__xludf.DUMMYFUNCTION("GOOGLETRANSLATE(B431,""en"",""fi"")"),"Varoitus")</f>
        <v>Varoitus</v>
      </c>
      <c r="AI431" s="4" t="str">
        <f>IFERROR(__xludf.DUMMYFUNCTION("GOOGLETRANSLATE(B431,""en"",""hr"")"),"upozorenje")</f>
        <v>upozorenje</v>
      </c>
      <c r="AJ431" s="4" t="str">
        <f>IFERROR(__xludf.DUMMYFUNCTION("GOOGLETRANSLATE(B431,""en"",""hu"")"),"figyelmeztetés")</f>
        <v>figyelmeztetés</v>
      </c>
      <c r="AK431" s="4" t="str">
        <f>IFERROR(__xludf.DUMMYFUNCTION("GOOGLETRANSLATE(B431,""en"",""hy"")"),"նախազգուշացում")</f>
        <v>նախազգուշացում</v>
      </c>
      <c r="AL431" s="4" t="str">
        <f>IFERROR(__xludf.DUMMYFUNCTION("GOOGLETRANSLATE(B431,""en"",""ca"")"),"advertència")</f>
        <v>advertència</v>
      </c>
      <c r="AM431" s="4" t="str">
        <f>IFERROR(__xludf.DUMMYFUNCTION("GOOGLETRANSLATE(B431,""en"",""nl"")"),"waarschuwing")</f>
        <v>waarschuwing</v>
      </c>
      <c r="AN431" s="4" t="str">
        <f>IFERROR(__xludf.DUMMYFUNCTION("GOOGLETRANSLATE(B431,""en"",""he"")"),"אַזהָרָה")</f>
        <v>אַזהָרָה</v>
      </c>
      <c r="AO431" s="4" t="str">
        <f>IFERROR(__xludf.DUMMYFUNCTION("GOOGLETRANSLATE(B431,""en"",""is"")"),"viðvörun")</f>
        <v>viðvörun</v>
      </c>
      <c r="AP431" s="4" t="str">
        <f>IFERROR(__xludf.DUMMYFUNCTION("GOOGLETRANSLATE(B431,""en"",""no"")"),"advarsel")</f>
        <v>advarsel</v>
      </c>
      <c r="AQ431" s="4" t="str">
        <f>IFERROR(__xludf.DUMMYFUNCTION("GOOGLETRANSLATE(B431,""en"",""fa"")"),"هشدار")</f>
        <v>هشدار</v>
      </c>
      <c r="AR431" s="4" t="str">
        <f>IFERROR(__xludf.DUMMYFUNCTION("GOOGLETRANSLATE(B431,""en"",""pl"")"),"ostrzeżenie")</f>
        <v>ostrzeżenie</v>
      </c>
      <c r="AS431" s="4" t="str">
        <f>IFERROR(__xludf.DUMMYFUNCTION("GOOGLETRANSLATE(B431,""en"",""sv"")"),"varning")</f>
        <v>varning</v>
      </c>
      <c r="AT431" s="4" t="str">
        <f>IFERROR(__xludf.DUMMYFUNCTION("GOOGLETRANSLATE(B431,""en"",""uk"")"),"УВАГА")</f>
        <v>УВАГА</v>
      </c>
      <c r="AU431" s="4" t="str">
        <f>IFERROR(__xludf.DUMMYFUNCTION("GOOGLETRANSLATE(B431,""en"",""zu"")"),"isixwayiso")</f>
        <v>isixwayiso</v>
      </c>
      <c r="AV431" s="4" t="str">
        <f>IFERROR(__xludf.DUMMYFUNCTION("GOOGLETRANSLATE(B431,""en"",""sr"")"),"упозорење")</f>
        <v>упозорење</v>
      </c>
    </row>
    <row r="432">
      <c r="A432" s="3" t="s">
        <v>839</v>
      </c>
      <c r="B432" s="3" t="s">
        <v>840</v>
      </c>
      <c r="C432" s="4" t="str">
        <f>IFERROR(__xludf.DUMMYFUNCTION("GOOGLETRANSLATE(B432,""en"",""ta"")"),"காந்தம்")</f>
        <v>காந்தம்</v>
      </c>
      <c r="D432" s="4" t="str">
        <f>IFERROR(__xludf.DUMMYFUNCTION("GOOGLETRANSLATE(B432,""en"",""hi"")"),"चुंबकीय")</f>
        <v>चुंबकीय</v>
      </c>
      <c r="E432" s="4" t="str">
        <f>IFERROR(__xludf.DUMMYFUNCTION("GOOGLETRANSLATE(B432,""en"",""id"")"),"Magnetik")</f>
        <v>Magnetik</v>
      </c>
      <c r="F432" s="4" t="str">
        <f>IFERROR(__xludf.DUMMYFUNCTION("GOOGLETRANSLATE(B432,""en"",""ms"")"),"Magnet")</f>
        <v>Magnet</v>
      </c>
      <c r="G432" s="4" t="str">
        <f>IFERROR(__xludf.DUMMYFUNCTION("GOOGLETRANSLATE(B432,""en"",""de"")"),"Magnetisch")</f>
        <v>Magnetisch</v>
      </c>
      <c r="H432" s="4" t="str">
        <f>IFERROR(__xludf.DUMMYFUNCTION("GOOGLETRANSLATE(B432,""en"",""es"")"),"Magnético")</f>
        <v>Magnético</v>
      </c>
      <c r="I432" s="4" t="str">
        <f>IFERROR(__xludf.DUMMYFUNCTION("GOOGLETRANSLATE(B432,""en"",""fr"")"),"Magnétique")</f>
        <v>Magnétique</v>
      </c>
      <c r="J432" s="4" t="str">
        <f>IFERROR(__xludf.DUMMYFUNCTION("GOOGLETRANSLATE(B432,""en"",""it"")"),"Magnetico")</f>
        <v>Magnetico</v>
      </c>
      <c r="K432" s="4" t="str">
        <f>IFERROR(__xludf.DUMMYFUNCTION("GOOGLETRANSLATE(B432,""en"",""pt"")"),"Magnético")</f>
        <v>Magnético</v>
      </c>
      <c r="L432" s="4" t="str">
        <f>IFERROR(__xludf.DUMMYFUNCTION("GOOGLETRANSLATE(B432,""en"",""ro"")"),"Magnetic")</f>
        <v>Magnetic</v>
      </c>
      <c r="M432" s="4" t="str">
        <f>IFERROR(__xludf.DUMMYFUNCTION("GOOGLETRANSLATE(B432,""en"",""vi"")"),"Từ tính")</f>
        <v>Từ tính</v>
      </c>
      <c r="N432" s="4" t="str">
        <f>IFERROR(__xludf.DUMMYFUNCTION("GOOGLETRANSLATE(B432,""en"",""ru"")"),"Магнитный")</f>
        <v>Магнитный</v>
      </c>
      <c r="O432" s="4" t="str">
        <f>IFERROR(__xludf.DUMMYFUNCTION("GOOGLETRANSLATE(B432,""en"",""tr"")"),"Manyetik")</f>
        <v>Manyetik</v>
      </c>
      <c r="P432" s="4" t="str">
        <f>IFERROR(__xludf.DUMMYFUNCTION("GOOGLETRANSLATE(B432,""en"",""ar"")"),"مغناطيسي")</f>
        <v>مغناطيسي</v>
      </c>
      <c r="Q432" s="4" t="str">
        <f>IFERROR(__xludf.DUMMYFUNCTION("GOOGLETRANSLATE(B432,""en"",""mr"")"),"चुंबकीय")</f>
        <v>चुंबकीय</v>
      </c>
      <c r="R432" s="4" t="str">
        <f>IFERROR(__xludf.DUMMYFUNCTION("GOOGLETRANSLATE(B432,""en"",""gu"")"),"ચુંબકીય")</f>
        <v>ચુંબકીય</v>
      </c>
      <c r="S432" s="4" t="str">
        <f>IFERROR(__xludf.DUMMYFUNCTION("GOOGLETRANSLATE(B432,""en"",""bn"")"),"চৌম্বক")</f>
        <v>চৌম্বক</v>
      </c>
      <c r="T432" s="4" t="str">
        <f>IFERROR(__xludf.DUMMYFUNCTION("GOOGLETRANSLATE(B432,""en"",""pa"")"),"ਚੁੰਬਕੀ")</f>
        <v>ਚੁੰਬਕੀ</v>
      </c>
      <c r="U432" s="4" t="str">
        <f>IFERROR(__xludf.DUMMYFUNCTION("GOOGLETRANSLATE(B432,""en"",""te"")"),"అయస్కాంత")</f>
        <v>అయస్కాంత</v>
      </c>
      <c r="V432" s="4" t="str">
        <f>IFERROR(__xludf.DUMMYFUNCTION("GOOGLETRANSLATE(B432,""en"",""kn"")"),"ಕಾಂತೀಯ")</f>
        <v>ಕಾಂತೀಯ</v>
      </c>
      <c r="W432" s="4" t="str">
        <f>IFERROR(__xludf.DUMMYFUNCTION("GOOGLETRANSLATE(B432,""en"",""ml"")"),"കാന്തിക")</f>
        <v>കാന്തിക</v>
      </c>
      <c r="X432" s="4" t="str">
        <f>IFERROR(__xludf.DUMMYFUNCTION("GOOGLETRANSLATE(B432,""en"",""th"")"),"แม่เหล็ก")</f>
        <v>แม่เหล็ก</v>
      </c>
      <c r="Y432" s="4" t="str">
        <f>IFERROR(__xludf.DUMMYFUNCTION("GOOGLETRANSLATE(B432,""en"",""ko"")"),"자기")</f>
        <v>자기</v>
      </c>
      <c r="Z432" s="4" t="str">
        <f>IFERROR(__xludf.DUMMYFUNCTION("GOOGLETRANSLATE(B432,""en"",""zh"")"),"磁的")</f>
        <v>磁的</v>
      </c>
      <c r="AA432" s="4" t="str">
        <f>IFERROR(__xludf.DUMMYFUNCTION("GOOGLETRANSLATE(B432,""en"",""zh-TW"")"),"磁的")</f>
        <v>磁的</v>
      </c>
      <c r="AB432" s="4" t="str">
        <f>IFERROR(__xludf.DUMMYFUNCTION("GOOGLETRANSLATE(B432,""en"",""ja"")"),"磁気")</f>
        <v>磁気</v>
      </c>
      <c r="AC432" s="4" t="str">
        <f>IFERROR(__xludf.DUMMYFUNCTION("GOOGLETRANSLATE(B432,""en"",""bg"")"),"Магнитни")</f>
        <v>Магнитни</v>
      </c>
      <c r="AD432" s="4" t="str">
        <f>IFERROR(__xludf.DUMMYFUNCTION("GOOGLETRANSLATE(B432,""en"",""cs"")"),"Magnetický")</f>
        <v>Magnetický</v>
      </c>
      <c r="AE432" s="4" t="str">
        <f>IFERROR(__xludf.DUMMYFUNCTION("GOOGLETRANSLATE(B432,""en"",""da"")"),"Magnetisk")</f>
        <v>Magnetisk</v>
      </c>
      <c r="AF432" s="4" t="str">
        <f>IFERROR(__xludf.DUMMYFUNCTION("GOOGLETRANSLATE(B432,""en"",""el"")"),"Μαγνητικός")</f>
        <v>Μαγνητικός</v>
      </c>
      <c r="AG432" s="4" t="str">
        <f>IFERROR(__xludf.DUMMYFUNCTION("GOOGLETRANSLATE(B432,""en"",""et"")"),"Magnetiline")</f>
        <v>Magnetiline</v>
      </c>
      <c r="AH432" s="4" t="str">
        <f>IFERROR(__xludf.DUMMYFUNCTION("GOOGLETRANSLATE(B432,""en"",""fi"")"),"Magneettinen")</f>
        <v>Magneettinen</v>
      </c>
      <c r="AI432" s="4" t="str">
        <f>IFERROR(__xludf.DUMMYFUNCTION("GOOGLETRANSLATE(B432,""en"",""hr"")"),"Magnetski")</f>
        <v>Magnetski</v>
      </c>
      <c r="AJ432" s="4" t="str">
        <f>IFERROR(__xludf.DUMMYFUNCTION("GOOGLETRANSLATE(B432,""en"",""hu"")"),"Mágneses")</f>
        <v>Mágneses</v>
      </c>
      <c r="AK432" s="4" t="str">
        <f>IFERROR(__xludf.DUMMYFUNCTION("GOOGLETRANSLATE(B432,""en"",""hy"")"),"Մագնիսական")</f>
        <v>Մագնիսական</v>
      </c>
      <c r="AL432" s="4" t="str">
        <f>IFERROR(__xludf.DUMMYFUNCTION("GOOGLETRANSLATE(B432,""en"",""ca"")"),"Magnètic")</f>
        <v>Magnètic</v>
      </c>
      <c r="AM432" s="4" t="str">
        <f>IFERROR(__xludf.DUMMYFUNCTION("GOOGLETRANSLATE(B432,""en"",""nl"")"),"Magnetisch")</f>
        <v>Magnetisch</v>
      </c>
      <c r="AN432" s="4" t="str">
        <f>IFERROR(__xludf.DUMMYFUNCTION("GOOGLETRANSLATE(B432,""en"",""he"")"),"מַגנֶטִי")</f>
        <v>מַגנֶטִי</v>
      </c>
      <c r="AO432" s="4" t="str">
        <f>IFERROR(__xludf.DUMMYFUNCTION("GOOGLETRANSLATE(B432,""en"",""is"")"),"Segulmagnaðir")</f>
        <v>Segulmagnaðir</v>
      </c>
      <c r="AP432" s="4" t="str">
        <f>IFERROR(__xludf.DUMMYFUNCTION("GOOGLETRANSLATE(B432,""en"",""no"")"),"Magnetisk")</f>
        <v>Magnetisk</v>
      </c>
      <c r="AQ432" s="4" t="str">
        <f>IFERROR(__xludf.DUMMYFUNCTION("GOOGLETRANSLATE(B432,""en"",""fa"")"),"مغناطیسی")</f>
        <v>مغناطیسی</v>
      </c>
      <c r="AR432" s="4" t="str">
        <f>IFERROR(__xludf.DUMMYFUNCTION("GOOGLETRANSLATE(B432,""en"",""pl"")"),"Magnetyczny")</f>
        <v>Magnetyczny</v>
      </c>
      <c r="AS432" s="4" t="str">
        <f>IFERROR(__xludf.DUMMYFUNCTION("GOOGLETRANSLATE(B432,""en"",""sv"")"),"Magnetisk")</f>
        <v>Magnetisk</v>
      </c>
      <c r="AT432" s="4" t="str">
        <f>IFERROR(__xludf.DUMMYFUNCTION("GOOGLETRANSLATE(B432,""en"",""uk"")"),"Магнітний")</f>
        <v>Магнітний</v>
      </c>
      <c r="AU432" s="4" t="str">
        <f>IFERROR(__xludf.DUMMYFUNCTION("GOOGLETRANSLATE(B432,""en"",""zu"")"),"Uzibuthe")</f>
        <v>Uzibuthe</v>
      </c>
      <c r="AV432" s="4" t="str">
        <f>IFERROR(__xludf.DUMMYFUNCTION("GOOGLETRANSLATE(B432,""en"",""sr"")"),"Магнетиц")</f>
        <v>Магнетиц</v>
      </c>
    </row>
    <row r="433">
      <c r="A433" s="3" t="s">
        <v>841</v>
      </c>
      <c r="B433" s="3" t="s">
        <v>842</v>
      </c>
      <c r="C433" s="4" t="str">
        <f>IFERROR(__xludf.DUMMYFUNCTION("GOOGLETRANSLATE(B433,""en"",""ta"")"),"இலக்கு")</f>
        <v>இலக்கு</v>
      </c>
      <c r="D433" s="4" t="str">
        <f>IFERROR(__xludf.DUMMYFUNCTION("GOOGLETRANSLATE(B433,""en"",""hi"")"),"लक्ष्य")</f>
        <v>लक्ष्य</v>
      </c>
      <c r="E433" s="4" t="str">
        <f>IFERROR(__xludf.DUMMYFUNCTION("GOOGLETRANSLATE(B433,""en"",""id"")"),"Target")</f>
        <v>Target</v>
      </c>
      <c r="F433" s="4" t="str">
        <f>IFERROR(__xludf.DUMMYFUNCTION("GOOGLETRANSLATE(B433,""en"",""ms"")"),"Sasaran")</f>
        <v>Sasaran</v>
      </c>
      <c r="G433" s="4" t="str">
        <f>IFERROR(__xludf.DUMMYFUNCTION("GOOGLETRANSLATE(B433,""en"",""de"")"),"Ziel")</f>
        <v>Ziel</v>
      </c>
      <c r="H433" s="4" t="str">
        <f>IFERROR(__xludf.DUMMYFUNCTION("GOOGLETRANSLATE(B433,""en"",""es"")"),"Objetivo")</f>
        <v>Objetivo</v>
      </c>
      <c r="I433" s="4" t="str">
        <f>IFERROR(__xludf.DUMMYFUNCTION("GOOGLETRANSLATE(B433,""en"",""fr"")"),"Cible")</f>
        <v>Cible</v>
      </c>
      <c r="J433" s="4" t="str">
        <f>IFERROR(__xludf.DUMMYFUNCTION("GOOGLETRANSLATE(B433,""en"",""it"")"),"Bersaglio")</f>
        <v>Bersaglio</v>
      </c>
      <c r="K433" s="4" t="str">
        <f>IFERROR(__xludf.DUMMYFUNCTION("GOOGLETRANSLATE(B433,""en"",""pt"")"),"Alvo")</f>
        <v>Alvo</v>
      </c>
      <c r="L433" s="4" t="str">
        <f>IFERROR(__xludf.DUMMYFUNCTION("GOOGLETRANSLATE(B433,""en"",""ro"")"),"Ţintă")</f>
        <v>Ţintă</v>
      </c>
      <c r="M433" s="4" t="str">
        <f>IFERROR(__xludf.DUMMYFUNCTION("GOOGLETRANSLATE(B433,""en"",""vi"")"),"Mục tiêu")</f>
        <v>Mục tiêu</v>
      </c>
      <c r="N433" s="4" t="str">
        <f>IFERROR(__xludf.DUMMYFUNCTION("GOOGLETRANSLATE(B433,""en"",""ru"")"),"Цель")</f>
        <v>Цель</v>
      </c>
      <c r="O433" s="4" t="str">
        <f>IFERROR(__xludf.DUMMYFUNCTION("GOOGLETRANSLATE(B433,""en"",""tr"")"),"Hedef")</f>
        <v>Hedef</v>
      </c>
      <c r="P433" s="4" t="str">
        <f>IFERROR(__xludf.DUMMYFUNCTION("GOOGLETRANSLATE(B433,""en"",""ar"")"),"هدف")</f>
        <v>هدف</v>
      </c>
      <c r="Q433" s="4" t="str">
        <f>IFERROR(__xludf.DUMMYFUNCTION("GOOGLETRANSLATE(B433,""en"",""mr"")"),"लक्ष्य")</f>
        <v>लक्ष्य</v>
      </c>
      <c r="R433" s="4" t="str">
        <f>IFERROR(__xludf.DUMMYFUNCTION("GOOGLETRANSLATE(B433,""en"",""gu"")"),"લક્ષ્ય")</f>
        <v>લક્ષ્ય</v>
      </c>
      <c r="S433" s="4" t="str">
        <f>IFERROR(__xludf.DUMMYFUNCTION("GOOGLETRANSLATE(B433,""en"",""bn"")"),"টার্গেট")</f>
        <v>টার্গেট</v>
      </c>
      <c r="T433" s="4" t="str">
        <f>IFERROR(__xludf.DUMMYFUNCTION("GOOGLETRANSLATE(B433,""en"",""pa"")"),"ਨਿਸ਼ਾਨਾ")</f>
        <v>ਨਿਸ਼ਾਨਾ</v>
      </c>
      <c r="U433" s="4" t="str">
        <f>IFERROR(__xludf.DUMMYFUNCTION("GOOGLETRANSLATE(B433,""en"",""te"")"),"లక్ష్యం")</f>
        <v>లక్ష్యం</v>
      </c>
      <c r="V433" s="4" t="str">
        <f>IFERROR(__xludf.DUMMYFUNCTION("GOOGLETRANSLATE(B433,""en"",""kn"")"),"ಗುರಿ")</f>
        <v>ಗುರಿ</v>
      </c>
      <c r="W433" s="4" t="str">
        <f>IFERROR(__xludf.DUMMYFUNCTION("GOOGLETRANSLATE(B433,""en"",""ml"")"),"ലക്ഷ്യം")</f>
        <v>ലക്ഷ്യം</v>
      </c>
      <c r="X433" s="4" t="str">
        <f>IFERROR(__xludf.DUMMYFUNCTION("GOOGLETRANSLATE(B433,""en"",""th"")"),"เป้า")</f>
        <v>เป้า</v>
      </c>
      <c r="Y433" s="4" t="str">
        <f>IFERROR(__xludf.DUMMYFUNCTION("GOOGLETRANSLATE(B433,""en"",""ko"")"),"목표")</f>
        <v>목표</v>
      </c>
      <c r="Z433" s="4" t="str">
        <f>IFERROR(__xludf.DUMMYFUNCTION("GOOGLETRANSLATE(B433,""en"",""zh"")"),"目标")</f>
        <v>目标</v>
      </c>
      <c r="AA433" s="4" t="str">
        <f>IFERROR(__xludf.DUMMYFUNCTION("GOOGLETRANSLATE(B433,""en"",""zh-TW"")"),"目標")</f>
        <v>目標</v>
      </c>
      <c r="AB433" s="4" t="str">
        <f>IFERROR(__xludf.DUMMYFUNCTION("GOOGLETRANSLATE(B433,""en"",""ja"")"),"ターゲット")</f>
        <v>ターゲット</v>
      </c>
      <c r="AC433" s="4" t="str">
        <f>IFERROR(__xludf.DUMMYFUNCTION("GOOGLETRANSLATE(B433,""en"",""bg"")"),"Цел")</f>
        <v>Цел</v>
      </c>
      <c r="AD433" s="4" t="str">
        <f>IFERROR(__xludf.DUMMYFUNCTION("GOOGLETRANSLATE(B433,""en"",""cs"")"),"Cíl")</f>
        <v>Cíl</v>
      </c>
      <c r="AE433" s="4" t="str">
        <f>IFERROR(__xludf.DUMMYFUNCTION("GOOGLETRANSLATE(B433,""en"",""da"")"),"Mål")</f>
        <v>Mål</v>
      </c>
      <c r="AF433" s="4" t="str">
        <f>IFERROR(__xludf.DUMMYFUNCTION("GOOGLETRANSLATE(B433,""en"",""el"")"),"Στόχος")</f>
        <v>Στόχος</v>
      </c>
      <c r="AG433" s="4" t="str">
        <f>IFERROR(__xludf.DUMMYFUNCTION("GOOGLETRANSLATE(B433,""en"",""et"")"),"Sihtmärk")</f>
        <v>Sihtmärk</v>
      </c>
      <c r="AH433" s="4" t="str">
        <f>IFERROR(__xludf.DUMMYFUNCTION("GOOGLETRANSLATE(B433,""en"",""fi"")"),"Kohde")</f>
        <v>Kohde</v>
      </c>
      <c r="AI433" s="4" t="str">
        <f>IFERROR(__xludf.DUMMYFUNCTION("GOOGLETRANSLATE(B433,""en"",""hr"")"),"Cilj")</f>
        <v>Cilj</v>
      </c>
      <c r="AJ433" s="4" t="str">
        <f>IFERROR(__xludf.DUMMYFUNCTION("GOOGLETRANSLATE(B433,""en"",""hu"")"),"Cél")</f>
        <v>Cél</v>
      </c>
      <c r="AK433" s="4" t="str">
        <f>IFERROR(__xludf.DUMMYFUNCTION("GOOGLETRANSLATE(B433,""en"",""hy"")"),"Թիրախ")</f>
        <v>Թիրախ</v>
      </c>
      <c r="AL433" s="4" t="str">
        <f>IFERROR(__xludf.DUMMYFUNCTION("GOOGLETRANSLATE(B433,""en"",""ca"")"),"Objectiu")</f>
        <v>Objectiu</v>
      </c>
      <c r="AM433" s="4" t="str">
        <f>IFERROR(__xludf.DUMMYFUNCTION("GOOGLETRANSLATE(B433,""en"",""nl"")"),"Doel")</f>
        <v>Doel</v>
      </c>
      <c r="AN433" s="4" t="str">
        <f>IFERROR(__xludf.DUMMYFUNCTION("GOOGLETRANSLATE(B433,""en"",""he"")"),"יַעַד")</f>
        <v>יַעַד</v>
      </c>
      <c r="AO433" s="4" t="str">
        <f>IFERROR(__xludf.DUMMYFUNCTION("GOOGLETRANSLATE(B433,""en"",""is"")"),"Markmið")</f>
        <v>Markmið</v>
      </c>
      <c r="AP433" s="4" t="str">
        <f>IFERROR(__xludf.DUMMYFUNCTION("GOOGLETRANSLATE(B433,""en"",""no"")"),"Mål")</f>
        <v>Mål</v>
      </c>
      <c r="AQ433" s="4" t="str">
        <f>IFERROR(__xludf.DUMMYFUNCTION("GOOGLETRANSLATE(B433,""en"",""fa"")"),"هدف")</f>
        <v>هدف</v>
      </c>
      <c r="AR433" s="4" t="str">
        <f>IFERROR(__xludf.DUMMYFUNCTION("GOOGLETRANSLATE(B433,""en"",""pl"")"),"Cel")</f>
        <v>Cel</v>
      </c>
      <c r="AS433" s="4" t="str">
        <f>IFERROR(__xludf.DUMMYFUNCTION("GOOGLETRANSLATE(B433,""en"",""sv"")"),"Mål")</f>
        <v>Mål</v>
      </c>
      <c r="AT433" s="4" t="str">
        <f>IFERROR(__xludf.DUMMYFUNCTION("GOOGLETRANSLATE(B433,""en"",""uk"")"),"Цільова")</f>
        <v>Цільова</v>
      </c>
      <c r="AU433" s="4" t="str">
        <f>IFERROR(__xludf.DUMMYFUNCTION("GOOGLETRANSLATE(B433,""en"",""zu"")"),"Ithagethi")</f>
        <v>Ithagethi</v>
      </c>
      <c r="AV433" s="4" t="str">
        <f>IFERROR(__xludf.DUMMYFUNCTION("GOOGLETRANSLATE(B433,""en"",""sr"")"),"Таргет")</f>
        <v>Таргет</v>
      </c>
    </row>
    <row r="434">
      <c r="A434" s="3" t="s">
        <v>843</v>
      </c>
      <c r="B434" s="3" t="s">
        <v>844</v>
      </c>
      <c r="C434" s="4" t="str">
        <f>IFERROR(__xludf.DUMMYFUNCTION("GOOGLETRANSLATE(B434,""en"",""ta"")"),"அளவீடு செய்")</f>
        <v>அளவீடு செய்</v>
      </c>
      <c r="D434" s="4" t="str">
        <f>IFERROR(__xludf.DUMMYFUNCTION("GOOGLETRANSLATE(B434,""en"",""hi"")"),"जांचना")</f>
        <v>जांचना</v>
      </c>
      <c r="E434" s="4" t="str">
        <f>IFERROR(__xludf.DUMMYFUNCTION("GOOGLETRANSLATE(B434,""en"",""id"")"),"Menyesuaikan")</f>
        <v>Menyesuaikan</v>
      </c>
      <c r="F434" s="4" t="str">
        <f>IFERROR(__xludf.DUMMYFUNCTION("GOOGLETRANSLATE(B434,""en"",""ms"")"),"Kalibrasi")</f>
        <v>Kalibrasi</v>
      </c>
      <c r="G434" s="4" t="str">
        <f>IFERROR(__xludf.DUMMYFUNCTION("GOOGLETRANSLATE(B434,""en"",""de"")"),"Kalibrieren")</f>
        <v>Kalibrieren</v>
      </c>
      <c r="H434" s="4" t="str">
        <f>IFERROR(__xludf.DUMMYFUNCTION("GOOGLETRANSLATE(B434,""en"",""es"")"),"Calibrar")</f>
        <v>Calibrar</v>
      </c>
      <c r="I434" s="4" t="str">
        <f>IFERROR(__xludf.DUMMYFUNCTION("GOOGLETRANSLATE(B434,""en"",""fr"")"),"Étalonner")</f>
        <v>Étalonner</v>
      </c>
      <c r="J434" s="4" t="str">
        <f>IFERROR(__xludf.DUMMYFUNCTION("GOOGLETRANSLATE(B434,""en"",""it"")"),"Calibrare")</f>
        <v>Calibrare</v>
      </c>
      <c r="K434" s="4" t="str">
        <f>IFERROR(__xludf.DUMMYFUNCTION("GOOGLETRANSLATE(B434,""en"",""pt"")"),"Calibrar")</f>
        <v>Calibrar</v>
      </c>
      <c r="L434" s="4" t="str">
        <f>IFERROR(__xludf.DUMMYFUNCTION("GOOGLETRANSLATE(B434,""en"",""ro"")"),"Calibra")</f>
        <v>Calibra</v>
      </c>
      <c r="M434" s="4" t="str">
        <f>IFERROR(__xludf.DUMMYFUNCTION("GOOGLETRANSLATE(B434,""en"",""vi"")"),"Hiệu chuẩn")</f>
        <v>Hiệu chuẩn</v>
      </c>
      <c r="N434" s="4" t="str">
        <f>IFERROR(__xludf.DUMMYFUNCTION("GOOGLETRANSLATE(B434,""en"",""ru"")"),"Калибровать")</f>
        <v>Калибровать</v>
      </c>
      <c r="O434" s="4" t="str">
        <f>IFERROR(__xludf.DUMMYFUNCTION("GOOGLETRANSLATE(B434,""en"",""tr"")"),"Kalibre etmek")</f>
        <v>Kalibre etmek</v>
      </c>
      <c r="P434" s="4" t="str">
        <f>IFERROR(__xludf.DUMMYFUNCTION("GOOGLETRANSLATE(B434,""en"",""ar"")"),"معايرة")</f>
        <v>معايرة</v>
      </c>
      <c r="Q434" s="4" t="str">
        <f>IFERROR(__xludf.DUMMYFUNCTION("GOOGLETRANSLATE(B434,""en"",""mr"")"),"कॅलिब्रेट करा")</f>
        <v>कॅलिब्रेट करा</v>
      </c>
      <c r="R434" s="4" t="str">
        <f>IFERROR(__xludf.DUMMYFUNCTION("GOOGLETRANSLATE(B434,""en"",""gu"")"),"માપાંકન કરો")</f>
        <v>માપાંકન કરો</v>
      </c>
      <c r="S434" s="4" t="str">
        <f>IFERROR(__xludf.DUMMYFUNCTION("GOOGLETRANSLATE(B434,""en"",""bn"")"),"ক্যালিব্রেট করুন")</f>
        <v>ক্যালিব্রেট করুন</v>
      </c>
      <c r="T434" s="4" t="str">
        <f>IFERROR(__xludf.DUMMYFUNCTION("GOOGLETRANSLATE(B434,""en"",""pa"")"),"ਕੈਲੀਬਰੇਟ ਕਰੋ")</f>
        <v>ਕੈਲੀਬਰੇਟ ਕਰੋ</v>
      </c>
      <c r="U434" s="4" t="str">
        <f>IFERROR(__xludf.DUMMYFUNCTION("GOOGLETRANSLATE(B434,""en"",""te"")"),"క్రమాంకనం చేయండి")</f>
        <v>క్రమాంకనం చేయండి</v>
      </c>
      <c r="V434" s="4" t="str">
        <f>IFERROR(__xludf.DUMMYFUNCTION("GOOGLETRANSLATE(B434,""en"",""kn"")"),"ಮಾಪನಾಂಕ ನಿರ್ಣಯಿಸಿ")</f>
        <v>ಮಾಪನಾಂಕ ನಿರ್ಣಯಿಸಿ</v>
      </c>
      <c r="W434" s="4" t="str">
        <f>IFERROR(__xludf.DUMMYFUNCTION("GOOGLETRANSLATE(B434,""en"",""ml"")"),"കാലിബ്രേറ്റ് ചെയ്യുക")</f>
        <v>കാലിബ്രേറ്റ് ചെയ്യുക</v>
      </c>
      <c r="X434" s="4" t="str">
        <f>IFERROR(__xludf.DUMMYFUNCTION("GOOGLETRANSLATE(B434,""en"",""th"")"),"การสอบเทียบ")</f>
        <v>การสอบเทียบ</v>
      </c>
      <c r="Y434" s="4" t="str">
        <f>IFERROR(__xludf.DUMMYFUNCTION("GOOGLETRANSLATE(B434,""en"",""ko"")"),"교정하다")</f>
        <v>교정하다</v>
      </c>
      <c r="Z434" s="4" t="str">
        <f>IFERROR(__xludf.DUMMYFUNCTION("GOOGLETRANSLATE(B434,""en"",""zh"")"),"校准")</f>
        <v>校准</v>
      </c>
      <c r="AA434" s="4" t="str">
        <f>IFERROR(__xludf.DUMMYFUNCTION("GOOGLETRANSLATE(B434,""en"",""zh-TW"")"),"校準")</f>
        <v>校準</v>
      </c>
      <c r="AB434" s="4" t="str">
        <f>IFERROR(__xludf.DUMMYFUNCTION("GOOGLETRANSLATE(B434,""en"",""ja"")"),"調整する")</f>
        <v>調整する</v>
      </c>
      <c r="AC434" s="4" t="str">
        <f>IFERROR(__xludf.DUMMYFUNCTION("GOOGLETRANSLATE(B434,""en"",""bg"")"),"Калибриране")</f>
        <v>Калибриране</v>
      </c>
      <c r="AD434" s="4" t="str">
        <f>IFERROR(__xludf.DUMMYFUNCTION("GOOGLETRANSLATE(B434,""en"",""cs"")"),"Kalibrovat")</f>
        <v>Kalibrovat</v>
      </c>
      <c r="AE434" s="4" t="str">
        <f>IFERROR(__xludf.DUMMYFUNCTION("GOOGLETRANSLATE(B434,""en"",""da"")"),"Kalibrer")</f>
        <v>Kalibrer</v>
      </c>
      <c r="AF434" s="4" t="str">
        <f>IFERROR(__xludf.DUMMYFUNCTION("GOOGLETRANSLATE(B434,""en"",""el"")"),"Μετρώ την διάμετρο")</f>
        <v>Μετρώ την διάμετρο</v>
      </c>
      <c r="AG434" s="4" t="str">
        <f>IFERROR(__xludf.DUMMYFUNCTION("GOOGLETRANSLATE(B434,""en"",""et"")"),"Kalibreerige")</f>
        <v>Kalibreerige</v>
      </c>
      <c r="AH434" s="4" t="str">
        <f>IFERROR(__xludf.DUMMYFUNCTION("GOOGLETRANSLATE(B434,""en"",""fi"")"),"Kalibroida")</f>
        <v>Kalibroida</v>
      </c>
      <c r="AI434" s="4" t="str">
        <f>IFERROR(__xludf.DUMMYFUNCTION("GOOGLETRANSLATE(B434,""en"",""hr"")"),"Kalibrirati")</f>
        <v>Kalibrirati</v>
      </c>
      <c r="AJ434" s="4" t="str">
        <f>IFERROR(__xludf.DUMMYFUNCTION("GOOGLETRANSLATE(B434,""en"",""hu"")"),"Kalibrálni")</f>
        <v>Kalibrálni</v>
      </c>
      <c r="AK434" s="4" t="str">
        <f>IFERROR(__xludf.DUMMYFUNCTION("GOOGLETRANSLATE(B434,""en"",""hy"")"),"Կալիբրացիա")</f>
        <v>Կալիբրացիա</v>
      </c>
      <c r="AL434" s="4" t="str">
        <f>IFERROR(__xludf.DUMMYFUNCTION("GOOGLETRANSLATE(B434,""en"",""ca"")"),"Calibrar")</f>
        <v>Calibrar</v>
      </c>
      <c r="AM434" s="4" t="str">
        <f>IFERROR(__xludf.DUMMYFUNCTION("GOOGLETRANSLATE(B434,""en"",""nl"")"),"Kalibreren")</f>
        <v>Kalibreren</v>
      </c>
      <c r="AN434" s="4" t="str">
        <f>IFERROR(__xludf.DUMMYFUNCTION("GOOGLETRANSLATE(B434,""en"",""he"")"),"לְדַרֵג")</f>
        <v>לְדַרֵג</v>
      </c>
      <c r="AO434" s="4" t="str">
        <f>IFERROR(__xludf.DUMMYFUNCTION("GOOGLETRANSLATE(B434,""en"",""is"")"),"Kvarða")</f>
        <v>Kvarða</v>
      </c>
      <c r="AP434" s="4" t="str">
        <f>IFERROR(__xludf.DUMMYFUNCTION("GOOGLETRANSLATE(B434,""en"",""no"")"),"Kalibrer")</f>
        <v>Kalibrer</v>
      </c>
      <c r="AQ434" s="4" t="str">
        <f>IFERROR(__xludf.DUMMYFUNCTION("GOOGLETRANSLATE(B434,""en"",""fa"")"),"کالیبره کردن")</f>
        <v>کالیبره کردن</v>
      </c>
      <c r="AR434" s="4" t="str">
        <f>IFERROR(__xludf.DUMMYFUNCTION("GOOGLETRANSLATE(B434,""en"",""pl"")"),"Kalibrować")</f>
        <v>Kalibrować</v>
      </c>
      <c r="AS434" s="4" t="str">
        <f>IFERROR(__xludf.DUMMYFUNCTION("GOOGLETRANSLATE(B434,""en"",""sv"")"),"Kalibrera")</f>
        <v>Kalibrera</v>
      </c>
      <c r="AT434" s="4" t="str">
        <f>IFERROR(__xludf.DUMMYFUNCTION("GOOGLETRANSLATE(B434,""en"",""uk"")"),"Відкалібрувати")</f>
        <v>Відкалібрувати</v>
      </c>
      <c r="AU434" s="4" t="str">
        <f>IFERROR(__xludf.DUMMYFUNCTION("GOOGLETRANSLATE(B434,""en"",""zu"")"),"Linganisa")</f>
        <v>Linganisa</v>
      </c>
      <c r="AV434" s="4" t="str">
        <f>IFERROR(__xludf.DUMMYFUNCTION("GOOGLETRANSLATE(B434,""en"",""sr"")"),"Цалибрате")</f>
        <v>Цалибрате</v>
      </c>
    </row>
    <row r="435">
      <c r="A435" s="3" t="s">
        <v>845</v>
      </c>
      <c r="B435" s="3" t="b">
        <v>1</v>
      </c>
      <c r="C435" s="4" t="str">
        <f>IFERROR(__xludf.DUMMYFUNCTION("GOOGLETRANSLATE(B435,""en"",""ta"")"),"உண்மை")</f>
        <v>உண்மை</v>
      </c>
      <c r="D435" s="4" t="str">
        <f>IFERROR(__xludf.DUMMYFUNCTION("GOOGLETRANSLATE(B435,""en"",""hi"")"),"सत्य")</f>
        <v>सत्य</v>
      </c>
      <c r="E435" s="4" t="str">
        <f>IFERROR(__xludf.DUMMYFUNCTION("GOOGLETRANSLATE(B435,""en"",""id"")"),"BENAR")</f>
        <v>BENAR</v>
      </c>
      <c r="F435" s="4" t="str">
        <f>IFERROR(__xludf.DUMMYFUNCTION("GOOGLETRANSLATE(B435,""en"",""ms"")"),"BENAR")</f>
        <v>BENAR</v>
      </c>
      <c r="G435" s="4" t="str">
        <f>IFERROR(__xludf.DUMMYFUNCTION("GOOGLETRANSLATE(B435,""en"",""de"")"),"WAHR")</f>
        <v>WAHR</v>
      </c>
      <c r="H435" s="4" t="str">
        <f>IFERROR(__xludf.DUMMYFUNCTION("GOOGLETRANSLATE(B435,""en"",""es"")"),"VERDADERO")</f>
        <v>VERDADERO</v>
      </c>
      <c r="I435" s="4" t="str">
        <f>IFERROR(__xludf.DUMMYFUNCTION("GOOGLETRANSLATE(B435,""en"",""fr"")"),"VRAI")</f>
        <v>VRAI</v>
      </c>
      <c r="J435" s="4" t="str">
        <f>IFERROR(__xludf.DUMMYFUNCTION("GOOGLETRANSLATE(B435,""en"",""it"")"),"VERO")</f>
        <v>VERO</v>
      </c>
      <c r="K435" s="4" t="str">
        <f>IFERROR(__xludf.DUMMYFUNCTION("GOOGLETRANSLATE(B435,""en"",""pt"")"),"verdadeiro")</f>
        <v>verdadeiro</v>
      </c>
      <c r="L435" s="4" t="str">
        <f>IFERROR(__xludf.DUMMYFUNCTION("GOOGLETRANSLATE(B435,""en"",""ro"")"),"ADEVĂRAT")</f>
        <v>ADEVĂRAT</v>
      </c>
      <c r="M435" s="4" t="str">
        <f>IFERROR(__xludf.DUMMYFUNCTION("GOOGLETRANSLATE(B435,""en"",""vi"")"),"ĐÚNG VẬY")</f>
        <v>ĐÚNG VẬY</v>
      </c>
      <c r="N435" s="4" t="str">
        <f>IFERROR(__xludf.DUMMYFUNCTION("GOOGLETRANSLATE(B435,""en"",""ru"")"),"истинный")</f>
        <v>истинный</v>
      </c>
      <c r="O435" s="4" t="str">
        <f>IFERROR(__xludf.DUMMYFUNCTION("GOOGLETRANSLATE(B435,""en"",""tr"")"),"DOĞRU")</f>
        <v>DOĞRU</v>
      </c>
      <c r="P435" s="4" t="str">
        <f>IFERROR(__xludf.DUMMYFUNCTION("GOOGLETRANSLATE(B435,""en"",""ar"")"),"حقيقي")</f>
        <v>حقيقي</v>
      </c>
      <c r="Q435" s="4" t="str">
        <f>IFERROR(__xludf.DUMMYFUNCTION("GOOGLETRANSLATE(B435,""en"",""mr"")"),"खरे")</f>
        <v>खरे</v>
      </c>
      <c r="R435" s="4" t="str">
        <f>IFERROR(__xludf.DUMMYFUNCTION("GOOGLETRANSLATE(B435,""en"",""gu"")"),"સાચું")</f>
        <v>સાચું</v>
      </c>
      <c r="S435" s="4" t="str">
        <f>IFERROR(__xludf.DUMMYFUNCTION("GOOGLETRANSLATE(B435,""en"",""bn"")"),"সত্য")</f>
        <v>সত্য</v>
      </c>
      <c r="T435" s="4" t="str">
        <f>IFERROR(__xludf.DUMMYFUNCTION("GOOGLETRANSLATE(B435,""en"",""pa"")"),"ਸੱਚ ਹੈ")</f>
        <v>ਸੱਚ ਹੈ</v>
      </c>
      <c r="U435" s="4" t="str">
        <f>IFERROR(__xludf.DUMMYFUNCTION("GOOGLETRANSLATE(B435,""en"",""te"")"),"నిజం")</f>
        <v>నిజం</v>
      </c>
      <c r="V435" s="4" t="str">
        <f>IFERROR(__xludf.DUMMYFUNCTION("GOOGLETRANSLATE(B435,""en"",""kn"")"),"ನಿಜ")</f>
        <v>ನಿಜ</v>
      </c>
      <c r="W435" s="4" t="str">
        <f>IFERROR(__xludf.DUMMYFUNCTION("GOOGLETRANSLATE(B435,""en"",""ml"")"),"സത്യം")</f>
        <v>സത്യം</v>
      </c>
      <c r="X435" s="4" t="str">
        <f>IFERROR(__xludf.DUMMYFUNCTION("GOOGLETRANSLATE(B435,""en"",""th"")"),"จริง")</f>
        <v>จริง</v>
      </c>
      <c r="Y435" s="4" t="str">
        <f>IFERROR(__xludf.DUMMYFUNCTION("GOOGLETRANSLATE(B435,""en"",""ko"")"),"진실")</f>
        <v>진실</v>
      </c>
      <c r="Z435" s="4" t="str">
        <f>IFERROR(__xludf.DUMMYFUNCTION("GOOGLETRANSLATE(B435,""en"",""zh"")"),"真的")</f>
        <v>真的</v>
      </c>
      <c r="AA435" s="4" t="str">
        <f>IFERROR(__xludf.DUMMYFUNCTION("GOOGLETRANSLATE(B435,""en"",""zh-TW"")"),"真的")</f>
        <v>真的</v>
      </c>
      <c r="AB435" s="4" t="str">
        <f>IFERROR(__xludf.DUMMYFUNCTION("GOOGLETRANSLATE(B435,""en"",""ja"")"),"真実")</f>
        <v>真実</v>
      </c>
      <c r="AC435" s="4" t="str">
        <f>IFERROR(__xludf.DUMMYFUNCTION("GOOGLETRANSLATE(B435,""en"",""bg"")"),"ВЯРНО")</f>
        <v>ВЯРНО</v>
      </c>
      <c r="AD435" s="4" t="str">
        <f>IFERROR(__xludf.DUMMYFUNCTION("GOOGLETRANSLATE(B435,""en"",""cs"")"),"VĚRNÝ")</f>
        <v>VĚRNÝ</v>
      </c>
      <c r="AE435" s="4" t="str">
        <f>IFERROR(__xludf.DUMMYFUNCTION("GOOGLETRANSLATE(B435,""en"",""da"")"),"ÆGTE")</f>
        <v>ÆGTE</v>
      </c>
      <c r="AF435" s="4" t="str">
        <f>IFERROR(__xludf.DUMMYFUNCTION("GOOGLETRANSLATE(B435,""en"",""el"")"),"ΑΛΗΘΗΣ")</f>
        <v>ΑΛΗΘΗΣ</v>
      </c>
      <c r="AG435" s="4" t="str">
        <f>IFERROR(__xludf.DUMMYFUNCTION("GOOGLETRANSLATE(B435,""en"",""et"")"),"TÕSI")</f>
        <v>TÕSI</v>
      </c>
      <c r="AH435" s="4" t="str">
        <f>IFERROR(__xludf.DUMMYFUNCTION("GOOGLETRANSLATE(B435,""en"",""fi"")"),"TOTTA")</f>
        <v>TOTTA</v>
      </c>
      <c r="AI435" s="4" t="str">
        <f>IFERROR(__xludf.DUMMYFUNCTION("GOOGLETRANSLATE(B435,""en"",""hr"")"),"PRAVI")</f>
        <v>PRAVI</v>
      </c>
      <c r="AJ435" s="4" t="str">
        <f>IFERROR(__xludf.DUMMYFUNCTION("GOOGLETRANSLATE(B435,""en"",""hu"")"),"IGAZ")</f>
        <v>IGAZ</v>
      </c>
      <c r="AK435" s="4" t="str">
        <f>IFERROR(__xludf.DUMMYFUNCTION("GOOGLETRANSLATE(B435,""en"",""hy"")"),"ՃԻՇՏ")</f>
        <v>ՃԻՇՏ</v>
      </c>
      <c r="AL435" s="4" t="str">
        <f>IFERROR(__xludf.DUMMYFUNCTION("GOOGLETRANSLATE(B435,""en"",""ca"")"),"VERITAT")</f>
        <v>VERITAT</v>
      </c>
      <c r="AM435" s="4" t="str">
        <f>IFERROR(__xludf.DUMMYFUNCTION("GOOGLETRANSLATE(B435,""en"",""nl"")"),"WAAR")</f>
        <v>WAAR</v>
      </c>
      <c r="AN435" s="4" t="str">
        <f>IFERROR(__xludf.DUMMYFUNCTION("GOOGLETRANSLATE(B435,""en"",""he"")"),"נָכוֹן")</f>
        <v>נָכוֹן</v>
      </c>
      <c r="AO435" s="4" t="str">
        <f>IFERROR(__xludf.DUMMYFUNCTION("GOOGLETRANSLATE(B435,""en"",""is"")"),"SATT")</f>
        <v>SATT</v>
      </c>
      <c r="AP435" s="4" t="str">
        <f>IFERROR(__xludf.DUMMYFUNCTION("GOOGLETRANSLATE(B435,""en"",""no"")"),"EKTE")</f>
        <v>EKTE</v>
      </c>
      <c r="AQ435" s="4" t="str">
        <f>IFERROR(__xludf.DUMMYFUNCTION("GOOGLETRANSLATE(B435,""en"",""fa"")"),"درست است")</f>
        <v>درست است</v>
      </c>
      <c r="AR435" s="4" t="str">
        <f>IFERROR(__xludf.DUMMYFUNCTION("GOOGLETRANSLATE(B435,""en"",""pl"")"),"PRAWDA")</f>
        <v>PRAWDA</v>
      </c>
      <c r="AS435" s="4" t="str">
        <f>IFERROR(__xludf.DUMMYFUNCTION("GOOGLETRANSLATE(B435,""en"",""sv"")"),"SANN")</f>
        <v>SANN</v>
      </c>
      <c r="AT435" s="4" t="str">
        <f>IFERROR(__xludf.DUMMYFUNCTION("GOOGLETRANSLATE(B435,""en"",""uk"")"),"ПРАВДА")</f>
        <v>ПРАВДА</v>
      </c>
      <c r="AU435" s="4" t="str">
        <f>IFERROR(__xludf.DUMMYFUNCTION("GOOGLETRANSLATE(B435,""en"",""zu"")"),"IQINISO")</f>
        <v>IQINISO</v>
      </c>
      <c r="AV435" s="4" t="str">
        <f>IFERROR(__xludf.DUMMYFUNCTION("GOOGLETRANSLATE(B435,""en"",""sr"")"),"ТРУЕ")</f>
        <v>ТРУЕ</v>
      </c>
    </row>
    <row r="436">
      <c r="A436" s="3" t="s">
        <v>846</v>
      </c>
      <c r="B436" s="3" t="s">
        <v>314</v>
      </c>
      <c r="C436" s="4" t="str">
        <f>IFERROR(__xludf.DUMMYFUNCTION("GOOGLETRANSLATE(B436,""en"",""ta"")"),"இயல்புநிலை")</f>
        <v>இயல்புநிலை</v>
      </c>
      <c r="D436" s="4" t="str">
        <f>IFERROR(__xludf.DUMMYFUNCTION("GOOGLETRANSLATE(B436,""en"",""hi"")"),"गलती करना")</f>
        <v>गलती करना</v>
      </c>
      <c r="E436" s="4" t="str">
        <f>IFERROR(__xludf.DUMMYFUNCTION("GOOGLETRANSLATE(B436,""en"",""id"")"),"Bawaan")</f>
        <v>Bawaan</v>
      </c>
      <c r="F436" s="4" t="str">
        <f>IFERROR(__xludf.DUMMYFUNCTION("GOOGLETRANSLATE(B436,""en"",""ms"")"),"Lalai")</f>
        <v>Lalai</v>
      </c>
      <c r="G436" s="4" t="str">
        <f>IFERROR(__xludf.DUMMYFUNCTION("GOOGLETRANSLATE(B436,""en"",""de"")"),"Standard")</f>
        <v>Standard</v>
      </c>
      <c r="H436" s="4" t="str">
        <f>IFERROR(__xludf.DUMMYFUNCTION("GOOGLETRANSLATE(B436,""en"",""es"")"),"Por defecto")</f>
        <v>Por defecto</v>
      </c>
      <c r="I436" s="4" t="str">
        <f>IFERROR(__xludf.DUMMYFUNCTION("GOOGLETRANSLATE(B436,""en"",""fr"")"),"Défaut")</f>
        <v>Défaut</v>
      </c>
      <c r="J436" s="4" t="str">
        <f>IFERROR(__xludf.DUMMYFUNCTION("GOOGLETRANSLATE(B436,""en"",""it"")"),"Predefinito")</f>
        <v>Predefinito</v>
      </c>
      <c r="K436" s="4" t="str">
        <f>IFERROR(__xludf.DUMMYFUNCTION("GOOGLETRANSLATE(B436,""en"",""pt"")"),"Padrão")</f>
        <v>Padrão</v>
      </c>
      <c r="L436" s="4" t="str">
        <f>IFERROR(__xludf.DUMMYFUNCTION("GOOGLETRANSLATE(B436,""en"",""ro"")"),"Implicit")</f>
        <v>Implicit</v>
      </c>
      <c r="M436" s="4" t="str">
        <f>IFERROR(__xludf.DUMMYFUNCTION("GOOGLETRANSLATE(B436,""en"",""vi"")"),"Mặc định")</f>
        <v>Mặc định</v>
      </c>
      <c r="N436" s="4" t="str">
        <f>IFERROR(__xludf.DUMMYFUNCTION("GOOGLETRANSLATE(B436,""en"",""ru"")"),"По умолчанию")</f>
        <v>По умолчанию</v>
      </c>
      <c r="O436" s="4" t="str">
        <f>IFERROR(__xludf.DUMMYFUNCTION("GOOGLETRANSLATE(B436,""en"",""tr"")"),"Varsayılan")</f>
        <v>Varsayılan</v>
      </c>
      <c r="P436" s="4" t="str">
        <f>IFERROR(__xludf.DUMMYFUNCTION("GOOGLETRANSLATE(B436,""en"",""ar"")"),"تقصير")</f>
        <v>تقصير</v>
      </c>
      <c r="Q436" s="4" t="str">
        <f>IFERROR(__xludf.DUMMYFUNCTION("GOOGLETRANSLATE(B436,""en"",""mr"")"),"डीफॉल्ट")</f>
        <v>डीफॉल्ट</v>
      </c>
      <c r="R436" s="4" t="str">
        <f>IFERROR(__xludf.DUMMYFUNCTION("GOOGLETRANSLATE(B436,""en"",""gu"")"),"ડિફૉલ્ટ")</f>
        <v>ડિફૉલ્ટ</v>
      </c>
      <c r="S436" s="4" t="str">
        <f>IFERROR(__xludf.DUMMYFUNCTION("GOOGLETRANSLATE(B436,""en"",""bn"")"),"ডিফল্ট")</f>
        <v>ডিফল্ট</v>
      </c>
      <c r="T436" s="4" t="str">
        <f>IFERROR(__xludf.DUMMYFUNCTION("GOOGLETRANSLATE(B436,""en"",""pa"")"),"ਡਿਫਾਲਟ")</f>
        <v>ਡਿਫਾਲਟ</v>
      </c>
      <c r="U436" s="4" t="str">
        <f>IFERROR(__xludf.DUMMYFUNCTION("GOOGLETRANSLATE(B436,""en"",""te"")"),"డిఫాల్ట్")</f>
        <v>డిఫాల్ట్</v>
      </c>
      <c r="V436" s="4" t="str">
        <f>IFERROR(__xludf.DUMMYFUNCTION("GOOGLETRANSLATE(B436,""en"",""kn"")"),"ಡೀಫಾಲ್ಟ್")</f>
        <v>ಡೀಫಾಲ್ಟ್</v>
      </c>
      <c r="W436" s="4" t="str">
        <f>IFERROR(__xludf.DUMMYFUNCTION("GOOGLETRANSLATE(B436,""en"",""ml"")"),"സ്ഥിരസ്ഥിതി")</f>
        <v>സ്ഥിരസ്ഥിതി</v>
      </c>
      <c r="X436" s="4" t="str">
        <f>IFERROR(__xludf.DUMMYFUNCTION("GOOGLETRANSLATE(B436,""en"",""th"")"),"ค่าเริ่มต้น")</f>
        <v>ค่าเริ่มต้น</v>
      </c>
      <c r="Y436" s="4" t="str">
        <f>IFERROR(__xludf.DUMMYFUNCTION("GOOGLETRANSLATE(B436,""en"",""ko"")"),"기본")</f>
        <v>기본</v>
      </c>
      <c r="Z436" s="4" t="str">
        <f>IFERROR(__xludf.DUMMYFUNCTION("GOOGLETRANSLATE(B436,""en"",""zh"")"),"默认")</f>
        <v>默认</v>
      </c>
      <c r="AA436" s="4" t="str">
        <f>IFERROR(__xludf.DUMMYFUNCTION("GOOGLETRANSLATE(B436,""en"",""zh-TW"")"),"預設")</f>
        <v>預設</v>
      </c>
      <c r="AB436" s="4" t="str">
        <f>IFERROR(__xludf.DUMMYFUNCTION("GOOGLETRANSLATE(B436,""en"",""ja"")"),"デフォルト")</f>
        <v>デフォルト</v>
      </c>
      <c r="AC436" s="4" t="str">
        <f>IFERROR(__xludf.DUMMYFUNCTION("GOOGLETRANSLATE(B436,""en"",""bg"")"),"По подразбиране")</f>
        <v>По подразбиране</v>
      </c>
      <c r="AD436" s="4" t="str">
        <f>IFERROR(__xludf.DUMMYFUNCTION("GOOGLETRANSLATE(B436,""en"",""cs"")"),"Výchozí")</f>
        <v>Výchozí</v>
      </c>
      <c r="AE436" s="4" t="str">
        <f>IFERROR(__xludf.DUMMYFUNCTION("GOOGLETRANSLATE(B436,""en"",""da"")"),"Misligholdelse")</f>
        <v>Misligholdelse</v>
      </c>
      <c r="AF436" s="4" t="str">
        <f>IFERROR(__xludf.DUMMYFUNCTION("GOOGLETRANSLATE(B436,""en"",""el"")"),"Αθέτηση")</f>
        <v>Αθέτηση</v>
      </c>
      <c r="AG436" s="4" t="str">
        <f>IFERROR(__xludf.DUMMYFUNCTION("GOOGLETRANSLATE(B436,""en"",""et"")"),"Vaikimisi")</f>
        <v>Vaikimisi</v>
      </c>
      <c r="AH436" s="4" t="str">
        <f>IFERROR(__xludf.DUMMYFUNCTION("GOOGLETRANSLATE(B436,""en"",""fi"")"),"Oletus")</f>
        <v>Oletus</v>
      </c>
      <c r="AI436" s="4" t="str">
        <f>IFERROR(__xludf.DUMMYFUNCTION("GOOGLETRANSLATE(B436,""en"",""hr"")"),"Zadano")</f>
        <v>Zadano</v>
      </c>
      <c r="AJ436" s="4" t="str">
        <f>IFERROR(__xludf.DUMMYFUNCTION("GOOGLETRANSLATE(B436,""en"",""hu"")"),"Alapértelmezett")</f>
        <v>Alapértelmezett</v>
      </c>
      <c r="AK436" s="4" t="str">
        <f>IFERROR(__xludf.DUMMYFUNCTION("GOOGLETRANSLATE(B436,""en"",""hy"")"),"Կանխադրված")</f>
        <v>Կանխադրված</v>
      </c>
      <c r="AL436" s="4" t="str">
        <f>IFERROR(__xludf.DUMMYFUNCTION("GOOGLETRANSLATE(B436,""en"",""ca"")"),"Per defecte")</f>
        <v>Per defecte</v>
      </c>
      <c r="AM436" s="4" t="str">
        <f>IFERROR(__xludf.DUMMYFUNCTION("GOOGLETRANSLATE(B436,""en"",""nl"")"),"Standaard")</f>
        <v>Standaard</v>
      </c>
      <c r="AN436" s="4" t="str">
        <f>IFERROR(__xludf.DUMMYFUNCTION("GOOGLETRANSLATE(B436,""en"",""he"")"),"בְּרִירַת מֶחדָל")</f>
        <v>בְּרִירַת מֶחדָל</v>
      </c>
      <c r="AO436" s="4" t="str">
        <f>IFERROR(__xludf.DUMMYFUNCTION("GOOGLETRANSLATE(B436,""en"",""is"")"),"Sjálfgefið")</f>
        <v>Sjálfgefið</v>
      </c>
      <c r="AP436" s="4" t="str">
        <f>IFERROR(__xludf.DUMMYFUNCTION("GOOGLETRANSLATE(B436,""en"",""no"")"),"Misligholde")</f>
        <v>Misligholde</v>
      </c>
      <c r="AQ436" s="4" t="str">
        <f>IFERROR(__xludf.DUMMYFUNCTION("GOOGLETRANSLATE(B436,""en"",""fa"")"),"پیش فرض")</f>
        <v>پیش فرض</v>
      </c>
      <c r="AR436" s="4" t="str">
        <f>IFERROR(__xludf.DUMMYFUNCTION("GOOGLETRANSLATE(B436,""en"",""pl"")"),"Domyślny")</f>
        <v>Domyślny</v>
      </c>
      <c r="AS436" s="4" t="str">
        <f>IFERROR(__xludf.DUMMYFUNCTION("GOOGLETRANSLATE(B436,""en"",""sv"")"),"Standard")</f>
        <v>Standard</v>
      </c>
      <c r="AT436" s="4" t="str">
        <f>IFERROR(__xludf.DUMMYFUNCTION("GOOGLETRANSLATE(B436,""en"",""uk"")"),"За замовчуванням")</f>
        <v>За замовчуванням</v>
      </c>
      <c r="AU436" s="4" t="str">
        <f>IFERROR(__xludf.DUMMYFUNCTION("GOOGLETRANSLATE(B436,""en"",""zu"")"),"Okuzenzakalelayo")</f>
        <v>Okuzenzakalelayo</v>
      </c>
      <c r="AV436" s="4" t="str">
        <f>IFERROR(__xludf.DUMMYFUNCTION("GOOGLETRANSLATE(B436,""en"",""sr"")"),"Подразумевано")</f>
        <v>Подразумевано</v>
      </c>
    </row>
    <row r="437">
      <c r="A437" s="3" t="s">
        <v>847</v>
      </c>
      <c r="B437" s="3" t="s">
        <v>848</v>
      </c>
      <c r="C437" s="4" t="str">
        <f>IFERROR(__xludf.DUMMYFUNCTION("GOOGLETRANSLATE(B437,""en"",""ta"")"),"நீலம்")</f>
        <v>நீலம்</v>
      </c>
      <c r="D437" s="4" t="str">
        <f>IFERROR(__xludf.DUMMYFUNCTION("GOOGLETRANSLATE(B437,""en"",""hi"")"),"नीला")</f>
        <v>नीला</v>
      </c>
      <c r="E437" s="4" t="str">
        <f>IFERROR(__xludf.DUMMYFUNCTION("GOOGLETRANSLATE(B437,""en"",""id"")"),"Biru")</f>
        <v>Biru</v>
      </c>
      <c r="F437" s="4" t="str">
        <f>IFERROR(__xludf.DUMMYFUNCTION("GOOGLETRANSLATE(B437,""en"",""ms"")"),"Biru")</f>
        <v>Biru</v>
      </c>
      <c r="G437" s="4" t="str">
        <f>IFERROR(__xludf.DUMMYFUNCTION("GOOGLETRANSLATE(B437,""en"",""de"")"),"Blau")</f>
        <v>Blau</v>
      </c>
      <c r="H437" s="4" t="str">
        <f>IFERROR(__xludf.DUMMYFUNCTION("GOOGLETRANSLATE(B437,""en"",""es"")"),"Azul")</f>
        <v>Azul</v>
      </c>
      <c r="I437" s="4" t="str">
        <f>IFERROR(__xludf.DUMMYFUNCTION("GOOGLETRANSLATE(B437,""en"",""fr"")"),"Bleu")</f>
        <v>Bleu</v>
      </c>
      <c r="J437" s="4" t="str">
        <f>IFERROR(__xludf.DUMMYFUNCTION("GOOGLETRANSLATE(B437,""en"",""it"")"),"Blu")</f>
        <v>Blu</v>
      </c>
      <c r="K437" s="4" t="str">
        <f>IFERROR(__xludf.DUMMYFUNCTION("GOOGLETRANSLATE(B437,""en"",""pt"")"),"Azul")</f>
        <v>Azul</v>
      </c>
      <c r="L437" s="4" t="str">
        <f>IFERROR(__xludf.DUMMYFUNCTION("GOOGLETRANSLATE(B437,""en"",""ro"")"),"Albastru")</f>
        <v>Albastru</v>
      </c>
      <c r="M437" s="4" t="str">
        <f>IFERROR(__xludf.DUMMYFUNCTION("GOOGLETRANSLATE(B437,""en"",""vi"")"),"Màu xanh da trời")</f>
        <v>Màu xanh da trời</v>
      </c>
      <c r="N437" s="4" t="str">
        <f>IFERROR(__xludf.DUMMYFUNCTION("GOOGLETRANSLATE(B437,""en"",""ru"")"),"Синий")</f>
        <v>Синий</v>
      </c>
      <c r="O437" s="4" t="str">
        <f>IFERROR(__xludf.DUMMYFUNCTION("GOOGLETRANSLATE(B437,""en"",""tr"")"),"Mavi")</f>
        <v>Mavi</v>
      </c>
      <c r="P437" s="4" t="str">
        <f>IFERROR(__xludf.DUMMYFUNCTION("GOOGLETRANSLATE(B437,""en"",""ar"")"),"أزرق")</f>
        <v>أزرق</v>
      </c>
      <c r="Q437" s="4" t="str">
        <f>IFERROR(__xludf.DUMMYFUNCTION("GOOGLETRANSLATE(B437,""en"",""mr"")"),"निळा")</f>
        <v>निळा</v>
      </c>
      <c r="R437" s="4" t="str">
        <f>IFERROR(__xludf.DUMMYFUNCTION("GOOGLETRANSLATE(B437,""en"",""gu"")"),"વાદળી")</f>
        <v>વાદળી</v>
      </c>
      <c r="S437" s="4" t="str">
        <f>IFERROR(__xludf.DUMMYFUNCTION("GOOGLETRANSLATE(B437,""en"",""bn"")"),"নীল")</f>
        <v>নীল</v>
      </c>
      <c r="T437" s="4" t="str">
        <f>IFERROR(__xludf.DUMMYFUNCTION("GOOGLETRANSLATE(B437,""en"",""pa"")"),"ਨੀਲਾ")</f>
        <v>ਨੀਲਾ</v>
      </c>
      <c r="U437" s="4" t="str">
        <f>IFERROR(__xludf.DUMMYFUNCTION("GOOGLETRANSLATE(B437,""en"",""te"")"),"నీలం")</f>
        <v>నీలం</v>
      </c>
      <c r="V437" s="4" t="str">
        <f>IFERROR(__xludf.DUMMYFUNCTION("GOOGLETRANSLATE(B437,""en"",""kn"")"),"ನೀಲಿ")</f>
        <v>ನೀಲಿ</v>
      </c>
      <c r="W437" s="4" t="str">
        <f>IFERROR(__xludf.DUMMYFUNCTION("GOOGLETRANSLATE(B437,""en"",""ml"")"),"നീല")</f>
        <v>നീല</v>
      </c>
      <c r="X437" s="4" t="str">
        <f>IFERROR(__xludf.DUMMYFUNCTION("GOOGLETRANSLATE(B437,""en"",""th"")"),"สีฟ้า")</f>
        <v>สีฟ้า</v>
      </c>
      <c r="Y437" s="4" t="str">
        <f>IFERROR(__xludf.DUMMYFUNCTION("GOOGLETRANSLATE(B437,""en"",""ko"")"),"파란색")</f>
        <v>파란색</v>
      </c>
      <c r="Z437" s="4" t="str">
        <f>IFERROR(__xludf.DUMMYFUNCTION("GOOGLETRANSLATE(B437,""en"",""zh"")"),"蓝色的")</f>
        <v>蓝色的</v>
      </c>
      <c r="AA437" s="4" t="str">
        <f>IFERROR(__xludf.DUMMYFUNCTION("GOOGLETRANSLATE(B437,""en"",""zh-TW"")"),"藍色的")</f>
        <v>藍色的</v>
      </c>
      <c r="AB437" s="4" t="str">
        <f>IFERROR(__xludf.DUMMYFUNCTION("GOOGLETRANSLATE(B437,""en"",""ja"")"),"青")</f>
        <v>青</v>
      </c>
      <c r="AC437" s="4" t="str">
        <f>IFERROR(__xludf.DUMMYFUNCTION("GOOGLETRANSLATE(B437,""en"",""bg"")"),"Синьо")</f>
        <v>Синьо</v>
      </c>
      <c r="AD437" s="4" t="str">
        <f>IFERROR(__xludf.DUMMYFUNCTION("GOOGLETRANSLATE(B437,""en"",""cs"")"),"Modrý")</f>
        <v>Modrý</v>
      </c>
      <c r="AE437" s="4" t="str">
        <f>IFERROR(__xludf.DUMMYFUNCTION("GOOGLETRANSLATE(B437,""en"",""da"")"),"Blå")</f>
        <v>Blå</v>
      </c>
      <c r="AF437" s="4" t="str">
        <f>IFERROR(__xludf.DUMMYFUNCTION("GOOGLETRANSLATE(B437,""en"",""el"")"),"Μπλε")</f>
        <v>Μπλε</v>
      </c>
      <c r="AG437" s="4" t="str">
        <f>IFERROR(__xludf.DUMMYFUNCTION("GOOGLETRANSLATE(B437,""en"",""et"")"),"Sinine")</f>
        <v>Sinine</v>
      </c>
      <c r="AH437" s="4" t="str">
        <f>IFERROR(__xludf.DUMMYFUNCTION("GOOGLETRANSLATE(B437,""en"",""fi"")"),"Sininen")</f>
        <v>Sininen</v>
      </c>
      <c r="AI437" s="4" t="str">
        <f>IFERROR(__xludf.DUMMYFUNCTION("GOOGLETRANSLATE(B437,""en"",""hr"")"),"Plava")</f>
        <v>Plava</v>
      </c>
      <c r="AJ437" s="4" t="str">
        <f>IFERROR(__xludf.DUMMYFUNCTION("GOOGLETRANSLATE(B437,""en"",""hu"")"),"Kék")</f>
        <v>Kék</v>
      </c>
      <c r="AK437" s="4" t="str">
        <f>IFERROR(__xludf.DUMMYFUNCTION("GOOGLETRANSLATE(B437,""en"",""hy"")"),"Կապույտ")</f>
        <v>Կապույտ</v>
      </c>
      <c r="AL437" s="4" t="str">
        <f>IFERROR(__xludf.DUMMYFUNCTION("GOOGLETRANSLATE(B437,""en"",""ca"")"),"Blau")</f>
        <v>Blau</v>
      </c>
      <c r="AM437" s="4" t="str">
        <f>IFERROR(__xludf.DUMMYFUNCTION("GOOGLETRANSLATE(B437,""en"",""nl"")"),"Blauw")</f>
        <v>Blauw</v>
      </c>
      <c r="AN437" s="4" t="str">
        <f>IFERROR(__xludf.DUMMYFUNCTION("GOOGLETRANSLATE(B437,""en"",""he"")"),"כְּחוֹל")</f>
        <v>כְּחוֹל</v>
      </c>
      <c r="AO437" s="4" t="str">
        <f>IFERROR(__xludf.DUMMYFUNCTION("GOOGLETRANSLATE(B437,""en"",""is"")"),"Blár")</f>
        <v>Blár</v>
      </c>
      <c r="AP437" s="4" t="str">
        <f>IFERROR(__xludf.DUMMYFUNCTION("GOOGLETRANSLATE(B437,""en"",""no"")"),"Blå")</f>
        <v>Blå</v>
      </c>
      <c r="AQ437" s="4" t="str">
        <f>IFERROR(__xludf.DUMMYFUNCTION("GOOGLETRANSLATE(B437,""en"",""fa"")"),"آبی")</f>
        <v>آبی</v>
      </c>
      <c r="AR437" s="4" t="str">
        <f>IFERROR(__xludf.DUMMYFUNCTION("GOOGLETRANSLATE(B437,""en"",""pl"")"),"Niebieski")</f>
        <v>Niebieski</v>
      </c>
      <c r="AS437" s="4" t="str">
        <f>IFERROR(__xludf.DUMMYFUNCTION("GOOGLETRANSLATE(B437,""en"",""sv"")"),"Blå")</f>
        <v>Blå</v>
      </c>
      <c r="AT437" s="4" t="str">
        <f>IFERROR(__xludf.DUMMYFUNCTION("GOOGLETRANSLATE(B437,""en"",""uk"")"),"Синій")</f>
        <v>Синій</v>
      </c>
      <c r="AU437" s="4" t="str">
        <f>IFERROR(__xludf.DUMMYFUNCTION("GOOGLETRANSLATE(B437,""en"",""zu"")"),"Okuluhlaza okwesibhakabhaka")</f>
        <v>Okuluhlaza okwesibhakabhaka</v>
      </c>
      <c r="AV437" s="4" t="str">
        <f>IFERROR(__xludf.DUMMYFUNCTION("GOOGLETRANSLATE(B437,""en"",""sr"")"),"Плава")</f>
        <v>Плава</v>
      </c>
    </row>
    <row r="438">
      <c r="A438" s="3" t="s">
        <v>849</v>
      </c>
      <c r="B438" s="3" t="s">
        <v>850</v>
      </c>
      <c r="C438" s="4" t="str">
        <f>IFERROR(__xludf.DUMMYFUNCTION("GOOGLETRANSLATE(B438,""en"",""ta"")"),"சிவப்பு")</f>
        <v>சிவப்பு</v>
      </c>
      <c r="D438" s="4" t="str">
        <f>IFERROR(__xludf.DUMMYFUNCTION("GOOGLETRANSLATE(B438,""en"",""hi"")"),"लाल")</f>
        <v>लाल</v>
      </c>
      <c r="E438" s="4" t="str">
        <f>IFERROR(__xludf.DUMMYFUNCTION("GOOGLETRANSLATE(B438,""en"",""id"")"),"Merah")</f>
        <v>Merah</v>
      </c>
      <c r="F438" s="4" t="str">
        <f>IFERROR(__xludf.DUMMYFUNCTION("GOOGLETRANSLATE(B438,""en"",""ms"")"),"merah")</f>
        <v>merah</v>
      </c>
      <c r="G438" s="4" t="str">
        <f>IFERROR(__xludf.DUMMYFUNCTION("GOOGLETRANSLATE(B438,""en"",""de"")"),"Rot")</f>
        <v>Rot</v>
      </c>
      <c r="H438" s="4" t="str">
        <f>IFERROR(__xludf.DUMMYFUNCTION("GOOGLETRANSLATE(B438,""en"",""es"")"),"Rojo")</f>
        <v>Rojo</v>
      </c>
      <c r="I438" s="4" t="str">
        <f>IFERROR(__xludf.DUMMYFUNCTION("GOOGLETRANSLATE(B438,""en"",""fr"")"),"Rouge")</f>
        <v>Rouge</v>
      </c>
      <c r="J438" s="4" t="str">
        <f>IFERROR(__xludf.DUMMYFUNCTION("GOOGLETRANSLATE(B438,""en"",""it"")"),"Rosso")</f>
        <v>Rosso</v>
      </c>
      <c r="K438" s="4" t="str">
        <f>IFERROR(__xludf.DUMMYFUNCTION("GOOGLETRANSLATE(B438,""en"",""pt"")"),"Vermelho")</f>
        <v>Vermelho</v>
      </c>
      <c r="L438" s="4" t="str">
        <f>IFERROR(__xludf.DUMMYFUNCTION("GOOGLETRANSLATE(B438,""en"",""ro"")"),"Roşu")</f>
        <v>Roşu</v>
      </c>
      <c r="M438" s="4" t="str">
        <f>IFERROR(__xludf.DUMMYFUNCTION("GOOGLETRANSLATE(B438,""en"",""vi"")"),"Màu đỏ")</f>
        <v>Màu đỏ</v>
      </c>
      <c r="N438" s="4" t="str">
        <f>IFERROR(__xludf.DUMMYFUNCTION("GOOGLETRANSLATE(B438,""en"",""ru"")"),"Красный")</f>
        <v>Красный</v>
      </c>
      <c r="O438" s="4" t="str">
        <f>IFERROR(__xludf.DUMMYFUNCTION("GOOGLETRANSLATE(B438,""en"",""tr"")"),"Kırmızı")</f>
        <v>Kırmızı</v>
      </c>
      <c r="P438" s="4" t="str">
        <f>IFERROR(__xludf.DUMMYFUNCTION("GOOGLETRANSLATE(B438,""en"",""ar"")"),"أحمر")</f>
        <v>أحمر</v>
      </c>
      <c r="Q438" s="4" t="str">
        <f>IFERROR(__xludf.DUMMYFUNCTION("GOOGLETRANSLATE(B438,""en"",""mr"")"),"लाल")</f>
        <v>लाल</v>
      </c>
      <c r="R438" s="4" t="str">
        <f>IFERROR(__xludf.DUMMYFUNCTION("GOOGLETRANSLATE(B438,""en"",""gu"")"),"લાલ")</f>
        <v>લાલ</v>
      </c>
      <c r="S438" s="4" t="str">
        <f>IFERROR(__xludf.DUMMYFUNCTION("GOOGLETRANSLATE(B438,""en"",""bn"")"),"লাল")</f>
        <v>লাল</v>
      </c>
      <c r="T438" s="4" t="str">
        <f>IFERROR(__xludf.DUMMYFUNCTION("GOOGLETRANSLATE(B438,""en"",""pa"")"),"ਲਾਲ")</f>
        <v>ਲਾਲ</v>
      </c>
      <c r="U438" s="4" t="str">
        <f>IFERROR(__xludf.DUMMYFUNCTION("GOOGLETRANSLATE(B438,""en"",""te"")"),"ఎరుపు")</f>
        <v>ఎరుపు</v>
      </c>
      <c r="V438" s="4" t="str">
        <f>IFERROR(__xludf.DUMMYFUNCTION("GOOGLETRANSLATE(B438,""en"",""kn"")"),"ಕೆಂಪು")</f>
        <v>ಕೆಂಪು</v>
      </c>
      <c r="W438" s="4" t="str">
        <f>IFERROR(__xludf.DUMMYFUNCTION("GOOGLETRANSLATE(B438,""en"",""ml"")"),"ചുവപ്പ്")</f>
        <v>ചുവപ്പ്</v>
      </c>
      <c r="X438" s="4" t="str">
        <f>IFERROR(__xludf.DUMMYFUNCTION("GOOGLETRANSLATE(B438,""en"",""th"")"),"สีแดง")</f>
        <v>สีแดง</v>
      </c>
      <c r="Y438" s="4" t="str">
        <f>IFERROR(__xludf.DUMMYFUNCTION("GOOGLETRANSLATE(B438,""en"",""ko"")"),"빨간색")</f>
        <v>빨간색</v>
      </c>
      <c r="Z438" s="4" t="str">
        <f>IFERROR(__xludf.DUMMYFUNCTION("GOOGLETRANSLATE(B438,""en"",""zh"")"),"红色的")</f>
        <v>红色的</v>
      </c>
      <c r="AA438" s="4" t="str">
        <f>IFERROR(__xludf.DUMMYFUNCTION("GOOGLETRANSLATE(B438,""en"",""zh-TW"")"),"紅色的")</f>
        <v>紅色的</v>
      </c>
      <c r="AB438" s="4" t="str">
        <f>IFERROR(__xludf.DUMMYFUNCTION("GOOGLETRANSLATE(B438,""en"",""ja"")"),"赤")</f>
        <v>赤</v>
      </c>
      <c r="AC438" s="4" t="str">
        <f>IFERROR(__xludf.DUMMYFUNCTION("GOOGLETRANSLATE(B438,""en"",""bg"")"),"червено")</f>
        <v>червено</v>
      </c>
      <c r="AD438" s="4" t="str">
        <f>IFERROR(__xludf.DUMMYFUNCTION("GOOGLETRANSLATE(B438,""en"",""cs"")"),"Červený")</f>
        <v>Červený</v>
      </c>
      <c r="AE438" s="4" t="str">
        <f>IFERROR(__xludf.DUMMYFUNCTION("GOOGLETRANSLATE(B438,""en"",""da"")"),"Rød")</f>
        <v>Rød</v>
      </c>
      <c r="AF438" s="4" t="str">
        <f>IFERROR(__xludf.DUMMYFUNCTION("GOOGLETRANSLATE(B438,""en"",""el"")"),"Κόκκινος")</f>
        <v>Κόκκινος</v>
      </c>
      <c r="AG438" s="4" t="str">
        <f>IFERROR(__xludf.DUMMYFUNCTION("GOOGLETRANSLATE(B438,""en"",""et"")"),"Punane")</f>
        <v>Punane</v>
      </c>
      <c r="AH438" s="4" t="str">
        <f>IFERROR(__xludf.DUMMYFUNCTION("GOOGLETRANSLATE(B438,""en"",""fi"")"),"Punainen")</f>
        <v>Punainen</v>
      </c>
      <c r="AI438" s="4" t="str">
        <f>IFERROR(__xludf.DUMMYFUNCTION("GOOGLETRANSLATE(B438,""en"",""hr"")"),"crveno")</f>
        <v>crveno</v>
      </c>
      <c r="AJ438" s="4" t="str">
        <f>IFERROR(__xludf.DUMMYFUNCTION("GOOGLETRANSLATE(B438,""en"",""hu"")"),"Piros")</f>
        <v>Piros</v>
      </c>
      <c r="AK438" s="4" t="str">
        <f>IFERROR(__xludf.DUMMYFUNCTION("GOOGLETRANSLATE(B438,""en"",""hy"")"),"Կարմիր")</f>
        <v>Կարմիր</v>
      </c>
      <c r="AL438" s="4" t="str">
        <f>IFERROR(__xludf.DUMMYFUNCTION("GOOGLETRANSLATE(B438,""en"",""ca"")"),"Vermell")</f>
        <v>Vermell</v>
      </c>
      <c r="AM438" s="4" t="str">
        <f>IFERROR(__xludf.DUMMYFUNCTION("GOOGLETRANSLATE(B438,""en"",""nl"")"),"Rood")</f>
        <v>Rood</v>
      </c>
      <c r="AN438" s="4" t="str">
        <f>IFERROR(__xludf.DUMMYFUNCTION("GOOGLETRANSLATE(B438,""en"",""he"")"),"אָדוֹם")</f>
        <v>אָדוֹם</v>
      </c>
      <c r="AO438" s="4" t="str">
        <f>IFERROR(__xludf.DUMMYFUNCTION("GOOGLETRANSLATE(B438,""en"",""is"")"),"Rauður")</f>
        <v>Rauður</v>
      </c>
      <c r="AP438" s="4" t="str">
        <f>IFERROR(__xludf.DUMMYFUNCTION("GOOGLETRANSLATE(B438,""en"",""no"")"),"Rød")</f>
        <v>Rød</v>
      </c>
      <c r="AQ438" s="4" t="str">
        <f>IFERROR(__xludf.DUMMYFUNCTION("GOOGLETRANSLATE(B438,""en"",""fa"")"),"قرمز")</f>
        <v>قرمز</v>
      </c>
      <c r="AR438" s="4" t="str">
        <f>IFERROR(__xludf.DUMMYFUNCTION("GOOGLETRANSLATE(B438,""en"",""pl"")"),"Czerwony")</f>
        <v>Czerwony</v>
      </c>
      <c r="AS438" s="4" t="str">
        <f>IFERROR(__xludf.DUMMYFUNCTION("GOOGLETRANSLATE(B438,""en"",""sv"")"),"Röd")</f>
        <v>Röd</v>
      </c>
      <c r="AT438" s="4" t="str">
        <f>IFERROR(__xludf.DUMMYFUNCTION("GOOGLETRANSLATE(B438,""en"",""uk"")"),"Червоний")</f>
        <v>Червоний</v>
      </c>
      <c r="AU438" s="4" t="str">
        <f>IFERROR(__xludf.DUMMYFUNCTION("GOOGLETRANSLATE(B438,""en"",""zu"")"),"Okubomvu")</f>
        <v>Okubomvu</v>
      </c>
      <c r="AV438" s="4" t="str">
        <f>IFERROR(__xludf.DUMMYFUNCTION("GOOGLETRANSLATE(B438,""en"",""sr"")"),"Црвени")</f>
        <v>Црвени</v>
      </c>
    </row>
    <row r="439">
      <c r="A439" s="3" t="s">
        <v>851</v>
      </c>
      <c r="B439" s="3" t="s">
        <v>852</v>
      </c>
      <c r="C439" s="4" t="str">
        <f>IFERROR(__xludf.DUMMYFUNCTION("GOOGLETRANSLATE(B439,""en"",""ta"")"),"வெள்ளை")</f>
        <v>வெள்ளை</v>
      </c>
      <c r="D439" s="4" t="str">
        <f>IFERROR(__xludf.DUMMYFUNCTION("GOOGLETRANSLATE(B439,""en"",""hi"")"),"सफ़ेद")</f>
        <v>सफ़ेद</v>
      </c>
      <c r="E439" s="4" t="str">
        <f>IFERROR(__xludf.DUMMYFUNCTION("GOOGLETRANSLATE(B439,""en"",""id"")"),"Putih")</f>
        <v>Putih</v>
      </c>
      <c r="F439" s="4" t="str">
        <f>IFERROR(__xludf.DUMMYFUNCTION("GOOGLETRANSLATE(B439,""en"",""ms"")"),"putih")</f>
        <v>putih</v>
      </c>
      <c r="G439" s="4" t="str">
        <f>IFERROR(__xludf.DUMMYFUNCTION("GOOGLETRANSLATE(B439,""en"",""de"")"),"Weiß")</f>
        <v>Weiß</v>
      </c>
      <c r="H439" s="4" t="str">
        <f>IFERROR(__xludf.DUMMYFUNCTION("GOOGLETRANSLATE(B439,""en"",""es"")"),"Blanco")</f>
        <v>Blanco</v>
      </c>
      <c r="I439" s="4" t="str">
        <f>IFERROR(__xludf.DUMMYFUNCTION("GOOGLETRANSLATE(B439,""en"",""fr"")"),"Blanc")</f>
        <v>Blanc</v>
      </c>
      <c r="J439" s="4" t="str">
        <f>IFERROR(__xludf.DUMMYFUNCTION("GOOGLETRANSLATE(B439,""en"",""it"")"),"Bianco")</f>
        <v>Bianco</v>
      </c>
      <c r="K439" s="4" t="str">
        <f>IFERROR(__xludf.DUMMYFUNCTION("GOOGLETRANSLATE(B439,""en"",""pt"")"),"Branco")</f>
        <v>Branco</v>
      </c>
      <c r="L439" s="4" t="str">
        <f>IFERROR(__xludf.DUMMYFUNCTION("GOOGLETRANSLATE(B439,""en"",""ro"")"),"Alb")</f>
        <v>Alb</v>
      </c>
      <c r="M439" s="4" t="str">
        <f>IFERROR(__xludf.DUMMYFUNCTION("GOOGLETRANSLATE(B439,""en"",""vi"")"),"Trắng")</f>
        <v>Trắng</v>
      </c>
      <c r="N439" s="4" t="str">
        <f>IFERROR(__xludf.DUMMYFUNCTION("GOOGLETRANSLATE(B439,""en"",""ru"")"),"Белый")</f>
        <v>Белый</v>
      </c>
      <c r="O439" s="4" t="str">
        <f>IFERROR(__xludf.DUMMYFUNCTION("GOOGLETRANSLATE(B439,""en"",""tr"")"),"Beyaz")</f>
        <v>Beyaz</v>
      </c>
      <c r="P439" s="4" t="str">
        <f>IFERROR(__xludf.DUMMYFUNCTION("GOOGLETRANSLATE(B439,""en"",""ar"")"),"أبيض")</f>
        <v>أبيض</v>
      </c>
      <c r="Q439" s="4" t="str">
        <f>IFERROR(__xludf.DUMMYFUNCTION("GOOGLETRANSLATE(B439,""en"",""mr"")"),"पांढरा")</f>
        <v>पांढरा</v>
      </c>
      <c r="R439" s="4" t="str">
        <f>IFERROR(__xludf.DUMMYFUNCTION("GOOGLETRANSLATE(B439,""en"",""gu"")"),"સફેદ")</f>
        <v>સફેદ</v>
      </c>
      <c r="S439" s="4" t="str">
        <f>IFERROR(__xludf.DUMMYFUNCTION("GOOGLETRANSLATE(B439,""en"",""bn"")"),"সাদা")</f>
        <v>সাদা</v>
      </c>
      <c r="T439" s="4" t="str">
        <f>IFERROR(__xludf.DUMMYFUNCTION("GOOGLETRANSLATE(B439,""en"",""pa"")"),"ਚਿੱਟਾ")</f>
        <v>ਚਿੱਟਾ</v>
      </c>
      <c r="U439" s="4" t="str">
        <f>IFERROR(__xludf.DUMMYFUNCTION("GOOGLETRANSLATE(B439,""en"",""te"")"),"తెలుపు")</f>
        <v>తెలుపు</v>
      </c>
      <c r="V439" s="4" t="str">
        <f>IFERROR(__xludf.DUMMYFUNCTION("GOOGLETRANSLATE(B439,""en"",""kn"")"),"ಬಿಳಿ")</f>
        <v>ಬಿಳಿ</v>
      </c>
      <c r="W439" s="4" t="str">
        <f>IFERROR(__xludf.DUMMYFUNCTION("GOOGLETRANSLATE(B439,""en"",""ml"")"),"വെള്ള")</f>
        <v>വെള്ള</v>
      </c>
      <c r="X439" s="4" t="str">
        <f>IFERROR(__xludf.DUMMYFUNCTION("GOOGLETRANSLATE(B439,""en"",""th"")"),"สีขาว")</f>
        <v>สีขาว</v>
      </c>
      <c r="Y439" s="4" t="str">
        <f>IFERROR(__xludf.DUMMYFUNCTION("GOOGLETRANSLATE(B439,""en"",""ko"")"),"하얀색")</f>
        <v>하얀색</v>
      </c>
      <c r="Z439" s="4" t="str">
        <f>IFERROR(__xludf.DUMMYFUNCTION("GOOGLETRANSLATE(B439,""en"",""zh"")"),"白色的")</f>
        <v>白色的</v>
      </c>
      <c r="AA439" s="4" t="str">
        <f>IFERROR(__xludf.DUMMYFUNCTION("GOOGLETRANSLATE(B439,""en"",""zh-TW"")"),"白色的")</f>
        <v>白色的</v>
      </c>
      <c r="AB439" s="4" t="str">
        <f>IFERROR(__xludf.DUMMYFUNCTION("GOOGLETRANSLATE(B439,""en"",""ja"")"),"白")</f>
        <v>白</v>
      </c>
      <c r="AC439" s="4" t="str">
        <f>IFERROR(__xludf.DUMMYFUNCTION("GOOGLETRANSLATE(B439,""en"",""bg"")"),"Бяло")</f>
        <v>Бяло</v>
      </c>
      <c r="AD439" s="4" t="str">
        <f>IFERROR(__xludf.DUMMYFUNCTION("GOOGLETRANSLATE(B439,""en"",""cs"")"),"Bílý")</f>
        <v>Bílý</v>
      </c>
      <c r="AE439" s="4" t="str">
        <f>IFERROR(__xludf.DUMMYFUNCTION("GOOGLETRANSLATE(B439,""en"",""da"")"),"Hvid")</f>
        <v>Hvid</v>
      </c>
      <c r="AF439" s="4" t="str">
        <f>IFERROR(__xludf.DUMMYFUNCTION("GOOGLETRANSLATE(B439,""en"",""el"")"),"Λευκό")</f>
        <v>Λευκό</v>
      </c>
      <c r="AG439" s="4" t="str">
        <f>IFERROR(__xludf.DUMMYFUNCTION("GOOGLETRANSLATE(B439,""en"",""et"")"),"Valge")</f>
        <v>Valge</v>
      </c>
      <c r="AH439" s="4" t="str">
        <f>IFERROR(__xludf.DUMMYFUNCTION("GOOGLETRANSLATE(B439,""en"",""fi"")"),"Valkoinen")</f>
        <v>Valkoinen</v>
      </c>
      <c r="AI439" s="4" t="str">
        <f>IFERROR(__xludf.DUMMYFUNCTION("GOOGLETRANSLATE(B439,""en"",""hr"")"),"Bijela")</f>
        <v>Bijela</v>
      </c>
      <c r="AJ439" s="4" t="str">
        <f>IFERROR(__xludf.DUMMYFUNCTION("GOOGLETRANSLATE(B439,""en"",""hu"")"),"Fehér")</f>
        <v>Fehér</v>
      </c>
      <c r="AK439" s="4" t="str">
        <f>IFERROR(__xludf.DUMMYFUNCTION("GOOGLETRANSLATE(B439,""en"",""hy"")"),"Սպիտակ")</f>
        <v>Սպիտակ</v>
      </c>
      <c r="AL439" s="4" t="str">
        <f>IFERROR(__xludf.DUMMYFUNCTION("GOOGLETRANSLATE(B439,""en"",""ca"")"),"Blanc")</f>
        <v>Blanc</v>
      </c>
      <c r="AM439" s="4" t="str">
        <f>IFERROR(__xludf.DUMMYFUNCTION("GOOGLETRANSLATE(B439,""en"",""nl"")"),"Wit")</f>
        <v>Wit</v>
      </c>
      <c r="AN439" s="4" t="str">
        <f>IFERROR(__xludf.DUMMYFUNCTION("GOOGLETRANSLATE(B439,""en"",""he"")"),"לָבָן")</f>
        <v>לָבָן</v>
      </c>
      <c r="AO439" s="4" t="str">
        <f>IFERROR(__xludf.DUMMYFUNCTION("GOOGLETRANSLATE(B439,""en"",""is"")"),"Hvítur")</f>
        <v>Hvítur</v>
      </c>
      <c r="AP439" s="4" t="str">
        <f>IFERROR(__xludf.DUMMYFUNCTION("GOOGLETRANSLATE(B439,""en"",""no"")"),"Hvit")</f>
        <v>Hvit</v>
      </c>
      <c r="AQ439" s="4" t="str">
        <f>IFERROR(__xludf.DUMMYFUNCTION("GOOGLETRANSLATE(B439,""en"",""fa"")"),"سفید")</f>
        <v>سفید</v>
      </c>
      <c r="AR439" s="4" t="str">
        <f>IFERROR(__xludf.DUMMYFUNCTION("GOOGLETRANSLATE(B439,""en"",""pl"")"),"Biały")</f>
        <v>Biały</v>
      </c>
      <c r="AS439" s="4" t="str">
        <f>IFERROR(__xludf.DUMMYFUNCTION("GOOGLETRANSLATE(B439,""en"",""sv"")"),"Vit")</f>
        <v>Vit</v>
      </c>
      <c r="AT439" s="4" t="str">
        <f>IFERROR(__xludf.DUMMYFUNCTION("GOOGLETRANSLATE(B439,""en"",""uk"")"),"Білий")</f>
        <v>Білий</v>
      </c>
      <c r="AU439" s="4" t="str">
        <f>IFERROR(__xludf.DUMMYFUNCTION("GOOGLETRANSLATE(B439,""en"",""zu"")"),"Emhlophe")</f>
        <v>Emhlophe</v>
      </c>
      <c r="AV439" s="4" t="str">
        <f>IFERROR(__xludf.DUMMYFUNCTION("GOOGLETRANSLATE(B439,""en"",""sr"")"),"Бела")</f>
        <v>Бела</v>
      </c>
    </row>
    <row r="440">
      <c r="A440" s="3" t="s">
        <v>853</v>
      </c>
      <c r="B440" s="3" t="s">
        <v>854</v>
      </c>
      <c r="C440" s="4" t="str">
        <f>IFERROR(__xludf.DUMMYFUNCTION("GOOGLETRANSLATE(B440,""en"",""ta"")"),"நீல வானிலை")</f>
        <v>நீல வானிலை</v>
      </c>
      <c r="D440" s="4" t="str">
        <f>IFERROR(__xludf.DUMMYFUNCTION("GOOGLETRANSLATE(B440,""en"",""hi"")"),"नीला मौसम")</f>
        <v>नीला मौसम</v>
      </c>
      <c r="E440" s="4" t="str">
        <f>IFERROR(__xludf.DUMMYFUNCTION("GOOGLETRANSLATE(B440,""en"",""id"")"),"Cuaca Biru")</f>
        <v>Cuaca Biru</v>
      </c>
      <c r="F440" s="4" t="str">
        <f>IFERROR(__xludf.DUMMYFUNCTION("GOOGLETRANSLATE(B440,""en"",""ms"")"),"Cuaca Biru")</f>
        <v>Cuaca Biru</v>
      </c>
      <c r="G440" s="4" t="str">
        <f>IFERROR(__xludf.DUMMYFUNCTION("GOOGLETRANSLATE(B440,""en"",""de"")"),"Blaues Wetter")</f>
        <v>Blaues Wetter</v>
      </c>
      <c r="H440" s="4" t="str">
        <f>IFERROR(__xludf.DUMMYFUNCTION("GOOGLETRANSLATE(B440,""en"",""es"")"),"Clima azul")</f>
        <v>Clima azul</v>
      </c>
      <c r="I440" s="4" t="str">
        <f>IFERROR(__xludf.DUMMYFUNCTION("GOOGLETRANSLATE(B440,""en"",""fr"")"),"Météo bleue")</f>
        <v>Météo bleue</v>
      </c>
      <c r="J440" s="4" t="str">
        <f>IFERROR(__xludf.DUMMYFUNCTION("GOOGLETRANSLATE(B440,""en"",""it"")"),"Tempo blu")</f>
        <v>Tempo blu</v>
      </c>
      <c r="K440" s="4" t="str">
        <f>IFERROR(__xludf.DUMMYFUNCTION("GOOGLETRANSLATE(B440,""en"",""pt"")"),"Clima Azul")</f>
        <v>Clima Azul</v>
      </c>
      <c r="L440" s="4" t="str">
        <f>IFERROR(__xludf.DUMMYFUNCTION("GOOGLETRANSLATE(B440,""en"",""ro"")"),"Vremea Albastră")</f>
        <v>Vremea Albastră</v>
      </c>
      <c r="M440" s="4" t="str">
        <f>IFERROR(__xludf.DUMMYFUNCTION("GOOGLETRANSLATE(B440,""en"",""vi"")"),"Thời tiết xanh")</f>
        <v>Thời tiết xanh</v>
      </c>
      <c r="N440" s="4" t="str">
        <f>IFERROR(__xludf.DUMMYFUNCTION("GOOGLETRANSLATE(B440,""en"",""ru"")"),"Синяя погода")</f>
        <v>Синяя погода</v>
      </c>
      <c r="O440" s="4" t="str">
        <f>IFERROR(__xludf.DUMMYFUNCTION("GOOGLETRANSLATE(B440,""en"",""tr"")"),"Mavi Hava")</f>
        <v>Mavi Hava</v>
      </c>
      <c r="P440" s="4" t="str">
        <f>IFERROR(__xludf.DUMMYFUNCTION("GOOGLETRANSLATE(B440,""en"",""ar"")"),"الطقس الأزرق")</f>
        <v>الطقس الأزرق</v>
      </c>
      <c r="Q440" s="4" t="str">
        <f>IFERROR(__xludf.DUMMYFUNCTION("GOOGLETRANSLATE(B440,""en"",""mr"")"),"निळे हवामान")</f>
        <v>निळे हवामान</v>
      </c>
      <c r="R440" s="4" t="str">
        <f>IFERROR(__xludf.DUMMYFUNCTION("GOOGLETRANSLATE(B440,""en"",""gu"")"),"વાદળી હવામાન")</f>
        <v>વાદળી હવામાન</v>
      </c>
      <c r="S440" s="4" t="str">
        <f>IFERROR(__xludf.DUMMYFUNCTION("GOOGLETRANSLATE(B440,""en"",""bn"")"),"নীল আবহাওয়া")</f>
        <v>নীল আবহাওয়া</v>
      </c>
      <c r="T440" s="4" t="str">
        <f>IFERROR(__xludf.DUMMYFUNCTION("GOOGLETRANSLATE(B440,""en"",""pa"")"),"ਨੀਲਾ ਮੌਸਮ")</f>
        <v>ਨੀਲਾ ਮੌਸਮ</v>
      </c>
      <c r="U440" s="4" t="str">
        <f>IFERROR(__xludf.DUMMYFUNCTION("GOOGLETRANSLATE(B440,""en"",""te"")"),"నీలం వాతావరణం")</f>
        <v>నీలం వాతావరణం</v>
      </c>
      <c r="V440" s="4" t="str">
        <f>IFERROR(__xludf.DUMMYFUNCTION("GOOGLETRANSLATE(B440,""en"",""kn"")"),"ನೀಲಿ ಹವಾಮಾನ")</f>
        <v>ನೀಲಿ ಹವಾಮಾನ</v>
      </c>
      <c r="W440" s="4" t="str">
        <f>IFERROR(__xludf.DUMMYFUNCTION("GOOGLETRANSLATE(B440,""en"",""ml"")"),"നീല കാലാവസ്ഥ")</f>
        <v>നീല കാലാവസ്ഥ</v>
      </c>
      <c r="X440" s="4" t="str">
        <f>IFERROR(__xludf.DUMMYFUNCTION("GOOGLETRANSLATE(B440,""en"",""th"")"),"อากาศสีฟ้า")</f>
        <v>อากาศสีฟ้า</v>
      </c>
      <c r="Y440" s="4" t="str">
        <f>IFERROR(__xludf.DUMMYFUNCTION("GOOGLETRANSLATE(B440,""en"",""ko"")"),"블루 웨더")</f>
        <v>블루 웨더</v>
      </c>
      <c r="Z440" s="4" t="str">
        <f>IFERROR(__xludf.DUMMYFUNCTION("GOOGLETRANSLATE(B440,""en"",""zh"")"),"蓝色天气")</f>
        <v>蓝色天气</v>
      </c>
      <c r="AA440" s="4" t="str">
        <f>IFERROR(__xludf.DUMMYFUNCTION("GOOGLETRANSLATE(B440,""en"",""zh-TW"")"),"藍色天氣")</f>
        <v>藍色天氣</v>
      </c>
      <c r="AB440" s="4" t="str">
        <f>IFERROR(__xludf.DUMMYFUNCTION("GOOGLETRANSLATE(B440,""en"",""ja"")"),"ブルーウェザー")</f>
        <v>ブルーウェザー</v>
      </c>
      <c r="AC440" s="4" t="str">
        <f>IFERROR(__xludf.DUMMYFUNCTION("GOOGLETRANSLATE(B440,""en"",""bg"")"),"Синьо време")</f>
        <v>Синьо време</v>
      </c>
      <c r="AD440" s="4" t="str">
        <f>IFERROR(__xludf.DUMMYFUNCTION("GOOGLETRANSLATE(B440,""en"",""cs"")"),"Modré počasí")</f>
        <v>Modré počasí</v>
      </c>
      <c r="AE440" s="4" t="str">
        <f>IFERROR(__xludf.DUMMYFUNCTION("GOOGLETRANSLATE(B440,""en"",""da"")"),"Blåt Vejr")</f>
        <v>Blåt Vejr</v>
      </c>
      <c r="AF440" s="4" t="str">
        <f>IFERROR(__xludf.DUMMYFUNCTION("GOOGLETRANSLATE(B440,""en"",""el"")"),"Μπλε Καιρός")</f>
        <v>Μπλε Καιρός</v>
      </c>
      <c r="AG440" s="4" t="str">
        <f>IFERROR(__xludf.DUMMYFUNCTION("GOOGLETRANSLATE(B440,""en"",""et"")"),"Sinine Ilm")</f>
        <v>Sinine Ilm</v>
      </c>
      <c r="AH440" s="4" t="str">
        <f>IFERROR(__xludf.DUMMYFUNCTION("GOOGLETRANSLATE(B440,""en"",""fi"")"),"Sininen Sää")</f>
        <v>Sininen Sää</v>
      </c>
      <c r="AI440" s="4" t="str">
        <f>IFERROR(__xludf.DUMMYFUNCTION("GOOGLETRANSLATE(B440,""en"",""hr"")"),"Plavo vrijeme")</f>
        <v>Plavo vrijeme</v>
      </c>
      <c r="AJ440" s="4" t="str">
        <f>IFERROR(__xludf.DUMMYFUNCTION("GOOGLETRANSLATE(B440,""en"",""hu"")"),"Kék Időjárás")</f>
        <v>Kék Időjárás</v>
      </c>
      <c r="AK440" s="4" t="str">
        <f>IFERROR(__xludf.DUMMYFUNCTION("GOOGLETRANSLATE(B440,""en"",""hy"")"),"Կապույտ եղանակ")</f>
        <v>Կապույտ եղանակ</v>
      </c>
      <c r="AL440" s="4" t="str">
        <f>IFERROR(__xludf.DUMMYFUNCTION("GOOGLETRANSLATE(B440,""en"",""ca"")"),"Temps Blau")</f>
        <v>Temps Blau</v>
      </c>
      <c r="AM440" s="4" t="str">
        <f>IFERROR(__xludf.DUMMYFUNCTION("GOOGLETRANSLATE(B440,""en"",""nl"")"),"Blauw Weer")</f>
        <v>Blauw Weer</v>
      </c>
      <c r="AN440" s="4" t="str">
        <f>IFERROR(__xludf.DUMMYFUNCTION("GOOGLETRANSLATE(B440,""en"",""he"")"),"מזג אוויר כחול")</f>
        <v>מזג אוויר כחול</v>
      </c>
      <c r="AO440" s="4" t="str">
        <f>IFERROR(__xludf.DUMMYFUNCTION("GOOGLETRANSLATE(B440,""en"",""is"")"),"Blá veður")</f>
        <v>Blá veður</v>
      </c>
      <c r="AP440" s="4" t="str">
        <f>IFERROR(__xludf.DUMMYFUNCTION("GOOGLETRANSLATE(B440,""en"",""no"")"),"Blått vær")</f>
        <v>Blått vær</v>
      </c>
      <c r="AQ440" s="4" t="str">
        <f>IFERROR(__xludf.DUMMYFUNCTION("GOOGLETRANSLATE(B440,""en"",""fa"")"),"آب و هوای آبی")</f>
        <v>آب و هوای آبی</v>
      </c>
      <c r="AR440" s="4" t="str">
        <f>IFERROR(__xludf.DUMMYFUNCTION("GOOGLETRANSLATE(B440,""en"",""pl"")"),"Niebieska pogoda")</f>
        <v>Niebieska pogoda</v>
      </c>
      <c r="AS440" s="4" t="str">
        <f>IFERROR(__xludf.DUMMYFUNCTION("GOOGLETRANSLATE(B440,""en"",""sv"")"),"Blått väder")</f>
        <v>Blått väder</v>
      </c>
      <c r="AT440" s="4" t="str">
        <f>IFERROR(__xludf.DUMMYFUNCTION("GOOGLETRANSLATE(B440,""en"",""uk"")"),"Синя погода")</f>
        <v>Синя погода</v>
      </c>
      <c r="AU440" s="4" t="str">
        <f>IFERROR(__xludf.DUMMYFUNCTION("GOOGLETRANSLATE(B440,""en"",""zu"")"),"Isimo Sezulu Esiluhlaza")</f>
        <v>Isimo Sezulu Esiluhlaza</v>
      </c>
      <c r="AV440" s="4" t="str">
        <f>IFERROR(__xludf.DUMMYFUNCTION("GOOGLETRANSLATE(B440,""en"",""sr"")"),"Блуе Веатхер")</f>
        <v>Блуе Веатхер</v>
      </c>
    </row>
    <row r="441">
      <c r="A441" s="3" t="s">
        <v>855</v>
      </c>
      <c r="B441" s="3" t="s">
        <v>856</v>
      </c>
      <c r="C441" s="4" t="str">
        <f>IFERROR(__xludf.DUMMYFUNCTION("GOOGLETRANSLATE(B441,""en"",""ta"")"),"சேமித்த தோலை ஏற்றுவதில் பிழை")</f>
        <v>சேமித்த தோலை ஏற்றுவதில் பிழை</v>
      </c>
      <c r="D441" s="4" t="str">
        <f>IFERROR(__xludf.DUMMYFUNCTION("GOOGLETRANSLATE(B441,""en"",""hi"")"),"सहेजी गई त्वचा लोड करने में त्रुटि")</f>
        <v>सहेजी गई त्वचा लोड करने में त्रुटि</v>
      </c>
      <c r="E441" s="4" t="str">
        <f>IFERROR(__xludf.DUMMYFUNCTION("GOOGLETRANSLATE(B441,""en"",""id"")"),"Terjadi kesalahan saat memuat skin yang disimpan")</f>
        <v>Terjadi kesalahan saat memuat skin yang disimpan</v>
      </c>
      <c r="F441" s="4" t="str">
        <f>IFERROR(__xludf.DUMMYFUNCTION("GOOGLETRANSLATE(B441,""en"",""ms"")"),"Ralat memuatkan kulit yang disimpan")</f>
        <v>Ralat memuatkan kulit yang disimpan</v>
      </c>
      <c r="G441" s="4" t="str">
        <f>IFERROR(__xludf.DUMMYFUNCTION("GOOGLETRANSLATE(B441,""en"",""de"")"),"Fehler beim Laden der gespeicherten Skin")</f>
        <v>Fehler beim Laden der gespeicherten Skin</v>
      </c>
      <c r="H441" s="4" t="str">
        <f>IFERROR(__xludf.DUMMYFUNCTION("GOOGLETRANSLATE(B441,""en"",""es"")"),"Error al cargar la máscara guardada")</f>
        <v>Error al cargar la máscara guardada</v>
      </c>
      <c r="I441" s="4" t="str">
        <f>IFERROR(__xludf.DUMMYFUNCTION("GOOGLETRANSLATE(B441,""en"",""fr"")"),"Erreur lors du chargement du skin enregistré")</f>
        <v>Erreur lors du chargement du skin enregistré</v>
      </c>
      <c r="J441" s="4" t="str">
        <f>IFERROR(__xludf.DUMMYFUNCTION("GOOGLETRANSLATE(B441,""en"",""it"")"),"Errore durante il caricamento della skin salvata")</f>
        <v>Errore durante il caricamento della skin salvata</v>
      </c>
      <c r="K441" s="4" t="str">
        <f>IFERROR(__xludf.DUMMYFUNCTION("GOOGLETRANSLATE(B441,""en"",""pt"")"),"Erro ao carregar skin salvo")</f>
        <v>Erro ao carregar skin salvo</v>
      </c>
      <c r="L441" s="4" t="str">
        <f>IFERROR(__xludf.DUMMYFUNCTION("GOOGLETRANSLATE(B441,""en"",""ro"")"),"Eroare la încărcarea aspectului salvat")</f>
        <v>Eroare la încărcarea aspectului salvat</v>
      </c>
      <c r="M441" s="4" t="str">
        <f>IFERROR(__xludf.DUMMYFUNCTION("GOOGLETRANSLATE(B441,""en"",""vi"")"),"Lỗi khi tải giao diện đã lưu")</f>
        <v>Lỗi khi tải giao diện đã lưu</v>
      </c>
      <c r="N441" s="4" t="str">
        <f>IFERROR(__xludf.DUMMYFUNCTION("GOOGLETRANSLATE(B441,""en"",""ru"")"),"Ошибка загрузки сохраненного скина")</f>
        <v>Ошибка загрузки сохраненного скина</v>
      </c>
      <c r="O441" s="4" t="str">
        <f>IFERROR(__xludf.DUMMYFUNCTION("GOOGLETRANSLATE(B441,""en"",""tr"")"),"Kaydedilen görünüm yüklenirken hata oluştu")</f>
        <v>Kaydedilen görünüm yüklenirken hata oluştu</v>
      </c>
      <c r="P441" s="4" t="str">
        <f>IFERROR(__xludf.DUMMYFUNCTION("GOOGLETRANSLATE(B441,""en"",""ar"")"),"حدث خطأ أثناء تحميل الجلد المحفوظ")</f>
        <v>حدث خطأ أثناء تحميل الجلد المحفوظ</v>
      </c>
      <c r="Q441" s="4" t="str">
        <f>IFERROR(__xludf.DUMMYFUNCTION("GOOGLETRANSLATE(B441,""en"",""mr"")"),"जतन केलेली त्वचा लोड करताना त्रुटी")</f>
        <v>जतन केलेली त्वचा लोड करताना त्रुटी</v>
      </c>
      <c r="R441" s="4" t="str">
        <f>IFERROR(__xludf.DUMMYFUNCTION("GOOGLETRANSLATE(B441,""en"",""gu"")"),"સાચવેલી ત્વચા લોડ કરવામાં ભૂલ")</f>
        <v>સાચવેલી ત્વચા લોડ કરવામાં ભૂલ</v>
      </c>
      <c r="S441" s="4" t="str">
        <f>IFERROR(__xludf.DUMMYFUNCTION("GOOGLETRANSLATE(B441,""en"",""bn"")"),"সংরক্ষিত ত্বক লোড করার সময় ত্রুটি")</f>
        <v>সংরক্ষিত ত্বক লোড করার সময় ত্রুটি</v>
      </c>
      <c r="T441" s="4" t="str">
        <f>IFERROR(__xludf.DUMMYFUNCTION("GOOGLETRANSLATE(B441,""en"",""pa"")"),"ਰੱਖਿਅਤ ਕੀਤੀ ਚਮੜੀ ਨੂੰ ਲੋਡ ਕਰਨ ਵਿੱਚ ਤਰੁੱਟੀ")</f>
        <v>ਰੱਖਿਅਤ ਕੀਤੀ ਚਮੜੀ ਨੂੰ ਲੋਡ ਕਰਨ ਵਿੱਚ ਤਰੁੱਟੀ</v>
      </c>
      <c r="U441" s="4" t="str">
        <f>IFERROR(__xludf.DUMMYFUNCTION("GOOGLETRANSLATE(B441,""en"",""te"")"),"సేవ్ చేసిన చర్మాన్ని లోడ్ చేయడంలో లోపం ఏర్పడింది")</f>
        <v>సేవ్ చేసిన చర్మాన్ని లోడ్ చేయడంలో లోపం ఏర్పడింది</v>
      </c>
      <c r="V441" s="4" t="str">
        <f>IFERROR(__xludf.DUMMYFUNCTION("GOOGLETRANSLATE(B441,""en"",""kn"")"),"ಉಳಿಸಿದ ಚರ್ಮವನ್ನು ಲೋಡ್ ಮಾಡುವಲ್ಲಿ ದೋಷ")</f>
        <v>ಉಳಿಸಿದ ಚರ್ಮವನ್ನು ಲೋಡ್ ಮಾಡುವಲ್ಲಿ ದೋಷ</v>
      </c>
      <c r="W441" s="4" t="str">
        <f>IFERROR(__xludf.DUMMYFUNCTION("GOOGLETRANSLATE(B441,""en"",""ml"")"),"സംരക്ഷിച്ച ചർമ്മം ലോഡുചെയ്യുന്നതിൽ പിശക്")</f>
        <v>സംരക്ഷിച്ച ചർമ്മം ലോഡുചെയ്യുന്നതിൽ പിശക്</v>
      </c>
      <c r="X441" s="4" t="str">
        <f>IFERROR(__xludf.DUMMYFUNCTION("GOOGLETRANSLATE(B441,""en"",""th"")"),"เกิดข้อผิดพลาดในการโหลดสกินที่บันทึกไว้")</f>
        <v>เกิดข้อผิดพลาดในการโหลดสกินที่บันทึกไว้</v>
      </c>
      <c r="Y441" s="4" t="str">
        <f>IFERROR(__xludf.DUMMYFUNCTION("GOOGLETRANSLATE(B441,""en"",""ko"")"),"저장된 스킨을 로드하는 중 오류가 발생했습니다.")</f>
        <v>저장된 스킨을 로드하는 중 오류가 발생했습니다.</v>
      </c>
      <c r="Z441" s="4" t="str">
        <f>IFERROR(__xludf.DUMMYFUNCTION("GOOGLETRANSLATE(B441,""en"",""zh"")"),"加载已保存的皮肤时出错")</f>
        <v>加载已保存的皮肤时出错</v>
      </c>
      <c r="AA441" s="4" t="str">
        <f>IFERROR(__xludf.DUMMYFUNCTION("GOOGLETRANSLATE(B441,""en"",""zh-TW"")"),"加載已保存的皮膚時出錯")</f>
        <v>加載已保存的皮膚時出錯</v>
      </c>
      <c r="AB441" s="4" t="str">
        <f>IFERROR(__xludf.DUMMYFUNCTION("GOOGLETRANSLATE(B441,""en"",""ja"")"),"保存したスキンの読み込み中にエラーが発生しました")</f>
        <v>保存したスキンの読み込み中にエラーが発生しました</v>
      </c>
      <c r="AC441" s="4" t="str">
        <f>IFERROR(__xludf.DUMMYFUNCTION("GOOGLETRANSLATE(B441,""en"",""bg"")"),"Грешка при зареждането на запазената кожа")</f>
        <v>Грешка при зареждането на запазената кожа</v>
      </c>
      <c r="AD441" s="4" t="str">
        <f>IFERROR(__xludf.DUMMYFUNCTION("GOOGLETRANSLATE(B441,""en"",""cs"")"),"Chyba při načítání uloženého vzhledu")</f>
        <v>Chyba při načítání uloženého vzhledu</v>
      </c>
      <c r="AE441" s="4" t="str">
        <f>IFERROR(__xludf.DUMMYFUNCTION("GOOGLETRANSLATE(B441,""en"",""da"")"),"Fejl ved indlæsning af gemt skin")</f>
        <v>Fejl ved indlæsning af gemt skin</v>
      </c>
      <c r="AF441" s="4" t="str">
        <f>IFERROR(__xludf.DUMMYFUNCTION("GOOGLETRANSLATE(B441,""en"",""el"")"),"Σφάλμα κατά τη φόρτωση του αποθηκευμένου δέρματος")</f>
        <v>Σφάλμα κατά τη φόρτωση του αποθηκευμένου δέρματος</v>
      </c>
      <c r="AG441" s="4" t="str">
        <f>IFERROR(__xludf.DUMMYFUNCTION("GOOGLETRANSLATE(B441,""en"",""et"")"),"Viga salvestatud naha laadimisel")</f>
        <v>Viga salvestatud naha laadimisel</v>
      </c>
      <c r="AH441" s="4" t="str">
        <f>IFERROR(__xludf.DUMMYFUNCTION("GOOGLETRANSLATE(B441,""en"",""fi"")"),"Virhe ladattaessa tallennettua skiniä")</f>
        <v>Virhe ladattaessa tallennettua skiniä</v>
      </c>
      <c r="AI441" s="4" t="str">
        <f>IFERROR(__xludf.DUMMYFUNCTION("GOOGLETRANSLATE(B441,""en"",""hr"")"),"Pogreška pri učitavanju spremljene maske")</f>
        <v>Pogreška pri učitavanju spremljene maske</v>
      </c>
      <c r="AJ441" s="4" t="str">
        <f>IFERROR(__xludf.DUMMYFUNCTION("GOOGLETRANSLATE(B441,""en"",""hu"")"),"Hiba a mentett bőr betöltésekor")</f>
        <v>Hiba a mentett bőr betöltésekor</v>
      </c>
      <c r="AK441" s="4" t="str">
        <f>IFERROR(__xludf.DUMMYFUNCTION("GOOGLETRANSLATE(B441,""en"",""hy"")"),"Սխալ՝ պահված մաշկը բեռնելիս")</f>
        <v>Սխալ՝ պահված մաշկը բեռնելիս</v>
      </c>
      <c r="AL441" s="4" t="str">
        <f>IFERROR(__xludf.DUMMYFUNCTION("GOOGLETRANSLATE(B441,""en"",""ca"")"),"S'ha produït un error en carregar la pell desada")</f>
        <v>S'ha produït un error en carregar la pell desada</v>
      </c>
      <c r="AM441" s="4" t="str">
        <f>IFERROR(__xludf.DUMMYFUNCTION("GOOGLETRANSLATE(B441,""en"",""nl"")"),"Fout bij het laden van opgeslagen skin")</f>
        <v>Fout bij het laden van opgeslagen skin</v>
      </c>
      <c r="AN441" s="4" t="str">
        <f>IFERROR(__xludf.DUMMYFUNCTION("GOOGLETRANSLATE(B441,""en"",""he"")"),"שגיאה בטעינת עור שמור")</f>
        <v>שגיאה בטעינת עור שמור</v>
      </c>
      <c r="AO441" s="4" t="str">
        <f>IFERROR(__xludf.DUMMYFUNCTION("GOOGLETRANSLATE(B441,""en"",""is"")"),"Villa við að hlaða vistað skinn")</f>
        <v>Villa við að hlaða vistað skinn</v>
      </c>
      <c r="AP441" s="4" t="str">
        <f>IFERROR(__xludf.DUMMYFUNCTION("GOOGLETRANSLATE(B441,""en"",""no"")"),"Feil ved innlasting av lagret skinn")</f>
        <v>Feil ved innlasting av lagret skinn</v>
      </c>
      <c r="AQ441" s="4" t="str">
        <f>IFERROR(__xludf.DUMMYFUNCTION("GOOGLETRANSLATE(B441,""en"",""fa"")"),"خطا در بارگیری پوسته ذخیره شده")</f>
        <v>خطا در بارگیری پوسته ذخیره شده</v>
      </c>
      <c r="AR441" s="4" t="str">
        <f>IFERROR(__xludf.DUMMYFUNCTION("GOOGLETRANSLATE(B441,""en"",""pl"")"),"Błąd ładowania zapisanej skórki")</f>
        <v>Błąd ładowania zapisanej skórki</v>
      </c>
      <c r="AS441" s="4" t="str">
        <f>IFERROR(__xludf.DUMMYFUNCTION("GOOGLETRANSLATE(B441,""en"",""sv"")"),"Det gick inte att läsa in sparat skal")</f>
        <v>Det gick inte att läsa in sparat skal</v>
      </c>
      <c r="AT441" s="4" t="str">
        <f>IFERROR(__xludf.DUMMYFUNCTION("GOOGLETRANSLATE(B441,""en"",""uk"")"),"Помилка завантаження збереженої оболонки")</f>
        <v>Помилка завантаження збереженої оболонки</v>
      </c>
      <c r="AU441" s="4" t="str">
        <f>IFERROR(__xludf.DUMMYFUNCTION("GOOGLETRANSLATE(B441,""en"",""zu"")"),"Iphutha ekulayisheni isikhumba esilondoloziwe")</f>
        <v>Iphutha ekulayisheni isikhumba esilondoloziwe</v>
      </c>
      <c r="AV441" s="4" t="str">
        <f>IFERROR(__xludf.DUMMYFUNCTION("GOOGLETRANSLATE(B441,""en"",""sr"")"),"Грешка при учитавању сачуване коже")</f>
        <v>Грешка при учитавању сачуване коже</v>
      </c>
    </row>
    <row r="442">
      <c r="A442" s="3" t="s">
        <v>857</v>
      </c>
      <c r="B442" s="3" t="s">
        <v>858</v>
      </c>
      <c r="C442" s="4" t="str">
        <f>IFERROR(__xludf.DUMMYFUNCTION("GOOGLETRANSLATE(B442,""en"",""ta"")"),"இலக்கு விளக்கம்")</f>
        <v>இலக்கு விளக்கம்</v>
      </c>
      <c r="D442" s="4" t="str">
        <f>IFERROR(__xludf.DUMMYFUNCTION("GOOGLETRANSLATE(B442,""en"",""hi"")"),"लक्ष्य विवरण")</f>
        <v>लक्ष्य विवरण</v>
      </c>
      <c r="E442" s="4" t="str">
        <f>IFERROR(__xludf.DUMMYFUNCTION("GOOGLETRANSLATE(B442,""en"",""id"")"),"Deskripsi Target")</f>
        <v>Deskripsi Target</v>
      </c>
      <c r="F442" s="4" t="str">
        <f>IFERROR(__xludf.DUMMYFUNCTION("GOOGLETRANSLATE(B442,""en"",""ms"")"),"Penerangan Sasaran")</f>
        <v>Penerangan Sasaran</v>
      </c>
      <c r="G442" s="4" t="str">
        <f>IFERROR(__xludf.DUMMYFUNCTION("GOOGLETRANSLATE(B442,""en"",""de"")"),"Zielbeschreibung")</f>
        <v>Zielbeschreibung</v>
      </c>
      <c r="H442" s="4" t="str">
        <f>IFERROR(__xludf.DUMMYFUNCTION("GOOGLETRANSLATE(B442,""en"",""es"")"),"Descripción del objetivo")</f>
        <v>Descripción del objetivo</v>
      </c>
      <c r="I442" s="4" t="str">
        <f>IFERROR(__xludf.DUMMYFUNCTION("GOOGLETRANSLATE(B442,""en"",""fr"")"),"Description de la cible")</f>
        <v>Description de la cible</v>
      </c>
      <c r="J442" s="4" t="str">
        <f>IFERROR(__xludf.DUMMYFUNCTION("GOOGLETRANSLATE(B442,""en"",""it"")"),"Descrizione dell'obiettivo")</f>
        <v>Descrizione dell'obiettivo</v>
      </c>
      <c r="K442" s="4" t="str">
        <f>IFERROR(__xludf.DUMMYFUNCTION("GOOGLETRANSLATE(B442,""en"",""pt"")"),"Descrição do alvo")</f>
        <v>Descrição do alvo</v>
      </c>
      <c r="L442" s="4" t="str">
        <f>IFERROR(__xludf.DUMMYFUNCTION("GOOGLETRANSLATE(B442,""en"",""ro"")"),"Descrierea țintei")</f>
        <v>Descrierea țintei</v>
      </c>
      <c r="M442" s="4" t="str">
        <f>IFERROR(__xludf.DUMMYFUNCTION("GOOGLETRANSLATE(B442,""en"",""vi"")"),"Mô tả mục tiêu")</f>
        <v>Mô tả mục tiêu</v>
      </c>
      <c r="N442" s="4" t="str">
        <f>IFERROR(__xludf.DUMMYFUNCTION("GOOGLETRANSLATE(B442,""en"",""ru"")"),"Описание цели")</f>
        <v>Описание цели</v>
      </c>
      <c r="O442" s="4" t="str">
        <f>IFERROR(__xludf.DUMMYFUNCTION("GOOGLETRANSLATE(B442,""en"",""tr"")"),"Hedef Açıklaması")</f>
        <v>Hedef Açıklaması</v>
      </c>
      <c r="P442" s="4" t="str">
        <f>IFERROR(__xludf.DUMMYFUNCTION("GOOGLETRANSLATE(B442,""en"",""ar"")"),"وصف الهدف")</f>
        <v>وصف الهدف</v>
      </c>
      <c r="Q442" s="4" t="str">
        <f>IFERROR(__xludf.DUMMYFUNCTION("GOOGLETRANSLATE(B442,""en"",""mr"")"),"लक्ष्य वर्णन")</f>
        <v>लक्ष्य वर्णन</v>
      </c>
      <c r="R442" s="4" t="str">
        <f>IFERROR(__xludf.DUMMYFUNCTION("GOOGLETRANSLATE(B442,""en"",""gu"")"),"લક્ષ્ય વર્ણન")</f>
        <v>લક્ષ્ય વર્ણન</v>
      </c>
      <c r="S442" s="4" t="str">
        <f>IFERROR(__xludf.DUMMYFUNCTION("GOOGLETRANSLATE(B442,""en"",""bn"")"),"লক্ষ্য বর্ণনা")</f>
        <v>লক্ষ্য বর্ণনা</v>
      </c>
      <c r="T442" s="4" t="str">
        <f>IFERROR(__xludf.DUMMYFUNCTION("GOOGLETRANSLATE(B442,""en"",""pa"")"),"ਟੀਚਾ ਵਰਣਨ")</f>
        <v>ਟੀਚਾ ਵਰਣਨ</v>
      </c>
      <c r="U442" s="4" t="str">
        <f>IFERROR(__xludf.DUMMYFUNCTION("GOOGLETRANSLATE(B442,""en"",""te"")"),"లక్ష్య వివరణ")</f>
        <v>లక్ష్య వివరణ</v>
      </c>
      <c r="V442" s="4" t="str">
        <f>IFERROR(__xludf.DUMMYFUNCTION("GOOGLETRANSLATE(B442,""en"",""kn"")"),"ಗುರಿ ವಿವರಣೆ")</f>
        <v>ಗುರಿ ವಿವರಣೆ</v>
      </c>
      <c r="W442" s="4" t="str">
        <f>IFERROR(__xludf.DUMMYFUNCTION("GOOGLETRANSLATE(B442,""en"",""ml"")"),"ലക്ഷ്യ വിവരണം")</f>
        <v>ലക്ഷ്യ വിവരണം</v>
      </c>
      <c r="X442" s="4" t="str">
        <f>IFERROR(__xludf.DUMMYFUNCTION("GOOGLETRANSLATE(B442,""en"",""th"")"),"คำอธิบายเป้าหมาย")</f>
        <v>คำอธิบายเป้าหมาย</v>
      </c>
      <c r="Y442" s="4" t="str">
        <f>IFERROR(__xludf.DUMMYFUNCTION("GOOGLETRANSLATE(B442,""en"",""ko"")"),"대상 설명")</f>
        <v>대상 설명</v>
      </c>
      <c r="Z442" s="4" t="str">
        <f>IFERROR(__xludf.DUMMYFUNCTION("GOOGLETRANSLATE(B442,""en"",""zh"")"),"目标描述")</f>
        <v>目标描述</v>
      </c>
      <c r="AA442" s="4" t="str">
        <f>IFERROR(__xludf.DUMMYFUNCTION("GOOGLETRANSLATE(B442,""en"",""zh-TW"")"),"目標描述")</f>
        <v>目標描述</v>
      </c>
      <c r="AB442" s="4" t="str">
        <f>IFERROR(__xludf.DUMMYFUNCTION("GOOGLETRANSLATE(B442,""en"",""ja"")"),"ターゲットの説明")</f>
        <v>ターゲットの説明</v>
      </c>
      <c r="AC442" s="4" t="str">
        <f>IFERROR(__xludf.DUMMYFUNCTION("GOOGLETRANSLATE(B442,""en"",""bg"")"),"Описание на целта")</f>
        <v>Описание на целта</v>
      </c>
      <c r="AD442" s="4" t="str">
        <f>IFERROR(__xludf.DUMMYFUNCTION("GOOGLETRANSLATE(B442,""en"",""cs"")"),"Popis cíle")</f>
        <v>Popis cíle</v>
      </c>
      <c r="AE442" s="4" t="str">
        <f>IFERROR(__xludf.DUMMYFUNCTION("GOOGLETRANSLATE(B442,""en"",""da"")"),"Målbeskrivelse")</f>
        <v>Målbeskrivelse</v>
      </c>
      <c r="AF442" s="4" t="str">
        <f>IFERROR(__xludf.DUMMYFUNCTION("GOOGLETRANSLATE(B442,""en"",""el"")"),"Περιγραφή στόχου")</f>
        <v>Περιγραφή στόχου</v>
      </c>
      <c r="AG442" s="4" t="str">
        <f>IFERROR(__xludf.DUMMYFUNCTION("GOOGLETRANSLATE(B442,""en"",""et"")"),"Sihtmärgi kirjeldus")</f>
        <v>Sihtmärgi kirjeldus</v>
      </c>
      <c r="AH442" s="4" t="str">
        <f>IFERROR(__xludf.DUMMYFUNCTION("GOOGLETRANSLATE(B442,""en"",""fi"")"),"Kohteen kuvaus")</f>
        <v>Kohteen kuvaus</v>
      </c>
      <c r="AI442" s="4" t="str">
        <f>IFERROR(__xludf.DUMMYFUNCTION("GOOGLETRANSLATE(B442,""en"",""hr"")"),"Opis cilja")</f>
        <v>Opis cilja</v>
      </c>
      <c r="AJ442" s="4" t="str">
        <f>IFERROR(__xludf.DUMMYFUNCTION("GOOGLETRANSLATE(B442,""en"",""hu"")"),"Célleírás")</f>
        <v>Célleírás</v>
      </c>
      <c r="AK442" s="4" t="str">
        <f>IFERROR(__xludf.DUMMYFUNCTION("GOOGLETRANSLATE(B442,""en"",""hy"")"),"Թիրախի նկարագրությունը")</f>
        <v>Թիրախի նկարագրությունը</v>
      </c>
      <c r="AL442" s="4" t="str">
        <f>IFERROR(__xludf.DUMMYFUNCTION("GOOGLETRANSLATE(B442,""en"",""ca"")"),"Descripció de l'objectiu")</f>
        <v>Descripció de l'objectiu</v>
      </c>
      <c r="AM442" s="4" t="str">
        <f>IFERROR(__xludf.DUMMYFUNCTION("GOOGLETRANSLATE(B442,""en"",""nl"")"),"Doelomschrijving")</f>
        <v>Doelomschrijving</v>
      </c>
      <c r="AN442" s="4" t="str">
        <f>IFERROR(__xludf.DUMMYFUNCTION("GOOGLETRANSLATE(B442,""en"",""he"")"),"תיאור יעד")</f>
        <v>תיאור יעד</v>
      </c>
      <c r="AO442" s="4" t="str">
        <f>IFERROR(__xludf.DUMMYFUNCTION("GOOGLETRANSLATE(B442,""en"",""is"")"),"Marklýsing")</f>
        <v>Marklýsing</v>
      </c>
      <c r="AP442" s="4" t="str">
        <f>IFERROR(__xludf.DUMMYFUNCTION("GOOGLETRANSLATE(B442,""en"",""no"")"),"Målbeskrivelse")</f>
        <v>Målbeskrivelse</v>
      </c>
      <c r="AQ442" s="4" t="str">
        <f>IFERROR(__xludf.DUMMYFUNCTION("GOOGLETRANSLATE(B442,""en"",""fa"")"),"شرح هدف")</f>
        <v>شرح هدف</v>
      </c>
      <c r="AR442" s="4" t="str">
        <f>IFERROR(__xludf.DUMMYFUNCTION("GOOGLETRANSLATE(B442,""en"",""pl"")"),"Opis celu")</f>
        <v>Opis celu</v>
      </c>
      <c r="AS442" s="4" t="str">
        <f>IFERROR(__xludf.DUMMYFUNCTION("GOOGLETRANSLATE(B442,""en"",""sv"")"),"Målbeskrivning")</f>
        <v>Målbeskrivning</v>
      </c>
      <c r="AT442" s="4" t="str">
        <f>IFERROR(__xludf.DUMMYFUNCTION("GOOGLETRANSLATE(B442,""en"",""uk"")"),"Цільовий опис")</f>
        <v>Цільовий опис</v>
      </c>
      <c r="AU442" s="4" t="str">
        <f>IFERROR(__xludf.DUMMYFUNCTION("GOOGLETRANSLATE(B442,""en"",""zu"")"),"Incazelo Eqondiwe")</f>
        <v>Incazelo Eqondiwe</v>
      </c>
      <c r="AV442" s="4" t="str">
        <f>IFERROR(__xludf.DUMMYFUNCTION("GOOGLETRANSLATE(B442,""en"",""sr"")"),"Опис циља")</f>
        <v>Опис циља</v>
      </c>
    </row>
    <row r="443">
      <c r="A443" s="3" t="s">
        <v>859</v>
      </c>
      <c r="B443" s="3" t="s">
        <v>860</v>
      </c>
      <c r="C443" s="4" t="str">
        <f>IFERROR(__xludf.DUMMYFUNCTION("GOOGLETRANSLATE(B443,""en"",""ta"")"),"தற்போதைய இலக்கு")</f>
        <v>தற்போதைய இலக்கு</v>
      </c>
      <c r="D443" s="4" t="str">
        <f>IFERROR(__xludf.DUMMYFUNCTION("GOOGLETRANSLATE(B443,""en"",""hi"")"),"वर्तमान लक्ष्य")</f>
        <v>वर्तमान लक्ष्य</v>
      </c>
      <c r="E443" s="4" t="str">
        <f>IFERROR(__xludf.DUMMYFUNCTION("GOOGLETRANSLATE(B443,""en"",""id"")"),"Target Saat Ini")</f>
        <v>Target Saat Ini</v>
      </c>
      <c r="F443" s="4" t="str">
        <f>IFERROR(__xludf.DUMMYFUNCTION("GOOGLETRANSLATE(B443,""en"",""ms"")"),"Sasaran Semasa")</f>
        <v>Sasaran Semasa</v>
      </c>
      <c r="G443" s="4" t="str">
        <f>IFERROR(__xludf.DUMMYFUNCTION("GOOGLETRANSLATE(B443,""en"",""de"")"),"Aktuelles Ziel")</f>
        <v>Aktuelles Ziel</v>
      </c>
      <c r="H443" s="4" t="str">
        <f>IFERROR(__xludf.DUMMYFUNCTION("GOOGLETRANSLATE(B443,""en"",""es"")"),"Objetivo actual")</f>
        <v>Objetivo actual</v>
      </c>
      <c r="I443" s="4" t="str">
        <f>IFERROR(__xludf.DUMMYFUNCTION("GOOGLETRANSLATE(B443,""en"",""fr"")"),"Objectif actuel")</f>
        <v>Objectif actuel</v>
      </c>
      <c r="J443" s="4" t="str">
        <f>IFERROR(__xludf.DUMMYFUNCTION("GOOGLETRANSLATE(B443,""en"",""it"")"),"Obiettivo attuale")</f>
        <v>Obiettivo attuale</v>
      </c>
      <c r="K443" s="4" t="str">
        <f>IFERROR(__xludf.DUMMYFUNCTION("GOOGLETRANSLATE(B443,""en"",""pt"")"),"Meta atual")</f>
        <v>Meta atual</v>
      </c>
      <c r="L443" s="4" t="str">
        <f>IFERROR(__xludf.DUMMYFUNCTION("GOOGLETRANSLATE(B443,""en"",""ro"")"),"Țintă curentă")</f>
        <v>Țintă curentă</v>
      </c>
      <c r="M443" s="4" t="str">
        <f>IFERROR(__xludf.DUMMYFUNCTION("GOOGLETRANSLATE(B443,""en"",""vi"")"),"Mục tiêu hiện tại")</f>
        <v>Mục tiêu hiện tại</v>
      </c>
      <c r="N443" s="4" t="str">
        <f>IFERROR(__xludf.DUMMYFUNCTION("GOOGLETRANSLATE(B443,""en"",""ru"")"),"Текущая цель")</f>
        <v>Текущая цель</v>
      </c>
      <c r="O443" s="4" t="str">
        <f>IFERROR(__xludf.DUMMYFUNCTION("GOOGLETRANSLATE(B443,""en"",""tr"")"),"Mevcut Hedef")</f>
        <v>Mevcut Hedef</v>
      </c>
      <c r="P443" s="4" t="str">
        <f>IFERROR(__xludf.DUMMYFUNCTION("GOOGLETRANSLATE(B443,""en"",""ar"")"),"الهدف الحالي")</f>
        <v>الهدف الحالي</v>
      </c>
      <c r="Q443" s="4" t="str">
        <f>IFERROR(__xludf.DUMMYFUNCTION("GOOGLETRANSLATE(B443,""en"",""mr"")"),"वर्तमान लक्ष्य")</f>
        <v>वर्तमान लक्ष्य</v>
      </c>
      <c r="R443" s="4" t="str">
        <f>IFERROR(__xludf.DUMMYFUNCTION("GOOGLETRANSLATE(B443,""en"",""gu"")"),"વર્તમાન લક્ષ્ય")</f>
        <v>વર્તમાન લક્ષ્ય</v>
      </c>
      <c r="S443" s="4" t="str">
        <f>IFERROR(__xludf.DUMMYFUNCTION("GOOGLETRANSLATE(B443,""en"",""bn"")"),"বর্তমান লক্ষ্য")</f>
        <v>বর্তমান লক্ষ্য</v>
      </c>
      <c r="T443" s="4" t="str">
        <f>IFERROR(__xludf.DUMMYFUNCTION("GOOGLETRANSLATE(B443,""en"",""pa"")"),"ਮੌਜੂਦਾ ਟੀਚਾ")</f>
        <v>ਮੌਜੂਦਾ ਟੀਚਾ</v>
      </c>
      <c r="U443" s="4" t="str">
        <f>IFERROR(__xludf.DUMMYFUNCTION("GOOGLETRANSLATE(B443,""en"",""te"")"),"ప్రస్తుత లక్ష్యం")</f>
        <v>ప్రస్తుత లక్ష్యం</v>
      </c>
      <c r="V443" s="4" t="str">
        <f>IFERROR(__xludf.DUMMYFUNCTION("GOOGLETRANSLATE(B443,""en"",""kn"")"),"ಪ್ರಸ್ತುತ ಗುರಿ")</f>
        <v>ಪ್ರಸ್ತುತ ಗುರಿ</v>
      </c>
      <c r="W443" s="4" t="str">
        <f>IFERROR(__xludf.DUMMYFUNCTION("GOOGLETRANSLATE(B443,""en"",""ml"")"),"നിലവിലെ ലക്ഷ്യം")</f>
        <v>നിലവിലെ ലക്ഷ്യം</v>
      </c>
      <c r="X443" s="4" t="str">
        <f>IFERROR(__xludf.DUMMYFUNCTION("GOOGLETRANSLATE(B443,""en"",""th"")"),"เป้าหมายปัจจุบัน")</f>
        <v>เป้าหมายปัจจุบัน</v>
      </c>
      <c r="Y443" s="4" t="str">
        <f>IFERROR(__xludf.DUMMYFUNCTION("GOOGLETRANSLATE(B443,""en"",""ko"")"),"현재 목표")</f>
        <v>현재 목표</v>
      </c>
      <c r="Z443" s="4" t="str">
        <f>IFERROR(__xludf.DUMMYFUNCTION("GOOGLETRANSLATE(B443,""en"",""zh"")"),"当前目标")</f>
        <v>当前目标</v>
      </c>
      <c r="AA443" s="4" t="str">
        <f>IFERROR(__xludf.DUMMYFUNCTION("GOOGLETRANSLATE(B443,""en"",""zh-TW"")"),"目前目標")</f>
        <v>目前目標</v>
      </c>
      <c r="AB443" s="4" t="str">
        <f>IFERROR(__xludf.DUMMYFUNCTION("GOOGLETRANSLATE(B443,""en"",""ja"")"),"現在のターゲット")</f>
        <v>現在のターゲット</v>
      </c>
      <c r="AC443" s="4" t="str">
        <f>IFERROR(__xludf.DUMMYFUNCTION("GOOGLETRANSLATE(B443,""en"",""bg"")"),"Текуща цел")</f>
        <v>Текуща цел</v>
      </c>
      <c r="AD443" s="4" t="str">
        <f>IFERROR(__xludf.DUMMYFUNCTION("GOOGLETRANSLATE(B443,""en"",""cs"")"),"Aktuální cíl")</f>
        <v>Aktuální cíl</v>
      </c>
      <c r="AE443" s="4" t="str">
        <f>IFERROR(__xludf.DUMMYFUNCTION("GOOGLETRANSLATE(B443,""en"",""da"")"),"Nuværende mål")</f>
        <v>Nuværende mål</v>
      </c>
      <c r="AF443" s="4" t="str">
        <f>IFERROR(__xludf.DUMMYFUNCTION("GOOGLETRANSLATE(B443,""en"",""el"")"),"Τρέχων στόχος")</f>
        <v>Τρέχων στόχος</v>
      </c>
      <c r="AG443" s="4" t="str">
        <f>IFERROR(__xludf.DUMMYFUNCTION("GOOGLETRANSLATE(B443,""en"",""et"")"),"Praegune sihtmärk")</f>
        <v>Praegune sihtmärk</v>
      </c>
      <c r="AH443" s="4" t="str">
        <f>IFERROR(__xludf.DUMMYFUNCTION("GOOGLETRANSLATE(B443,""en"",""fi"")"),"Nykyinen tavoite")</f>
        <v>Nykyinen tavoite</v>
      </c>
      <c r="AI443" s="4" t="str">
        <f>IFERROR(__xludf.DUMMYFUNCTION("GOOGLETRANSLATE(B443,""en"",""hr"")"),"Trenutni cilj")</f>
        <v>Trenutni cilj</v>
      </c>
      <c r="AJ443" s="4" t="str">
        <f>IFERROR(__xludf.DUMMYFUNCTION("GOOGLETRANSLATE(B443,""en"",""hu"")"),"Aktuális cél")</f>
        <v>Aktuális cél</v>
      </c>
      <c r="AK443" s="4" t="str">
        <f>IFERROR(__xludf.DUMMYFUNCTION("GOOGLETRANSLATE(B443,""en"",""hy"")"),"Ընթացիկ թիրախ")</f>
        <v>Ընթացիկ թիրախ</v>
      </c>
      <c r="AL443" s="4" t="str">
        <f>IFERROR(__xludf.DUMMYFUNCTION("GOOGLETRANSLATE(B443,""en"",""ca"")"),"Objectiu actual")</f>
        <v>Objectiu actual</v>
      </c>
      <c r="AM443" s="4" t="str">
        <f>IFERROR(__xludf.DUMMYFUNCTION("GOOGLETRANSLATE(B443,""en"",""nl"")"),"Huidige doelstelling")</f>
        <v>Huidige doelstelling</v>
      </c>
      <c r="AN443" s="4" t="str">
        <f>IFERROR(__xludf.DUMMYFUNCTION("GOOGLETRANSLATE(B443,""en"",""he"")"),"יעד נוכחי")</f>
        <v>יעד נוכחי</v>
      </c>
      <c r="AO443" s="4" t="str">
        <f>IFERROR(__xludf.DUMMYFUNCTION("GOOGLETRANSLATE(B443,""en"",""is"")"),"Núverandi markmið")</f>
        <v>Núverandi markmið</v>
      </c>
      <c r="AP443" s="4" t="str">
        <f>IFERROR(__xludf.DUMMYFUNCTION("GOOGLETRANSLATE(B443,""en"",""no"")"),"Nåværende mål")</f>
        <v>Nåværende mål</v>
      </c>
      <c r="AQ443" s="4" t="str">
        <f>IFERROR(__xludf.DUMMYFUNCTION("GOOGLETRANSLATE(B443,""en"",""fa"")"),"هدف فعلی")</f>
        <v>هدف فعلی</v>
      </c>
      <c r="AR443" s="4" t="str">
        <f>IFERROR(__xludf.DUMMYFUNCTION("GOOGLETRANSLATE(B443,""en"",""pl"")"),"Obecny cel")</f>
        <v>Obecny cel</v>
      </c>
      <c r="AS443" s="4" t="str">
        <f>IFERROR(__xludf.DUMMYFUNCTION("GOOGLETRANSLATE(B443,""en"",""sv"")"),"Aktuellt mål")</f>
        <v>Aktuellt mål</v>
      </c>
      <c r="AT443" s="4" t="str">
        <f>IFERROR(__xludf.DUMMYFUNCTION("GOOGLETRANSLATE(B443,""en"",""uk"")"),"Поточна ціль")</f>
        <v>Поточна ціль</v>
      </c>
      <c r="AU443" s="4" t="str">
        <f>IFERROR(__xludf.DUMMYFUNCTION("GOOGLETRANSLATE(B443,""en"",""zu"")"),"Ithagethi Yamanje")</f>
        <v>Ithagethi Yamanje</v>
      </c>
      <c r="AV443" s="4" t="str">
        <f>IFERROR(__xludf.DUMMYFUNCTION("GOOGLETRANSLATE(B443,""en"",""sr"")"),"Цуррент Таргет")</f>
        <v>Цуррент Таргет</v>
      </c>
    </row>
    <row r="444">
      <c r="A444" s="3" t="s">
        <v>861</v>
      </c>
      <c r="B444" s="3" t="s">
        <v>862</v>
      </c>
      <c r="C444" s="4" t="str">
        <f>IFERROR(__xludf.DUMMYFUNCTION("GOOGLETRANSLATE(B444,""en"",""ta"")"),"இலக்கை மாற்றவும்")</f>
        <v>இலக்கை மாற்றவும்</v>
      </c>
      <c r="D444" s="4" t="str">
        <f>IFERROR(__xludf.DUMMYFUNCTION("GOOGLETRANSLATE(B444,""en"",""hi"")"),"लक्ष्य बदलें")</f>
        <v>लक्ष्य बदलें</v>
      </c>
      <c r="E444" s="4" t="str">
        <f>IFERROR(__xludf.DUMMYFUNCTION("GOOGLETRANSLATE(B444,""en"",""id"")"),"Ubah Target")</f>
        <v>Ubah Target</v>
      </c>
      <c r="F444" s="4" t="str">
        <f>IFERROR(__xludf.DUMMYFUNCTION("GOOGLETRANSLATE(B444,""en"",""ms"")"),"Tukar Sasaran")</f>
        <v>Tukar Sasaran</v>
      </c>
      <c r="G444" s="4" t="str">
        <f>IFERROR(__xludf.DUMMYFUNCTION("GOOGLETRANSLATE(B444,""en"",""de"")"),"Ziel ändern")</f>
        <v>Ziel ändern</v>
      </c>
      <c r="H444" s="4" t="str">
        <f>IFERROR(__xludf.DUMMYFUNCTION("GOOGLETRANSLATE(B444,""en"",""es"")"),"Cambiar objetivo")</f>
        <v>Cambiar objetivo</v>
      </c>
      <c r="I444" s="4" t="str">
        <f>IFERROR(__xludf.DUMMYFUNCTION("GOOGLETRANSLATE(B444,""en"",""fr"")"),"Changer de cible")</f>
        <v>Changer de cible</v>
      </c>
      <c r="J444" s="4" t="str">
        <f>IFERROR(__xludf.DUMMYFUNCTION("GOOGLETRANSLATE(B444,""en"",""it"")"),"Cambia destinazione")</f>
        <v>Cambia destinazione</v>
      </c>
      <c r="K444" s="4" t="str">
        <f>IFERROR(__xludf.DUMMYFUNCTION("GOOGLETRANSLATE(B444,""en"",""pt"")"),"Alterar alvo")</f>
        <v>Alterar alvo</v>
      </c>
      <c r="L444" s="4" t="str">
        <f>IFERROR(__xludf.DUMMYFUNCTION("GOOGLETRANSLATE(B444,""en"",""ro"")"),"Schimbați ținta")</f>
        <v>Schimbați ținta</v>
      </c>
      <c r="M444" s="4" t="str">
        <f>IFERROR(__xludf.DUMMYFUNCTION("GOOGLETRANSLATE(B444,""en"",""vi"")"),"Thay đổi mục tiêu")</f>
        <v>Thay đổi mục tiêu</v>
      </c>
      <c r="N444" s="4" t="str">
        <f>IFERROR(__xludf.DUMMYFUNCTION("GOOGLETRANSLATE(B444,""en"",""ru"")"),"Изменить цель")</f>
        <v>Изменить цель</v>
      </c>
      <c r="O444" s="4" t="str">
        <f>IFERROR(__xludf.DUMMYFUNCTION("GOOGLETRANSLATE(B444,""en"",""tr"")"),"Hedefi Değiştir")</f>
        <v>Hedefi Değiştir</v>
      </c>
      <c r="P444" s="4" t="str">
        <f>IFERROR(__xludf.DUMMYFUNCTION("GOOGLETRANSLATE(B444,""en"",""ar"")"),"تغيير الهدف")</f>
        <v>تغيير الهدف</v>
      </c>
      <c r="Q444" s="4" t="str">
        <f>IFERROR(__xludf.DUMMYFUNCTION("GOOGLETRANSLATE(B444,""en"",""mr"")"),"लक्ष्य बदला")</f>
        <v>लक्ष्य बदला</v>
      </c>
      <c r="R444" s="4" t="str">
        <f>IFERROR(__xludf.DUMMYFUNCTION("GOOGLETRANSLATE(B444,""en"",""gu"")"),"લક્ષ્ય બદલો")</f>
        <v>લક્ષ્ય બદલો</v>
      </c>
      <c r="S444" s="4" t="str">
        <f>IFERROR(__xludf.DUMMYFUNCTION("GOOGLETRANSLATE(B444,""en"",""bn"")"),"লক্ষ্য পরিবর্তন করুন")</f>
        <v>লক্ষ্য পরিবর্তন করুন</v>
      </c>
      <c r="T444" s="4" t="str">
        <f>IFERROR(__xludf.DUMMYFUNCTION("GOOGLETRANSLATE(B444,""en"",""pa"")"),"ਟੀਚਾ ਬਦਲੋ")</f>
        <v>ਟੀਚਾ ਬਦਲੋ</v>
      </c>
      <c r="U444" s="4" t="str">
        <f>IFERROR(__xludf.DUMMYFUNCTION("GOOGLETRANSLATE(B444,""en"",""te"")"),"లక్ష్యాన్ని మార్చండి")</f>
        <v>లక్ష్యాన్ని మార్చండి</v>
      </c>
      <c r="V444" s="4" t="str">
        <f>IFERROR(__xludf.DUMMYFUNCTION("GOOGLETRANSLATE(B444,""en"",""kn"")"),"ಗುರಿಯನ್ನು ಬದಲಾಯಿಸಿ")</f>
        <v>ಗುರಿಯನ್ನು ಬದಲಾಯಿಸಿ</v>
      </c>
      <c r="W444" s="4" t="str">
        <f>IFERROR(__xludf.DUMMYFUNCTION("GOOGLETRANSLATE(B444,""en"",""ml"")"),"ലക്ഷ്യം മാറ്റുക")</f>
        <v>ലക്ഷ്യം മാറ്റുക</v>
      </c>
      <c r="X444" s="4" t="str">
        <f>IFERROR(__xludf.DUMMYFUNCTION("GOOGLETRANSLATE(B444,""en"",""th"")"),"เปลี่ยนเป้าหมาย")</f>
        <v>เปลี่ยนเป้าหมาย</v>
      </c>
      <c r="Y444" s="4" t="str">
        <f>IFERROR(__xludf.DUMMYFUNCTION("GOOGLETRANSLATE(B444,""en"",""ko"")"),"목표 변경")</f>
        <v>목표 변경</v>
      </c>
      <c r="Z444" s="4" t="str">
        <f>IFERROR(__xludf.DUMMYFUNCTION("GOOGLETRANSLATE(B444,""en"",""zh"")"),"更改目标")</f>
        <v>更改目标</v>
      </c>
      <c r="AA444" s="4" t="str">
        <f>IFERROR(__xludf.DUMMYFUNCTION("GOOGLETRANSLATE(B444,""en"",""zh-TW"")"),"更改目標")</f>
        <v>更改目標</v>
      </c>
      <c r="AB444" s="4" t="str">
        <f>IFERROR(__xludf.DUMMYFUNCTION("GOOGLETRANSLATE(B444,""en"",""ja"")"),"ターゲットを変更")</f>
        <v>ターゲットを変更</v>
      </c>
      <c r="AC444" s="4" t="str">
        <f>IFERROR(__xludf.DUMMYFUNCTION("GOOGLETRANSLATE(B444,""en"",""bg"")"),"Промяна на целта")</f>
        <v>Промяна на целта</v>
      </c>
      <c r="AD444" s="4" t="str">
        <f>IFERROR(__xludf.DUMMYFUNCTION("GOOGLETRANSLATE(B444,""en"",""cs"")"),"Změnit cíl")</f>
        <v>Změnit cíl</v>
      </c>
      <c r="AE444" s="4" t="str">
        <f>IFERROR(__xludf.DUMMYFUNCTION("GOOGLETRANSLATE(B444,""en"",""da"")"),"Skift mål")</f>
        <v>Skift mål</v>
      </c>
      <c r="AF444" s="4" t="str">
        <f>IFERROR(__xludf.DUMMYFUNCTION("GOOGLETRANSLATE(B444,""en"",""el"")"),"Αλλαγή στόχου")</f>
        <v>Αλλαγή στόχου</v>
      </c>
      <c r="AG444" s="4" t="str">
        <f>IFERROR(__xludf.DUMMYFUNCTION("GOOGLETRANSLATE(B444,""en"",""et"")"),"Muuda sihtmärki")</f>
        <v>Muuda sihtmärki</v>
      </c>
      <c r="AH444" s="4" t="str">
        <f>IFERROR(__xludf.DUMMYFUNCTION("GOOGLETRANSLATE(B444,""en"",""fi"")"),"Muuta kohdetta")</f>
        <v>Muuta kohdetta</v>
      </c>
      <c r="AI444" s="4" t="str">
        <f>IFERROR(__xludf.DUMMYFUNCTION("GOOGLETRANSLATE(B444,""en"",""hr"")"),"Promjena cilja")</f>
        <v>Promjena cilja</v>
      </c>
      <c r="AJ444" s="4" t="str">
        <f>IFERROR(__xludf.DUMMYFUNCTION("GOOGLETRANSLATE(B444,""en"",""hu"")"),"Cél módosítása")</f>
        <v>Cél módosítása</v>
      </c>
      <c r="AK444" s="4" t="str">
        <f>IFERROR(__xludf.DUMMYFUNCTION("GOOGLETRANSLATE(B444,""en"",""hy"")"),"Փոխել թիրախը")</f>
        <v>Փոխել թիրախը</v>
      </c>
      <c r="AL444" s="4" t="str">
        <f>IFERROR(__xludf.DUMMYFUNCTION("GOOGLETRANSLATE(B444,""en"",""ca"")"),"Canvia l'objectiu")</f>
        <v>Canvia l'objectiu</v>
      </c>
      <c r="AM444" s="4" t="str">
        <f>IFERROR(__xludf.DUMMYFUNCTION("GOOGLETRANSLATE(B444,""en"",""nl"")"),"Doel wijzigen")</f>
        <v>Doel wijzigen</v>
      </c>
      <c r="AN444" s="4" t="str">
        <f>IFERROR(__xludf.DUMMYFUNCTION("GOOGLETRANSLATE(B444,""en"",""he"")"),"שנה יעד")</f>
        <v>שנה יעד</v>
      </c>
      <c r="AO444" s="4" t="str">
        <f>IFERROR(__xludf.DUMMYFUNCTION("GOOGLETRANSLATE(B444,""en"",""is"")"),"Breyta markmiði")</f>
        <v>Breyta markmiði</v>
      </c>
      <c r="AP444" s="4" t="str">
        <f>IFERROR(__xludf.DUMMYFUNCTION("GOOGLETRANSLATE(B444,""en"",""no"")"),"Endre mål")</f>
        <v>Endre mål</v>
      </c>
      <c r="AQ444" s="4" t="str">
        <f>IFERROR(__xludf.DUMMYFUNCTION("GOOGLETRANSLATE(B444,""en"",""fa"")"),"تغییر هدف")</f>
        <v>تغییر هدف</v>
      </c>
      <c r="AR444" s="4" t="str">
        <f>IFERROR(__xludf.DUMMYFUNCTION("GOOGLETRANSLATE(B444,""en"",""pl"")"),"Zmień cel")</f>
        <v>Zmień cel</v>
      </c>
      <c r="AS444" s="4" t="str">
        <f>IFERROR(__xludf.DUMMYFUNCTION("GOOGLETRANSLATE(B444,""en"",""sv"")"),"Ändra mål")</f>
        <v>Ändra mål</v>
      </c>
      <c r="AT444" s="4" t="str">
        <f>IFERROR(__xludf.DUMMYFUNCTION("GOOGLETRANSLATE(B444,""en"",""uk"")"),"Змінити ціль")</f>
        <v>Змінити ціль</v>
      </c>
      <c r="AU444" s="4" t="str">
        <f>IFERROR(__xludf.DUMMYFUNCTION("GOOGLETRANSLATE(B444,""en"",""zu"")"),"Shintsha Ithagethi")</f>
        <v>Shintsha Ithagethi</v>
      </c>
      <c r="AV444" s="4" t="str">
        <f>IFERROR(__xludf.DUMMYFUNCTION("GOOGLETRANSLATE(B444,""en"",""sr"")"),"Промените циљ")</f>
        <v>Промените циљ</v>
      </c>
    </row>
    <row r="445">
      <c r="A445" s="3" t="s">
        <v>863</v>
      </c>
      <c r="B445" s="3" t="s">
        <v>864</v>
      </c>
      <c r="C445" s="4" t="str">
        <f>IFERROR(__xludf.DUMMYFUNCTION("GOOGLETRANSLATE(B445,""en"",""ta"")"),"என்")</f>
        <v>என்</v>
      </c>
      <c r="D445" s="4" t="str">
        <f>IFERROR(__xludf.DUMMYFUNCTION("GOOGLETRANSLATE(B445,""en"",""hi"")"),"एन")</f>
        <v>एन</v>
      </c>
      <c r="E445" s="4" t="str">
        <f>IFERROR(__xludf.DUMMYFUNCTION("GOOGLETRANSLATE(B445,""en"",""id"")"),"N")</f>
        <v>N</v>
      </c>
      <c r="F445" s="4" t="str">
        <f>IFERROR(__xludf.DUMMYFUNCTION("GOOGLETRANSLATE(B445,""en"",""ms"")"),"N")</f>
        <v>N</v>
      </c>
      <c r="G445" s="4" t="str">
        <f>IFERROR(__xludf.DUMMYFUNCTION("GOOGLETRANSLATE(B445,""en"",""de"")"),"N")</f>
        <v>N</v>
      </c>
      <c r="H445" s="4" t="str">
        <f>IFERROR(__xludf.DUMMYFUNCTION("GOOGLETRANSLATE(B445,""en"",""es"")"),"norte")</f>
        <v>norte</v>
      </c>
      <c r="I445" s="4" t="str">
        <f>IFERROR(__xludf.DUMMYFUNCTION("GOOGLETRANSLATE(B445,""en"",""fr"")"),"N")</f>
        <v>N</v>
      </c>
      <c r="J445" s="4" t="str">
        <f>IFERROR(__xludf.DUMMYFUNCTION("GOOGLETRANSLATE(B445,""en"",""it"")"),"N")</f>
        <v>N</v>
      </c>
      <c r="K445" s="4" t="str">
        <f>IFERROR(__xludf.DUMMYFUNCTION("GOOGLETRANSLATE(B445,""en"",""pt"")"),"N")</f>
        <v>N</v>
      </c>
      <c r="L445" s="4" t="str">
        <f>IFERROR(__xludf.DUMMYFUNCTION("GOOGLETRANSLATE(B445,""en"",""ro"")"),"N")</f>
        <v>N</v>
      </c>
      <c r="M445" s="4" t="str">
        <f>IFERROR(__xludf.DUMMYFUNCTION("GOOGLETRANSLATE(B445,""en"",""vi"")"),"N")</f>
        <v>N</v>
      </c>
      <c r="N445" s="4" t="str">
        <f>IFERROR(__xludf.DUMMYFUNCTION("GOOGLETRANSLATE(B445,""en"",""ru"")"),"Н")</f>
        <v>Н</v>
      </c>
      <c r="O445" s="4" t="str">
        <f>IFERROR(__xludf.DUMMYFUNCTION("GOOGLETRANSLATE(B445,""en"",""tr"")"),"N")</f>
        <v>N</v>
      </c>
      <c r="P445" s="4" t="str">
        <f>IFERROR(__xludf.DUMMYFUNCTION("GOOGLETRANSLATE(B445,""en"",""ar"")"),"ن")</f>
        <v>ن</v>
      </c>
      <c r="Q445" s="4" t="str">
        <f>IFERROR(__xludf.DUMMYFUNCTION("GOOGLETRANSLATE(B445,""en"",""mr"")"),"एन")</f>
        <v>एन</v>
      </c>
      <c r="R445" s="4" t="str">
        <f>IFERROR(__xludf.DUMMYFUNCTION("GOOGLETRANSLATE(B445,""en"",""gu"")"),"એન")</f>
        <v>એન</v>
      </c>
      <c r="S445" s="4" t="str">
        <f>IFERROR(__xludf.DUMMYFUNCTION("GOOGLETRANSLATE(B445,""en"",""bn"")"),"এন")</f>
        <v>এন</v>
      </c>
      <c r="T445" s="4" t="str">
        <f>IFERROR(__xludf.DUMMYFUNCTION("GOOGLETRANSLATE(B445,""en"",""pa"")"),"ਐਨ")</f>
        <v>ਐਨ</v>
      </c>
      <c r="U445" s="4" t="str">
        <f>IFERROR(__xludf.DUMMYFUNCTION("GOOGLETRANSLATE(B445,""en"",""te"")"),"ఎన్")</f>
        <v>ఎన్</v>
      </c>
      <c r="V445" s="4" t="str">
        <f>IFERROR(__xludf.DUMMYFUNCTION("GOOGLETRANSLATE(B445,""en"",""kn"")"),"ಎನ್")</f>
        <v>ಎನ್</v>
      </c>
      <c r="W445" s="4" t="str">
        <f>IFERROR(__xludf.DUMMYFUNCTION("GOOGLETRANSLATE(B445,""en"",""ml"")"),"എൻ")</f>
        <v>എൻ</v>
      </c>
      <c r="X445" s="4" t="str">
        <f>IFERROR(__xludf.DUMMYFUNCTION("GOOGLETRANSLATE(B445,""en"",""th"")"),"เอ็น")</f>
        <v>เอ็น</v>
      </c>
      <c r="Y445" s="4" t="str">
        <f>IFERROR(__xludf.DUMMYFUNCTION("GOOGLETRANSLATE(B445,""en"",""ko"")"),"N")</f>
        <v>N</v>
      </c>
      <c r="Z445" s="4" t="str">
        <f>IFERROR(__xludf.DUMMYFUNCTION("GOOGLETRANSLATE(B445,""en"",""zh"")"),"北")</f>
        <v>北</v>
      </c>
      <c r="AA445" s="4" t="str">
        <f>IFERROR(__xludf.DUMMYFUNCTION("GOOGLETRANSLATE(B445,""en"",""zh-TW"")"),"北")</f>
        <v>北</v>
      </c>
      <c r="AB445" s="4" t="str">
        <f>IFERROR(__xludf.DUMMYFUNCTION("GOOGLETRANSLATE(B445,""en"",""ja"")"),"北")</f>
        <v>北</v>
      </c>
      <c r="AC445" s="4" t="str">
        <f>IFERROR(__xludf.DUMMYFUNCTION("GOOGLETRANSLATE(B445,""en"",""bg"")"),"Н")</f>
        <v>Н</v>
      </c>
      <c r="AD445" s="4" t="str">
        <f>IFERROR(__xludf.DUMMYFUNCTION("GOOGLETRANSLATE(B445,""en"",""cs"")"),"N")</f>
        <v>N</v>
      </c>
      <c r="AE445" s="4" t="str">
        <f>IFERROR(__xludf.DUMMYFUNCTION("GOOGLETRANSLATE(B445,""en"",""da"")"),"N")</f>
        <v>N</v>
      </c>
      <c r="AF445" s="4" t="str">
        <f>IFERROR(__xludf.DUMMYFUNCTION("GOOGLETRANSLATE(B445,""en"",""el"")"),"Ν")</f>
        <v>Ν</v>
      </c>
      <c r="AG445" s="4" t="str">
        <f>IFERROR(__xludf.DUMMYFUNCTION("GOOGLETRANSLATE(B445,""en"",""et"")"),"N")</f>
        <v>N</v>
      </c>
      <c r="AH445" s="4" t="str">
        <f>IFERROR(__xludf.DUMMYFUNCTION("GOOGLETRANSLATE(B445,""en"",""fi"")"),"N")</f>
        <v>N</v>
      </c>
      <c r="AI445" s="4" t="str">
        <f>IFERROR(__xludf.DUMMYFUNCTION("GOOGLETRANSLATE(B445,""en"",""hr"")"),"N")</f>
        <v>N</v>
      </c>
      <c r="AJ445" s="4" t="str">
        <f>IFERROR(__xludf.DUMMYFUNCTION("GOOGLETRANSLATE(B445,""en"",""hu"")"),"N")</f>
        <v>N</v>
      </c>
      <c r="AK445" s="4" t="str">
        <f>IFERROR(__xludf.DUMMYFUNCTION("GOOGLETRANSLATE(B445,""en"",""hy"")"),"Ն")</f>
        <v>Ն</v>
      </c>
      <c r="AL445" s="4" t="str">
        <f>IFERROR(__xludf.DUMMYFUNCTION("GOOGLETRANSLATE(B445,""en"",""ca"")"),"N")</f>
        <v>N</v>
      </c>
      <c r="AM445" s="4" t="str">
        <f>IFERROR(__xludf.DUMMYFUNCTION("GOOGLETRANSLATE(B445,""en"",""nl"")"),"N")</f>
        <v>N</v>
      </c>
      <c r="AN445" s="4" t="str">
        <f>IFERROR(__xludf.DUMMYFUNCTION("GOOGLETRANSLATE(B445,""en"",""he"")"),"נ")</f>
        <v>נ</v>
      </c>
      <c r="AO445" s="4" t="str">
        <f>IFERROR(__xludf.DUMMYFUNCTION("GOOGLETRANSLATE(B445,""en"",""is"")"),"N")</f>
        <v>N</v>
      </c>
      <c r="AP445" s="4" t="str">
        <f>IFERROR(__xludf.DUMMYFUNCTION("GOOGLETRANSLATE(B445,""en"",""no"")"),"N")</f>
        <v>N</v>
      </c>
      <c r="AQ445" s="4" t="str">
        <f>IFERROR(__xludf.DUMMYFUNCTION("GOOGLETRANSLATE(B445,""en"",""fa"")"),"ن")</f>
        <v>ن</v>
      </c>
      <c r="AR445" s="4" t="str">
        <f>IFERROR(__xludf.DUMMYFUNCTION("GOOGLETRANSLATE(B445,""en"",""pl"")"),"N")</f>
        <v>N</v>
      </c>
      <c r="AS445" s="4" t="str">
        <f>IFERROR(__xludf.DUMMYFUNCTION("GOOGLETRANSLATE(B445,""en"",""sv"")"),"N")</f>
        <v>N</v>
      </c>
      <c r="AT445" s="4" t="str">
        <f>IFERROR(__xludf.DUMMYFUNCTION("GOOGLETRANSLATE(B445,""en"",""uk"")"),"Н")</f>
        <v>Н</v>
      </c>
      <c r="AU445" s="4" t="str">
        <f>IFERROR(__xludf.DUMMYFUNCTION("GOOGLETRANSLATE(B445,""en"",""zu"")"),"N")</f>
        <v>N</v>
      </c>
      <c r="AV445" s="4" t="str">
        <f>IFERROR(__xludf.DUMMYFUNCTION("GOOGLETRANSLATE(B445,""en"",""sr"")"),"Н")</f>
        <v>Н</v>
      </c>
    </row>
    <row r="446">
      <c r="A446" s="3" t="s">
        <v>865</v>
      </c>
      <c r="B446" s="3" t="s">
        <v>866</v>
      </c>
      <c r="C446" s="4" t="str">
        <f>IFERROR(__xludf.DUMMYFUNCTION("GOOGLETRANSLATE(B446,""en"",""ta"")"),"எஸ்")</f>
        <v>எஸ்</v>
      </c>
      <c r="D446" s="4" t="str">
        <f>IFERROR(__xludf.DUMMYFUNCTION("GOOGLETRANSLATE(B446,""en"",""hi"")"),"एस")</f>
        <v>एस</v>
      </c>
      <c r="E446" s="4" t="str">
        <f>IFERROR(__xludf.DUMMYFUNCTION("GOOGLETRANSLATE(B446,""en"",""id"")"),"S")</f>
        <v>S</v>
      </c>
      <c r="F446" s="4" t="str">
        <f>IFERROR(__xludf.DUMMYFUNCTION("GOOGLETRANSLATE(B446,""en"",""ms"")"),"S")</f>
        <v>S</v>
      </c>
      <c r="G446" s="4" t="str">
        <f>IFERROR(__xludf.DUMMYFUNCTION("GOOGLETRANSLATE(B446,""en"",""de"")"),"S")</f>
        <v>S</v>
      </c>
      <c r="H446" s="4" t="str">
        <f>IFERROR(__xludf.DUMMYFUNCTION("GOOGLETRANSLATE(B446,""en"",""es"")"),"S")</f>
        <v>S</v>
      </c>
      <c r="I446" s="4" t="str">
        <f>IFERROR(__xludf.DUMMYFUNCTION("GOOGLETRANSLATE(B446,""en"",""fr"")"),"S")</f>
        <v>S</v>
      </c>
      <c r="J446" s="4" t="str">
        <f>IFERROR(__xludf.DUMMYFUNCTION("GOOGLETRANSLATE(B446,""en"",""it"")"),"S")</f>
        <v>S</v>
      </c>
      <c r="K446" s="4" t="str">
        <f>IFERROR(__xludf.DUMMYFUNCTION("GOOGLETRANSLATE(B446,""en"",""pt"")"),"S")</f>
        <v>S</v>
      </c>
      <c r="L446" s="4" t="str">
        <f>IFERROR(__xludf.DUMMYFUNCTION("GOOGLETRANSLATE(B446,""en"",""ro"")"),"S")</f>
        <v>S</v>
      </c>
      <c r="M446" s="4" t="str">
        <f>IFERROR(__xludf.DUMMYFUNCTION("GOOGLETRANSLATE(B446,""en"",""vi"")"),"S")</f>
        <v>S</v>
      </c>
      <c r="N446" s="4" t="str">
        <f>IFERROR(__xludf.DUMMYFUNCTION("GOOGLETRANSLATE(B446,""en"",""ru"")"),"С")</f>
        <v>С</v>
      </c>
      <c r="O446" s="4" t="str">
        <f>IFERROR(__xludf.DUMMYFUNCTION("GOOGLETRANSLATE(B446,""en"",""tr"")"),"S")</f>
        <v>S</v>
      </c>
      <c r="P446" s="4" t="str">
        <f>IFERROR(__xludf.DUMMYFUNCTION("GOOGLETRANSLATE(B446,""en"",""ar"")"),"س")</f>
        <v>س</v>
      </c>
      <c r="Q446" s="4" t="str">
        <f>IFERROR(__xludf.DUMMYFUNCTION("GOOGLETRANSLATE(B446,""en"",""mr"")"),"एस")</f>
        <v>एस</v>
      </c>
      <c r="R446" s="4" t="str">
        <f>IFERROR(__xludf.DUMMYFUNCTION("GOOGLETRANSLATE(B446,""en"",""gu"")"),"એસ")</f>
        <v>એસ</v>
      </c>
      <c r="S446" s="4" t="str">
        <f>IFERROR(__xludf.DUMMYFUNCTION("GOOGLETRANSLATE(B446,""en"",""bn"")"),"এস")</f>
        <v>এস</v>
      </c>
      <c r="T446" s="4" t="str">
        <f>IFERROR(__xludf.DUMMYFUNCTION("GOOGLETRANSLATE(B446,""en"",""pa"")"),"ਐੱਸ")</f>
        <v>ਐੱਸ</v>
      </c>
      <c r="U446" s="4" t="str">
        <f>IFERROR(__xludf.DUMMYFUNCTION("GOOGLETRANSLATE(B446,""en"",""te"")"),"ఎస్")</f>
        <v>ఎస్</v>
      </c>
      <c r="V446" s="4" t="str">
        <f>IFERROR(__xludf.DUMMYFUNCTION("GOOGLETRANSLATE(B446,""en"",""kn"")"),"ಎಸ್")</f>
        <v>ಎಸ್</v>
      </c>
      <c r="W446" s="4" t="str">
        <f>IFERROR(__xludf.DUMMYFUNCTION("GOOGLETRANSLATE(B446,""en"",""ml"")"),"എസ്")</f>
        <v>എസ്</v>
      </c>
      <c r="X446" s="4" t="str">
        <f>IFERROR(__xludf.DUMMYFUNCTION("GOOGLETRANSLATE(B446,""en"",""th"")"),"ส")</f>
        <v>ส</v>
      </c>
      <c r="Y446" s="4" t="str">
        <f>IFERROR(__xludf.DUMMYFUNCTION("GOOGLETRANSLATE(B446,""en"",""ko"")"),"에스")</f>
        <v>에스</v>
      </c>
      <c r="Z446" s="4" t="str">
        <f>IFERROR(__xludf.DUMMYFUNCTION("GOOGLETRANSLATE(B446,""en"",""zh"")"),"秒")</f>
        <v>秒</v>
      </c>
      <c r="AA446" s="4" t="str">
        <f>IFERROR(__xludf.DUMMYFUNCTION("GOOGLETRANSLATE(B446,""en"",""zh-TW"")"),"秒")</f>
        <v>秒</v>
      </c>
      <c r="AB446" s="4" t="str">
        <f>IFERROR(__xludf.DUMMYFUNCTION("GOOGLETRANSLATE(B446,""en"",""ja"")"),"S")</f>
        <v>S</v>
      </c>
      <c r="AC446" s="4" t="str">
        <f>IFERROR(__xludf.DUMMYFUNCTION("GOOGLETRANSLATE(B446,""en"",""bg"")"),"С")</f>
        <v>С</v>
      </c>
      <c r="AD446" s="4" t="str">
        <f>IFERROR(__xludf.DUMMYFUNCTION("GOOGLETRANSLATE(B446,""en"",""cs"")"),"S")</f>
        <v>S</v>
      </c>
      <c r="AE446" s="4" t="str">
        <f>IFERROR(__xludf.DUMMYFUNCTION("GOOGLETRANSLATE(B446,""en"",""da"")"),"S")</f>
        <v>S</v>
      </c>
      <c r="AF446" s="4" t="str">
        <f>IFERROR(__xludf.DUMMYFUNCTION("GOOGLETRANSLATE(B446,""en"",""el"")"),"μικρό")</f>
        <v>μικρό</v>
      </c>
      <c r="AG446" s="4" t="str">
        <f>IFERROR(__xludf.DUMMYFUNCTION("GOOGLETRANSLATE(B446,""en"",""et"")"),"S")</f>
        <v>S</v>
      </c>
      <c r="AH446" s="4" t="str">
        <f>IFERROR(__xludf.DUMMYFUNCTION("GOOGLETRANSLATE(B446,""en"",""fi"")"),"S")</f>
        <v>S</v>
      </c>
      <c r="AI446" s="4" t="str">
        <f>IFERROR(__xludf.DUMMYFUNCTION("GOOGLETRANSLATE(B446,""en"",""hr"")"),"S")</f>
        <v>S</v>
      </c>
      <c r="AJ446" s="4" t="str">
        <f>IFERROR(__xludf.DUMMYFUNCTION("GOOGLETRANSLATE(B446,""en"",""hu"")"),"S")</f>
        <v>S</v>
      </c>
      <c r="AK446" s="4" t="str">
        <f>IFERROR(__xludf.DUMMYFUNCTION("GOOGLETRANSLATE(B446,""en"",""hy"")"),"Ս")</f>
        <v>Ս</v>
      </c>
      <c r="AL446" s="4" t="str">
        <f>IFERROR(__xludf.DUMMYFUNCTION("GOOGLETRANSLATE(B446,""en"",""ca"")"),"S")</f>
        <v>S</v>
      </c>
      <c r="AM446" s="4" t="str">
        <f>IFERROR(__xludf.DUMMYFUNCTION("GOOGLETRANSLATE(B446,""en"",""nl"")"),"S")</f>
        <v>S</v>
      </c>
      <c r="AN446" s="4" t="str">
        <f>IFERROR(__xludf.DUMMYFUNCTION("GOOGLETRANSLATE(B446,""en"",""he"")"),"ס")</f>
        <v>ס</v>
      </c>
      <c r="AO446" s="4" t="str">
        <f>IFERROR(__xludf.DUMMYFUNCTION("GOOGLETRANSLATE(B446,""en"",""is"")"),"S")</f>
        <v>S</v>
      </c>
      <c r="AP446" s="4" t="str">
        <f>IFERROR(__xludf.DUMMYFUNCTION("GOOGLETRANSLATE(B446,""en"",""no"")"),"S")</f>
        <v>S</v>
      </c>
      <c r="AQ446" s="4" t="str">
        <f>IFERROR(__xludf.DUMMYFUNCTION("GOOGLETRANSLATE(B446,""en"",""fa"")"),"اس")</f>
        <v>اس</v>
      </c>
      <c r="AR446" s="4" t="str">
        <f>IFERROR(__xludf.DUMMYFUNCTION("GOOGLETRANSLATE(B446,""en"",""pl"")"),"S")</f>
        <v>S</v>
      </c>
      <c r="AS446" s="4" t="str">
        <f>IFERROR(__xludf.DUMMYFUNCTION("GOOGLETRANSLATE(B446,""en"",""sv"")"),"S")</f>
        <v>S</v>
      </c>
      <c r="AT446" s="4" t="str">
        <f>IFERROR(__xludf.DUMMYFUNCTION("GOOGLETRANSLATE(B446,""en"",""uk"")"),"С")</f>
        <v>С</v>
      </c>
      <c r="AU446" s="4" t="str">
        <f>IFERROR(__xludf.DUMMYFUNCTION("GOOGLETRANSLATE(B446,""en"",""zu"")"),"S")</f>
        <v>S</v>
      </c>
      <c r="AV446" s="4" t="str">
        <f>IFERROR(__xludf.DUMMYFUNCTION("GOOGLETRANSLATE(B446,""en"",""sr"")"),"С")</f>
        <v>С</v>
      </c>
    </row>
    <row r="447">
      <c r="A447" s="3" t="s">
        <v>867</v>
      </c>
      <c r="B447" s="3" t="s">
        <v>868</v>
      </c>
      <c r="C447" s="4" t="str">
        <f>IFERROR(__xludf.DUMMYFUNCTION("GOOGLETRANSLATE(B447,""en"",""ta"")"),"ஈ")</f>
        <v>ஈ</v>
      </c>
      <c r="D447" s="4" t="str">
        <f>IFERROR(__xludf.DUMMYFUNCTION("GOOGLETRANSLATE(B447,""en"",""hi"")"),"इ")</f>
        <v>इ</v>
      </c>
      <c r="E447" s="4" t="str">
        <f>IFERROR(__xludf.DUMMYFUNCTION("GOOGLETRANSLATE(B447,""en"",""id"")"),"Bahasa Inggris")</f>
        <v>Bahasa Inggris</v>
      </c>
      <c r="F447" s="4" t="str">
        <f>IFERROR(__xludf.DUMMYFUNCTION("GOOGLETRANSLATE(B447,""en"",""ms"")"),"E")</f>
        <v>E</v>
      </c>
      <c r="G447" s="4" t="str">
        <f>IFERROR(__xludf.DUMMYFUNCTION("GOOGLETRANSLATE(B447,""en"",""de"")"),"E")</f>
        <v>E</v>
      </c>
      <c r="H447" s="4" t="str">
        <f>IFERROR(__xludf.DUMMYFUNCTION("GOOGLETRANSLATE(B447,""en"",""es"")"),"mi")</f>
        <v>mi</v>
      </c>
      <c r="I447" s="4" t="str">
        <f>IFERROR(__xludf.DUMMYFUNCTION("GOOGLETRANSLATE(B447,""en"",""fr"")"),"E")</f>
        <v>E</v>
      </c>
      <c r="J447" s="4" t="str">
        <f>IFERROR(__xludf.DUMMYFUNCTION("GOOGLETRANSLATE(B447,""en"",""it"")"),"E")</f>
        <v>E</v>
      </c>
      <c r="K447" s="4" t="str">
        <f>IFERROR(__xludf.DUMMYFUNCTION("GOOGLETRANSLATE(B447,""en"",""pt"")"),"E")</f>
        <v>E</v>
      </c>
      <c r="L447" s="4" t="str">
        <f>IFERROR(__xludf.DUMMYFUNCTION("GOOGLETRANSLATE(B447,""en"",""ro"")"),"E")</f>
        <v>E</v>
      </c>
      <c r="M447" s="4" t="str">
        <f>IFERROR(__xludf.DUMMYFUNCTION("GOOGLETRANSLATE(B447,""en"",""vi"")"),"E")</f>
        <v>E</v>
      </c>
      <c r="N447" s="4" t="str">
        <f>IFERROR(__xludf.DUMMYFUNCTION("GOOGLETRANSLATE(B447,""en"",""ru"")"),"Э")</f>
        <v>Э</v>
      </c>
      <c r="O447" s="4" t="str">
        <f>IFERROR(__xludf.DUMMYFUNCTION("GOOGLETRANSLATE(B447,""en"",""tr"")"),"E")</f>
        <v>E</v>
      </c>
      <c r="P447" s="4" t="str">
        <f>IFERROR(__xludf.DUMMYFUNCTION("GOOGLETRANSLATE(B447,""en"",""ar"")"),"هـ")</f>
        <v>هـ</v>
      </c>
      <c r="Q447" s="4" t="str">
        <f>IFERROR(__xludf.DUMMYFUNCTION("GOOGLETRANSLATE(B447,""en"",""mr"")"),"इ")</f>
        <v>इ</v>
      </c>
      <c r="R447" s="4" t="str">
        <f>IFERROR(__xludf.DUMMYFUNCTION("GOOGLETRANSLATE(B447,""en"",""gu"")"),"ઇ")</f>
        <v>ઇ</v>
      </c>
      <c r="S447" s="4" t="str">
        <f>IFERROR(__xludf.DUMMYFUNCTION("GOOGLETRANSLATE(B447,""en"",""bn"")"),"ই")</f>
        <v>ই</v>
      </c>
      <c r="T447" s="4" t="str">
        <f>IFERROR(__xludf.DUMMYFUNCTION("GOOGLETRANSLATE(B447,""en"",""pa"")"),"ਈ")</f>
        <v>ਈ</v>
      </c>
      <c r="U447" s="4" t="str">
        <f>IFERROR(__xludf.DUMMYFUNCTION("GOOGLETRANSLATE(B447,""en"",""te"")"),"ఇ")</f>
        <v>ఇ</v>
      </c>
      <c r="V447" s="4" t="str">
        <f>IFERROR(__xludf.DUMMYFUNCTION("GOOGLETRANSLATE(B447,""en"",""kn"")"),"ಇ")</f>
        <v>ಇ</v>
      </c>
      <c r="W447" s="4" t="str">
        <f>IFERROR(__xludf.DUMMYFUNCTION("GOOGLETRANSLATE(B447,""en"",""ml"")"),"ഇ")</f>
        <v>ഇ</v>
      </c>
      <c r="X447" s="4" t="str">
        <f>IFERROR(__xludf.DUMMYFUNCTION("GOOGLETRANSLATE(B447,""en"",""th"")"),"อี")</f>
        <v>อี</v>
      </c>
      <c r="Y447" s="4" t="str">
        <f>IFERROR(__xludf.DUMMYFUNCTION("GOOGLETRANSLATE(B447,""en"",""ko"")"),"이자형")</f>
        <v>이자형</v>
      </c>
      <c r="Z447" s="4" t="str">
        <f>IFERROR(__xludf.DUMMYFUNCTION("GOOGLETRANSLATE(B447,""en"",""zh"")"),"埃")</f>
        <v>埃</v>
      </c>
      <c r="AA447" s="4" t="str">
        <f>IFERROR(__xludf.DUMMYFUNCTION("GOOGLETRANSLATE(B447,""en"",""zh-TW"")"),"埃")</f>
        <v>埃</v>
      </c>
      <c r="AB447" s="4" t="str">
        <f>IFERROR(__xludf.DUMMYFUNCTION("GOOGLETRANSLATE(B447,""en"",""ja"")"),"E")</f>
        <v>E</v>
      </c>
      <c r="AC447" s="4" t="str">
        <f>IFERROR(__xludf.DUMMYFUNCTION("GOOGLETRANSLATE(B447,""en"",""bg"")"),"д")</f>
        <v>д</v>
      </c>
      <c r="AD447" s="4" t="str">
        <f>IFERROR(__xludf.DUMMYFUNCTION("GOOGLETRANSLATE(B447,""en"",""cs"")"),"E")</f>
        <v>E</v>
      </c>
      <c r="AE447" s="4" t="str">
        <f>IFERROR(__xludf.DUMMYFUNCTION("GOOGLETRANSLATE(B447,""en"",""da"")"),"E")</f>
        <v>E</v>
      </c>
      <c r="AF447" s="4" t="str">
        <f>IFERROR(__xludf.DUMMYFUNCTION("GOOGLETRANSLATE(B447,""en"",""el"")"),"μι")</f>
        <v>μι</v>
      </c>
      <c r="AG447" s="4" t="str">
        <f>IFERROR(__xludf.DUMMYFUNCTION("GOOGLETRANSLATE(B447,""en"",""et"")"),"E")</f>
        <v>E</v>
      </c>
      <c r="AH447" s="4" t="str">
        <f>IFERROR(__xludf.DUMMYFUNCTION("GOOGLETRANSLATE(B447,""en"",""fi"")"),"E")</f>
        <v>E</v>
      </c>
      <c r="AI447" s="4" t="str">
        <f>IFERROR(__xludf.DUMMYFUNCTION("GOOGLETRANSLATE(B447,""en"",""hr"")"),"E")</f>
        <v>E</v>
      </c>
      <c r="AJ447" s="4" t="str">
        <f>IFERROR(__xludf.DUMMYFUNCTION("GOOGLETRANSLATE(B447,""en"",""hu"")"),"E")</f>
        <v>E</v>
      </c>
      <c r="AK447" s="4" t="str">
        <f>IFERROR(__xludf.DUMMYFUNCTION("GOOGLETRANSLATE(B447,""en"",""hy"")"),"Ե")</f>
        <v>Ե</v>
      </c>
      <c r="AL447" s="4" t="str">
        <f>IFERROR(__xludf.DUMMYFUNCTION("GOOGLETRANSLATE(B447,""en"",""ca"")"),"E")</f>
        <v>E</v>
      </c>
      <c r="AM447" s="4" t="str">
        <f>IFERROR(__xludf.DUMMYFUNCTION("GOOGLETRANSLATE(B447,""en"",""nl"")"),"E")</f>
        <v>E</v>
      </c>
      <c r="AN447" s="4" t="str">
        <f>IFERROR(__xludf.DUMMYFUNCTION("GOOGLETRANSLATE(B447,""en"",""he"")"),"ה")</f>
        <v>ה</v>
      </c>
      <c r="AO447" s="4" t="str">
        <f>IFERROR(__xludf.DUMMYFUNCTION("GOOGLETRANSLATE(B447,""en"",""is"")"),"E")</f>
        <v>E</v>
      </c>
      <c r="AP447" s="4" t="str">
        <f>IFERROR(__xludf.DUMMYFUNCTION("GOOGLETRANSLATE(B447,""en"",""no"")"),"E")</f>
        <v>E</v>
      </c>
      <c r="AQ447" s="4" t="str">
        <f>IFERROR(__xludf.DUMMYFUNCTION("GOOGLETRANSLATE(B447,""en"",""fa"")"),"E")</f>
        <v>E</v>
      </c>
      <c r="AR447" s="4" t="str">
        <f>IFERROR(__xludf.DUMMYFUNCTION("GOOGLETRANSLATE(B447,""en"",""pl"")"),"mi")</f>
        <v>mi</v>
      </c>
      <c r="AS447" s="4" t="str">
        <f>IFERROR(__xludf.DUMMYFUNCTION("GOOGLETRANSLATE(B447,""en"",""sv"")"),"E")</f>
        <v>E</v>
      </c>
      <c r="AT447" s="4" t="str">
        <f>IFERROR(__xludf.DUMMYFUNCTION("GOOGLETRANSLATE(B447,""en"",""uk"")"),"E")</f>
        <v>E</v>
      </c>
      <c r="AU447" s="4" t="str">
        <f>IFERROR(__xludf.DUMMYFUNCTION("GOOGLETRANSLATE(B447,""en"",""zu"")"),"E")</f>
        <v>E</v>
      </c>
      <c r="AV447" s="4" t="str">
        <f>IFERROR(__xludf.DUMMYFUNCTION("GOOGLETRANSLATE(B447,""en"",""sr"")"),"Е")</f>
        <v>Е</v>
      </c>
    </row>
    <row r="448">
      <c r="A448" s="3" t="s">
        <v>869</v>
      </c>
      <c r="B448" s="3" t="s">
        <v>870</v>
      </c>
      <c r="C448" s="4" t="str">
        <f>IFERROR(__xludf.DUMMYFUNCTION("GOOGLETRANSLATE(B448,""en"",""ta"")"),"டபிள்யூ")</f>
        <v>டபிள்யூ</v>
      </c>
      <c r="D448" s="4" t="str">
        <f>IFERROR(__xludf.DUMMYFUNCTION("GOOGLETRANSLATE(B448,""en"",""hi"")"),"डब्ल्यू")</f>
        <v>डब्ल्यू</v>
      </c>
      <c r="E448" s="4" t="str">
        <f>IFERROR(__xludf.DUMMYFUNCTION("GOOGLETRANSLATE(B448,""en"",""id"")"),"Kami")</f>
        <v>Kami</v>
      </c>
      <c r="F448" s="4" t="str">
        <f>IFERROR(__xludf.DUMMYFUNCTION("GOOGLETRANSLATE(B448,""en"",""ms"")"),"W")</f>
        <v>W</v>
      </c>
      <c r="G448" s="4" t="str">
        <f>IFERROR(__xludf.DUMMYFUNCTION("GOOGLETRANSLATE(B448,""en"",""de"")"),"W")</f>
        <v>W</v>
      </c>
      <c r="H448" s="4" t="str">
        <f>IFERROR(__xludf.DUMMYFUNCTION("GOOGLETRANSLATE(B448,""en"",""es"")"),"O")</f>
        <v>O</v>
      </c>
      <c r="I448" s="4" t="str">
        <f>IFERROR(__xludf.DUMMYFUNCTION("GOOGLETRANSLATE(B448,""en"",""fr"")"),"W")</f>
        <v>W</v>
      </c>
      <c r="J448" s="4" t="str">
        <f>IFERROR(__xludf.DUMMYFUNCTION("GOOGLETRANSLATE(B448,""en"",""it"")"),"O")</f>
        <v>O</v>
      </c>
      <c r="K448" s="4" t="str">
        <f>IFERROR(__xludf.DUMMYFUNCTION("GOOGLETRANSLATE(B448,""en"",""pt"")"),"C")</f>
        <v>C</v>
      </c>
      <c r="L448" s="4" t="str">
        <f>IFERROR(__xludf.DUMMYFUNCTION("GOOGLETRANSLATE(B448,""en"",""ro"")"),"W")</f>
        <v>W</v>
      </c>
      <c r="M448" s="4" t="str">
        <f>IFERROR(__xludf.DUMMYFUNCTION("GOOGLETRANSLATE(B448,""en"",""vi"")"),"T")</f>
        <v>T</v>
      </c>
      <c r="N448" s="4" t="str">
        <f>IFERROR(__xludf.DUMMYFUNCTION("GOOGLETRANSLATE(B448,""en"",""ru"")"),"Вт")</f>
        <v>Вт</v>
      </c>
      <c r="O448" s="4" t="str">
        <f>IFERROR(__xludf.DUMMYFUNCTION("GOOGLETRANSLATE(B448,""en"",""tr"")"),"B")</f>
        <v>B</v>
      </c>
      <c r="P448" s="4" t="str">
        <f>IFERROR(__xludf.DUMMYFUNCTION("GOOGLETRANSLATE(B448,""en"",""ar"")"),"و")</f>
        <v>و</v>
      </c>
      <c r="Q448" s="4" t="str">
        <f>IFERROR(__xludf.DUMMYFUNCTION("GOOGLETRANSLATE(B448,""en"",""mr"")"),"प")</f>
        <v>प</v>
      </c>
      <c r="R448" s="4" t="str">
        <f>IFERROR(__xludf.DUMMYFUNCTION("GOOGLETRANSLATE(B448,""en"",""gu"")"),"ડબલ્યુ")</f>
        <v>ડબલ્યુ</v>
      </c>
      <c r="S448" s="4" t="str">
        <f>IFERROR(__xludf.DUMMYFUNCTION("GOOGLETRANSLATE(B448,""en"",""bn"")"),"ডব্লিউ")</f>
        <v>ডব্লিউ</v>
      </c>
      <c r="T448" s="4" t="str">
        <f>IFERROR(__xludf.DUMMYFUNCTION("GOOGLETRANSLATE(B448,""en"",""pa"")"),"ਡਬਲਯੂ")</f>
        <v>ਡਬਲਯੂ</v>
      </c>
      <c r="U448" s="4" t="str">
        <f>IFERROR(__xludf.DUMMYFUNCTION("GOOGLETRANSLATE(B448,""en"",""te"")"),"W")</f>
        <v>W</v>
      </c>
      <c r="V448" s="4" t="str">
        <f>IFERROR(__xludf.DUMMYFUNCTION("GOOGLETRANSLATE(B448,""en"",""kn"")"),"ಡಬ್ಲ್ಯೂ")</f>
        <v>ಡಬ್ಲ್ಯೂ</v>
      </c>
      <c r="W448" s="4" t="str">
        <f>IFERROR(__xludf.DUMMYFUNCTION("GOOGLETRANSLATE(B448,""en"",""ml"")"),"ഡബ്ല്യു")</f>
        <v>ഡബ്ല്യു</v>
      </c>
      <c r="X448" s="4" t="str">
        <f>IFERROR(__xludf.DUMMYFUNCTION("GOOGLETRANSLATE(B448,""en"",""th"")"),"ว.")</f>
        <v>ว.</v>
      </c>
      <c r="Y448" s="4" t="str">
        <f>IFERROR(__xludf.DUMMYFUNCTION("GOOGLETRANSLATE(B448,""en"",""ko"")"),"여")</f>
        <v>여</v>
      </c>
      <c r="Z448" s="4" t="str">
        <f>IFERROR(__xludf.DUMMYFUNCTION("GOOGLETRANSLATE(B448,""en"",""zh"")"),"西")</f>
        <v>西</v>
      </c>
      <c r="AA448" s="4" t="str">
        <f>IFERROR(__xludf.DUMMYFUNCTION("GOOGLETRANSLATE(B448,""en"",""zh-TW"")"),"西")</f>
        <v>西</v>
      </c>
      <c r="AB448" s="4" t="str">
        <f>IFERROR(__xludf.DUMMYFUNCTION("GOOGLETRANSLATE(B448,""en"",""ja"")"),"W")</f>
        <v>W</v>
      </c>
      <c r="AC448" s="4" t="str">
        <f>IFERROR(__xludf.DUMMYFUNCTION("GOOGLETRANSLATE(B448,""en"",""bg"")"),"У")</f>
        <v>У</v>
      </c>
      <c r="AD448" s="4" t="str">
        <f>IFERROR(__xludf.DUMMYFUNCTION("GOOGLETRANSLATE(B448,""en"",""cs"")"),"W")</f>
        <v>W</v>
      </c>
      <c r="AE448" s="4" t="str">
        <f>IFERROR(__xludf.DUMMYFUNCTION("GOOGLETRANSLATE(B448,""en"",""da"")"),"W")</f>
        <v>W</v>
      </c>
      <c r="AF448" s="4" t="str">
        <f>IFERROR(__xludf.DUMMYFUNCTION("GOOGLETRANSLATE(B448,""en"",""el"")"),"W")</f>
        <v>W</v>
      </c>
      <c r="AG448" s="4" t="str">
        <f>IFERROR(__xludf.DUMMYFUNCTION("GOOGLETRANSLATE(B448,""en"",""et"")"),"W")</f>
        <v>W</v>
      </c>
      <c r="AH448" s="4" t="str">
        <f>IFERROR(__xludf.DUMMYFUNCTION("GOOGLETRANSLATE(B448,""en"",""fi"")"),"W")</f>
        <v>W</v>
      </c>
      <c r="AI448" s="4" t="str">
        <f>IFERROR(__xludf.DUMMYFUNCTION("GOOGLETRANSLATE(B448,""en"",""hr"")"),"W")</f>
        <v>W</v>
      </c>
      <c r="AJ448" s="4" t="str">
        <f>IFERROR(__xludf.DUMMYFUNCTION("GOOGLETRANSLATE(B448,""en"",""hu"")"),"W")</f>
        <v>W</v>
      </c>
      <c r="AK448" s="4" t="str">
        <f>IFERROR(__xludf.DUMMYFUNCTION("GOOGLETRANSLATE(B448,""en"",""hy"")"),"Վ")</f>
        <v>Վ</v>
      </c>
      <c r="AL448" s="4" t="str">
        <f>IFERROR(__xludf.DUMMYFUNCTION("GOOGLETRANSLATE(B448,""en"",""ca"")"),"W")</f>
        <v>W</v>
      </c>
      <c r="AM448" s="4" t="str">
        <f>IFERROR(__xludf.DUMMYFUNCTION("GOOGLETRANSLATE(B448,""en"",""nl"")"),"W")</f>
        <v>W</v>
      </c>
      <c r="AN448" s="4" t="str">
        <f>IFERROR(__xludf.DUMMYFUNCTION("GOOGLETRANSLATE(B448,""en"",""he"")"),"W")</f>
        <v>W</v>
      </c>
      <c r="AO448" s="4" t="str">
        <f>IFERROR(__xludf.DUMMYFUNCTION("GOOGLETRANSLATE(B448,""en"",""is"")"),"W")</f>
        <v>W</v>
      </c>
      <c r="AP448" s="4" t="str">
        <f>IFERROR(__xludf.DUMMYFUNCTION("GOOGLETRANSLATE(B448,""en"",""no"")"),"W")</f>
        <v>W</v>
      </c>
      <c r="AQ448" s="4" t="str">
        <f>IFERROR(__xludf.DUMMYFUNCTION("GOOGLETRANSLATE(B448,""en"",""fa"")"),"دبلیو")</f>
        <v>دبلیو</v>
      </c>
      <c r="AR448" s="4" t="str">
        <f>IFERROR(__xludf.DUMMYFUNCTION("GOOGLETRANSLATE(B448,""en"",""pl"")"),"W")</f>
        <v>W</v>
      </c>
      <c r="AS448" s="4" t="str">
        <f>IFERROR(__xludf.DUMMYFUNCTION("GOOGLETRANSLATE(B448,""en"",""sv"")"),"W")</f>
        <v>W</v>
      </c>
      <c r="AT448" s="4" t="str">
        <f>IFERROR(__xludf.DUMMYFUNCTION("GOOGLETRANSLATE(B448,""en"",""uk"")"),"В")</f>
        <v>В</v>
      </c>
      <c r="AU448" s="4" t="str">
        <f>IFERROR(__xludf.DUMMYFUNCTION("GOOGLETRANSLATE(B448,""en"",""zu"")"),"W")</f>
        <v>W</v>
      </c>
      <c r="AV448" s="4" t="str">
        <f>IFERROR(__xludf.DUMMYFUNCTION("GOOGLETRANSLATE(B448,""en"",""sr"")"),"В")</f>
        <v>В</v>
      </c>
    </row>
    <row r="449">
      <c r="A449" s="3" t="s">
        <v>871</v>
      </c>
      <c r="B449" s="3" t="s">
        <v>872</v>
      </c>
      <c r="C449" s="4" t="str">
        <f>IFERROR(__xludf.DUMMYFUNCTION("GOOGLETRANSLATE(B449,""en"",""ta"")"),"எப்படி அளவீடு செய்வது")</f>
        <v>எப்படி அளவீடு செய்வது</v>
      </c>
      <c r="D449" s="4" t="str">
        <f>IFERROR(__xludf.DUMMYFUNCTION("GOOGLETRANSLATE(B449,""en"",""hi"")"),"कैलिब्रेट कैसे करें")</f>
        <v>कैलिब्रेट कैसे करें</v>
      </c>
      <c r="E449" s="4" t="str">
        <f>IFERROR(__xludf.DUMMYFUNCTION("GOOGLETRANSLATE(B449,""en"",""id"")"),"Cara Mengkalibrasi")</f>
        <v>Cara Mengkalibrasi</v>
      </c>
      <c r="F449" s="4" t="str">
        <f>IFERROR(__xludf.DUMMYFUNCTION("GOOGLETRANSLATE(B449,""en"",""ms"")"),"Bagaimana Untuk Menentukur")</f>
        <v>Bagaimana Untuk Menentukur</v>
      </c>
      <c r="G449" s="4" t="str">
        <f>IFERROR(__xludf.DUMMYFUNCTION("GOOGLETRANSLATE(B449,""en"",""de"")"),"So kalibrieren Sie")</f>
        <v>So kalibrieren Sie</v>
      </c>
      <c r="H449" s="4" t="str">
        <f>IFERROR(__xludf.DUMMYFUNCTION("GOOGLETRANSLATE(B449,""en"",""es"")"),"Cómo calibrar")</f>
        <v>Cómo calibrar</v>
      </c>
      <c r="I449" s="4" t="str">
        <f>IFERROR(__xludf.DUMMYFUNCTION("GOOGLETRANSLATE(B449,""en"",""fr"")"),"Comment calibrer")</f>
        <v>Comment calibrer</v>
      </c>
      <c r="J449" s="4" t="str">
        <f>IFERROR(__xludf.DUMMYFUNCTION("GOOGLETRANSLATE(B449,""en"",""it"")"),"Come calibrare")</f>
        <v>Come calibrare</v>
      </c>
      <c r="K449" s="4" t="str">
        <f>IFERROR(__xludf.DUMMYFUNCTION("GOOGLETRANSLATE(B449,""en"",""pt"")"),"Como calibrar")</f>
        <v>Como calibrar</v>
      </c>
      <c r="L449" s="4" t="str">
        <f>IFERROR(__xludf.DUMMYFUNCTION("GOOGLETRANSLATE(B449,""en"",""ro"")"),"Cum se calibra")</f>
        <v>Cum se calibra</v>
      </c>
      <c r="M449" s="4" t="str">
        <f>IFERROR(__xludf.DUMMYFUNCTION("GOOGLETRANSLATE(B449,""en"",""vi"")"),"Cách hiệu chuẩn")</f>
        <v>Cách hiệu chuẩn</v>
      </c>
      <c r="N449" s="4" t="str">
        <f>IFERROR(__xludf.DUMMYFUNCTION("GOOGLETRANSLATE(B449,""en"",""ru"")"),"Как калибровать")</f>
        <v>Как калибровать</v>
      </c>
      <c r="O449" s="4" t="str">
        <f>IFERROR(__xludf.DUMMYFUNCTION("GOOGLETRANSLATE(B449,""en"",""tr"")"),"Kalibre Etme Nasıl Yapılır")</f>
        <v>Kalibre Etme Nasıl Yapılır</v>
      </c>
      <c r="P449" s="4" t="str">
        <f>IFERROR(__xludf.DUMMYFUNCTION("GOOGLETRANSLATE(B449,""en"",""ar"")"),"كيفية المعايرة")</f>
        <v>كيفية المعايرة</v>
      </c>
      <c r="Q449" s="4" t="str">
        <f>IFERROR(__xludf.DUMMYFUNCTION("GOOGLETRANSLATE(B449,""en"",""mr"")"),"कॅलिब्रेट कसे करावे")</f>
        <v>कॅलिब्रेट कसे करावे</v>
      </c>
      <c r="R449" s="4" t="str">
        <f>IFERROR(__xludf.DUMMYFUNCTION("GOOGLETRANSLATE(B449,""en"",""gu"")"),"કેવી રીતે માપાંકિત કરવું")</f>
        <v>કેવી રીતે માપાંકિત કરવું</v>
      </c>
      <c r="S449" s="4" t="str">
        <f>IFERROR(__xludf.DUMMYFUNCTION("GOOGLETRANSLATE(B449,""en"",""bn"")"),"কিভাবে ক্রমাঙ্কন")</f>
        <v>কিভাবে ক্রমাঙ্কন</v>
      </c>
      <c r="T449" s="4" t="str">
        <f>IFERROR(__xludf.DUMMYFUNCTION("GOOGLETRANSLATE(B449,""en"",""pa"")"),"ਕੈਲੀਬਰੇਟ ਕਿਵੇਂ ਕਰੀਏ")</f>
        <v>ਕੈਲੀਬਰੇਟ ਕਿਵੇਂ ਕਰੀਏ</v>
      </c>
      <c r="U449" s="4" t="str">
        <f>IFERROR(__xludf.DUMMYFUNCTION("GOOGLETRANSLATE(B449,""en"",""te"")"),"ఎలా క్రమాంకనం చేయాలి")</f>
        <v>ఎలా క్రమాంకనం చేయాలి</v>
      </c>
      <c r="V449" s="4" t="str">
        <f>IFERROR(__xludf.DUMMYFUNCTION("GOOGLETRANSLATE(B449,""en"",""kn"")"),"ಮಾಪನಾಂಕ ನಿರ್ಣಯಿಸುವುದು ಹೇಗೆ")</f>
        <v>ಮಾಪನಾಂಕ ನಿರ್ಣಯಿಸುವುದು ಹೇಗೆ</v>
      </c>
      <c r="W449" s="4" t="str">
        <f>IFERROR(__xludf.DUMMYFUNCTION("GOOGLETRANSLATE(B449,""en"",""ml"")"),"എങ്ങനെ കാലിബ്രേറ്റ് ചെയ്യാം")</f>
        <v>എങ്ങനെ കാലിബ്രേറ്റ് ചെയ്യാം</v>
      </c>
      <c r="X449" s="4" t="str">
        <f>IFERROR(__xludf.DUMMYFUNCTION("GOOGLETRANSLATE(B449,""en"",""th"")"),"วิธีการปรับเทียบ")</f>
        <v>วิธีการปรับเทียบ</v>
      </c>
      <c r="Y449" s="4" t="str">
        <f>IFERROR(__xludf.DUMMYFUNCTION("GOOGLETRANSLATE(B449,""en"",""ko"")"),"교정 방법")</f>
        <v>교정 방법</v>
      </c>
      <c r="Z449" s="4" t="str">
        <f>IFERROR(__xludf.DUMMYFUNCTION("GOOGLETRANSLATE(B449,""en"",""zh"")"),"如何校准")</f>
        <v>如何校准</v>
      </c>
      <c r="AA449" s="4" t="str">
        <f>IFERROR(__xludf.DUMMYFUNCTION("GOOGLETRANSLATE(B449,""en"",""zh-TW"")"),"如何校準")</f>
        <v>如何校準</v>
      </c>
      <c r="AB449" s="4" t="str">
        <f>IFERROR(__xludf.DUMMYFUNCTION("GOOGLETRANSLATE(B449,""en"",""ja"")"),"キャリブレーション方法")</f>
        <v>キャリブレーション方法</v>
      </c>
      <c r="AC449" s="4" t="str">
        <f>IFERROR(__xludf.DUMMYFUNCTION("GOOGLETRANSLATE(B449,""en"",""bg"")"),"Как да калибрирате")</f>
        <v>Как да калибрирате</v>
      </c>
      <c r="AD449" s="4" t="str">
        <f>IFERROR(__xludf.DUMMYFUNCTION("GOOGLETRANSLATE(B449,""en"",""cs"")"),"Jak kalibrovat")</f>
        <v>Jak kalibrovat</v>
      </c>
      <c r="AE449" s="4" t="str">
        <f>IFERROR(__xludf.DUMMYFUNCTION("GOOGLETRANSLATE(B449,""en"",""da"")"),"Sådan kalibreres")</f>
        <v>Sådan kalibreres</v>
      </c>
      <c r="AF449" s="4" t="str">
        <f>IFERROR(__xludf.DUMMYFUNCTION("GOOGLETRANSLATE(B449,""en"",""el"")"),"Πώς να βαθμονομήσετε")</f>
        <v>Πώς να βαθμονομήσετε</v>
      </c>
      <c r="AG449" s="4" t="str">
        <f>IFERROR(__xludf.DUMMYFUNCTION("GOOGLETRANSLATE(B449,""en"",""et"")"),"Kuidas kalibreerida")</f>
        <v>Kuidas kalibreerida</v>
      </c>
      <c r="AH449" s="4" t="str">
        <f>IFERROR(__xludf.DUMMYFUNCTION("GOOGLETRANSLATE(B449,""en"",""fi"")"),"Kuinka kalibroida")</f>
        <v>Kuinka kalibroida</v>
      </c>
      <c r="AI449" s="4" t="str">
        <f>IFERROR(__xludf.DUMMYFUNCTION("GOOGLETRANSLATE(B449,""en"",""hr"")"),"Kako kalibrirati")</f>
        <v>Kako kalibrirati</v>
      </c>
      <c r="AJ449" s="4" t="str">
        <f>IFERROR(__xludf.DUMMYFUNCTION("GOOGLETRANSLATE(B449,""en"",""hu"")"),"Hogyan kell kalibrálni")</f>
        <v>Hogyan kell kalibrálni</v>
      </c>
      <c r="AK449" s="4" t="str">
        <f>IFERROR(__xludf.DUMMYFUNCTION("GOOGLETRANSLATE(B449,""en"",""hy"")"),"Ինչպես չափաբերել")</f>
        <v>Ինչպես չափաբերել</v>
      </c>
      <c r="AL449" s="4" t="str">
        <f>IFERROR(__xludf.DUMMYFUNCTION("GOOGLETRANSLATE(B449,""en"",""ca"")"),"Com calibrar")</f>
        <v>Com calibrar</v>
      </c>
      <c r="AM449" s="4" t="str">
        <f>IFERROR(__xludf.DUMMYFUNCTION("GOOGLETRANSLATE(B449,""en"",""nl"")"),"Hoe te kalibreren")</f>
        <v>Hoe te kalibreren</v>
      </c>
      <c r="AN449" s="4" t="str">
        <f>IFERROR(__xludf.DUMMYFUNCTION("GOOGLETRANSLATE(B449,""en"",""he"")"),"כיצד לכייל")</f>
        <v>כיצד לכייל</v>
      </c>
      <c r="AO449" s="4" t="str">
        <f>IFERROR(__xludf.DUMMYFUNCTION("GOOGLETRANSLATE(B449,""en"",""is"")"),"Hvernig á að kvarða")</f>
        <v>Hvernig á að kvarða</v>
      </c>
      <c r="AP449" s="4" t="str">
        <f>IFERROR(__xludf.DUMMYFUNCTION("GOOGLETRANSLATE(B449,""en"",""no"")"),"Slik kalibrerer du")</f>
        <v>Slik kalibrerer du</v>
      </c>
      <c r="AQ449" s="4" t="str">
        <f>IFERROR(__xludf.DUMMYFUNCTION("GOOGLETRANSLATE(B449,""en"",""fa"")"),"نحوه کالیبره کردن")</f>
        <v>نحوه کالیبره کردن</v>
      </c>
      <c r="AR449" s="4" t="str">
        <f>IFERROR(__xludf.DUMMYFUNCTION("GOOGLETRANSLATE(B449,""en"",""pl"")"),"Jak kalibrować")</f>
        <v>Jak kalibrować</v>
      </c>
      <c r="AS449" s="4" t="str">
        <f>IFERROR(__xludf.DUMMYFUNCTION("GOOGLETRANSLATE(B449,""en"",""sv"")"),"Hur man kalibrerar")</f>
        <v>Hur man kalibrerar</v>
      </c>
      <c r="AT449" s="4" t="str">
        <f>IFERROR(__xludf.DUMMYFUNCTION("GOOGLETRANSLATE(B449,""en"",""uk"")"),"Як відкалібрувати")</f>
        <v>Як відкалібрувати</v>
      </c>
      <c r="AU449" s="4" t="str">
        <f>IFERROR(__xludf.DUMMYFUNCTION("GOOGLETRANSLATE(B449,""en"",""zu"")"),"Indlela Yokulinganisa")</f>
        <v>Indlela Yokulinganisa</v>
      </c>
      <c r="AV449" s="4" t="str">
        <f>IFERROR(__xludf.DUMMYFUNCTION("GOOGLETRANSLATE(B449,""en"",""sr"")"),"Како калибрисати")</f>
        <v>Како калибрисати</v>
      </c>
    </row>
    <row r="450">
      <c r="A450" s="3" t="s">
        <v>873</v>
      </c>
      <c r="B450" s="3" t="s">
        <v>874</v>
      </c>
      <c r="C450" s="4" t="str">
        <f>IFERROR(__xludf.DUMMYFUNCTION("GOOGLETRANSLATE(B450,""en"",""ta"")"),"நன்றாக அளவீடு செய்யப்பட்டது")</f>
        <v>நன்றாக அளவீடு செய்யப்பட்டது</v>
      </c>
      <c r="D450" s="4" t="str">
        <f>IFERROR(__xludf.DUMMYFUNCTION("GOOGLETRANSLATE(B450,""en"",""hi"")"),"अच्छी तरह से कैलिब्रेटेड")</f>
        <v>अच्छी तरह से कैलिब्रेटेड</v>
      </c>
      <c r="E450" s="4" t="str">
        <f>IFERROR(__xludf.DUMMYFUNCTION("GOOGLETRANSLATE(B450,""en"",""id"")"),"Terkalibrasi dengan baik")</f>
        <v>Terkalibrasi dengan baik</v>
      </c>
      <c r="F450" s="4" t="str">
        <f>IFERROR(__xludf.DUMMYFUNCTION("GOOGLETRANSLATE(B450,""en"",""ms"")"),"Ditentukur dengan baik")</f>
        <v>Ditentukur dengan baik</v>
      </c>
      <c r="G450" s="4" t="str">
        <f>IFERROR(__xludf.DUMMYFUNCTION("GOOGLETRANSLATE(B450,""en"",""de"")"),"Gut kalibriert")</f>
        <v>Gut kalibriert</v>
      </c>
      <c r="H450" s="4" t="str">
        <f>IFERROR(__xludf.DUMMYFUNCTION("GOOGLETRANSLATE(B450,""en"",""es"")"),"Bien calibrado")</f>
        <v>Bien calibrado</v>
      </c>
      <c r="I450" s="4" t="str">
        <f>IFERROR(__xludf.DUMMYFUNCTION("GOOGLETRANSLATE(B450,""en"",""fr"")"),"Bien calibré")</f>
        <v>Bien calibré</v>
      </c>
      <c r="J450" s="4" t="str">
        <f>IFERROR(__xludf.DUMMYFUNCTION("GOOGLETRANSLATE(B450,""en"",""it"")"),"Ben calibrato")</f>
        <v>Ben calibrato</v>
      </c>
      <c r="K450" s="4" t="str">
        <f>IFERROR(__xludf.DUMMYFUNCTION("GOOGLETRANSLATE(B450,""en"",""pt"")"),"Bem calibrado")</f>
        <v>Bem calibrado</v>
      </c>
      <c r="L450" s="4" t="str">
        <f>IFERROR(__xludf.DUMMYFUNCTION("GOOGLETRANSLATE(B450,""en"",""ro"")"),"Bine calibrat")</f>
        <v>Bine calibrat</v>
      </c>
      <c r="M450" s="4" t="str">
        <f>IFERROR(__xludf.DUMMYFUNCTION("GOOGLETRANSLATE(B450,""en"",""vi"")"),"Được hiệu chuẩn tốt")</f>
        <v>Được hiệu chuẩn tốt</v>
      </c>
      <c r="N450" s="4" t="str">
        <f>IFERROR(__xludf.DUMMYFUNCTION("GOOGLETRANSLATE(B450,""en"",""ru"")"),"Хорошо откалиброван")</f>
        <v>Хорошо откалиброван</v>
      </c>
      <c r="O450" s="4" t="str">
        <f>IFERROR(__xludf.DUMMYFUNCTION("GOOGLETRANSLATE(B450,""en"",""tr"")"),"İyi kalibre edilmiş")</f>
        <v>İyi kalibre edilmiş</v>
      </c>
      <c r="P450" s="4" t="str">
        <f>IFERROR(__xludf.DUMMYFUNCTION("GOOGLETRANSLATE(B450,""en"",""ar"")"),"معايرة جيدا")</f>
        <v>معايرة جيدا</v>
      </c>
      <c r="Q450" s="4" t="str">
        <f>IFERROR(__xludf.DUMMYFUNCTION("GOOGLETRANSLATE(B450,""en"",""mr"")"),"चांगले कॅलिब्रेटेड")</f>
        <v>चांगले कॅलिब्रेटेड</v>
      </c>
      <c r="R450" s="4" t="str">
        <f>IFERROR(__xludf.DUMMYFUNCTION("GOOGLETRANSLATE(B450,""en"",""gu"")"),"સારી રીતે માપાંકિત")</f>
        <v>સારી રીતે માપાંકિત</v>
      </c>
      <c r="S450" s="4" t="str">
        <f>IFERROR(__xludf.DUMMYFUNCTION("GOOGLETRANSLATE(B450,""en"",""bn"")"),"ভাল ক্রমাঙ্কিত")</f>
        <v>ভাল ক্রমাঙ্কিত</v>
      </c>
      <c r="T450" s="4" t="str">
        <f>IFERROR(__xludf.DUMMYFUNCTION("GOOGLETRANSLATE(B450,""en"",""pa"")"),"ਚੰਗੀ ਤਰ੍ਹਾਂ ਕੈਲੀਬਰੇਟ ਕੀਤਾ ਗਿਆ")</f>
        <v>ਚੰਗੀ ਤਰ੍ਹਾਂ ਕੈਲੀਬਰੇਟ ਕੀਤਾ ਗਿਆ</v>
      </c>
      <c r="U450" s="4" t="str">
        <f>IFERROR(__xludf.DUMMYFUNCTION("GOOGLETRANSLATE(B450,""en"",""te"")"),"బాగా క్రమాంకనం చేయబడింది")</f>
        <v>బాగా క్రమాంకనం చేయబడింది</v>
      </c>
      <c r="V450" s="4" t="str">
        <f>IFERROR(__xludf.DUMMYFUNCTION("GOOGLETRANSLATE(B450,""en"",""kn"")"),"ಚೆನ್ನಾಗಿ ಮಾಪನಾಂಕ ನಿರ್ಣಯಿಸಲಾಗಿದೆ")</f>
        <v>ಚೆನ್ನಾಗಿ ಮಾಪನಾಂಕ ನಿರ್ಣಯಿಸಲಾಗಿದೆ</v>
      </c>
      <c r="W450" s="4" t="str">
        <f>IFERROR(__xludf.DUMMYFUNCTION("GOOGLETRANSLATE(B450,""en"",""ml"")"),"നന്നായി കാലിബ്രേറ്റ് ചെയ്തു")</f>
        <v>നന്നായി കാലിബ്രേറ്റ് ചെയ്തു</v>
      </c>
      <c r="X450" s="4" t="str">
        <f>IFERROR(__xludf.DUMMYFUNCTION("GOOGLETRANSLATE(B450,""en"",""th"")"),"ปรับเทียบมาอย่างดี")</f>
        <v>ปรับเทียบมาอย่างดี</v>
      </c>
      <c r="Y450" s="4" t="str">
        <f>IFERROR(__xludf.DUMMYFUNCTION("GOOGLETRANSLATE(B450,""en"",""ko"")"),"잘 교정됨")</f>
        <v>잘 교정됨</v>
      </c>
      <c r="Z450" s="4" t="str">
        <f>IFERROR(__xludf.DUMMYFUNCTION("GOOGLETRANSLATE(B450,""en"",""zh"")"),"精心校准")</f>
        <v>精心校准</v>
      </c>
      <c r="AA450" s="4" t="str">
        <f>IFERROR(__xludf.DUMMYFUNCTION("GOOGLETRANSLATE(B450,""en"",""zh-TW"")"),"精心校準")</f>
        <v>精心校準</v>
      </c>
      <c r="AB450" s="4" t="str">
        <f>IFERROR(__xludf.DUMMYFUNCTION("GOOGLETRANSLATE(B450,""en"",""ja"")"),"よく調整された")</f>
        <v>よく調整された</v>
      </c>
      <c r="AC450" s="4" t="str">
        <f>IFERROR(__xludf.DUMMYFUNCTION("GOOGLETRANSLATE(B450,""en"",""bg"")"),"Добре калибриран")</f>
        <v>Добре калибриран</v>
      </c>
      <c r="AD450" s="4" t="str">
        <f>IFERROR(__xludf.DUMMYFUNCTION("GOOGLETRANSLATE(B450,""en"",""cs"")"),"Dobře zkalibrováno")</f>
        <v>Dobře zkalibrováno</v>
      </c>
      <c r="AE450" s="4" t="str">
        <f>IFERROR(__xludf.DUMMYFUNCTION("GOOGLETRANSLATE(B450,""en"",""da"")"),"Godt kalibreret")</f>
        <v>Godt kalibreret</v>
      </c>
      <c r="AF450" s="4" t="str">
        <f>IFERROR(__xludf.DUMMYFUNCTION("GOOGLETRANSLATE(B450,""en"",""el"")"),"Καλά βαθμονομημένο")</f>
        <v>Καλά βαθμονομημένο</v>
      </c>
      <c r="AG450" s="4" t="str">
        <f>IFERROR(__xludf.DUMMYFUNCTION("GOOGLETRANSLATE(B450,""en"",""et"")"),"Hästi kalibreeritud")</f>
        <v>Hästi kalibreeritud</v>
      </c>
      <c r="AH450" s="4" t="str">
        <f>IFERROR(__xludf.DUMMYFUNCTION("GOOGLETRANSLATE(B450,""en"",""fi"")"),"Hyvin kalibroitu")</f>
        <v>Hyvin kalibroitu</v>
      </c>
      <c r="AI450" s="4" t="str">
        <f>IFERROR(__xludf.DUMMYFUNCTION("GOOGLETRANSLATE(B450,""en"",""hr"")"),"Dobro kalibrirano")</f>
        <v>Dobro kalibrirano</v>
      </c>
      <c r="AJ450" s="4" t="str">
        <f>IFERROR(__xludf.DUMMYFUNCTION("GOOGLETRANSLATE(B450,""en"",""hu"")"),"Jól kalibrálva")</f>
        <v>Jól kalibrálva</v>
      </c>
      <c r="AK450" s="4" t="str">
        <f>IFERROR(__xludf.DUMMYFUNCTION("GOOGLETRANSLATE(B450,""en"",""hy"")"),"Լավ տրամաչափված")</f>
        <v>Լավ տրամաչափված</v>
      </c>
      <c r="AL450" s="4" t="str">
        <f>IFERROR(__xludf.DUMMYFUNCTION("GOOGLETRANSLATE(B450,""en"",""ca"")"),"Ben calibrat")</f>
        <v>Ben calibrat</v>
      </c>
      <c r="AM450" s="4" t="str">
        <f>IFERROR(__xludf.DUMMYFUNCTION("GOOGLETRANSLATE(B450,""en"",""nl"")"),"Goed gekalibreerd")</f>
        <v>Goed gekalibreerd</v>
      </c>
      <c r="AN450" s="4" t="str">
        <f>IFERROR(__xludf.DUMMYFUNCTION("GOOGLETRANSLATE(B450,""en"",""he"")"),"מכויל היטב")</f>
        <v>מכויל היטב</v>
      </c>
      <c r="AO450" s="4" t="str">
        <f>IFERROR(__xludf.DUMMYFUNCTION("GOOGLETRANSLATE(B450,""en"",""is"")"),"Vel kvörðuð")</f>
        <v>Vel kvörðuð</v>
      </c>
      <c r="AP450" s="4" t="str">
        <f>IFERROR(__xludf.DUMMYFUNCTION("GOOGLETRANSLATE(B450,""en"",""no"")"),"Godt kalibrert")</f>
        <v>Godt kalibrert</v>
      </c>
      <c r="AQ450" s="4" t="str">
        <f>IFERROR(__xludf.DUMMYFUNCTION("GOOGLETRANSLATE(B450,""en"",""fa"")"),"خوب کالیبره شده")</f>
        <v>خوب کالیبره شده</v>
      </c>
      <c r="AR450" s="4" t="str">
        <f>IFERROR(__xludf.DUMMYFUNCTION("GOOGLETRANSLATE(B450,""en"",""pl"")"),"Dobrze skalibrowany")</f>
        <v>Dobrze skalibrowany</v>
      </c>
      <c r="AS450" s="4" t="str">
        <f>IFERROR(__xludf.DUMMYFUNCTION("GOOGLETRANSLATE(B450,""en"",""sv"")"),"Väl kalibrerad")</f>
        <v>Väl kalibrerad</v>
      </c>
      <c r="AT450" s="4" t="str">
        <f>IFERROR(__xludf.DUMMYFUNCTION("GOOGLETRANSLATE(B450,""en"",""uk"")"),"Добре відкалібрований")</f>
        <v>Добре відкалібрований</v>
      </c>
      <c r="AU450" s="4" t="str">
        <f>IFERROR(__xludf.DUMMYFUNCTION("GOOGLETRANSLATE(B450,""en"",""zu"")"),"Kulinganiswe kahle")</f>
        <v>Kulinganiswe kahle</v>
      </c>
      <c r="AV450" s="4" t="str">
        <f>IFERROR(__xludf.DUMMYFUNCTION("GOOGLETRANSLATE(B450,""en"",""sr"")"),"Добро калибрирано")</f>
        <v>Добро калибрирано</v>
      </c>
    </row>
    <row r="451">
      <c r="A451" s="3" t="s">
        <v>875</v>
      </c>
      <c r="B451" s="3" t="s">
        <v>876</v>
      </c>
      <c r="C451" s="4" t="str">
        <f>IFERROR(__xludf.DUMMYFUNCTION("GOOGLETRANSLATE(B451,""en"",""ta"")"),"அளவுத்திருத்தம் தேவை")</f>
        <v>அளவுத்திருத்தம் தேவை</v>
      </c>
      <c r="D451" s="4" t="str">
        <f>IFERROR(__xludf.DUMMYFUNCTION("GOOGLETRANSLATE(B451,""en"",""hi"")"),"अंशांकन की आवश्यकता है")</f>
        <v>अंशांकन की आवश्यकता है</v>
      </c>
      <c r="E451" s="4" t="str">
        <f>IFERROR(__xludf.DUMMYFUNCTION("GOOGLETRANSLATE(B451,""en"",""id"")"),"Perlu kalibrasi")</f>
        <v>Perlu kalibrasi</v>
      </c>
      <c r="F451" s="4" t="str">
        <f>IFERROR(__xludf.DUMMYFUNCTION("GOOGLETRANSLATE(B451,""en"",""ms"")"),"Memerlukan penentukuran")</f>
        <v>Memerlukan penentukuran</v>
      </c>
      <c r="G451" s="4" t="str">
        <f>IFERROR(__xludf.DUMMYFUNCTION("GOOGLETRANSLATE(B451,""en"",""de"")"),"Muss kalibriert werden")</f>
        <v>Muss kalibriert werden</v>
      </c>
      <c r="H451" s="4" t="str">
        <f>IFERROR(__xludf.DUMMYFUNCTION("GOOGLETRANSLATE(B451,""en"",""es"")"),"Necesita calibración")</f>
        <v>Necesita calibración</v>
      </c>
      <c r="I451" s="4" t="str">
        <f>IFERROR(__xludf.DUMMYFUNCTION("GOOGLETRANSLATE(B451,""en"",""fr"")"),"Nécessite un étalonnage")</f>
        <v>Nécessite un étalonnage</v>
      </c>
      <c r="J451" s="4" t="str">
        <f>IFERROR(__xludf.DUMMYFUNCTION("GOOGLETRANSLATE(B451,""en"",""it"")"),"Necessita di calibrazione")</f>
        <v>Necessita di calibrazione</v>
      </c>
      <c r="K451" s="4" t="str">
        <f>IFERROR(__xludf.DUMMYFUNCTION("GOOGLETRANSLATE(B451,""en"",""pt"")"),"Precisa de calibração")</f>
        <v>Precisa de calibração</v>
      </c>
      <c r="L451" s="4" t="str">
        <f>IFERROR(__xludf.DUMMYFUNCTION("GOOGLETRANSLATE(B451,""en"",""ro"")"),"Necesita calibrare")</f>
        <v>Necesita calibrare</v>
      </c>
      <c r="M451" s="4" t="str">
        <f>IFERROR(__xludf.DUMMYFUNCTION("GOOGLETRANSLATE(B451,""en"",""vi"")"),"Cần hiệu chuẩn")</f>
        <v>Cần hiệu chuẩn</v>
      </c>
      <c r="N451" s="4" t="str">
        <f>IFERROR(__xludf.DUMMYFUNCTION("GOOGLETRANSLATE(B451,""en"",""ru"")"),"Нужна калибровка")</f>
        <v>Нужна калибровка</v>
      </c>
      <c r="O451" s="4" t="str">
        <f>IFERROR(__xludf.DUMMYFUNCTION("GOOGLETRANSLATE(B451,""en"",""tr"")"),"Kalibrasyona ihtiyaç var")</f>
        <v>Kalibrasyona ihtiyaç var</v>
      </c>
      <c r="P451" s="4" t="str">
        <f>IFERROR(__xludf.DUMMYFUNCTION("GOOGLETRANSLATE(B451,""en"",""ar"")"),"يحتاج إلى معايرة")</f>
        <v>يحتاج إلى معايرة</v>
      </c>
      <c r="Q451" s="4" t="str">
        <f>IFERROR(__xludf.DUMMYFUNCTION("GOOGLETRANSLATE(B451,""en"",""mr"")"),"कॅलिब्रेशन आवश्यक आहे")</f>
        <v>कॅलिब्रेशन आवश्यक आहे</v>
      </c>
      <c r="R451" s="4" t="str">
        <f>IFERROR(__xludf.DUMMYFUNCTION("GOOGLETRANSLATE(B451,""en"",""gu"")"),"માપાંકનની જરૂર છે")</f>
        <v>માપાંકનની જરૂર છે</v>
      </c>
      <c r="S451" s="4" t="str">
        <f>IFERROR(__xludf.DUMMYFUNCTION("GOOGLETRANSLATE(B451,""en"",""bn"")"),"ক্রমাঙ্কন প্রয়োজন")</f>
        <v>ক্রমাঙ্কন প্রয়োজন</v>
      </c>
      <c r="T451" s="4" t="str">
        <f>IFERROR(__xludf.DUMMYFUNCTION("GOOGLETRANSLATE(B451,""en"",""pa"")"),"ਕੈਲੀਬ੍ਰੇਸ਼ਨ ਦੀ ਲੋੜ ਹੈ")</f>
        <v>ਕੈਲੀਬ੍ਰੇਸ਼ਨ ਦੀ ਲੋੜ ਹੈ</v>
      </c>
      <c r="U451" s="4" t="str">
        <f>IFERROR(__xludf.DUMMYFUNCTION("GOOGLETRANSLATE(B451,""en"",""te"")"),"క్రమాంకనం అవసరం")</f>
        <v>క్రమాంకనం అవసరం</v>
      </c>
      <c r="V451" s="4" t="str">
        <f>IFERROR(__xludf.DUMMYFUNCTION("GOOGLETRANSLATE(B451,""en"",""kn"")"),"ಮಾಪನಾಂಕ ನಿರ್ಣಯದ ಅಗತ್ಯವಿದೆ")</f>
        <v>ಮಾಪನಾಂಕ ನಿರ್ಣಯದ ಅಗತ್ಯವಿದೆ</v>
      </c>
      <c r="W451" s="4" t="str">
        <f>IFERROR(__xludf.DUMMYFUNCTION("GOOGLETRANSLATE(B451,""en"",""ml"")"),"കാലിബ്രേഷൻ ആവശ്യമാണ്")</f>
        <v>കാലിബ്രേഷൻ ആവശ്യമാണ്</v>
      </c>
      <c r="X451" s="4" t="str">
        <f>IFERROR(__xludf.DUMMYFUNCTION("GOOGLETRANSLATE(B451,""en"",""th"")"),"ต้องมีการสอบเทียบ")</f>
        <v>ต้องมีการสอบเทียบ</v>
      </c>
      <c r="Y451" s="4" t="str">
        <f>IFERROR(__xludf.DUMMYFUNCTION("GOOGLETRANSLATE(B451,""en"",""ko"")"),"교정이 필요합니다")</f>
        <v>교정이 필요합니다</v>
      </c>
      <c r="Z451" s="4" t="str">
        <f>IFERROR(__xludf.DUMMYFUNCTION("GOOGLETRANSLATE(B451,""en"",""zh"")"),"需要校准")</f>
        <v>需要校准</v>
      </c>
      <c r="AA451" s="4" t="str">
        <f>IFERROR(__xludf.DUMMYFUNCTION("GOOGLETRANSLATE(B451,""en"",""zh-TW"")"),"需要校準")</f>
        <v>需要校準</v>
      </c>
      <c r="AB451" s="4" t="str">
        <f>IFERROR(__xludf.DUMMYFUNCTION("GOOGLETRANSLATE(B451,""en"",""ja"")"),"調整が必要です")</f>
        <v>調整が必要です</v>
      </c>
      <c r="AC451" s="4" t="str">
        <f>IFERROR(__xludf.DUMMYFUNCTION("GOOGLETRANSLATE(B451,""en"",""bg"")"),"Има нужда от калибриране")</f>
        <v>Има нужда от калибриране</v>
      </c>
      <c r="AD451" s="4" t="str">
        <f>IFERROR(__xludf.DUMMYFUNCTION("GOOGLETRANSLATE(B451,""en"",""cs"")"),"Vyžaduje kalibraci")</f>
        <v>Vyžaduje kalibraci</v>
      </c>
      <c r="AE451" s="4" t="str">
        <f>IFERROR(__xludf.DUMMYFUNCTION("GOOGLETRANSLATE(B451,""en"",""da"")"),"Trænger til kalibrering")</f>
        <v>Trænger til kalibrering</v>
      </c>
      <c r="AF451" s="4" t="str">
        <f>IFERROR(__xludf.DUMMYFUNCTION("GOOGLETRANSLATE(B451,""en"",""el"")"),"Χρειάζεται βαθμονόμηση")</f>
        <v>Χρειάζεται βαθμονόμηση</v>
      </c>
      <c r="AG451" s="4" t="str">
        <f>IFERROR(__xludf.DUMMYFUNCTION("GOOGLETRANSLATE(B451,""en"",""et"")"),"Vajab kalibreerimist")</f>
        <v>Vajab kalibreerimist</v>
      </c>
      <c r="AH451" s="4" t="str">
        <f>IFERROR(__xludf.DUMMYFUNCTION("GOOGLETRANSLATE(B451,""en"",""fi"")"),"Vaatii kalibroinnin")</f>
        <v>Vaatii kalibroinnin</v>
      </c>
      <c r="AI451" s="4" t="str">
        <f>IFERROR(__xludf.DUMMYFUNCTION("GOOGLETRANSLATE(B451,""en"",""hr"")"),"Potrebna je kalibracija")</f>
        <v>Potrebna je kalibracija</v>
      </c>
      <c r="AJ451" s="4" t="str">
        <f>IFERROR(__xludf.DUMMYFUNCTION("GOOGLETRANSLATE(B451,""en"",""hu"")"),"Kalibrálást igényel")</f>
        <v>Kalibrálást igényel</v>
      </c>
      <c r="AK451" s="4" t="str">
        <f>IFERROR(__xludf.DUMMYFUNCTION("GOOGLETRANSLATE(B451,""en"",""hy"")"),"Կալիբրացիայի կարիք ունի")</f>
        <v>Կալիբրացիայի կարիք ունի</v>
      </c>
      <c r="AL451" s="4" t="str">
        <f>IFERROR(__xludf.DUMMYFUNCTION("GOOGLETRANSLATE(B451,""en"",""ca"")"),"Necessita calibratge")</f>
        <v>Necessita calibratge</v>
      </c>
      <c r="AM451" s="4" t="str">
        <f>IFERROR(__xludf.DUMMYFUNCTION("GOOGLETRANSLATE(B451,""en"",""nl"")"),"Kalibratie nodig")</f>
        <v>Kalibratie nodig</v>
      </c>
      <c r="AN451" s="4" t="str">
        <f>IFERROR(__xludf.DUMMYFUNCTION("GOOGLETRANSLATE(B451,""en"",""he"")"),"צריך כיול")</f>
        <v>צריך כיול</v>
      </c>
      <c r="AO451" s="4" t="str">
        <f>IFERROR(__xludf.DUMMYFUNCTION("GOOGLETRANSLATE(B451,""en"",""is"")"),"Þarfnast kvörðunar")</f>
        <v>Þarfnast kvörðunar</v>
      </c>
      <c r="AP451" s="4" t="str">
        <f>IFERROR(__xludf.DUMMYFUNCTION("GOOGLETRANSLATE(B451,""en"",""no"")"),"Trenger kalibrering")</f>
        <v>Trenger kalibrering</v>
      </c>
      <c r="AQ451" s="4" t="str">
        <f>IFERROR(__xludf.DUMMYFUNCTION("GOOGLETRANSLATE(B451,""en"",""fa"")"),"نیاز به کالیبراسیون دارد")</f>
        <v>نیاز به کالیبراسیون دارد</v>
      </c>
      <c r="AR451" s="4" t="str">
        <f>IFERROR(__xludf.DUMMYFUNCTION("GOOGLETRANSLATE(B451,""en"",""pl"")"),"Wymaga kalibracji")</f>
        <v>Wymaga kalibracji</v>
      </c>
      <c r="AS451" s="4" t="str">
        <f>IFERROR(__xludf.DUMMYFUNCTION("GOOGLETRANSLATE(B451,""en"",""sv"")"),"Behöver kalibrering")</f>
        <v>Behöver kalibrering</v>
      </c>
      <c r="AT451" s="4" t="str">
        <f>IFERROR(__xludf.DUMMYFUNCTION("GOOGLETRANSLATE(B451,""en"",""uk"")"),"Потребує калібрування")</f>
        <v>Потребує калібрування</v>
      </c>
      <c r="AU451" s="4" t="str">
        <f>IFERROR(__xludf.DUMMYFUNCTION("GOOGLETRANSLATE(B451,""en"",""zu"")"),"Idinga ukulinganisa")</f>
        <v>Idinga ukulinganisa</v>
      </c>
      <c r="AV451" s="4" t="str">
        <f>IFERROR(__xludf.DUMMYFUNCTION("GOOGLETRANSLATE(B451,""en"",""sr"")"),"Потребна је калибрација")</f>
        <v>Потребна је калибрација</v>
      </c>
    </row>
    <row r="452">
      <c r="A452" s="3" t="s">
        <v>877</v>
      </c>
      <c r="B452" s="3" t="s">
        <v>113</v>
      </c>
      <c r="C452" s="4" t="str">
        <f>IFERROR(__xludf.DUMMYFUNCTION("GOOGLETRANSLATE(B452,""en"",""ta"")"),"சென்சார்கள்")</f>
        <v>சென்சார்கள்</v>
      </c>
      <c r="D452" s="4" t="str">
        <f>IFERROR(__xludf.DUMMYFUNCTION("GOOGLETRANSLATE(B452,""en"",""hi"")"),"सेंसर")</f>
        <v>सेंसर</v>
      </c>
      <c r="E452" s="4" t="str">
        <f>IFERROR(__xludf.DUMMYFUNCTION("GOOGLETRANSLATE(B452,""en"",""id"")"),"Sensor")</f>
        <v>Sensor</v>
      </c>
      <c r="F452" s="4" t="str">
        <f>IFERROR(__xludf.DUMMYFUNCTION("GOOGLETRANSLATE(B452,""en"",""ms"")"),"Penderia")</f>
        <v>Penderia</v>
      </c>
      <c r="G452" s="4" t="str">
        <f>IFERROR(__xludf.DUMMYFUNCTION("GOOGLETRANSLATE(B452,""en"",""de"")"),"Sensoren")</f>
        <v>Sensoren</v>
      </c>
      <c r="H452" s="4" t="str">
        <f>IFERROR(__xludf.DUMMYFUNCTION("GOOGLETRANSLATE(B452,""en"",""es"")"),"Sensores")</f>
        <v>Sensores</v>
      </c>
      <c r="I452" s="4" t="str">
        <f>IFERROR(__xludf.DUMMYFUNCTION("GOOGLETRANSLATE(B452,""en"",""fr"")"),"Capteurs")</f>
        <v>Capteurs</v>
      </c>
      <c r="J452" s="4" t="str">
        <f>IFERROR(__xludf.DUMMYFUNCTION("GOOGLETRANSLATE(B452,""en"",""it"")"),"Sensori")</f>
        <v>Sensori</v>
      </c>
      <c r="K452" s="4" t="str">
        <f>IFERROR(__xludf.DUMMYFUNCTION("GOOGLETRANSLATE(B452,""en"",""pt"")"),"Sensores")</f>
        <v>Sensores</v>
      </c>
      <c r="L452" s="4" t="str">
        <f>IFERROR(__xludf.DUMMYFUNCTION("GOOGLETRANSLATE(B452,""en"",""ro"")"),"Senzori")</f>
        <v>Senzori</v>
      </c>
      <c r="M452" s="4" t="str">
        <f>IFERROR(__xludf.DUMMYFUNCTION("GOOGLETRANSLATE(B452,""en"",""vi"")"),"Cảm biến")</f>
        <v>Cảm biến</v>
      </c>
      <c r="N452" s="4" t="str">
        <f>IFERROR(__xludf.DUMMYFUNCTION("GOOGLETRANSLATE(B452,""en"",""ru"")"),"Датчики")</f>
        <v>Датчики</v>
      </c>
      <c r="O452" s="4" t="str">
        <f>IFERROR(__xludf.DUMMYFUNCTION("GOOGLETRANSLATE(B452,""en"",""tr"")"),"Sensörler")</f>
        <v>Sensörler</v>
      </c>
      <c r="P452" s="4" t="str">
        <f>IFERROR(__xludf.DUMMYFUNCTION("GOOGLETRANSLATE(B452,""en"",""ar"")"),"أجهزة الاستشعار")</f>
        <v>أجهزة الاستشعار</v>
      </c>
      <c r="Q452" s="4" t="str">
        <f>IFERROR(__xludf.DUMMYFUNCTION("GOOGLETRANSLATE(B452,""en"",""mr"")"),"सेन्सर्स")</f>
        <v>सेन्सर्स</v>
      </c>
      <c r="R452" s="4" t="str">
        <f>IFERROR(__xludf.DUMMYFUNCTION("GOOGLETRANSLATE(B452,""en"",""gu"")"),"સેન્સર્સ")</f>
        <v>સેન્સર્સ</v>
      </c>
      <c r="S452" s="4" t="str">
        <f>IFERROR(__xludf.DUMMYFUNCTION("GOOGLETRANSLATE(B452,""en"",""bn"")"),"সেন্সর")</f>
        <v>সেন্সর</v>
      </c>
      <c r="T452" s="4" t="str">
        <f>IFERROR(__xludf.DUMMYFUNCTION("GOOGLETRANSLATE(B452,""en"",""pa"")"),"ਸੈਂਸਰ")</f>
        <v>ਸੈਂਸਰ</v>
      </c>
      <c r="U452" s="4" t="str">
        <f>IFERROR(__xludf.DUMMYFUNCTION("GOOGLETRANSLATE(B452,""en"",""te"")"),"సెన్సార్లు")</f>
        <v>సెన్సార్లు</v>
      </c>
      <c r="V452" s="4" t="str">
        <f>IFERROR(__xludf.DUMMYFUNCTION("GOOGLETRANSLATE(B452,""en"",""kn"")"),"ಸಂವೇದಕಗಳು")</f>
        <v>ಸಂವೇದಕಗಳು</v>
      </c>
      <c r="W452" s="4" t="str">
        <f>IFERROR(__xludf.DUMMYFUNCTION("GOOGLETRANSLATE(B452,""en"",""ml"")"),"സെൻസറുകൾ")</f>
        <v>സെൻസറുകൾ</v>
      </c>
      <c r="X452" s="4" t="str">
        <f>IFERROR(__xludf.DUMMYFUNCTION("GOOGLETRANSLATE(B452,""en"",""th"")"),"เซ็นเซอร์")</f>
        <v>เซ็นเซอร์</v>
      </c>
      <c r="Y452" s="4" t="str">
        <f>IFERROR(__xludf.DUMMYFUNCTION("GOOGLETRANSLATE(B452,""en"",""ko"")"),"센서")</f>
        <v>센서</v>
      </c>
      <c r="Z452" s="4" t="str">
        <f>IFERROR(__xludf.DUMMYFUNCTION("GOOGLETRANSLATE(B452,""en"",""zh"")"),"传感器")</f>
        <v>传感器</v>
      </c>
      <c r="AA452" s="4" t="str">
        <f>IFERROR(__xludf.DUMMYFUNCTION("GOOGLETRANSLATE(B452,""en"",""zh-TW"")"),"感應器")</f>
        <v>感應器</v>
      </c>
      <c r="AB452" s="4" t="str">
        <f>IFERROR(__xludf.DUMMYFUNCTION("GOOGLETRANSLATE(B452,""en"",""ja"")"),"センサー")</f>
        <v>センサー</v>
      </c>
      <c r="AC452" s="4" t="str">
        <f>IFERROR(__xludf.DUMMYFUNCTION("GOOGLETRANSLATE(B452,""en"",""bg"")"),"Сензори")</f>
        <v>Сензори</v>
      </c>
      <c r="AD452" s="4" t="str">
        <f>IFERROR(__xludf.DUMMYFUNCTION("GOOGLETRANSLATE(B452,""en"",""cs"")"),"Senzory")</f>
        <v>Senzory</v>
      </c>
      <c r="AE452" s="4" t="str">
        <f>IFERROR(__xludf.DUMMYFUNCTION("GOOGLETRANSLATE(B452,""en"",""da"")"),"Sensorer")</f>
        <v>Sensorer</v>
      </c>
      <c r="AF452" s="4" t="str">
        <f>IFERROR(__xludf.DUMMYFUNCTION("GOOGLETRANSLATE(B452,""en"",""el"")"),"Αισθητήρες")</f>
        <v>Αισθητήρες</v>
      </c>
      <c r="AG452" s="4" t="str">
        <f>IFERROR(__xludf.DUMMYFUNCTION("GOOGLETRANSLATE(B452,""en"",""et"")"),"Andurid")</f>
        <v>Andurid</v>
      </c>
      <c r="AH452" s="4" t="str">
        <f>IFERROR(__xludf.DUMMYFUNCTION("GOOGLETRANSLATE(B452,""en"",""fi"")"),"Anturit")</f>
        <v>Anturit</v>
      </c>
      <c r="AI452" s="4" t="str">
        <f>IFERROR(__xludf.DUMMYFUNCTION("GOOGLETRANSLATE(B452,""en"",""hr"")"),"Senzori")</f>
        <v>Senzori</v>
      </c>
      <c r="AJ452" s="4" t="str">
        <f>IFERROR(__xludf.DUMMYFUNCTION("GOOGLETRANSLATE(B452,""en"",""hu"")"),"Érzékelők")</f>
        <v>Érzékelők</v>
      </c>
      <c r="AK452" s="4" t="str">
        <f>IFERROR(__xludf.DUMMYFUNCTION("GOOGLETRANSLATE(B452,""en"",""hy"")"),"Սենսորներ")</f>
        <v>Սենսորներ</v>
      </c>
      <c r="AL452" s="4" t="str">
        <f>IFERROR(__xludf.DUMMYFUNCTION("GOOGLETRANSLATE(B452,""en"",""ca"")"),"Sensors")</f>
        <v>Sensors</v>
      </c>
      <c r="AM452" s="4" t="str">
        <f>IFERROR(__xludf.DUMMYFUNCTION("GOOGLETRANSLATE(B452,""en"",""nl"")"),"Sensoren")</f>
        <v>Sensoren</v>
      </c>
      <c r="AN452" s="4" t="str">
        <f>IFERROR(__xludf.DUMMYFUNCTION("GOOGLETRANSLATE(B452,""en"",""he"")"),"חיישנים")</f>
        <v>חיישנים</v>
      </c>
      <c r="AO452" s="4" t="str">
        <f>IFERROR(__xludf.DUMMYFUNCTION("GOOGLETRANSLATE(B452,""en"",""is"")"),"Skynjarar")</f>
        <v>Skynjarar</v>
      </c>
      <c r="AP452" s="4" t="str">
        <f>IFERROR(__xludf.DUMMYFUNCTION("GOOGLETRANSLATE(B452,""en"",""no"")"),"Sensorer")</f>
        <v>Sensorer</v>
      </c>
      <c r="AQ452" s="4" t="str">
        <f>IFERROR(__xludf.DUMMYFUNCTION("GOOGLETRANSLATE(B452,""en"",""fa"")"),"حسگرها")</f>
        <v>حسگرها</v>
      </c>
      <c r="AR452" s="4" t="str">
        <f>IFERROR(__xludf.DUMMYFUNCTION("GOOGLETRANSLATE(B452,""en"",""pl"")"),"Czujniki")</f>
        <v>Czujniki</v>
      </c>
      <c r="AS452" s="4" t="str">
        <f>IFERROR(__xludf.DUMMYFUNCTION("GOOGLETRANSLATE(B452,""en"",""sv"")"),"Sensorer")</f>
        <v>Sensorer</v>
      </c>
      <c r="AT452" s="4" t="str">
        <f>IFERROR(__xludf.DUMMYFUNCTION("GOOGLETRANSLATE(B452,""en"",""uk"")"),"Датчики")</f>
        <v>Датчики</v>
      </c>
      <c r="AU452" s="4" t="str">
        <f>IFERROR(__xludf.DUMMYFUNCTION("GOOGLETRANSLATE(B452,""en"",""zu"")"),"Izinzwa")</f>
        <v>Izinzwa</v>
      </c>
      <c r="AV452" s="4" t="str">
        <f>IFERROR(__xludf.DUMMYFUNCTION("GOOGLETRANSLATE(B452,""en"",""sr"")"),"Сензори")</f>
        <v>Сензори</v>
      </c>
    </row>
    <row r="453">
      <c r="A453" s="3" t="s">
        <v>878</v>
      </c>
      <c r="B453" s="3" t="s">
        <v>879</v>
      </c>
      <c r="C453" s="4" t="str">
        <f>IFERROR(__xludf.DUMMYFUNCTION("GOOGLETRANSLATE(B453,""en"",""ta"")"),"துல்லியம்")</f>
        <v>துல்லியம்</v>
      </c>
      <c r="D453" s="4" t="str">
        <f>IFERROR(__xludf.DUMMYFUNCTION("GOOGLETRANSLATE(B453,""en"",""hi"")"),"शुद्धता")</f>
        <v>शुद्धता</v>
      </c>
      <c r="E453" s="4" t="str">
        <f>IFERROR(__xludf.DUMMYFUNCTION("GOOGLETRANSLATE(B453,""en"",""id"")"),"Ketepatan")</f>
        <v>Ketepatan</v>
      </c>
      <c r="F453" s="4" t="str">
        <f>IFERROR(__xludf.DUMMYFUNCTION("GOOGLETRANSLATE(B453,""en"",""ms"")"),"Ketepatan")</f>
        <v>Ketepatan</v>
      </c>
      <c r="G453" s="4" t="str">
        <f>IFERROR(__xludf.DUMMYFUNCTION("GOOGLETRANSLATE(B453,""en"",""de"")"),"Genauigkeit")</f>
        <v>Genauigkeit</v>
      </c>
      <c r="H453" s="4" t="str">
        <f>IFERROR(__xludf.DUMMYFUNCTION("GOOGLETRANSLATE(B453,""en"",""es"")"),"Exactitud")</f>
        <v>Exactitud</v>
      </c>
      <c r="I453" s="4" t="str">
        <f>IFERROR(__xludf.DUMMYFUNCTION("GOOGLETRANSLATE(B453,""en"",""fr"")"),"Précision")</f>
        <v>Précision</v>
      </c>
      <c r="J453" s="4" t="str">
        <f>IFERROR(__xludf.DUMMYFUNCTION("GOOGLETRANSLATE(B453,""en"",""it"")"),"Precisione")</f>
        <v>Precisione</v>
      </c>
      <c r="K453" s="4" t="str">
        <f>IFERROR(__xludf.DUMMYFUNCTION("GOOGLETRANSLATE(B453,""en"",""pt"")"),"Precisão")</f>
        <v>Precisão</v>
      </c>
      <c r="L453" s="4" t="str">
        <f>IFERROR(__xludf.DUMMYFUNCTION("GOOGLETRANSLATE(B453,""en"",""ro"")"),"Precizie")</f>
        <v>Precizie</v>
      </c>
      <c r="M453" s="4" t="str">
        <f>IFERROR(__xludf.DUMMYFUNCTION("GOOGLETRANSLATE(B453,""en"",""vi"")"),"Sự chính xác")</f>
        <v>Sự chính xác</v>
      </c>
      <c r="N453" s="4" t="str">
        <f>IFERROR(__xludf.DUMMYFUNCTION("GOOGLETRANSLATE(B453,""en"",""ru"")"),"Точность")</f>
        <v>Точность</v>
      </c>
      <c r="O453" s="4" t="str">
        <f>IFERROR(__xludf.DUMMYFUNCTION("GOOGLETRANSLATE(B453,""en"",""tr"")"),"Kesinlik")</f>
        <v>Kesinlik</v>
      </c>
      <c r="P453" s="4" t="str">
        <f>IFERROR(__xludf.DUMMYFUNCTION("GOOGLETRANSLATE(B453,""en"",""ar"")"),"دقة")</f>
        <v>دقة</v>
      </c>
      <c r="Q453" s="4" t="str">
        <f>IFERROR(__xludf.DUMMYFUNCTION("GOOGLETRANSLATE(B453,""en"",""mr"")"),"अचूकता")</f>
        <v>अचूकता</v>
      </c>
      <c r="R453" s="4" t="str">
        <f>IFERROR(__xludf.DUMMYFUNCTION("GOOGLETRANSLATE(B453,""en"",""gu"")"),"ચોકસાઈ")</f>
        <v>ચોકસાઈ</v>
      </c>
      <c r="S453" s="4" t="str">
        <f>IFERROR(__xludf.DUMMYFUNCTION("GOOGLETRANSLATE(B453,""en"",""bn"")"),"নির্ভুলতা")</f>
        <v>নির্ভুলতা</v>
      </c>
      <c r="T453" s="4" t="str">
        <f>IFERROR(__xludf.DUMMYFUNCTION("GOOGLETRANSLATE(B453,""en"",""pa"")"),"ਸ਼ੁੱਧਤਾ")</f>
        <v>ਸ਼ੁੱਧਤਾ</v>
      </c>
      <c r="U453" s="4" t="str">
        <f>IFERROR(__xludf.DUMMYFUNCTION("GOOGLETRANSLATE(B453,""en"",""te"")"),"ఖచ్చితత్వం")</f>
        <v>ఖచ్చితత్వం</v>
      </c>
      <c r="V453" s="4" t="str">
        <f>IFERROR(__xludf.DUMMYFUNCTION("GOOGLETRANSLATE(B453,""en"",""kn"")"),"ನಿಖರತೆ")</f>
        <v>ನಿಖರತೆ</v>
      </c>
      <c r="W453" s="4" t="str">
        <f>IFERROR(__xludf.DUMMYFUNCTION("GOOGLETRANSLATE(B453,""en"",""ml"")"),"കൃത്യത")</f>
        <v>കൃത്യത</v>
      </c>
      <c r="X453" s="4" t="str">
        <f>IFERROR(__xludf.DUMMYFUNCTION("GOOGLETRANSLATE(B453,""en"",""th"")"),"ความแม่นยำ")</f>
        <v>ความแม่นยำ</v>
      </c>
      <c r="Y453" s="4" t="str">
        <f>IFERROR(__xludf.DUMMYFUNCTION("GOOGLETRANSLATE(B453,""en"",""ko"")"),"정확성")</f>
        <v>정확성</v>
      </c>
      <c r="Z453" s="4" t="str">
        <f>IFERROR(__xludf.DUMMYFUNCTION("GOOGLETRANSLATE(B453,""en"",""zh"")"),"准确性")</f>
        <v>准确性</v>
      </c>
      <c r="AA453" s="4" t="str">
        <f>IFERROR(__xludf.DUMMYFUNCTION("GOOGLETRANSLATE(B453,""en"",""zh-TW"")"),"準確性")</f>
        <v>準確性</v>
      </c>
      <c r="AB453" s="4" t="str">
        <f>IFERROR(__xludf.DUMMYFUNCTION("GOOGLETRANSLATE(B453,""en"",""ja"")"),"正確さ")</f>
        <v>正確さ</v>
      </c>
      <c r="AC453" s="4" t="str">
        <f>IFERROR(__xludf.DUMMYFUNCTION("GOOGLETRANSLATE(B453,""en"",""bg"")"),"точност")</f>
        <v>точност</v>
      </c>
      <c r="AD453" s="4" t="str">
        <f>IFERROR(__xludf.DUMMYFUNCTION("GOOGLETRANSLATE(B453,""en"",""cs"")"),"Přesnost")</f>
        <v>Přesnost</v>
      </c>
      <c r="AE453" s="4" t="str">
        <f>IFERROR(__xludf.DUMMYFUNCTION("GOOGLETRANSLATE(B453,""en"",""da"")"),"Nøjagtighed")</f>
        <v>Nøjagtighed</v>
      </c>
      <c r="AF453" s="4" t="str">
        <f>IFERROR(__xludf.DUMMYFUNCTION("GOOGLETRANSLATE(B453,""en"",""el"")"),"Ακρίβεια")</f>
        <v>Ακρίβεια</v>
      </c>
      <c r="AG453" s="4" t="str">
        <f>IFERROR(__xludf.DUMMYFUNCTION("GOOGLETRANSLATE(B453,""en"",""et"")"),"Täpsus")</f>
        <v>Täpsus</v>
      </c>
      <c r="AH453" s="4" t="str">
        <f>IFERROR(__xludf.DUMMYFUNCTION("GOOGLETRANSLATE(B453,""en"",""fi"")"),"Tarkkuus")</f>
        <v>Tarkkuus</v>
      </c>
      <c r="AI453" s="4" t="str">
        <f>IFERROR(__xludf.DUMMYFUNCTION("GOOGLETRANSLATE(B453,""en"",""hr"")"),"Točnost")</f>
        <v>Točnost</v>
      </c>
      <c r="AJ453" s="4" t="str">
        <f>IFERROR(__xludf.DUMMYFUNCTION("GOOGLETRANSLATE(B453,""en"",""hu"")"),"Pontosság")</f>
        <v>Pontosság</v>
      </c>
      <c r="AK453" s="4" t="str">
        <f>IFERROR(__xludf.DUMMYFUNCTION("GOOGLETRANSLATE(B453,""en"",""hy"")"),"Ճշգրտություն")</f>
        <v>Ճշգրտություն</v>
      </c>
      <c r="AL453" s="4" t="str">
        <f>IFERROR(__xludf.DUMMYFUNCTION("GOOGLETRANSLATE(B453,""en"",""ca"")"),"Precisió")</f>
        <v>Precisió</v>
      </c>
      <c r="AM453" s="4" t="str">
        <f>IFERROR(__xludf.DUMMYFUNCTION("GOOGLETRANSLATE(B453,""en"",""nl"")"),"Nauwkeurigheid")</f>
        <v>Nauwkeurigheid</v>
      </c>
      <c r="AN453" s="4" t="str">
        <f>IFERROR(__xludf.DUMMYFUNCTION("GOOGLETRANSLATE(B453,""en"",""he"")"),"דִיוּק")</f>
        <v>דִיוּק</v>
      </c>
      <c r="AO453" s="4" t="str">
        <f>IFERROR(__xludf.DUMMYFUNCTION("GOOGLETRANSLATE(B453,""en"",""is"")"),"Nákvæmni")</f>
        <v>Nákvæmni</v>
      </c>
      <c r="AP453" s="4" t="str">
        <f>IFERROR(__xludf.DUMMYFUNCTION("GOOGLETRANSLATE(B453,""en"",""no"")"),"Nøyaktighet")</f>
        <v>Nøyaktighet</v>
      </c>
      <c r="AQ453" s="4" t="str">
        <f>IFERROR(__xludf.DUMMYFUNCTION("GOOGLETRANSLATE(B453,""en"",""fa"")"),"دقت")</f>
        <v>دقت</v>
      </c>
      <c r="AR453" s="4" t="str">
        <f>IFERROR(__xludf.DUMMYFUNCTION("GOOGLETRANSLATE(B453,""en"",""pl"")"),"Dokładność")</f>
        <v>Dokładność</v>
      </c>
      <c r="AS453" s="4" t="str">
        <f>IFERROR(__xludf.DUMMYFUNCTION("GOOGLETRANSLATE(B453,""en"",""sv"")"),"Noggrannhet")</f>
        <v>Noggrannhet</v>
      </c>
      <c r="AT453" s="4" t="str">
        <f>IFERROR(__xludf.DUMMYFUNCTION("GOOGLETRANSLATE(B453,""en"",""uk"")"),"Точність")</f>
        <v>Точність</v>
      </c>
      <c r="AU453" s="4" t="str">
        <f>IFERROR(__xludf.DUMMYFUNCTION("GOOGLETRANSLATE(B453,""en"",""zu"")"),"Ukunemba")</f>
        <v>Ukunemba</v>
      </c>
      <c r="AV453" s="4" t="str">
        <f>IFERROR(__xludf.DUMMYFUNCTION("GOOGLETRANSLATE(B453,""en"",""sr"")"),"Прецизност")</f>
        <v>Прецизност</v>
      </c>
    </row>
    <row r="454">
      <c r="A454" s="3" t="s">
        <v>880</v>
      </c>
      <c r="B454" s="3" t="s">
        <v>881</v>
      </c>
      <c r="C454" s="4" t="str">
        <f>IFERROR(__xludf.DUMMYFUNCTION("GOOGLETRANSLATE(B454,""en"",""ta"")"),"காந்தப்புலம்")</f>
        <v>காந்தப்புலம்</v>
      </c>
      <c r="D454" s="4" t="str">
        <f>IFERROR(__xludf.DUMMYFUNCTION("GOOGLETRANSLATE(B454,""en"",""hi"")"),"चुंबकीय क्षेत्र")</f>
        <v>चुंबकीय क्षेत्र</v>
      </c>
      <c r="E454" s="4" t="str">
        <f>IFERROR(__xludf.DUMMYFUNCTION("GOOGLETRANSLATE(B454,""en"",""id"")"),"Medan Magnet")</f>
        <v>Medan Magnet</v>
      </c>
      <c r="F454" s="4" t="str">
        <f>IFERROR(__xludf.DUMMYFUNCTION("GOOGLETRANSLATE(B454,""en"",""ms"")"),"Medan Magnet")</f>
        <v>Medan Magnet</v>
      </c>
      <c r="G454" s="4" t="str">
        <f>IFERROR(__xludf.DUMMYFUNCTION("GOOGLETRANSLATE(B454,""en"",""de"")"),"Magnetfeld")</f>
        <v>Magnetfeld</v>
      </c>
      <c r="H454" s="4" t="str">
        <f>IFERROR(__xludf.DUMMYFUNCTION("GOOGLETRANSLATE(B454,""en"",""es"")"),"Campo magnético")</f>
        <v>Campo magnético</v>
      </c>
      <c r="I454" s="4" t="str">
        <f>IFERROR(__xludf.DUMMYFUNCTION("GOOGLETRANSLATE(B454,""en"",""fr"")"),"Champ magnétique")</f>
        <v>Champ magnétique</v>
      </c>
      <c r="J454" s="4" t="str">
        <f>IFERROR(__xludf.DUMMYFUNCTION("GOOGLETRANSLATE(B454,""en"",""it"")"),"Campo magnetico")</f>
        <v>Campo magnetico</v>
      </c>
      <c r="K454" s="4" t="str">
        <f>IFERROR(__xludf.DUMMYFUNCTION("GOOGLETRANSLATE(B454,""en"",""pt"")"),"Campo magnético")</f>
        <v>Campo magnético</v>
      </c>
      <c r="L454" s="4" t="str">
        <f>IFERROR(__xludf.DUMMYFUNCTION("GOOGLETRANSLATE(B454,""en"",""ro"")"),"Câmp magnetic")</f>
        <v>Câmp magnetic</v>
      </c>
      <c r="M454" s="4" t="str">
        <f>IFERROR(__xludf.DUMMYFUNCTION("GOOGLETRANSLATE(B454,""en"",""vi"")"),"Từ trường")</f>
        <v>Từ trường</v>
      </c>
      <c r="N454" s="4" t="str">
        <f>IFERROR(__xludf.DUMMYFUNCTION("GOOGLETRANSLATE(B454,""en"",""ru"")"),"Магнитное Поле")</f>
        <v>Магнитное Поле</v>
      </c>
      <c r="O454" s="4" t="str">
        <f>IFERROR(__xludf.DUMMYFUNCTION("GOOGLETRANSLATE(B454,""en"",""tr"")"),"Manyetik alan")</f>
        <v>Manyetik alan</v>
      </c>
      <c r="P454" s="4" t="str">
        <f>IFERROR(__xludf.DUMMYFUNCTION("GOOGLETRANSLATE(B454,""en"",""ar"")"),"المجال المغنطيسي")</f>
        <v>المجال المغنطيسي</v>
      </c>
      <c r="Q454" s="4" t="str">
        <f>IFERROR(__xludf.DUMMYFUNCTION("GOOGLETRANSLATE(B454,""en"",""mr"")"),"चुंबकीय क्षेत्र")</f>
        <v>चुंबकीय क्षेत्र</v>
      </c>
      <c r="R454" s="4" t="str">
        <f>IFERROR(__xludf.DUMMYFUNCTION("GOOGLETRANSLATE(B454,""en"",""gu"")"),"ચુંબકીય ક્ષેત્ર")</f>
        <v>ચુંબકીય ક્ષેત્ર</v>
      </c>
      <c r="S454" s="4" t="str">
        <f>IFERROR(__xludf.DUMMYFUNCTION("GOOGLETRANSLATE(B454,""en"",""bn"")"),"চৌম্বক ক্ষেত্র")</f>
        <v>চৌম্বক ক্ষেত্র</v>
      </c>
      <c r="T454" s="4" t="str">
        <f>IFERROR(__xludf.DUMMYFUNCTION("GOOGLETRANSLATE(B454,""en"",""pa"")"),"ਚੁੰਬਕੀ ਖੇਤਰ")</f>
        <v>ਚੁੰਬਕੀ ਖੇਤਰ</v>
      </c>
      <c r="U454" s="4" t="str">
        <f>IFERROR(__xludf.DUMMYFUNCTION("GOOGLETRANSLATE(B454,""en"",""te"")"),"అయస్కాంత క్షేత్రం")</f>
        <v>అయస్కాంత క్షేత్రం</v>
      </c>
      <c r="V454" s="4" t="str">
        <f>IFERROR(__xludf.DUMMYFUNCTION("GOOGLETRANSLATE(B454,""en"",""kn"")"),"ಮ್ಯಾಗ್ನೆಟಿಕ್ ಫೀಲ್ಡ್")</f>
        <v>ಮ್ಯಾಗ್ನೆಟಿಕ್ ಫೀಲ್ಡ್</v>
      </c>
      <c r="W454" s="4" t="str">
        <f>IFERROR(__xludf.DUMMYFUNCTION("GOOGLETRANSLATE(B454,""en"",""ml"")"),"കാന്തിക മണ്ഡലം")</f>
        <v>കാന്തിക മണ്ഡലം</v>
      </c>
      <c r="X454" s="4" t="str">
        <f>IFERROR(__xludf.DUMMYFUNCTION("GOOGLETRANSLATE(B454,""en"",""th"")"),"สนามแม่เหล็ก")</f>
        <v>สนามแม่เหล็ก</v>
      </c>
      <c r="Y454" s="4" t="str">
        <f>IFERROR(__xludf.DUMMYFUNCTION("GOOGLETRANSLATE(B454,""en"",""ko"")"),"자기장")</f>
        <v>자기장</v>
      </c>
      <c r="Z454" s="4" t="str">
        <f>IFERROR(__xludf.DUMMYFUNCTION("GOOGLETRANSLATE(B454,""en"",""zh"")"),"磁场")</f>
        <v>磁场</v>
      </c>
      <c r="AA454" s="4" t="str">
        <f>IFERROR(__xludf.DUMMYFUNCTION("GOOGLETRANSLATE(B454,""en"",""zh-TW"")"),"磁場")</f>
        <v>磁場</v>
      </c>
      <c r="AB454" s="4" t="str">
        <f>IFERROR(__xludf.DUMMYFUNCTION("GOOGLETRANSLATE(B454,""en"",""ja"")"),"磁場")</f>
        <v>磁場</v>
      </c>
      <c r="AC454" s="4" t="str">
        <f>IFERROR(__xludf.DUMMYFUNCTION("GOOGLETRANSLATE(B454,""en"",""bg"")"),"Магнитно поле")</f>
        <v>Магнитно поле</v>
      </c>
      <c r="AD454" s="4" t="str">
        <f>IFERROR(__xludf.DUMMYFUNCTION("GOOGLETRANSLATE(B454,""en"",""cs"")"),"Magnetické pole")</f>
        <v>Magnetické pole</v>
      </c>
      <c r="AE454" s="4" t="str">
        <f>IFERROR(__xludf.DUMMYFUNCTION("GOOGLETRANSLATE(B454,""en"",""da"")"),"Magnetfelt")</f>
        <v>Magnetfelt</v>
      </c>
      <c r="AF454" s="4" t="str">
        <f>IFERROR(__xludf.DUMMYFUNCTION("GOOGLETRANSLATE(B454,""en"",""el"")"),"Μαγνητικό Πεδίο")</f>
        <v>Μαγνητικό Πεδίο</v>
      </c>
      <c r="AG454" s="4" t="str">
        <f>IFERROR(__xludf.DUMMYFUNCTION("GOOGLETRANSLATE(B454,""en"",""et"")"),"Magnetväli")</f>
        <v>Magnetväli</v>
      </c>
      <c r="AH454" s="4" t="str">
        <f>IFERROR(__xludf.DUMMYFUNCTION("GOOGLETRANSLATE(B454,""en"",""fi"")"),"Magneettikenttä")</f>
        <v>Magneettikenttä</v>
      </c>
      <c r="AI454" s="4" t="str">
        <f>IFERROR(__xludf.DUMMYFUNCTION("GOOGLETRANSLATE(B454,""en"",""hr"")"),"Magnetsko polje")</f>
        <v>Magnetsko polje</v>
      </c>
      <c r="AJ454" s="4" t="str">
        <f>IFERROR(__xludf.DUMMYFUNCTION("GOOGLETRANSLATE(B454,""en"",""hu"")"),"Mágneses mező")</f>
        <v>Mágneses mező</v>
      </c>
      <c r="AK454" s="4" t="str">
        <f>IFERROR(__xludf.DUMMYFUNCTION("GOOGLETRANSLATE(B454,""en"",""hy"")"),"Մագնիսական դաշտ")</f>
        <v>Մագնիսական դաշտ</v>
      </c>
      <c r="AL454" s="4" t="str">
        <f>IFERROR(__xludf.DUMMYFUNCTION("GOOGLETRANSLATE(B454,""en"",""ca"")"),"Camp magnètic")</f>
        <v>Camp magnètic</v>
      </c>
      <c r="AM454" s="4" t="str">
        <f>IFERROR(__xludf.DUMMYFUNCTION("GOOGLETRANSLATE(B454,""en"",""nl"")"),"Magnetisch veld")</f>
        <v>Magnetisch veld</v>
      </c>
      <c r="AN454" s="4" t="str">
        <f>IFERROR(__xludf.DUMMYFUNCTION("GOOGLETRANSLATE(B454,""en"",""he"")"),"שדה מגנטי")</f>
        <v>שדה מגנטי</v>
      </c>
      <c r="AO454" s="4" t="str">
        <f>IFERROR(__xludf.DUMMYFUNCTION("GOOGLETRANSLATE(B454,""en"",""is"")"),"Segulsvið")</f>
        <v>Segulsvið</v>
      </c>
      <c r="AP454" s="4" t="str">
        <f>IFERROR(__xludf.DUMMYFUNCTION("GOOGLETRANSLATE(B454,""en"",""no"")"),"Magnetfelt")</f>
        <v>Magnetfelt</v>
      </c>
      <c r="AQ454" s="4" t="str">
        <f>IFERROR(__xludf.DUMMYFUNCTION("GOOGLETRANSLATE(B454,""en"",""fa"")"),"میدان مغناطیسی")</f>
        <v>میدان مغناطیسی</v>
      </c>
      <c r="AR454" s="4" t="str">
        <f>IFERROR(__xludf.DUMMYFUNCTION("GOOGLETRANSLATE(B454,""en"",""pl"")"),"Pole magnetyczne")</f>
        <v>Pole magnetyczne</v>
      </c>
      <c r="AS454" s="4" t="str">
        <f>IFERROR(__xludf.DUMMYFUNCTION("GOOGLETRANSLATE(B454,""en"",""sv"")"),"Magnetfält")</f>
        <v>Magnetfält</v>
      </c>
      <c r="AT454" s="4" t="str">
        <f>IFERROR(__xludf.DUMMYFUNCTION("GOOGLETRANSLATE(B454,""en"",""uk"")"),"Магнітне поле")</f>
        <v>Магнітне поле</v>
      </c>
      <c r="AU454" s="4" t="str">
        <f>IFERROR(__xludf.DUMMYFUNCTION("GOOGLETRANSLATE(B454,""en"",""zu"")"),"Inkambu Yezibuthe")</f>
        <v>Inkambu Yezibuthe</v>
      </c>
      <c r="AV454" s="4" t="str">
        <f>IFERROR(__xludf.DUMMYFUNCTION("GOOGLETRANSLATE(B454,""en"",""sr"")"),"Магнетно поље")</f>
        <v>Магнетно поље</v>
      </c>
    </row>
    <row r="455">
      <c r="A455" s="3" t="s">
        <v>882</v>
      </c>
      <c r="B455" s="3" t="s">
        <v>883</v>
      </c>
      <c r="C455" s="4" t="str">
        <f>IFERROR(__xludf.DUMMYFUNCTION("GOOGLETRANSLATE(B455,""en"",""ta"")"),"முடுக்கமானி")</f>
        <v>முடுக்கமானி</v>
      </c>
      <c r="D455" s="4" t="str">
        <f>IFERROR(__xludf.DUMMYFUNCTION("GOOGLETRANSLATE(B455,""en"",""hi"")"),"accelerometer")</f>
        <v>accelerometer</v>
      </c>
      <c r="E455" s="4" t="str">
        <f>IFERROR(__xludf.DUMMYFUNCTION("GOOGLETRANSLATE(B455,""en"",""id"")"),"Akselerometer")</f>
        <v>Akselerometer</v>
      </c>
      <c r="F455" s="4" t="str">
        <f>IFERROR(__xludf.DUMMYFUNCTION("GOOGLETRANSLATE(B455,""en"",""ms"")"),"Accelerometer")</f>
        <v>Accelerometer</v>
      </c>
      <c r="G455" s="4" t="str">
        <f>IFERROR(__xludf.DUMMYFUNCTION("GOOGLETRANSLATE(B455,""en"",""de"")"),"Beschleunigungsmesser")</f>
        <v>Beschleunigungsmesser</v>
      </c>
      <c r="H455" s="4" t="str">
        <f>IFERROR(__xludf.DUMMYFUNCTION("GOOGLETRANSLATE(B455,""en"",""es"")"),"Acelerómetro")</f>
        <v>Acelerómetro</v>
      </c>
      <c r="I455" s="4" t="str">
        <f>IFERROR(__xludf.DUMMYFUNCTION("GOOGLETRANSLATE(B455,""en"",""fr"")"),"Accéléromètre")</f>
        <v>Accéléromètre</v>
      </c>
      <c r="J455" s="4" t="str">
        <f>IFERROR(__xludf.DUMMYFUNCTION("GOOGLETRANSLATE(B455,""en"",""it"")"),"Accelerometro")</f>
        <v>Accelerometro</v>
      </c>
      <c r="K455" s="4" t="str">
        <f>IFERROR(__xludf.DUMMYFUNCTION("GOOGLETRANSLATE(B455,""en"",""pt"")"),"Acelerômetro")</f>
        <v>Acelerômetro</v>
      </c>
      <c r="L455" s="4" t="str">
        <f>IFERROR(__xludf.DUMMYFUNCTION("GOOGLETRANSLATE(B455,""en"",""ro"")"),"Accelerometru")</f>
        <v>Accelerometru</v>
      </c>
      <c r="M455" s="4" t="str">
        <f>IFERROR(__xludf.DUMMYFUNCTION("GOOGLETRANSLATE(B455,""en"",""vi"")"),"Gia tốc kế")</f>
        <v>Gia tốc kế</v>
      </c>
      <c r="N455" s="4" t="str">
        <f>IFERROR(__xludf.DUMMYFUNCTION("GOOGLETRANSLATE(B455,""en"",""ru"")"),"Акселерометр")</f>
        <v>Акселерометр</v>
      </c>
      <c r="O455" s="4" t="str">
        <f>IFERROR(__xludf.DUMMYFUNCTION("GOOGLETRANSLATE(B455,""en"",""tr"")"),"İvmeölçer")</f>
        <v>İvmeölçer</v>
      </c>
      <c r="P455" s="4" t="str">
        <f>IFERROR(__xludf.DUMMYFUNCTION("GOOGLETRANSLATE(B455,""en"",""ar"")"),"مقياس التسارع")</f>
        <v>مقياس التسارع</v>
      </c>
      <c r="Q455" s="4" t="str">
        <f>IFERROR(__xludf.DUMMYFUNCTION("GOOGLETRANSLATE(B455,""en"",""mr"")"),"एक्सीलरोमीटर")</f>
        <v>एक्सीलरोमीटर</v>
      </c>
      <c r="R455" s="4" t="str">
        <f>IFERROR(__xludf.DUMMYFUNCTION("GOOGLETRANSLATE(B455,""en"",""gu"")"),"એક્સેલરોમીટર")</f>
        <v>એક્સેલરોમીટર</v>
      </c>
      <c r="S455" s="4" t="str">
        <f>IFERROR(__xludf.DUMMYFUNCTION("GOOGLETRANSLATE(B455,""en"",""bn"")"),"অ্যাক্সিলোমিটার")</f>
        <v>অ্যাক্সিলোমিটার</v>
      </c>
      <c r="T455" s="4" t="str">
        <f>IFERROR(__xludf.DUMMYFUNCTION("GOOGLETRANSLATE(B455,""en"",""pa"")"),"ਐਕਸਲੇਰੋਮੀਟਰ")</f>
        <v>ਐਕਸਲੇਰੋਮੀਟਰ</v>
      </c>
      <c r="U455" s="4" t="str">
        <f>IFERROR(__xludf.DUMMYFUNCTION("GOOGLETRANSLATE(B455,""en"",""te"")"),"యాక్సిలరోమీటర్")</f>
        <v>యాక్సిలరోమీటర్</v>
      </c>
      <c r="V455" s="4" t="str">
        <f>IFERROR(__xludf.DUMMYFUNCTION("GOOGLETRANSLATE(B455,""en"",""kn"")"),"ವೇಗವರ್ಧಕ")</f>
        <v>ವೇಗವರ್ಧಕ</v>
      </c>
      <c r="W455" s="4" t="str">
        <f>IFERROR(__xludf.DUMMYFUNCTION("GOOGLETRANSLATE(B455,""en"",""ml"")"),"ആക്സിലറോമീറ്റർ")</f>
        <v>ആക്സിലറോമീറ്റർ</v>
      </c>
      <c r="X455" s="4" t="str">
        <f>IFERROR(__xludf.DUMMYFUNCTION("GOOGLETRANSLATE(B455,""en"",""th"")"),"เครื่องวัดความเร่ง")</f>
        <v>เครื่องวัดความเร่ง</v>
      </c>
      <c r="Y455" s="4" t="str">
        <f>IFERROR(__xludf.DUMMYFUNCTION("GOOGLETRANSLATE(B455,""en"",""ko"")"),"가속도계")</f>
        <v>가속도계</v>
      </c>
      <c r="Z455" s="4" t="str">
        <f>IFERROR(__xludf.DUMMYFUNCTION("GOOGLETRANSLATE(B455,""en"",""zh"")"),"加速度计")</f>
        <v>加速度计</v>
      </c>
      <c r="AA455" s="4" t="str">
        <f>IFERROR(__xludf.DUMMYFUNCTION("GOOGLETRANSLATE(B455,""en"",""zh-TW"")"),"加速度計")</f>
        <v>加速度計</v>
      </c>
      <c r="AB455" s="4" t="str">
        <f>IFERROR(__xludf.DUMMYFUNCTION("GOOGLETRANSLATE(B455,""en"",""ja"")"),"加速度計")</f>
        <v>加速度計</v>
      </c>
      <c r="AC455" s="4" t="str">
        <f>IFERROR(__xludf.DUMMYFUNCTION("GOOGLETRANSLATE(B455,""en"",""bg"")"),"Акселерометър")</f>
        <v>Акселерометър</v>
      </c>
      <c r="AD455" s="4" t="str">
        <f>IFERROR(__xludf.DUMMYFUNCTION("GOOGLETRANSLATE(B455,""en"",""cs"")"),"Akcelerometr")</f>
        <v>Akcelerometr</v>
      </c>
      <c r="AE455" s="4" t="str">
        <f>IFERROR(__xludf.DUMMYFUNCTION("GOOGLETRANSLATE(B455,""en"",""da"")"),"Accelerometer")</f>
        <v>Accelerometer</v>
      </c>
      <c r="AF455" s="4" t="str">
        <f>IFERROR(__xludf.DUMMYFUNCTION("GOOGLETRANSLATE(B455,""en"",""el"")"),"Επιταχυνσιόμετρο")</f>
        <v>Επιταχυνσιόμετρο</v>
      </c>
      <c r="AG455" s="4" t="str">
        <f>IFERROR(__xludf.DUMMYFUNCTION("GOOGLETRANSLATE(B455,""en"",""et"")"),"Kiirendusmõõtur")</f>
        <v>Kiirendusmõõtur</v>
      </c>
      <c r="AH455" s="4" t="str">
        <f>IFERROR(__xludf.DUMMYFUNCTION("GOOGLETRANSLATE(B455,""en"",""fi"")"),"Kiihtyvyysmittari")</f>
        <v>Kiihtyvyysmittari</v>
      </c>
      <c r="AI455" s="4" t="str">
        <f>IFERROR(__xludf.DUMMYFUNCTION("GOOGLETRANSLATE(B455,""en"",""hr"")"),"Akcelerometar")</f>
        <v>Akcelerometar</v>
      </c>
      <c r="AJ455" s="4" t="str">
        <f>IFERROR(__xludf.DUMMYFUNCTION("GOOGLETRANSLATE(B455,""en"",""hu"")"),"Gyorsulásmérő")</f>
        <v>Gyorsulásmérő</v>
      </c>
      <c r="AK455" s="4" t="str">
        <f>IFERROR(__xludf.DUMMYFUNCTION("GOOGLETRANSLATE(B455,""en"",""hy"")"),"Արագաչափ")</f>
        <v>Արագաչափ</v>
      </c>
      <c r="AL455" s="4" t="str">
        <f>IFERROR(__xludf.DUMMYFUNCTION("GOOGLETRANSLATE(B455,""en"",""ca"")"),"Acceleròmetre")</f>
        <v>Acceleròmetre</v>
      </c>
      <c r="AM455" s="4" t="str">
        <f>IFERROR(__xludf.DUMMYFUNCTION("GOOGLETRANSLATE(B455,""en"",""nl"")"),"Versnellingsmeter")</f>
        <v>Versnellingsmeter</v>
      </c>
      <c r="AN455" s="4" t="str">
        <f>IFERROR(__xludf.DUMMYFUNCTION("GOOGLETRANSLATE(B455,""en"",""he"")"),"מד תאוצה")</f>
        <v>מד תאוצה</v>
      </c>
      <c r="AO455" s="4" t="str">
        <f>IFERROR(__xludf.DUMMYFUNCTION("GOOGLETRANSLATE(B455,""en"",""is"")"),"Hröðunarmælir")</f>
        <v>Hröðunarmælir</v>
      </c>
      <c r="AP455" s="4" t="str">
        <f>IFERROR(__xludf.DUMMYFUNCTION("GOOGLETRANSLATE(B455,""en"",""no"")"),"Akselerometer")</f>
        <v>Akselerometer</v>
      </c>
      <c r="AQ455" s="4" t="str">
        <f>IFERROR(__xludf.DUMMYFUNCTION("GOOGLETRANSLATE(B455,""en"",""fa"")"),"شتاب سنج")</f>
        <v>شتاب سنج</v>
      </c>
      <c r="AR455" s="4" t="str">
        <f>IFERROR(__xludf.DUMMYFUNCTION("GOOGLETRANSLATE(B455,""en"",""pl"")"),"Akcelerometr")</f>
        <v>Akcelerometr</v>
      </c>
      <c r="AS455" s="4" t="str">
        <f>IFERROR(__xludf.DUMMYFUNCTION("GOOGLETRANSLATE(B455,""en"",""sv"")"),"Accelerometer")</f>
        <v>Accelerometer</v>
      </c>
      <c r="AT455" s="4" t="str">
        <f>IFERROR(__xludf.DUMMYFUNCTION("GOOGLETRANSLATE(B455,""en"",""uk"")"),"Акселерометр")</f>
        <v>Акселерометр</v>
      </c>
      <c r="AU455" s="4" t="str">
        <f>IFERROR(__xludf.DUMMYFUNCTION("GOOGLETRANSLATE(B455,""en"",""zu"")"),"I-Accelerometer")</f>
        <v>I-Accelerometer</v>
      </c>
      <c r="AV455" s="4" t="str">
        <f>IFERROR(__xludf.DUMMYFUNCTION("GOOGLETRANSLATE(B455,""en"",""sr"")"),"Акцелерометар")</f>
        <v>Акцелерометар</v>
      </c>
    </row>
    <row r="456">
      <c r="A456" s="3" t="s">
        <v>884</v>
      </c>
      <c r="B456" s="3" t="s">
        <v>885</v>
      </c>
      <c r="C456" s="4" t="str">
        <f>IFERROR(__xludf.DUMMYFUNCTION("GOOGLETRANSLATE(B456,""en"",""ta"")"),"உயர்")</f>
        <v>உயர்</v>
      </c>
      <c r="D456" s="4" t="str">
        <f>IFERROR(__xludf.DUMMYFUNCTION("GOOGLETRANSLATE(B456,""en"",""hi"")"),"उच्च")</f>
        <v>उच्च</v>
      </c>
      <c r="E456" s="4" t="str">
        <f>IFERROR(__xludf.DUMMYFUNCTION("GOOGLETRANSLATE(B456,""en"",""id"")"),"Tinggi")</f>
        <v>Tinggi</v>
      </c>
      <c r="F456" s="4" t="str">
        <f>IFERROR(__xludf.DUMMYFUNCTION("GOOGLETRANSLATE(B456,""en"",""ms"")"),"tinggi")</f>
        <v>tinggi</v>
      </c>
      <c r="G456" s="4" t="str">
        <f>IFERROR(__xludf.DUMMYFUNCTION("GOOGLETRANSLATE(B456,""en"",""de"")"),"Hoch")</f>
        <v>Hoch</v>
      </c>
      <c r="H456" s="4" t="str">
        <f>IFERROR(__xludf.DUMMYFUNCTION("GOOGLETRANSLATE(B456,""en"",""es"")"),"Alto")</f>
        <v>Alto</v>
      </c>
      <c r="I456" s="4" t="str">
        <f>IFERROR(__xludf.DUMMYFUNCTION("GOOGLETRANSLATE(B456,""en"",""fr"")"),"Haut")</f>
        <v>Haut</v>
      </c>
      <c r="J456" s="4" t="str">
        <f>IFERROR(__xludf.DUMMYFUNCTION("GOOGLETRANSLATE(B456,""en"",""it"")"),"Alto")</f>
        <v>Alto</v>
      </c>
      <c r="K456" s="4" t="str">
        <f>IFERROR(__xludf.DUMMYFUNCTION("GOOGLETRANSLATE(B456,""en"",""pt"")"),"Alto")</f>
        <v>Alto</v>
      </c>
      <c r="L456" s="4" t="str">
        <f>IFERROR(__xludf.DUMMYFUNCTION("GOOGLETRANSLATE(B456,""en"",""ro"")"),"Ridicat")</f>
        <v>Ridicat</v>
      </c>
      <c r="M456" s="4" t="str">
        <f>IFERROR(__xludf.DUMMYFUNCTION("GOOGLETRANSLATE(B456,""en"",""vi"")"),"Cao")</f>
        <v>Cao</v>
      </c>
      <c r="N456" s="4" t="str">
        <f>IFERROR(__xludf.DUMMYFUNCTION("GOOGLETRANSLATE(B456,""en"",""ru"")"),"Высокий")</f>
        <v>Высокий</v>
      </c>
      <c r="O456" s="4" t="str">
        <f>IFERROR(__xludf.DUMMYFUNCTION("GOOGLETRANSLATE(B456,""en"",""tr"")"),"Yüksek")</f>
        <v>Yüksek</v>
      </c>
      <c r="P456" s="4" t="str">
        <f>IFERROR(__xludf.DUMMYFUNCTION("GOOGLETRANSLATE(B456,""en"",""ar"")"),"عالي")</f>
        <v>عالي</v>
      </c>
      <c r="Q456" s="4" t="str">
        <f>IFERROR(__xludf.DUMMYFUNCTION("GOOGLETRANSLATE(B456,""en"",""mr"")"),"उच्च")</f>
        <v>उच्च</v>
      </c>
      <c r="R456" s="4" t="str">
        <f>IFERROR(__xludf.DUMMYFUNCTION("GOOGLETRANSLATE(B456,""en"",""gu"")"),"ઉચ્ચ")</f>
        <v>ઉચ્ચ</v>
      </c>
      <c r="S456" s="4" t="str">
        <f>IFERROR(__xludf.DUMMYFUNCTION("GOOGLETRANSLATE(B456,""en"",""bn"")"),"উচ্চ")</f>
        <v>উচ্চ</v>
      </c>
      <c r="T456" s="4" t="str">
        <f>IFERROR(__xludf.DUMMYFUNCTION("GOOGLETRANSLATE(B456,""en"",""pa"")"),"ਉੱਚ")</f>
        <v>ਉੱਚ</v>
      </c>
      <c r="U456" s="4" t="str">
        <f>IFERROR(__xludf.DUMMYFUNCTION("GOOGLETRANSLATE(B456,""en"",""te"")"),"అధిక")</f>
        <v>అధిక</v>
      </c>
      <c r="V456" s="4" t="str">
        <f>IFERROR(__xludf.DUMMYFUNCTION("GOOGLETRANSLATE(B456,""en"",""kn"")"),"ಹೆಚ್ಚು")</f>
        <v>ಹೆಚ್ಚು</v>
      </c>
      <c r="W456" s="4" t="str">
        <f>IFERROR(__xludf.DUMMYFUNCTION("GOOGLETRANSLATE(B456,""en"",""ml"")"),"ഉയർന്നത്")</f>
        <v>ഉയർന്നത്</v>
      </c>
      <c r="X456" s="4" t="str">
        <f>IFERROR(__xludf.DUMMYFUNCTION("GOOGLETRANSLATE(B456,""en"",""th"")"),"สูง")</f>
        <v>สูง</v>
      </c>
      <c r="Y456" s="4" t="str">
        <f>IFERROR(__xludf.DUMMYFUNCTION("GOOGLETRANSLATE(B456,""en"",""ko"")"),"높은")</f>
        <v>높은</v>
      </c>
      <c r="Z456" s="4" t="str">
        <f>IFERROR(__xludf.DUMMYFUNCTION("GOOGLETRANSLATE(B456,""en"",""zh"")"),"高的")</f>
        <v>高的</v>
      </c>
      <c r="AA456" s="4" t="str">
        <f>IFERROR(__xludf.DUMMYFUNCTION("GOOGLETRANSLATE(B456,""en"",""zh-TW"")"),"高的")</f>
        <v>高的</v>
      </c>
      <c r="AB456" s="4" t="str">
        <f>IFERROR(__xludf.DUMMYFUNCTION("GOOGLETRANSLATE(B456,""en"",""ja"")"),"高い")</f>
        <v>高い</v>
      </c>
      <c r="AC456" s="4" t="str">
        <f>IFERROR(__xludf.DUMMYFUNCTION("GOOGLETRANSLATE(B456,""en"",""bg"")"),"високо")</f>
        <v>високо</v>
      </c>
      <c r="AD456" s="4" t="str">
        <f>IFERROR(__xludf.DUMMYFUNCTION("GOOGLETRANSLATE(B456,""en"",""cs"")"),"Vysoký")</f>
        <v>Vysoký</v>
      </c>
      <c r="AE456" s="4" t="str">
        <f>IFERROR(__xludf.DUMMYFUNCTION("GOOGLETRANSLATE(B456,""en"",""da"")"),"Høj")</f>
        <v>Høj</v>
      </c>
      <c r="AF456" s="4" t="str">
        <f>IFERROR(__xludf.DUMMYFUNCTION("GOOGLETRANSLATE(B456,""en"",""el"")"),"Ψηλά")</f>
        <v>Ψηλά</v>
      </c>
      <c r="AG456" s="4" t="str">
        <f>IFERROR(__xludf.DUMMYFUNCTION("GOOGLETRANSLATE(B456,""en"",""et"")"),"Kõrge")</f>
        <v>Kõrge</v>
      </c>
      <c r="AH456" s="4" t="str">
        <f>IFERROR(__xludf.DUMMYFUNCTION("GOOGLETRANSLATE(B456,""en"",""fi"")"),"Korkea")</f>
        <v>Korkea</v>
      </c>
      <c r="AI456" s="4" t="str">
        <f>IFERROR(__xludf.DUMMYFUNCTION("GOOGLETRANSLATE(B456,""en"",""hr"")"),"visoko")</f>
        <v>visoko</v>
      </c>
      <c r="AJ456" s="4" t="str">
        <f>IFERROR(__xludf.DUMMYFUNCTION("GOOGLETRANSLATE(B456,""en"",""hu"")"),"Magas")</f>
        <v>Magas</v>
      </c>
      <c r="AK456" s="4" t="str">
        <f>IFERROR(__xludf.DUMMYFUNCTION("GOOGLETRANSLATE(B456,""en"",""hy"")"),"Բարձր")</f>
        <v>Բարձր</v>
      </c>
      <c r="AL456" s="4" t="str">
        <f>IFERROR(__xludf.DUMMYFUNCTION("GOOGLETRANSLATE(B456,""en"",""ca"")"),"Alt")</f>
        <v>Alt</v>
      </c>
      <c r="AM456" s="4" t="str">
        <f>IFERROR(__xludf.DUMMYFUNCTION("GOOGLETRANSLATE(B456,""en"",""nl"")"),"Hoog")</f>
        <v>Hoog</v>
      </c>
      <c r="AN456" s="4" t="str">
        <f>IFERROR(__xludf.DUMMYFUNCTION("GOOGLETRANSLATE(B456,""en"",""he"")"),"גָבוֹהַ")</f>
        <v>גָבוֹהַ</v>
      </c>
      <c r="AO456" s="4" t="str">
        <f>IFERROR(__xludf.DUMMYFUNCTION("GOOGLETRANSLATE(B456,""en"",""is"")"),"Hátt")</f>
        <v>Hátt</v>
      </c>
      <c r="AP456" s="4" t="str">
        <f>IFERROR(__xludf.DUMMYFUNCTION("GOOGLETRANSLATE(B456,""en"",""no"")"),"Høy")</f>
        <v>Høy</v>
      </c>
      <c r="AQ456" s="4" t="str">
        <f>IFERROR(__xludf.DUMMYFUNCTION("GOOGLETRANSLATE(B456,""en"",""fa"")"),"بالا")</f>
        <v>بالا</v>
      </c>
      <c r="AR456" s="4" t="str">
        <f>IFERROR(__xludf.DUMMYFUNCTION("GOOGLETRANSLATE(B456,""en"",""pl"")"),"Wysoki")</f>
        <v>Wysoki</v>
      </c>
      <c r="AS456" s="4" t="str">
        <f>IFERROR(__xludf.DUMMYFUNCTION("GOOGLETRANSLATE(B456,""en"",""sv"")"),"Hög")</f>
        <v>Hög</v>
      </c>
      <c r="AT456" s="4" t="str">
        <f>IFERROR(__xludf.DUMMYFUNCTION("GOOGLETRANSLATE(B456,""en"",""uk"")"),"Високий")</f>
        <v>Високий</v>
      </c>
      <c r="AU456" s="4" t="str">
        <f>IFERROR(__xludf.DUMMYFUNCTION("GOOGLETRANSLATE(B456,""en"",""zu"")"),"Phezulu")</f>
        <v>Phezulu</v>
      </c>
      <c r="AV456" s="4" t="str">
        <f>IFERROR(__xludf.DUMMYFUNCTION("GOOGLETRANSLATE(B456,""en"",""sr"")"),"Високо")</f>
        <v>Високо</v>
      </c>
    </row>
    <row r="457">
      <c r="A457" s="3" t="s">
        <v>886</v>
      </c>
      <c r="B457" s="3" t="s">
        <v>887</v>
      </c>
      <c r="C457" s="4" t="str">
        <f>IFERROR(__xludf.DUMMYFUNCTION("GOOGLETRANSLATE(B457,""en"",""ta"")"),"குறைந்த")</f>
        <v>குறைந்த</v>
      </c>
      <c r="D457" s="4" t="str">
        <f>IFERROR(__xludf.DUMMYFUNCTION("GOOGLETRANSLATE(B457,""en"",""hi"")"),"कम")</f>
        <v>कम</v>
      </c>
      <c r="E457" s="4" t="str">
        <f>IFERROR(__xludf.DUMMYFUNCTION("GOOGLETRANSLATE(B457,""en"",""id"")"),"Rendah")</f>
        <v>Rendah</v>
      </c>
      <c r="F457" s="4" t="str">
        <f>IFERROR(__xludf.DUMMYFUNCTION("GOOGLETRANSLATE(B457,""en"",""ms"")"),"rendah")</f>
        <v>rendah</v>
      </c>
      <c r="G457" s="4" t="str">
        <f>IFERROR(__xludf.DUMMYFUNCTION("GOOGLETRANSLATE(B457,""en"",""de"")"),"Niedrig")</f>
        <v>Niedrig</v>
      </c>
      <c r="H457" s="4" t="str">
        <f>IFERROR(__xludf.DUMMYFUNCTION("GOOGLETRANSLATE(B457,""en"",""es"")"),"Bajo")</f>
        <v>Bajo</v>
      </c>
      <c r="I457" s="4" t="str">
        <f>IFERROR(__xludf.DUMMYFUNCTION("GOOGLETRANSLATE(B457,""en"",""fr"")"),"Faible")</f>
        <v>Faible</v>
      </c>
      <c r="J457" s="4" t="str">
        <f>IFERROR(__xludf.DUMMYFUNCTION("GOOGLETRANSLATE(B457,""en"",""it"")"),"Basso")</f>
        <v>Basso</v>
      </c>
      <c r="K457" s="4" t="str">
        <f>IFERROR(__xludf.DUMMYFUNCTION("GOOGLETRANSLATE(B457,""en"",""pt"")"),"Baixo")</f>
        <v>Baixo</v>
      </c>
      <c r="L457" s="4" t="str">
        <f>IFERROR(__xludf.DUMMYFUNCTION("GOOGLETRANSLATE(B457,""en"",""ro"")"),"Scăzut")</f>
        <v>Scăzut</v>
      </c>
      <c r="M457" s="4" t="str">
        <f>IFERROR(__xludf.DUMMYFUNCTION("GOOGLETRANSLATE(B457,""en"",""vi"")"),"Thấp")</f>
        <v>Thấp</v>
      </c>
      <c r="N457" s="4" t="str">
        <f>IFERROR(__xludf.DUMMYFUNCTION("GOOGLETRANSLATE(B457,""en"",""ru"")"),"Низкий")</f>
        <v>Низкий</v>
      </c>
      <c r="O457" s="4" t="str">
        <f>IFERROR(__xludf.DUMMYFUNCTION("GOOGLETRANSLATE(B457,""en"",""tr"")"),"Düşük")</f>
        <v>Düşük</v>
      </c>
      <c r="P457" s="4" t="str">
        <f>IFERROR(__xludf.DUMMYFUNCTION("GOOGLETRANSLATE(B457,""en"",""ar"")"),"قليل")</f>
        <v>قليل</v>
      </c>
      <c r="Q457" s="4" t="str">
        <f>IFERROR(__xludf.DUMMYFUNCTION("GOOGLETRANSLATE(B457,""en"",""mr"")"),"कमी")</f>
        <v>कमी</v>
      </c>
      <c r="R457" s="4" t="str">
        <f>IFERROR(__xludf.DUMMYFUNCTION("GOOGLETRANSLATE(B457,""en"",""gu"")"),"નીચું")</f>
        <v>નીચું</v>
      </c>
      <c r="S457" s="4" t="str">
        <f>IFERROR(__xludf.DUMMYFUNCTION("GOOGLETRANSLATE(B457,""en"",""bn"")"),"কম")</f>
        <v>কম</v>
      </c>
      <c r="T457" s="4" t="str">
        <f>IFERROR(__xludf.DUMMYFUNCTION("GOOGLETRANSLATE(B457,""en"",""pa"")"),"ਘੱਟ")</f>
        <v>ਘੱਟ</v>
      </c>
      <c r="U457" s="4" t="str">
        <f>IFERROR(__xludf.DUMMYFUNCTION("GOOGLETRANSLATE(B457,""en"",""te"")"),"తక్కువ")</f>
        <v>తక్కువ</v>
      </c>
      <c r="V457" s="4" t="str">
        <f>IFERROR(__xludf.DUMMYFUNCTION("GOOGLETRANSLATE(B457,""en"",""kn"")"),"ಕಡಿಮೆ")</f>
        <v>ಕಡಿಮೆ</v>
      </c>
      <c r="W457" s="4" t="str">
        <f>IFERROR(__xludf.DUMMYFUNCTION("GOOGLETRANSLATE(B457,""en"",""ml"")"),"താഴ്ന്നത്")</f>
        <v>താഴ്ന്നത്</v>
      </c>
      <c r="X457" s="4" t="str">
        <f>IFERROR(__xludf.DUMMYFUNCTION("GOOGLETRANSLATE(B457,""en"",""th"")"),"ต่ำ")</f>
        <v>ต่ำ</v>
      </c>
      <c r="Y457" s="4" t="str">
        <f>IFERROR(__xludf.DUMMYFUNCTION("GOOGLETRANSLATE(B457,""en"",""ko"")"),"낮은")</f>
        <v>낮은</v>
      </c>
      <c r="Z457" s="4" t="str">
        <f>IFERROR(__xludf.DUMMYFUNCTION("GOOGLETRANSLATE(B457,""en"",""zh"")"),"低的")</f>
        <v>低的</v>
      </c>
      <c r="AA457" s="4" t="str">
        <f>IFERROR(__xludf.DUMMYFUNCTION("GOOGLETRANSLATE(B457,""en"",""zh-TW"")"),"低的")</f>
        <v>低的</v>
      </c>
      <c r="AB457" s="4" t="str">
        <f>IFERROR(__xludf.DUMMYFUNCTION("GOOGLETRANSLATE(B457,""en"",""ja"")"),"低い")</f>
        <v>低い</v>
      </c>
      <c r="AC457" s="4" t="str">
        <f>IFERROR(__xludf.DUMMYFUNCTION("GOOGLETRANSLATE(B457,""en"",""bg"")"),"ниско")</f>
        <v>ниско</v>
      </c>
      <c r="AD457" s="4" t="str">
        <f>IFERROR(__xludf.DUMMYFUNCTION("GOOGLETRANSLATE(B457,""en"",""cs"")"),"Nízký")</f>
        <v>Nízký</v>
      </c>
      <c r="AE457" s="4" t="str">
        <f>IFERROR(__xludf.DUMMYFUNCTION("GOOGLETRANSLATE(B457,""en"",""da"")"),"Lav")</f>
        <v>Lav</v>
      </c>
      <c r="AF457" s="4" t="str">
        <f>IFERROR(__xludf.DUMMYFUNCTION("GOOGLETRANSLATE(B457,""en"",""el"")"),"Χαμηλός")</f>
        <v>Χαμηλός</v>
      </c>
      <c r="AG457" s="4" t="str">
        <f>IFERROR(__xludf.DUMMYFUNCTION("GOOGLETRANSLATE(B457,""en"",""et"")"),"Madal")</f>
        <v>Madal</v>
      </c>
      <c r="AH457" s="4" t="str">
        <f>IFERROR(__xludf.DUMMYFUNCTION("GOOGLETRANSLATE(B457,""en"",""fi"")"),"Matala")</f>
        <v>Matala</v>
      </c>
      <c r="AI457" s="4" t="str">
        <f>IFERROR(__xludf.DUMMYFUNCTION("GOOGLETRANSLATE(B457,""en"",""hr"")"),"Niska")</f>
        <v>Niska</v>
      </c>
      <c r="AJ457" s="4" t="str">
        <f>IFERROR(__xludf.DUMMYFUNCTION("GOOGLETRANSLATE(B457,""en"",""hu"")"),"Alacsony")</f>
        <v>Alacsony</v>
      </c>
      <c r="AK457" s="4" t="str">
        <f>IFERROR(__xludf.DUMMYFUNCTION("GOOGLETRANSLATE(B457,""en"",""hy"")"),"Ցածր")</f>
        <v>Ցածր</v>
      </c>
      <c r="AL457" s="4" t="str">
        <f>IFERROR(__xludf.DUMMYFUNCTION("GOOGLETRANSLATE(B457,""en"",""ca"")"),"Baixa")</f>
        <v>Baixa</v>
      </c>
      <c r="AM457" s="4" t="str">
        <f>IFERROR(__xludf.DUMMYFUNCTION("GOOGLETRANSLATE(B457,""en"",""nl"")"),"Laag")</f>
        <v>Laag</v>
      </c>
      <c r="AN457" s="4" t="str">
        <f>IFERROR(__xludf.DUMMYFUNCTION("GOOGLETRANSLATE(B457,""en"",""he"")"),"נָמוּך")</f>
        <v>נָמוּך</v>
      </c>
      <c r="AO457" s="4" t="str">
        <f>IFERROR(__xludf.DUMMYFUNCTION("GOOGLETRANSLATE(B457,""en"",""is"")"),"Lágt")</f>
        <v>Lágt</v>
      </c>
      <c r="AP457" s="4" t="str">
        <f>IFERROR(__xludf.DUMMYFUNCTION("GOOGLETRANSLATE(B457,""en"",""no"")"),"Lav")</f>
        <v>Lav</v>
      </c>
      <c r="AQ457" s="4" t="str">
        <f>IFERROR(__xludf.DUMMYFUNCTION("GOOGLETRANSLATE(B457,""en"",""fa"")"),"کم")</f>
        <v>کم</v>
      </c>
      <c r="AR457" s="4" t="str">
        <f>IFERROR(__xludf.DUMMYFUNCTION("GOOGLETRANSLATE(B457,""en"",""pl"")"),"Niski")</f>
        <v>Niski</v>
      </c>
      <c r="AS457" s="4" t="str">
        <f>IFERROR(__xludf.DUMMYFUNCTION("GOOGLETRANSLATE(B457,""en"",""sv"")"),"Låg")</f>
        <v>Låg</v>
      </c>
      <c r="AT457" s="4" t="str">
        <f>IFERROR(__xludf.DUMMYFUNCTION("GOOGLETRANSLATE(B457,""en"",""uk"")"),"Низький")</f>
        <v>Низький</v>
      </c>
      <c r="AU457" s="4" t="str">
        <f>IFERROR(__xludf.DUMMYFUNCTION("GOOGLETRANSLATE(B457,""en"",""zu"")"),"Phansi")</f>
        <v>Phansi</v>
      </c>
      <c r="AV457" s="4" t="str">
        <f>IFERROR(__xludf.DUMMYFUNCTION("GOOGLETRANSLATE(B457,""en"",""sr"")"),"Ниско")</f>
        <v>Ниско</v>
      </c>
    </row>
    <row r="458">
      <c r="A458" s="3" t="s">
        <v>888</v>
      </c>
      <c r="B458" s="3" t="s">
        <v>889</v>
      </c>
      <c r="C458" s="4" t="str">
        <f>IFERROR(__xludf.DUMMYFUNCTION("GOOGLETRANSLATE(B458,""en"",""ta"")"),"µT")</f>
        <v>µT</v>
      </c>
      <c r="D458" s="4" t="str">
        <f>IFERROR(__xludf.DUMMYFUNCTION("GOOGLETRANSLATE(B458,""en"",""hi"")"),"μT")</f>
        <v>μT</v>
      </c>
      <c r="E458" s="4" t="str">
        <f>IFERROR(__xludf.DUMMYFUNCTION("GOOGLETRANSLATE(B458,""en"",""id"")"),"Bahasa Indonesia: µT")</f>
        <v>Bahasa Indonesia: µT</v>
      </c>
      <c r="F458" s="4" t="str">
        <f>IFERROR(__xludf.DUMMYFUNCTION("GOOGLETRANSLATE(B458,""en"",""ms"")"),"µT")</f>
        <v>µT</v>
      </c>
      <c r="G458" s="4" t="str">
        <f>IFERROR(__xludf.DUMMYFUNCTION("GOOGLETRANSLATE(B458,""en"",""de"")"),"µT")</f>
        <v>µT</v>
      </c>
      <c r="H458" s="4" t="str">
        <f>IFERROR(__xludf.DUMMYFUNCTION("GOOGLETRANSLATE(B458,""en"",""es"")"),"µT")</f>
        <v>µT</v>
      </c>
      <c r="I458" s="4" t="str">
        <f>IFERROR(__xludf.DUMMYFUNCTION("GOOGLETRANSLATE(B458,""en"",""fr"")"),"µT")</f>
        <v>µT</v>
      </c>
      <c r="J458" s="4" t="str">
        <f>IFERROR(__xludf.DUMMYFUNCTION("GOOGLETRANSLATE(B458,""en"",""it"")"),"µT")</f>
        <v>µT</v>
      </c>
      <c r="K458" s="4" t="str">
        <f>IFERROR(__xludf.DUMMYFUNCTION("GOOGLETRANSLATE(B458,""en"",""pt"")"),"µT")</f>
        <v>µT</v>
      </c>
      <c r="L458" s="4" t="str">
        <f>IFERROR(__xludf.DUMMYFUNCTION("GOOGLETRANSLATE(B458,""en"",""ro"")"),"µT")</f>
        <v>µT</v>
      </c>
      <c r="M458" s="4" t="str">
        <f>IFERROR(__xludf.DUMMYFUNCTION("GOOGLETRANSLATE(B458,""en"",""vi"")"),"µT")</f>
        <v>µT</v>
      </c>
      <c r="N458" s="4" t="str">
        <f>IFERROR(__xludf.DUMMYFUNCTION("GOOGLETRANSLATE(B458,""en"",""ru"")"),"мкТл")</f>
        <v>мкТл</v>
      </c>
      <c r="O458" s="4" t="str">
        <f>IFERROR(__xludf.DUMMYFUNCTION("GOOGLETRANSLATE(B458,""en"",""tr"")"),"µT")</f>
        <v>µT</v>
      </c>
      <c r="P458" s="4" t="str">
        <f>IFERROR(__xludf.DUMMYFUNCTION("GOOGLETRANSLATE(B458,""en"",""ar"")"),"ميكرو تسلا")</f>
        <v>ميكرو تسلا</v>
      </c>
      <c r="Q458" s="4" t="str">
        <f>IFERROR(__xludf.DUMMYFUNCTION("GOOGLETRANSLATE(B458,""en"",""mr"")"),"µT")</f>
        <v>µT</v>
      </c>
      <c r="R458" s="4" t="str">
        <f>IFERROR(__xludf.DUMMYFUNCTION("GOOGLETRANSLATE(B458,""en"",""gu"")"),"µT")</f>
        <v>µT</v>
      </c>
      <c r="S458" s="4" t="str">
        <f>IFERROR(__xludf.DUMMYFUNCTION("GOOGLETRANSLATE(B458,""en"",""bn"")"),"µT")</f>
        <v>µT</v>
      </c>
      <c r="T458" s="4" t="str">
        <f>IFERROR(__xludf.DUMMYFUNCTION("GOOGLETRANSLATE(B458,""en"",""pa"")"),"µT")</f>
        <v>µT</v>
      </c>
      <c r="U458" s="4" t="str">
        <f>IFERROR(__xludf.DUMMYFUNCTION("GOOGLETRANSLATE(B458,""en"",""te"")"),"µT")</f>
        <v>µT</v>
      </c>
      <c r="V458" s="4" t="str">
        <f>IFERROR(__xludf.DUMMYFUNCTION("GOOGLETRANSLATE(B458,""en"",""kn"")"),"µT")</f>
        <v>µT</v>
      </c>
      <c r="W458" s="4" t="str">
        <f>IFERROR(__xludf.DUMMYFUNCTION("GOOGLETRANSLATE(B458,""en"",""ml"")"),"µT")</f>
        <v>µT</v>
      </c>
      <c r="X458" s="4" t="str">
        <f>IFERROR(__xludf.DUMMYFUNCTION("GOOGLETRANSLATE(B458,""en"",""th"")"),"µT")</f>
        <v>µT</v>
      </c>
      <c r="Y458" s="4" t="str">
        <f>IFERROR(__xludf.DUMMYFUNCTION("GOOGLETRANSLATE(B458,""en"",""ko"")"),"µT")</f>
        <v>µT</v>
      </c>
      <c r="Z458" s="4" t="str">
        <f>IFERROR(__xludf.DUMMYFUNCTION("GOOGLETRANSLATE(B458,""en"",""zh"")"),"µT")</f>
        <v>µT</v>
      </c>
      <c r="AA458" s="4" t="str">
        <f>IFERROR(__xludf.DUMMYFUNCTION("GOOGLETRANSLATE(B458,""en"",""zh-TW"")"),"µT")</f>
        <v>µT</v>
      </c>
      <c r="AB458" s="4" t="str">
        <f>IFERROR(__xludf.DUMMYFUNCTION("GOOGLETRANSLATE(B458,""en"",""ja"")"),"µT")</f>
        <v>µT</v>
      </c>
      <c r="AC458" s="4" t="str">
        <f>IFERROR(__xludf.DUMMYFUNCTION("GOOGLETRANSLATE(B458,""en"",""bg"")"),"µT")</f>
        <v>µT</v>
      </c>
      <c r="AD458" s="4" t="str">
        <f>IFERROR(__xludf.DUMMYFUNCTION("GOOGLETRANSLATE(B458,""en"",""cs"")"),"µT")</f>
        <v>µT</v>
      </c>
      <c r="AE458" s="4" t="str">
        <f>IFERROR(__xludf.DUMMYFUNCTION("GOOGLETRANSLATE(B458,""en"",""da"")"),"µT")</f>
        <v>µT</v>
      </c>
      <c r="AF458" s="4" t="str">
        <f>IFERROR(__xludf.DUMMYFUNCTION("GOOGLETRANSLATE(B458,""en"",""el"")"),"μT")</f>
        <v>μT</v>
      </c>
      <c r="AG458" s="4" t="str">
        <f>IFERROR(__xludf.DUMMYFUNCTION("GOOGLETRANSLATE(B458,""en"",""et"")"),"µT")</f>
        <v>µT</v>
      </c>
      <c r="AH458" s="4" t="str">
        <f>IFERROR(__xludf.DUMMYFUNCTION("GOOGLETRANSLATE(B458,""en"",""fi"")"),"µT")</f>
        <v>µT</v>
      </c>
      <c r="AI458" s="4" t="str">
        <f>IFERROR(__xludf.DUMMYFUNCTION("GOOGLETRANSLATE(B458,""en"",""hr"")"),"µT")</f>
        <v>µT</v>
      </c>
      <c r="AJ458" s="4" t="str">
        <f>IFERROR(__xludf.DUMMYFUNCTION("GOOGLETRANSLATE(B458,""en"",""hu"")"),"µT")</f>
        <v>µT</v>
      </c>
      <c r="AK458" s="4" t="str">
        <f>IFERROR(__xludf.DUMMYFUNCTION("GOOGLETRANSLATE(B458,""en"",""hy"")"),"µT")</f>
        <v>µT</v>
      </c>
      <c r="AL458" s="4" t="str">
        <f>IFERROR(__xludf.DUMMYFUNCTION("GOOGLETRANSLATE(B458,""en"",""ca"")"),"µT")</f>
        <v>µT</v>
      </c>
      <c r="AM458" s="4" t="str">
        <f>IFERROR(__xludf.DUMMYFUNCTION("GOOGLETRANSLATE(B458,""en"",""nl"")"),"µT")</f>
        <v>µT</v>
      </c>
      <c r="AN458" s="4" t="str">
        <f>IFERROR(__xludf.DUMMYFUNCTION("GOOGLETRANSLATE(B458,""en"",""he"")"),"µT")</f>
        <v>µT</v>
      </c>
      <c r="AO458" s="4" t="str">
        <f>IFERROR(__xludf.DUMMYFUNCTION("GOOGLETRANSLATE(B458,""en"",""is"")"),"µT")</f>
        <v>µT</v>
      </c>
      <c r="AP458" s="4" t="str">
        <f>IFERROR(__xludf.DUMMYFUNCTION("GOOGLETRANSLATE(B458,""en"",""no"")"),"µT")</f>
        <v>µT</v>
      </c>
      <c r="AQ458" s="4" t="str">
        <f>IFERROR(__xludf.DUMMYFUNCTION("GOOGLETRANSLATE(B458,""en"",""fa"")"),"μT")</f>
        <v>μT</v>
      </c>
      <c r="AR458" s="4" t="str">
        <f>IFERROR(__xludf.DUMMYFUNCTION("GOOGLETRANSLATE(B458,""en"",""pl"")"),"µT")</f>
        <v>µT</v>
      </c>
      <c r="AS458" s="4" t="str">
        <f>IFERROR(__xludf.DUMMYFUNCTION("GOOGLETRANSLATE(B458,""en"",""sv"")"),"µT")</f>
        <v>µT</v>
      </c>
      <c r="AT458" s="4" t="str">
        <f>IFERROR(__xludf.DUMMYFUNCTION("GOOGLETRANSLATE(B458,""en"",""uk"")"),"мкТл")</f>
        <v>мкТл</v>
      </c>
      <c r="AU458" s="4" t="str">
        <f>IFERROR(__xludf.DUMMYFUNCTION("GOOGLETRANSLATE(B458,""en"",""zu"")"),"µT")</f>
        <v>µT</v>
      </c>
      <c r="AV458" s="4" t="str">
        <f>IFERROR(__xludf.DUMMYFUNCTION("GOOGLETRANSLATE(B458,""en"",""sr"")"),"µТ")</f>
        <v>µТ</v>
      </c>
    </row>
    <row r="459">
      <c r="A459" s="3" t="s">
        <v>890</v>
      </c>
      <c r="B459" s="3" t="s">
        <v>891</v>
      </c>
      <c r="C459" s="4" t="str">
        <f>IFERROR(__xludf.DUMMYFUNCTION("GOOGLETRANSLATE(B459,""en"",""ta"")"),"கீழே காட்டப்பட்டுள்ளபடி உங்கள் சாதனத்தை 3 திசையில் நகர்த்துவதன் மூலம் அல்லது 8 வடிவ வடிவத்தில் அதை நகர்த்துவதன் மூலம் அளவீடு செய்யவும்.")</f>
        <v>கீழே காட்டப்பட்டுள்ளபடி உங்கள் சாதனத்தை 3 திசையில் நகர்த்துவதன் மூலம் அல்லது 8 வடிவ வடிவத்தில் அதை நகர்த்துவதன் மூலம் அளவீடு செய்யவும்.</v>
      </c>
      <c r="D459" s="4" t="str">
        <f>IFERROR(__xludf.DUMMYFUNCTION("GOOGLETRANSLATE(B459,""en"",""hi"")"),"अपने डिवाइस को नीचे दिखाए अनुसार 3 दिशाओं में घुमाकर या 8 पैटर्न आकार में घुमाकर कैलिब्रेट करें।")</f>
        <v>अपने डिवाइस को नीचे दिखाए अनुसार 3 दिशाओं में घुमाकर या 8 पैटर्न आकार में घुमाकर कैलिब्रेट करें।</v>
      </c>
      <c r="E459" s="4" t="str">
        <f>IFERROR(__xludf.DUMMYFUNCTION("GOOGLETRANSLATE(B459,""en"",""id"")"),"Kalibrasi perangkat Anda dengan menggerakkannya dalam 3 arah seperti yang ditunjukkan di bawah ini atau dengan menggerakkannya dalam bentuk 8 pola.")</f>
        <v>Kalibrasi perangkat Anda dengan menggerakkannya dalam 3 arah seperti yang ditunjukkan di bawah ini atau dengan menggerakkannya dalam bentuk 8 pola.</v>
      </c>
      <c r="F459" s="4" t="str">
        <f>IFERROR(__xludf.DUMMYFUNCTION("GOOGLETRANSLATE(B459,""en"",""ms"")"),"Kalibrasi peranti anda dengan menggerakkannya dalam 3 arah seperti yang ditunjukkan di bawah atau dengan mengalihkannya dalam 8 bentuk corak.")</f>
        <v>Kalibrasi peranti anda dengan menggerakkannya dalam 3 arah seperti yang ditunjukkan di bawah atau dengan mengalihkannya dalam 8 bentuk corak.</v>
      </c>
      <c r="G459" s="4" t="str">
        <f>IFERROR(__xludf.DUMMYFUNCTION("GOOGLETRANSLATE(B459,""en"",""de"")"),"Kalibrieren Sie Ihr Gerät, indem Sie es wie unten gezeigt in drei Richtungen oder in Form eines 8-Musters bewegen.")</f>
        <v>Kalibrieren Sie Ihr Gerät, indem Sie es wie unten gezeigt in drei Richtungen oder in Form eines 8-Musters bewegen.</v>
      </c>
      <c r="H459" s="4" t="str">
        <f>IFERROR(__xludf.DUMMYFUNCTION("GOOGLETRANSLATE(B459,""en"",""es"")"),"Calibre su dispositivo moviéndolo en 3 direcciones como se muestra a continuación o moviéndolo en forma de 8 patrones.")</f>
        <v>Calibre su dispositivo moviéndolo en 3 direcciones como se muestra a continuación o moviéndolo en forma de 8 patrones.</v>
      </c>
      <c r="I459" s="4" t="str">
        <f>IFERROR(__xludf.DUMMYFUNCTION("GOOGLETRANSLATE(B459,""en"",""fr"")"),"Calibrez votre appareil en le déplaçant dans 3 directions comme indiqué ci-dessous ou en le déplaçant selon un motif en 8 directions.")</f>
        <v>Calibrez votre appareil en le déplaçant dans 3 directions comme indiqué ci-dessous ou en le déplaçant selon un motif en 8 directions.</v>
      </c>
      <c r="J459" s="4" t="str">
        <f>IFERROR(__xludf.DUMMYFUNCTION("GOOGLETRANSLATE(B459,""en"",""it"")"),"Calibra il tuo dispositivo muovendolo in 3 direzioni come mostrato di seguito oppure muovendolo seguendo uno schema a 8.")</f>
        <v>Calibra il tuo dispositivo muovendolo in 3 direzioni come mostrato di seguito oppure muovendolo seguendo uno schema a 8.</v>
      </c>
      <c r="K459" s="4" t="str">
        <f>IFERROR(__xludf.DUMMYFUNCTION("GOOGLETRANSLATE(B459,""en"",""pt"")"),"Calibre seu dispositivo movendo-o em 3 direções, conforme mostrado abaixo, ou movendo-o no formato de 8 padrões.")</f>
        <v>Calibre seu dispositivo movendo-o em 3 direções, conforme mostrado abaixo, ou movendo-o no formato de 8 padrões.</v>
      </c>
      <c r="L459" s="4" t="str">
        <f>IFERROR(__xludf.DUMMYFUNCTION("GOOGLETRANSLATE(B459,""en"",""ro"")"),"Calibrați dispozitivul mutându-l în 3 direcții, așa cum se arată mai jos sau mutându-l în formă de 8 modele.")</f>
        <v>Calibrați dispozitivul mutându-l în 3 direcții, așa cum se arată mai jos sau mutându-l în formă de 8 modele.</v>
      </c>
      <c r="M459" s="4" t="str">
        <f>IFERROR(__xludf.DUMMYFUNCTION("GOOGLETRANSLATE(B459,""en"",""vi"")"),"Hiệu chỉnh thiết bị của bạn bằng cách di chuyển theo 3 hướng như minh họa bên dưới hoặc di chuyển theo hình dạng 8 mẫu.")</f>
        <v>Hiệu chỉnh thiết bị của bạn bằng cách di chuyển theo 3 hướng như minh họa bên dưới hoặc di chuyển theo hình dạng 8 mẫu.</v>
      </c>
      <c r="N459" s="4" t="str">
        <f>IFERROR(__xludf.DUMMYFUNCTION("GOOGLETRANSLATE(B459,""en"",""ru"")"),"Откалибруйте устройство, перемещая его в трех направлениях, как показано ниже, или перемещая его в форме 8.")</f>
        <v>Откалибруйте устройство, перемещая его в трех направлениях, как показано ниже, или перемещая его в форме 8.</v>
      </c>
      <c r="O459" s="4" t="str">
        <f>IFERROR(__xludf.DUMMYFUNCTION("GOOGLETRANSLATE(B459,""en"",""tr"")"),"Cihazınızı aşağıda gösterildiği gibi 3 yönde hareket ettirerek veya 8 desen şeklinde hareket ettirerek kalibre edin.")</f>
        <v>Cihazınızı aşağıda gösterildiği gibi 3 yönde hareket ettirerek veya 8 desen şeklinde hareket ettirerek kalibre edin.</v>
      </c>
      <c r="P459" s="4" t="str">
        <f>IFERROR(__xludf.DUMMYFUNCTION("GOOGLETRANSLATE(B459,""en"",""ar"")"),"قم بمعايرة جهازك عن طريق تحريكه في 3 اتجاهات كما هو موضح أدناه أو عن طريق تحريكه في شكل 8 أنماط.")</f>
        <v>قم بمعايرة جهازك عن طريق تحريكه في 3 اتجاهات كما هو موضح أدناه أو عن طريق تحريكه في شكل 8 أنماط.</v>
      </c>
      <c r="Q459" s="4" t="str">
        <f>IFERROR(__xludf.DUMMYFUNCTION("GOOGLETRANSLATE(B459,""en"",""mr"")"),"तुमचे डिव्हाइस खाली दाखवल्याप्रमाणे 3 दिशेने हलवून किंवा 8 पॅटर्नच्या आकारात हलवून कॅलिब्रेट करा.")</f>
        <v>तुमचे डिव्हाइस खाली दाखवल्याप्रमाणे 3 दिशेने हलवून किंवा 8 पॅटर्नच्या आकारात हलवून कॅलिब्रेट करा.</v>
      </c>
      <c r="R459" s="4" t="str">
        <f>IFERROR(__xludf.DUMMYFUNCTION("GOOGLETRANSLATE(B459,""en"",""gu"")"),"તમારા ઉપકરણને નીચે બતાવ્યા પ્રમાણે 3 દિશામાં ખસેડીને અથવા તેને 8 પેટર્ન આકારમાં ખસેડીને માપાંકિત કરો.")</f>
        <v>તમારા ઉપકરણને નીચે બતાવ્યા પ્રમાણે 3 દિશામાં ખસેડીને અથવા તેને 8 પેટર્ન આકારમાં ખસેડીને માપાંકિત કરો.</v>
      </c>
      <c r="S459" s="4" t="str">
        <f>IFERROR(__xludf.DUMMYFUNCTION("GOOGLETRANSLATE(B459,""en"",""bn"")"),"নীচে দেখানো হিসাবে আপনার ডিভাইসটিকে 3টি দিক দিয়ে বা 8টি প্যাটার্ন আকারে সরানোর মাধ্যমে ক্যালিব্রেট করুন৷")</f>
        <v>নীচে দেখানো হিসাবে আপনার ডিভাইসটিকে 3টি দিক দিয়ে বা 8টি প্যাটার্ন আকারে সরানোর মাধ্যমে ক্যালিব্রেট করুন৷</v>
      </c>
      <c r="T459" s="4" t="str">
        <f>IFERROR(__xludf.DUMMYFUNCTION("GOOGLETRANSLATE(B459,""en"",""pa"")"),"ਆਪਣੀ ਡਿਵਾਈਸ ਨੂੰ ਹੇਠਾਂ ਦਰਸਾਏ ਅਨੁਸਾਰ 3 ਦਿਸ਼ਾਵਾਂ ਵਿੱਚ ਮੂਵ ਕਰਕੇ ਜਾਂ ਇਸਨੂੰ 8 ਪੈਟਰਨ ਆਕਾਰ ਵਿੱਚ ਮੂਵ ਕਰਕੇ ਕੈਲੀਬਰੇਟ ਕਰੋ।")</f>
        <v>ਆਪਣੀ ਡਿਵਾਈਸ ਨੂੰ ਹੇਠਾਂ ਦਰਸਾਏ ਅਨੁਸਾਰ 3 ਦਿਸ਼ਾਵਾਂ ਵਿੱਚ ਮੂਵ ਕਰਕੇ ਜਾਂ ਇਸਨੂੰ 8 ਪੈਟਰਨ ਆਕਾਰ ਵਿੱਚ ਮੂਵ ਕਰਕੇ ਕੈਲੀਬਰੇਟ ਕਰੋ।</v>
      </c>
      <c r="U459" s="4" t="str">
        <f>IFERROR(__xludf.DUMMYFUNCTION("GOOGLETRANSLATE(B459,""en"",""te"")"),"దిగువ చూపిన విధంగా మీ పరికరాన్ని 3 దిశలో తరలించడం ద్వారా లేదా 8 నమూనా ఆకారంలో తరలించడం ద్వారా మీ పరికరాన్ని క్రమాంకనం చేయండి.")</f>
        <v>దిగువ చూపిన విధంగా మీ పరికరాన్ని 3 దిశలో తరలించడం ద్వారా లేదా 8 నమూనా ఆకారంలో తరలించడం ద్వారా మీ పరికరాన్ని క్రమాంకనం చేయండి.</v>
      </c>
      <c r="V459" s="4" t="str">
        <f>IFERROR(__xludf.DUMMYFUNCTION("GOOGLETRANSLATE(B459,""en"",""kn"")"),"ಕೆಳಗೆ ತೋರಿಸಿರುವಂತೆ 3 ದಿಕ್ಕಿನಲ್ಲಿ ಚಲಿಸುವ ಮೂಲಕ ಅಥವಾ 8 ಮಾದರಿಯ ಆಕಾರದಲ್ಲಿ ಚಲಿಸುವ ಮೂಲಕ ನಿಮ್ಮ ಸಾಧನವನ್ನು ಮಾಪನಾಂಕ ಮಾಡಿ.")</f>
        <v>ಕೆಳಗೆ ತೋರಿಸಿರುವಂತೆ 3 ದಿಕ್ಕಿನಲ್ಲಿ ಚಲಿಸುವ ಮೂಲಕ ಅಥವಾ 8 ಮಾದರಿಯ ಆಕಾರದಲ್ಲಿ ಚಲಿಸುವ ಮೂಲಕ ನಿಮ್ಮ ಸಾಧನವನ್ನು ಮಾಪನಾಂಕ ಮಾಡಿ.</v>
      </c>
      <c r="W459" s="4" t="str">
        <f>IFERROR(__xludf.DUMMYFUNCTION("GOOGLETRANSLATE(B459,""en"",""ml"")"),"നിങ്ങളുടെ ഉപകരണം ചുവടെ കാണിച്ചിരിക്കുന്നതുപോലെ 3 ദിശകളിലേക്ക് നീക്കി അല്ലെങ്കിൽ 8 പാറ്റേൺ ആകൃതിയിൽ നീക്കി കാലിബ്രേറ്റ് ചെയ്യുക.")</f>
        <v>നിങ്ങളുടെ ഉപകരണം ചുവടെ കാണിച്ചിരിക്കുന്നതുപോലെ 3 ദിശകളിലേക്ക് നീക്കി അല്ലെങ്കിൽ 8 പാറ്റേൺ ആകൃതിയിൽ നീക്കി കാലിബ്രേറ്റ് ചെയ്യുക.</v>
      </c>
      <c r="X459" s="4" t="str">
        <f>IFERROR(__xludf.DUMMYFUNCTION("GOOGLETRANSLATE(B459,""en"",""th"")"),"ปรับเทียบอุปกรณ์ของคุณโดยเคลื่อนย้ายอุปกรณ์ใน 3 ทิศทางดังแสดงด้านล่าง หรือโดยการเคลื่อนย้ายในรูปแบบ 8 รูปแบบ")</f>
        <v>ปรับเทียบอุปกรณ์ของคุณโดยเคลื่อนย้ายอุปกรณ์ใน 3 ทิศทางดังแสดงด้านล่าง หรือโดยการเคลื่อนย้ายในรูปแบบ 8 รูปแบบ</v>
      </c>
      <c r="Y459" s="4" t="str">
        <f>IFERROR(__xludf.DUMMYFUNCTION("GOOGLETRANSLATE(B459,""en"",""ko"")"),"아래 그림과 같이 3방향으로 기기를 움직이거나 8패턴 모양으로 움직여 기기를 보정하세요.")</f>
        <v>아래 그림과 같이 3방향으로 기기를 움직이거나 8패턴 모양으로 움직여 기기를 보정하세요.</v>
      </c>
      <c r="Z459" s="4" t="str">
        <f>IFERROR(__xludf.DUMMYFUNCTION("GOOGLETRANSLATE(B459,""en"",""zh"")"),"通过如下所示的 3 个方向移动设备或以 8 个图案形状移动设备来校准设备。")</f>
        <v>通过如下所示的 3 个方向移动设备或以 8 个图案形状移动设备来校准设备。</v>
      </c>
      <c r="AA459" s="4" t="str">
        <f>IFERROR(__xludf.DUMMYFUNCTION("GOOGLETRANSLATE(B459,""en"",""zh-TW"")"),"以如下所示的 3 個方向移動設備或以 8 個圖案形狀移動設備來校準設備。")</f>
        <v>以如下所示的 3 個方向移動設備或以 8 個圖案形狀移動設備來校準設備。</v>
      </c>
      <c r="AB459" s="4" t="str">
        <f>IFERROR(__xludf.DUMMYFUNCTION("GOOGLETRANSLATE(B459,""en"",""ja"")"),"以下に示すように 3 方向に動かすか、8 パターンの形状で動かしてデバイスを調整します。")</f>
        <v>以下に示すように 3 方向に動かすか、8 パターンの形状で動かしてデバイスを調整します。</v>
      </c>
      <c r="AC459" s="4" t="str">
        <f>IFERROR(__xludf.DUMMYFUNCTION("GOOGLETRANSLATE(B459,""en"",""bg"")"),"Калибрирайте устройството си, като го преместите в 3 посоки, както е показано по-долу, или като го преместите във формата на 8 шаблона.")</f>
        <v>Калибрирайте устройството си, като го преместите в 3 посоки, както е показано по-долу, или като го преместите във формата на 8 шаблона.</v>
      </c>
      <c r="AD459" s="4" t="str">
        <f>IFERROR(__xludf.DUMMYFUNCTION("GOOGLETRANSLATE(B459,""en"",""cs"")"),"Kalibrujte své zařízení pohybem ve 3 směrech, jak je znázorněno níže, nebo pohybem ve tvaru 8 vzorů.")</f>
        <v>Kalibrujte své zařízení pohybem ve 3 směrech, jak je znázorněno níže, nebo pohybem ve tvaru 8 vzorů.</v>
      </c>
      <c r="AE459" s="4" t="str">
        <f>IFERROR(__xludf.DUMMYFUNCTION("GOOGLETRANSLATE(B459,""en"",""da"")"),"Kalibrer din enhed ved at flytte den i 3 retninger som vist nedenfor eller ved at flytte den i 8 mønstret form.")</f>
        <v>Kalibrer din enhed ved at flytte den i 3 retninger som vist nedenfor eller ved at flytte den i 8 mønstret form.</v>
      </c>
      <c r="AF459" s="4" t="str">
        <f>IFERROR(__xludf.DUMMYFUNCTION("GOOGLETRANSLATE(B459,""en"",""el"")"),"Βαθμονόμηση της συσκευής σας μετακινώντας την προς 3 κατευθύνσεις όπως φαίνεται παρακάτω ή μετακινώντας την σε σχήμα 8 μοτίβων.")</f>
        <v>Βαθμονόμηση της συσκευής σας μετακινώντας την προς 3 κατευθύνσεις όπως φαίνεται παρακάτω ή μετακινώντας την σε σχήμα 8 μοτίβων.</v>
      </c>
      <c r="AG459" s="4" t="str">
        <f>IFERROR(__xludf.DUMMYFUNCTION("GOOGLETRANSLATE(B459,""en"",""et"")"),"Kalibreerige seadet, liigutades seda kolmes suunas, nagu allpool näidatud, või liigutades seda 8 mustriga.")</f>
        <v>Kalibreerige seadet, liigutades seda kolmes suunas, nagu allpool näidatud, või liigutades seda 8 mustriga.</v>
      </c>
      <c r="AH459" s="4" t="str">
        <f>IFERROR(__xludf.DUMMYFUNCTION("GOOGLETRANSLATE(B459,""en"",""fi"")"),"Kalibroi laitteesi liikuttamalla sitä 3 suuntaan alla olevan kuvan mukaisesti tai liikuttamalla sitä 8 kuvion muodossa.")</f>
        <v>Kalibroi laitteesi liikuttamalla sitä 3 suuntaan alla olevan kuvan mukaisesti tai liikuttamalla sitä 8 kuvion muodossa.</v>
      </c>
      <c r="AI459" s="4" t="str">
        <f>IFERROR(__xludf.DUMMYFUNCTION("GOOGLETRANSLATE(B459,""en"",""hr"")"),"Kalibrirajte svoj uređaj pomicanjem u 3 smjera kao što je prikazano dolje ili pomicanjem u obliku 8 uzoraka.")</f>
        <v>Kalibrirajte svoj uređaj pomicanjem u 3 smjera kao što je prikazano dolje ili pomicanjem u obliku 8 uzoraka.</v>
      </c>
      <c r="AJ459" s="4" t="str">
        <f>IFERROR(__xludf.DUMMYFUNCTION("GOOGLETRANSLATE(B459,""en"",""hu"")"),"Kalibrálja eszközét úgy, hogy az alábbi ábrán látható módon 3 irányba, vagy 8 minta alakban mozgassa.")</f>
        <v>Kalibrálja eszközét úgy, hogy az alábbi ábrán látható módon 3 irányba, vagy 8 minta alakban mozgassa.</v>
      </c>
      <c r="AK459" s="4" t="str">
        <f>IFERROR(__xludf.DUMMYFUNCTION("GOOGLETRANSLATE(B459,""en"",""hy"")"),"Կալիբրացրեք ձեր սարքը՝ այն տեղափոխելով 3 ուղղությամբ, ինչպես ցույց է տրված ստորև կամ տեղափոխելով այն 8 օրինակով:")</f>
        <v>Կալիբրացրեք ձեր սարքը՝ այն տեղափոխելով 3 ուղղությամբ, ինչպես ցույց է տրված ստորև կամ տեղափոխելով այն 8 օրինակով:</v>
      </c>
      <c r="AL459" s="4" t="str">
        <f>IFERROR(__xludf.DUMMYFUNCTION("GOOGLETRANSLATE(B459,""en"",""ca"")"),"Calibreu el vostre dispositiu movent-lo en 3 direccions com es mostra a continuació o movent-lo en forma de 8 patrons.")</f>
        <v>Calibreu el vostre dispositiu movent-lo en 3 direccions com es mostra a continuació o movent-lo en forma de 8 patrons.</v>
      </c>
      <c r="AM459" s="4" t="str">
        <f>IFERROR(__xludf.DUMMYFUNCTION("GOOGLETRANSLATE(B459,""en"",""nl"")"),"Kalibreer uw apparaat door het in 3 richtingen te bewegen zoals hieronder weergegeven of door het in een patroon van 8 te bewegen.")</f>
        <v>Kalibreer uw apparaat door het in 3 richtingen te bewegen zoals hieronder weergegeven of door het in een patroon van 8 te bewegen.</v>
      </c>
      <c r="AN459" s="4" t="str">
        <f>IFERROR(__xludf.DUMMYFUNCTION("GOOGLETRANSLATE(B459,""en"",""he"")"),"כייל את המכשיר שלך על ידי הזזתו ב-3 כיוונים כפי שמוצג להלן או על ידי הזזתו בצורת 8 דפוסים.")</f>
        <v>כייל את המכשיר שלך על ידי הזזתו ב-3 כיוונים כפי שמוצג להלן או על ידי הזזתו בצורת 8 דפוסים.</v>
      </c>
      <c r="AO459" s="4" t="str">
        <f>IFERROR(__xludf.DUMMYFUNCTION("GOOGLETRANSLATE(B459,""en"",""is"")"),"Kvörðuðu tækið með því að færa það í 3 áttir eins og sýnt er hér að neðan eða með því að færa það í 8 mynsturformi.")</f>
        <v>Kvörðuðu tækið með því að færa það í 3 áttir eins og sýnt er hér að neðan eða með því að færa það í 8 mynsturformi.</v>
      </c>
      <c r="AP459" s="4" t="str">
        <f>IFERROR(__xludf.DUMMYFUNCTION("GOOGLETRANSLATE(B459,""en"",""no"")"),"Kalibrer enheten ved å flytte den i 3 retninger som vist nedenfor, eller ved å flytte den i 8 mønsterform.")</f>
        <v>Kalibrer enheten ved å flytte den i 3 retninger som vist nedenfor, eller ved å flytte den i 8 mønsterform.</v>
      </c>
      <c r="AQ459" s="4" t="str">
        <f>IFERROR(__xludf.DUMMYFUNCTION("GOOGLETRANSLATE(B459,""en"",""fa"")"),"دستگاه خود را با حرکت دادن آن در 3 جهت مطابق شکل زیر یا با حرکت دادن آن به شکل الگوی 8 کالیبره کنید.")</f>
        <v>دستگاه خود را با حرکت دادن آن در 3 جهت مطابق شکل زیر یا با حرکت دادن آن به شکل الگوی 8 کالیبره کنید.</v>
      </c>
      <c r="AR459" s="4" t="str">
        <f>IFERROR(__xludf.DUMMYFUNCTION("GOOGLETRANSLATE(B459,""en"",""pl"")"),"Skalibruj urządzenie, poruszając nim w 3 kierunkach, jak pokazano poniżej, lub poruszając nim według 8 wzorców.")</f>
        <v>Skalibruj urządzenie, poruszając nim w 3 kierunkach, jak pokazano poniżej, lub poruszając nim według 8 wzorców.</v>
      </c>
      <c r="AS459" s="4" t="str">
        <f>IFERROR(__xludf.DUMMYFUNCTION("GOOGLETRANSLATE(B459,""en"",""sv"")"),"Kalibrera din enhet genom att flytta den i tre riktningar som visas nedan eller genom att flytta den i form av åtta mönster.")</f>
        <v>Kalibrera din enhet genom att flytta den i tre riktningar som visas nedan eller genom att flytta den i form av åtta mönster.</v>
      </c>
      <c r="AT459" s="4" t="str">
        <f>IFERROR(__xludf.DUMMYFUNCTION("GOOGLETRANSLATE(B459,""en"",""uk"")"),"Відкалібруйте свій пристрій, перемістивши його в 3 напрямках, як показано нижче, або перемістивши його у формі 8 шаблонів.")</f>
        <v>Відкалібруйте свій пристрій, перемістивши його в 3 напрямках, як показано нижче, або перемістивши його у формі 8 шаблонів.</v>
      </c>
      <c r="AU459" s="4" t="str">
        <f>IFERROR(__xludf.DUMMYFUNCTION("GOOGLETRANSLATE(B459,""en"",""zu"")"),"Linganisa idivayisi yakho ngokuyihambisa ibheke ku-3 njengoba kukhonjisiwe ngezansi noma ngokuyihambisa ngendlela eyiphethini engu-8.")</f>
        <v>Linganisa idivayisi yakho ngokuyihambisa ibheke ku-3 njengoba kukhonjisiwe ngezansi noma ngokuyihambisa ngendlela eyiphethini engu-8.</v>
      </c>
      <c r="AV459" s="4" t="str">
        <f>IFERROR(__xludf.DUMMYFUNCTION("GOOGLETRANSLATE(B459,""en"",""sr"")"),"Калибришите свој уређај померањем у 3 смера као што је приказано испод или померањем у облику 8 шаблона.")</f>
        <v>Калибришите свој уређај померањем у 3 смера као што је приказано испод или померањем у облику 8 шаблона.</v>
      </c>
    </row>
    <row r="460">
      <c r="A460" s="3" t="s">
        <v>892</v>
      </c>
      <c r="B460" s="3" t="s">
        <v>893</v>
      </c>
      <c r="C460" s="4" t="str">
        <f>IFERROR(__xludf.DUMMYFUNCTION("GOOGLETRANSLATE(B460,""en"",""ta"")"),"மேலும் சாதனத்தை காந்த பொருட்களிலிருந்து விலக்கி வைக்கவும். சென்சார் துல்லியம் இன்னும் குறைவாக இருந்தால், நீங்கள் அளவுத்திருத்தத்தை தவறாக செய்துள்ளீர்கள் அல்லது உங்கள் சாதன சென்சார்களில் ஏதேனும் சிக்கல் இருக்கலாம்.")</f>
        <v>மேலும் சாதனத்தை காந்த பொருட்களிலிருந்து விலக்கி வைக்கவும். சென்சார் துல்லியம் இன்னும் குறைவாக இருந்தால், நீங்கள் அளவுத்திருத்தத்தை தவறாக செய்துள்ளீர்கள் அல்லது உங்கள் சாதன சென்சார்களில் ஏதேனும் சிக்கல் இருக்கலாம்.</v>
      </c>
      <c r="D460" s="4" t="str">
        <f>IFERROR(__xludf.DUMMYFUNCTION("GOOGLETRANSLATE(B460,""en"",""hi"")"),"और डिवाइस को चुंबकीय चीज़ों से दूर रखें। अगर सेंसर की सटीकता अभी भी कम है, तो आपने कैलिब्रेशन गलत किया है या शायद आपके डिवाइस सेंसर में कोई समस्या है।")</f>
        <v>और डिवाइस को चुंबकीय चीज़ों से दूर रखें। अगर सेंसर की सटीकता अभी भी कम है, तो आपने कैलिब्रेशन गलत किया है या शायद आपके डिवाइस सेंसर में कोई समस्या है।</v>
      </c>
      <c r="E460" s="4" t="str">
        <f>IFERROR(__xludf.DUMMYFUNCTION("GOOGLETRANSLATE(B460,""en"",""id"")"),"Dan Jauhkan perangkat dari benda-benda yang bersifat magnetis. Jika akurasi sensor masih rendah, berarti Anda melakukan kalibrasi yang salah atau mungkin ada masalah dengan sensor perangkat Anda.")</f>
        <v>Dan Jauhkan perangkat dari benda-benda yang bersifat magnetis. Jika akurasi sensor masih rendah, berarti Anda melakukan kalibrasi yang salah atau mungkin ada masalah dengan sensor perangkat Anda.</v>
      </c>
      <c r="F460" s="4" t="str">
        <f>IFERROR(__xludf.DUMMYFUNCTION("GOOGLETRANSLATE(B460,""en"",""ms"")"),"Dan Jauhkan peranti daripada benda magnet. Jika ketepatan penderia masih rendah, anda melakukan penentukuran yang salah atau Mungkin terdapat masalah dengan penderia peranti anda.")</f>
        <v>Dan Jauhkan peranti daripada benda magnet. Jika ketepatan penderia masih rendah, anda melakukan penentukuran yang salah atau Mungkin terdapat masalah dengan penderia peranti anda.</v>
      </c>
      <c r="G460" s="4" t="str">
        <f>IFERROR(__xludf.DUMMYFUNCTION("GOOGLETRANSLATE(B460,""en"",""de"")"),"Halten Sie das Gerät von magnetischen Gegenständen fern. Wenn die Sensorgenauigkeit weiterhin niedrig ist, haben Sie die Kalibrierung falsch durchgeführt oder es liegt möglicherweise ein Problem mit den Sensoren Ihres Geräts vor.")</f>
        <v>Halten Sie das Gerät von magnetischen Gegenständen fern. Wenn die Sensorgenauigkeit weiterhin niedrig ist, haben Sie die Kalibrierung falsch durchgeführt oder es liegt möglicherweise ein Problem mit den Sensoren Ihres Geräts vor.</v>
      </c>
      <c r="H460" s="4" t="str">
        <f>IFERROR(__xludf.DUMMYFUNCTION("GOOGLETRANSLATE(B460,""en"",""es"")"),"Mantenga el dispositivo alejado de objetos magnéticos. Si la precisión del sensor sigue siendo baja, es posible que la calibración sea incorrecta o que haya un problema con los sensores del dispositivo.")</f>
        <v>Mantenga el dispositivo alejado de objetos magnéticos. Si la precisión del sensor sigue siendo baja, es posible que la calibración sea incorrecta o que haya un problema con los sensores del dispositivo.</v>
      </c>
      <c r="I460" s="4" t="str">
        <f>IFERROR(__xludf.DUMMYFUNCTION("GOOGLETRANSLATE(B460,""en"",""fr"")"),"Gardez l'appareil à l'écart des objets magnétiques. Si la précision du capteur reste faible, l'étalonnage est incorrect ou il y a peut-être un problème avec les capteurs de votre appareil.")</f>
        <v>Gardez l'appareil à l'écart des objets magnétiques. Si la précision du capteur reste faible, l'étalonnage est incorrect ou il y a peut-être un problème avec les capteurs de votre appareil.</v>
      </c>
      <c r="J460" s="4" t="str">
        <f>IFERROR(__xludf.DUMMYFUNCTION("GOOGLETRANSLATE(B460,""en"",""it"")"),"Tieni il dispositivo lontano da oggetti magnetici. Se la precisione del sensore è ancora bassa, potresti aver eseguito una calibrazione errata o avere un problema con i sensori del dispositivo.")</f>
        <v>Tieni il dispositivo lontano da oggetti magnetici. Se la precisione del sensore è ancora bassa, potresti aver eseguito una calibrazione errata o avere un problema con i sensori del dispositivo.</v>
      </c>
      <c r="K460" s="4" t="str">
        <f>IFERROR(__xludf.DUMMYFUNCTION("GOOGLETRANSLATE(B460,""en"",""pt"")"),"E mantenha o dispositivo longe de objetos magnéticos. Se a precisão do sensor ainda estiver baixa, você fez a calibração incorretamente ou talvez haja um problema com os sensores do seu dispositivo.")</f>
        <v>E mantenha o dispositivo longe de objetos magnéticos. Se a precisão do sensor ainda estiver baixa, você fez a calibração incorretamente ou talvez haja um problema com os sensores do seu dispositivo.</v>
      </c>
      <c r="L460" s="4" t="str">
        <f>IFERROR(__xludf.DUMMYFUNCTION("GOOGLETRANSLATE(B460,""en"",""ro"")"),"Și țineți dispozitivul departe de obiecte magnetice. Dacă acuratețea senzorului este încă scăzută, ați făcut greșit calibrarea sau Poate există o problemă cu senzorii dispozitivului dvs.")</f>
        <v>Și țineți dispozitivul departe de obiecte magnetice. Dacă acuratețea senzorului este încă scăzută, ați făcut greșit calibrarea sau Poate există o problemă cu senzorii dispozitivului dvs.</v>
      </c>
      <c r="M460" s="4" t="str">
        <f>IFERROR(__xludf.DUMMYFUNCTION("GOOGLETRANSLATE(B460,""en"",""vi"")"),"Và để thiết bị tránh xa các vật có từ tính. Nếu độ chính xác của cảm biến vẫn thấp, bạn đã hiệu chuẩn sai hoặc có thể cảm biến thiết bị của bạn có vấn đề.")</f>
        <v>Và để thiết bị tránh xa các vật có từ tính. Nếu độ chính xác của cảm biến vẫn thấp, bạn đã hiệu chuẩn sai hoặc có thể cảm biến thiết bị của bạn có vấn đề.</v>
      </c>
      <c r="N460" s="4" t="str">
        <f>IFERROR(__xludf.DUMMYFUNCTION("GOOGLETRANSLATE(B460,""en"",""ru"")"),"И держите устройство подальше от магнитных предметов. Если точность датчика все еще низкая, вы неправильно выполнили калибровку или, возможно, возникла проблема с датчиками вашего устройства.")</f>
        <v>И держите устройство подальше от магнитных предметов. Если точность датчика все еще низкая, вы неправильно выполнили калибровку или, возможно, возникла проблема с датчиками вашего устройства.</v>
      </c>
      <c r="O460" s="4" t="str">
        <f>IFERROR(__xludf.DUMMYFUNCTION("GOOGLETRANSLATE(B460,""en"",""tr"")"),"Ve cihazı manyetik şeylerden uzak tutun. Sensör doğruluğu hala düşükse, kalibrasyonu yanlış yaptınız veya Belki de cihaz sensörlerinizde bir sorun var.")</f>
        <v>Ve cihazı manyetik şeylerden uzak tutun. Sensör doğruluğu hala düşükse, kalibrasyonu yanlış yaptınız veya Belki de cihaz sensörlerinizde bir sorun var.</v>
      </c>
      <c r="P460" s="4" t="str">
        <f>IFERROR(__xludf.DUMMYFUNCTION("GOOGLETRANSLATE(B460,""en"",""ar"")"),"أبقِ جهازك بعيدًا عن الأجسام المغناطيسية. إذا كانت دقة المستشعر لا تزال منخفضة، فقد تكون المعايرة خاطئة، أو ربما هناك مشكلة في مستشعرات جهازك.")</f>
        <v>أبقِ جهازك بعيدًا عن الأجسام المغناطيسية. إذا كانت دقة المستشعر لا تزال منخفضة، فقد تكون المعايرة خاطئة، أو ربما هناك مشكلة في مستشعرات جهازك.</v>
      </c>
      <c r="Q460" s="4" t="str">
        <f>IFERROR(__xludf.DUMMYFUNCTION("GOOGLETRANSLATE(B460,""en"",""mr"")"),"आणि उपकरणाला चुंबकीय गोष्टींपासून दूर ठेवा. सेन्सरची अचूकता अजूनही कमी असल्यास, तुम्ही कॅलिब्रेशन चुकीचे केले आहे किंवा कदाचित तुमच्या डिव्हाइसच्या सेन्सरमध्ये समस्या आहे.")</f>
        <v>आणि उपकरणाला चुंबकीय गोष्टींपासून दूर ठेवा. सेन्सरची अचूकता अजूनही कमी असल्यास, तुम्ही कॅलिब्रेशन चुकीचे केले आहे किंवा कदाचित तुमच्या डिव्हाइसच्या सेन्सरमध्ये समस्या आहे.</v>
      </c>
      <c r="R460" s="4" t="str">
        <f>IFERROR(__xludf.DUMMYFUNCTION("GOOGLETRANSLATE(B460,""en"",""gu"")"),"અને ઉપકરણને ચુંબકીય વસ્તુઓથી દૂર રાખો. જો સેન્સરની સચોટતા હજુ પણ ઓછી છે, તો તમે કેલિબ્રેશન ખોટું કર્યું છે અથવા કદાચ તમારા ઉપકરણના સેન્સરમાં કોઈ સમસ્યા છે.")</f>
        <v>અને ઉપકરણને ચુંબકીય વસ્તુઓથી દૂર રાખો. જો સેન્સરની સચોટતા હજુ પણ ઓછી છે, તો તમે કેલિબ્રેશન ખોટું કર્યું છે અથવા કદાચ તમારા ઉપકરણના સેન્સરમાં કોઈ સમસ્યા છે.</v>
      </c>
      <c r="S460" s="4" t="str">
        <f>IFERROR(__xludf.DUMMYFUNCTION("GOOGLETRANSLATE(B460,""en"",""bn"")"),"এবং চৌম্বকীয় জিনিস থেকে ডিভাইস দূরে রাখুন। সেন্সরের নির্ভুলতা এখনও কম থাকলে, আপনি ক্রমাঙ্কনটি ভুল করেছেন বা আপনার ডিভাইসের সেন্সরে কোনো সমস্যা হতে পারে।")</f>
        <v>এবং চৌম্বকীয় জিনিস থেকে ডিভাইস দূরে রাখুন। সেন্সরের নির্ভুলতা এখনও কম থাকলে, আপনি ক্রমাঙ্কনটি ভুল করেছেন বা আপনার ডিভাইসের সেন্সরে কোনো সমস্যা হতে পারে।</v>
      </c>
      <c r="T460" s="4" t="str">
        <f>IFERROR(__xludf.DUMMYFUNCTION("GOOGLETRANSLATE(B460,""en"",""pa"")"),"ਅਤੇ ਡਿਵਾਈਸ ਨੂੰ ਚੁੰਬਕੀ ਚੀਜ਼ਾਂ ਤੋਂ ਦੂਰ ਰੱਖੋ। ਜੇਕਰ ਸੈਂਸਰ ਦੀ ਸ਼ੁੱਧਤਾ ਅਜੇ ਵੀ ਘੱਟ ਹੈ, ਤਾਂ ਤੁਸੀਂ ਕੈਲੀਬ੍ਰੇਸ਼ਨ ਗਲਤ ਕੀਤਾ ਹੈ ਜਾਂ ਹੋ ਸਕਦਾ ਹੈ ਕਿ ਤੁਹਾਡੀ ਡਿਵਾਈਸ ਸੈਂਸਰਾਂ ਵਿੱਚ ਕੋਈ ਸਮੱਸਿਆ ਹੋਵੇ।")</f>
        <v>ਅਤੇ ਡਿਵਾਈਸ ਨੂੰ ਚੁੰਬਕੀ ਚੀਜ਼ਾਂ ਤੋਂ ਦੂਰ ਰੱਖੋ। ਜੇਕਰ ਸੈਂਸਰ ਦੀ ਸ਼ੁੱਧਤਾ ਅਜੇ ਵੀ ਘੱਟ ਹੈ, ਤਾਂ ਤੁਸੀਂ ਕੈਲੀਬ੍ਰੇਸ਼ਨ ਗਲਤ ਕੀਤਾ ਹੈ ਜਾਂ ਹੋ ਸਕਦਾ ਹੈ ਕਿ ਤੁਹਾਡੀ ਡਿਵਾਈਸ ਸੈਂਸਰਾਂ ਵਿੱਚ ਕੋਈ ਸਮੱਸਿਆ ਹੋਵੇ।</v>
      </c>
      <c r="U460" s="4" t="str">
        <f>IFERROR(__xludf.DUMMYFUNCTION("GOOGLETRANSLATE(B460,""en"",""te"")"),"మరియు పరికరాన్ని అయస్కాంత వస్తువుల నుండి దూరంగా ఉంచండి. సెన్సార్ ఖచ్చితత్వం ఇంకా తక్కువగా ఉంటే, మీరు అమరికను తప్పుగా చేసారు లేదా మీ పరికర సెన్సార్‌లతో సమస్య ఉండవచ్చు.")</f>
        <v>మరియు పరికరాన్ని అయస్కాంత వస్తువుల నుండి దూరంగా ఉంచండి. సెన్సార్ ఖచ్చితత్వం ఇంకా తక్కువగా ఉంటే, మీరు అమరికను తప్పుగా చేసారు లేదా మీ పరికర సెన్సార్‌లతో సమస్య ఉండవచ్చు.</v>
      </c>
      <c r="V460" s="4" t="str">
        <f>IFERROR(__xludf.DUMMYFUNCTION("GOOGLETRANSLATE(B460,""en"",""kn"")"),"ಮತ್ತು ಸಾಧನವನ್ನು ಕಾಂತೀಯ ವಸ್ತುಗಳಿಂದ ದೂರವಿಡಿ. ಸಂವೇದಕ ನಿಖರತೆ ಇನ್ನೂ ಕಡಿಮೆಯಾಗಿದ್ದರೆ, ನೀವು ಮಾಪನಾಂಕ ನಿರ್ಣಯವನ್ನು ತಪ್ಪಾಗಿ ಮಾಡಿದ್ದೀರಿ ಅಥವಾ ನಿಮ್ಮ ಸಾಧನದ ಸಂವೇದಕಗಳಲ್ಲಿ ಸಮಸ್ಯೆ ಇರಬಹುದು.")</f>
        <v>ಮತ್ತು ಸಾಧನವನ್ನು ಕಾಂತೀಯ ವಸ್ತುಗಳಿಂದ ದೂರವಿಡಿ. ಸಂವೇದಕ ನಿಖರತೆ ಇನ್ನೂ ಕಡಿಮೆಯಾಗಿದ್ದರೆ, ನೀವು ಮಾಪನಾಂಕ ನಿರ್ಣಯವನ್ನು ತಪ್ಪಾಗಿ ಮಾಡಿದ್ದೀರಿ ಅಥವಾ ನಿಮ್ಮ ಸಾಧನದ ಸಂವೇದಕಗಳಲ್ಲಿ ಸಮಸ್ಯೆ ಇರಬಹುದು.</v>
      </c>
      <c r="W460" s="4" t="str">
        <f>IFERROR(__xludf.DUMMYFUNCTION("GOOGLETRANSLATE(B460,""en"",""ml"")"),"കാന്തിക വസ്തുക്കളിൽ നിന്ന് ഉപകരണം അകറ്റി നിർത്തുക. സെൻസർ കൃത്യത ഇപ്പോഴും കുറവാണെങ്കിൽ, നിങ്ങൾ കാലിബ്രേഷൻ തെറ്റായി ചെയ്തു അല്ലെങ്കിൽ നിങ്ങളുടെ ഉപകരണ സെൻസറുകളിൽ എന്തെങ്കിലും പ്രശ്നം ഉണ്ടായേക്കാം.")</f>
        <v>കാന്തിക വസ്തുക്കളിൽ നിന്ന് ഉപകരണം അകറ്റി നിർത്തുക. സെൻസർ കൃത്യത ഇപ്പോഴും കുറവാണെങ്കിൽ, നിങ്ങൾ കാലിബ്രേഷൻ തെറ്റായി ചെയ്തു അല്ലെങ്കിൽ നിങ്ങളുടെ ഉപകരണ സെൻസറുകളിൽ എന്തെങ്കിലും പ്രശ്നം ഉണ്ടായേക്കാം.</v>
      </c>
      <c r="X460" s="4" t="str">
        <f>IFERROR(__xludf.DUMMYFUNCTION("GOOGLETRANSLATE(B460,""en"",""th"")"),"และเก็บอุปกรณ์ให้ห่างจากวัตถุที่มีแม่เหล็ก หากความแม่นยำของเซ็นเซอร์ยังต่ำอยู่ แสดงว่าคุณปรับเทียบไม่ถูกต้อง หรืออาจมีปัญหาที่เซ็นเซอร์ของอุปกรณ์")</f>
        <v>และเก็บอุปกรณ์ให้ห่างจากวัตถุที่มีแม่เหล็ก หากความแม่นยำของเซ็นเซอร์ยังต่ำอยู่ แสดงว่าคุณปรับเทียบไม่ถูกต้อง หรืออาจมีปัญหาที่เซ็นเซอร์ของอุปกรณ์</v>
      </c>
      <c r="Y460" s="4" t="str">
        <f>IFERROR(__xludf.DUMMYFUNCTION("GOOGLETRANSLATE(B460,""en"",""ko"")"),"기기를 자성체로부터 멀리하세요. 센서 정확도가 여전히 낮다면 보정을 잘못했거나 기기 센서에 문제가 있을 수 있습니다.")</f>
        <v>기기를 자성체로부터 멀리하세요. 센서 정확도가 여전히 낮다면 보정을 잘못했거나 기기 센서에 문제가 있을 수 있습니다.</v>
      </c>
      <c r="Z460" s="4" t="str">
        <f>IFERROR(__xludf.DUMMYFUNCTION("GOOGLETRANSLATE(B460,""en"",""zh"")"),"并将设备远离磁性物体。如果传感器精度仍然较低，则可能是校准错误，或者设备传感器可能有问题。")</f>
        <v>并将设备远离磁性物体。如果传感器精度仍然较低，则可能是校准错误，或者设备传感器可能有问题。</v>
      </c>
      <c r="AA460" s="4" t="str">
        <f>IFERROR(__xludf.DUMMYFUNCTION("GOOGLETRANSLATE(B460,""en"",""zh-TW"")"),"並將設備遠離磁性物體。如果感測器精度仍然較低，則可能是校準錯誤，或者設備感測器可能有問題。")</f>
        <v>並將設備遠離磁性物體。如果感測器精度仍然較低，則可能是校準錯誤，或者設備感測器可能有問題。</v>
      </c>
      <c r="AB460" s="4" t="str">
        <f>IFERROR(__xludf.DUMMYFUNCTION("GOOGLETRANSLATE(B460,""en"",""ja"")"),"また、デバイスを磁気を帯びたものから遠ざけてください。それでもセンサーの精度が低い場合は、キャリブレーションが間違っているか、デバイスのセンサーに問題がある可能性があります。")</f>
        <v>また、デバイスを磁気を帯びたものから遠ざけてください。それでもセンサーの精度が低い場合は、キャリブレーションが間違っているか、デバイスのセンサーに問題がある可能性があります。</v>
      </c>
      <c r="AC460" s="4" t="str">
        <f>IFERROR(__xludf.DUMMYFUNCTION("GOOGLETRANSLATE(B460,""en"",""bg"")"),"И дръжте устройството далеч от магнитни предмети. Ако точността на сензора все още е ниска, сте направили калибрирането погрешно или може би има проблем със сензорите на вашето устройство.")</f>
        <v>И дръжте устройството далеч от магнитни предмети. Ако точността на сензора все още е ниска, сте направили калибрирането погрешно или може би има проблем със сензорите на вашето устройство.</v>
      </c>
      <c r="AD460" s="4" t="str">
        <f>IFERROR(__xludf.DUMMYFUNCTION("GOOGLETRANSLATE(B460,""en"",""cs"")"),"A držte zařízení mimo dosah magnetických věcí. Pokud je přesnost senzoru stále nízká, provedli jste nesprávnou kalibraci nebo je možná problém se senzory vašeho zařízení.")</f>
        <v>A držte zařízení mimo dosah magnetických věcí. Pokud je přesnost senzoru stále nízká, provedli jste nesprávnou kalibraci nebo je možná problém se senzory vašeho zařízení.</v>
      </c>
      <c r="AE460" s="4" t="str">
        <f>IFERROR(__xludf.DUMMYFUNCTION("GOOGLETRANSLATE(B460,""en"",""da"")"),"Og hold enheden væk fra magnetiske ting. Hvis sensornøjagtigheden stadig er lav, har du udført kalibreringen forkert, eller måske er der et problem med din enheds sensorer.")</f>
        <v>Og hold enheden væk fra magnetiske ting. Hvis sensornøjagtigheden stadig er lav, har du udført kalibreringen forkert, eller måske er der et problem med din enheds sensorer.</v>
      </c>
      <c r="AF460" s="4" t="str">
        <f>IFERROR(__xludf.DUMMYFUNCTION("GOOGLETRANSLATE(B460,""en"",""el"")"),"Και Κρατήστε τη συσκευή μακριά από μαγνητικά πράγματα. Εάν η ακρίβεια του αισθητήρα εξακολουθεί να είναι χαμηλή, κάνατε λάθος βαθμονόμηση ή Ίσως υπάρχει πρόβλημα με τους αισθητήρες της συσκευής σας.")</f>
        <v>Και Κρατήστε τη συσκευή μακριά από μαγνητικά πράγματα. Εάν η ακρίβεια του αισθητήρα εξακολουθεί να είναι χαμηλή, κάνατε λάθος βαθμονόμηση ή Ίσως υπάρχει πρόβλημα με τους αισθητήρες της συσκευής σας.</v>
      </c>
      <c r="AG460" s="4" t="str">
        <f>IFERROR(__xludf.DUMMYFUNCTION("GOOGLETRANSLATE(B460,""en"",""et"")"),"Ja hoidke seadet magnetilistest asjadest eemal. Kui anduri täpsus on endiselt madal, tegite kalibreerimise valesti või võib-olla on teie seadme andurites probleem.")</f>
        <v>Ja hoidke seadet magnetilistest asjadest eemal. Kui anduri täpsus on endiselt madal, tegite kalibreerimise valesti või võib-olla on teie seadme andurites probleem.</v>
      </c>
      <c r="AH460" s="4" t="str">
        <f>IFERROR(__xludf.DUMMYFUNCTION("GOOGLETRANSLATE(B460,""en"",""fi"")"),"Ja pidä laite poissa magneettisista esineistä. Jos anturin tarkkuus on edelleen alhainen, teit kalibroinnin väärin tai Laitteen antureissa voi olla ongelma.")</f>
        <v>Ja pidä laite poissa magneettisista esineistä. Jos anturin tarkkuus on edelleen alhainen, teit kalibroinnin väärin tai Laitteen antureissa voi olla ongelma.</v>
      </c>
      <c r="AI460" s="4" t="str">
        <f>IFERROR(__xludf.DUMMYFUNCTION("GOOGLETRANSLATE(B460,""en"",""hr"")"),"Držite uređaj podalje od magnetskih stvari. Ako je točnost senzora i dalje niska, krivo ste izvršili kalibraciju ili možda postoji problem sa senzorima vašeg uređaja.")</f>
        <v>Držite uređaj podalje od magnetskih stvari. Ako je točnost senzora i dalje niska, krivo ste izvršili kalibraciju ili možda postoji problem sa senzorima vašeg uređaja.</v>
      </c>
      <c r="AJ460" s="4" t="str">
        <f>IFERROR(__xludf.DUMMYFUNCTION("GOOGLETRANSLATE(B460,""en"",""hu"")"),"És tartsa távol a készüléket a mágneses dolgoktól. Ha az érzékelő pontossága továbbra is alacsony, akkor rosszul végezte a kalibrálást, vagy Lehet, hogy probléma van az eszköz érzékelőivel.")</f>
        <v>És tartsa távol a készüléket a mágneses dolgoktól. Ha az érzékelő pontossága továbbra is alacsony, akkor rosszul végezte a kalibrálást, vagy Lehet, hogy probléma van az eszköz érzékelőivel.</v>
      </c>
      <c r="AK460" s="4" t="str">
        <f>IFERROR(__xludf.DUMMYFUNCTION("GOOGLETRANSLATE(B460,""en"",""hy"")"),"Եվ սարքը հեռու պահեք մագնիսական իրերից: Եթե ​​սենսորների ճշգրտությունը դեռևս ցածր է, դուք սխալ եք կատարել չափաբերումը կամ գուցե ձեր սարքի սենսորների հետ կապված խնդիր կա:")</f>
        <v>Եվ սարքը հեռու պահեք մագնիսական իրերից: Եթե ​​սենսորների ճշգրտությունը դեռևս ցածր է, դուք սխալ եք կատարել չափաբերումը կամ գուցե ձեր սարքի սենսորների հետ կապված խնդիր կա:</v>
      </c>
      <c r="AL460" s="4" t="str">
        <f>IFERROR(__xludf.DUMMYFUNCTION("GOOGLETRANSLATE(B460,""en"",""ca"")"),"I manteniu el dispositiu lluny de coses magnètiques. Si la precisió del sensor encara és baixa, heu fet el calibratge malament o potser hi ha un problema amb els sensors del vostre dispositiu.")</f>
        <v>I manteniu el dispositiu lluny de coses magnètiques. Si la precisió del sensor encara és baixa, heu fet el calibratge malament o potser hi ha un problema amb els sensors del vostre dispositiu.</v>
      </c>
      <c r="AM460" s="4" t="str">
        <f>IFERROR(__xludf.DUMMYFUNCTION("GOOGLETRANSLATE(B460,""en"",""nl"")"),"Houd het apparaat uit de buurt van magnetische objecten. Als de sensornauwkeurigheid nog steeds laag is, hebt u de kalibratie verkeerd uitgevoerd of is er mogelijk een probleem met de sensoren van uw apparaat.")</f>
        <v>Houd het apparaat uit de buurt van magnetische objecten. Als de sensornauwkeurigheid nog steeds laag is, hebt u de kalibratie verkeerd uitgevoerd of is er mogelijk een probleem met de sensoren van uw apparaat.</v>
      </c>
      <c r="AN460" s="4" t="str">
        <f>IFERROR(__xludf.DUMMYFUNCTION("GOOGLETRANSLATE(B460,""en"",""he"")"),"והרחיק את המכשיר מדברים מגנטיים. אם דיוק החיישן עדיין נמוך, ביצעת את הכיול לא נכון או אולי יש בעיה בחיישני המכשיר שלך.")</f>
        <v>והרחיק את המכשיר מדברים מגנטיים. אם דיוק החיישן עדיין נמוך, ביצעת את הכיול לא נכון או אולי יש בעיה בחיישני המכשיר שלך.</v>
      </c>
      <c r="AO460" s="4" t="str">
        <f>IFERROR(__xludf.DUMMYFUNCTION("GOOGLETRANSLATE(B460,""en"",""is"")"),"Og Haltu tækinu í burtu frá segulmagnuðum hlutum. Ef nákvæmni skynjara er enn lítil, gerðir þú kvörðunina rangt eða Kannski er vandamál með skynjara tækisins.")</f>
        <v>Og Haltu tækinu í burtu frá segulmagnuðum hlutum. Ef nákvæmni skynjara er enn lítil, gerðir þú kvörðunina rangt eða Kannski er vandamál með skynjara tækisins.</v>
      </c>
      <c r="AP460" s="4" t="str">
        <f>IFERROR(__xludf.DUMMYFUNCTION("GOOGLETRANSLATE(B460,""en"",""no"")"),"Og hold enheten unna magnetiske ting. Hvis sensornøyaktigheten fortsatt er lav, har du gjort feil kalibrering eller kanskje det er et problem med enhetens sensorer.")</f>
        <v>Og hold enheten unna magnetiske ting. Hvis sensornøyaktigheten fortsatt er lav, har du gjort feil kalibrering eller kanskje det er et problem med enhetens sensorer.</v>
      </c>
      <c r="AQ460" s="4" t="str">
        <f>IFERROR(__xludf.DUMMYFUNCTION("GOOGLETRANSLATE(B460,""en"",""fa"")"),"و دستگاه را از چیزهای مغناطیسی دور نگه دارید. اگر دقت سنسور همچنان پایین است، کالیبراسیون را اشتباه انجام داده‌اید یا شاید مشکلی در سنسور دستگاه شما وجود داشته باشد.")</f>
        <v>و دستگاه را از چیزهای مغناطیسی دور نگه دارید. اگر دقت سنسور همچنان پایین است، کالیبراسیون را اشتباه انجام داده‌اید یا شاید مشکلی در سنسور دستگاه شما وجود داشته باشد.</v>
      </c>
      <c r="AR460" s="4" t="str">
        <f>IFERROR(__xludf.DUMMYFUNCTION("GOOGLETRANSLATE(B460,""en"",""pl"")"),"I trzymaj urządzenie z dala od rzeczy magnetycznych. Jeśli dokładność czujnika jest nadal niska, kalibracja została wykonana nieprawidłowo lub może być problem z czujnikami urządzenia.")</f>
        <v>I trzymaj urządzenie z dala od rzeczy magnetycznych. Jeśli dokładność czujnika jest nadal niska, kalibracja została wykonana nieprawidłowo lub może być problem z czujnikami urządzenia.</v>
      </c>
      <c r="AS460" s="4" t="str">
        <f>IFERROR(__xludf.DUMMYFUNCTION("GOOGLETRANSLATE(B460,""en"",""sv"")"),"Och håll enheten borta från magnetiska saker. Om sensornoggrannheten fortfarande är låg har du kalibrerat fel eller så kanske det finns ett problem med enhetens sensorer.")</f>
        <v>Och håll enheten borta från magnetiska saker. Om sensornoggrannheten fortfarande är låg har du kalibrerat fel eller så kanske det finns ett problem med enhetens sensorer.</v>
      </c>
      <c r="AT460" s="4" t="str">
        <f>IFERROR(__xludf.DUMMYFUNCTION("GOOGLETRANSLATE(B460,""en"",""uk"")"),"І тримайте пристрій подалі від магнітних предметів. Якщо точність датчика все ще низька, ви неправильно виконали калібрування або, можливо, виникла проблема з датчиками пристрою.")</f>
        <v>І тримайте пристрій подалі від магнітних предметів. Якщо точність датчика все ще низька, ви неправильно виконали калібрування або, можливо, виникла проблема з датчиками пристрою.</v>
      </c>
      <c r="AU460" s="4" t="str">
        <f>IFERROR(__xludf.DUMMYFUNCTION("GOOGLETRANSLATE(B460,""en"",""zu"")"),"Futhi Gcina idivayisi kude nezinto kazibuthe. Uma ukunemba kwenzwa kusesekuphansi, wenze iphutha ekulinganiseni noma Mhlawumbe kunenkinga ngezinzwa zedivayisi yakho.")</f>
        <v>Futhi Gcina idivayisi kude nezinto kazibuthe. Uma ukunemba kwenzwa kusesekuphansi, wenze iphutha ekulinganiseni noma Mhlawumbe kunenkinga ngezinzwa zedivayisi yakho.</v>
      </c>
      <c r="AV460" s="4" t="str">
        <f>IFERROR(__xludf.DUMMYFUNCTION("GOOGLETRANSLATE(B460,""en"",""sr"")"),"И Држите уређај даље од магнетних ствари. Ако је прецизност сензора и даље ниска, погрешно сте извршили калибрацију или Можда постоји проблем са сензорима вашег уређаја.")</f>
        <v>И Држите уређај даље од магнетних ствари. Ако је прецизност сензора и даље ниска, погрешно сте извршили калибрацију или Можда постоји проблем са сензорима вашег уређаја.</v>
      </c>
    </row>
    <row r="461">
      <c r="A461" s="3" t="s">
        <v>894</v>
      </c>
      <c r="B461" s="3" t="s">
        <v>895</v>
      </c>
      <c r="C461" s="4" t="str">
        <f>IFERROR(__xludf.DUMMYFUNCTION("GOOGLETRANSLATE(B461,""en"",""ta"")"),"தோல்களைத் தேர்ந்தெடுக்கவும்")</f>
        <v>தோல்களைத் தேர்ந்தெடுக்கவும்</v>
      </c>
      <c r="D461" s="4" t="str">
        <f>IFERROR(__xludf.DUMMYFUNCTION("GOOGLETRANSLATE(B461,""en"",""hi"")"),"स्किन चुनें")</f>
        <v>स्किन चुनें</v>
      </c>
      <c r="E461" s="4" t="str">
        <f>IFERROR(__xludf.DUMMYFUNCTION("GOOGLETRANSLATE(B461,""en"",""id"")"),"Pilih Kulit")</f>
        <v>Pilih Kulit</v>
      </c>
      <c r="F461" s="4" t="str">
        <f>IFERROR(__xludf.DUMMYFUNCTION("GOOGLETRANSLATE(B461,""en"",""ms"")"),"Pilih Skins")</f>
        <v>Pilih Skins</v>
      </c>
      <c r="G461" s="4" t="str">
        <f>IFERROR(__xludf.DUMMYFUNCTION("GOOGLETRANSLATE(B461,""en"",""de"")"),"Skins auswählen")</f>
        <v>Skins auswählen</v>
      </c>
      <c r="H461" s="4" t="str">
        <f>IFERROR(__xludf.DUMMYFUNCTION("GOOGLETRANSLATE(B461,""en"",""es"")"),"Elige máscaras")</f>
        <v>Elige máscaras</v>
      </c>
      <c r="I461" s="4" t="str">
        <f>IFERROR(__xludf.DUMMYFUNCTION("GOOGLETRANSLATE(B461,""en"",""fr"")"),"Choisir des skins")</f>
        <v>Choisir des skins</v>
      </c>
      <c r="J461" s="4" t="str">
        <f>IFERROR(__xludf.DUMMYFUNCTION("GOOGLETRANSLATE(B461,""en"",""it"")"),"Scegli le skin")</f>
        <v>Scegli le skin</v>
      </c>
      <c r="K461" s="4" t="str">
        <f>IFERROR(__xludf.DUMMYFUNCTION("GOOGLETRANSLATE(B461,""en"",""pt"")"),"Escolha Skins")</f>
        <v>Escolha Skins</v>
      </c>
      <c r="L461" s="4" t="str">
        <f>IFERROR(__xludf.DUMMYFUNCTION("GOOGLETRANSLATE(B461,""en"",""ro"")"),"Alege Skins")</f>
        <v>Alege Skins</v>
      </c>
      <c r="M461" s="4" t="str">
        <f>IFERROR(__xludf.DUMMYFUNCTION("GOOGLETRANSLATE(B461,""en"",""vi"")"),"Chọn Skin")</f>
        <v>Chọn Skin</v>
      </c>
      <c r="N461" s="4" t="str">
        <f>IFERROR(__xludf.DUMMYFUNCTION("GOOGLETRANSLATE(B461,""en"",""ru"")"),"Выбрать скины")</f>
        <v>Выбрать скины</v>
      </c>
      <c r="O461" s="4" t="str">
        <f>IFERROR(__xludf.DUMMYFUNCTION("GOOGLETRANSLATE(B461,""en"",""tr"")"),"Skinleri Seçin")</f>
        <v>Skinleri Seçin</v>
      </c>
      <c r="P461" s="4" t="str">
        <f>IFERROR(__xludf.DUMMYFUNCTION("GOOGLETRANSLATE(B461,""en"",""ar"")"),"اختر الجلود")</f>
        <v>اختر الجلود</v>
      </c>
      <c r="Q461" s="4" t="str">
        <f>IFERROR(__xludf.DUMMYFUNCTION("GOOGLETRANSLATE(B461,""en"",""mr"")"),"स्किन्स निवडा")</f>
        <v>स्किन्स निवडा</v>
      </c>
      <c r="R461" s="4" t="str">
        <f>IFERROR(__xludf.DUMMYFUNCTION("GOOGLETRANSLATE(B461,""en"",""gu"")"),"સ્કિન્સ પસંદ કરો")</f>
        <v>સ્કિન્સ પસંદ કરો</v>
      </c>
      <c r="S461" s="4" t="str">
        <f>IFERROR(__xludf.DUMMYFUNCTION("GOOGLETRANSLATE(B461,""en"",""bn"")"),"স্কিন নির্বাচন করুন")</f>
        <v>স্কিন নির্বাচন করুন</v>
      </c>
      <c r="T461" s="4" t="str">
        <f>IFERROR(__xludf.DUMMYFUNCTION("GOOGLETRANSLATE(B461,""en"",""pa"")"),"ਛਿੱਲ ਚੁਣੋ")</f>
        <v>ਛਿੱਲ ਚੁਣੋ</v>
      </c>
      <c r="U461" s="4" t="str">
        <f>IFERROR(__xludf.DUMMYFUNCTION("GOOGLETRANSLATE(B461,""en"",""te"")"),"స్కిన్స్ ఎంచుకోండి")</f>
        <v>స్కిన్స్ ఎంచుకోండి</v>
      </c>
      <c r="V461" s="4" t="str">
        <f>IFERROR(__xludf.DUMMYFUNCTION("GOOGLETRANSLATE(B461,""en"",""kn"")"),"ಚರ್ಮವನ್ನು ಆರಿಸಿ")</f>
        <v>ಚರ್ಮವನ್ನು ಆರಿಸಿ</v>
      </c>
      <c r="W461" s="4" t="str">
        <f>IFERROR(__xludf.DUMMYFUNCTION("GOOGLETRANSLATE(B461,""en"",""ml"")"),"തൊലികൾ തിരഞ്ഞെടുക്കുക")</f>
        <v>തൊലികൾ തിരഞ്ഞെടുക്കുക</v>
      </c>
      <c r="X461" s="4" t="str">
        <f>IFERROR(__xludf.DUMMYFUNCTION("GOOGLETRANSLATE(B461,""en"",""th"")"),"เลือกสกิน")</f>
        <v>เลือกสกิน</v>
      </c>
      <c r="Y461" s="4" t="str">
        <f>IFERROR(__xludf.DUMMYFUNCTION("GOOGLETRANSLATE(B461,""en"",""ko"")"),"스킨 선택")</f>
        <v>스킨 선택</v>
      </c>
      <c r="Z461" s="4" t="str">
        <f>IFERROR(__xludf.DUMMYFUNCTION("GOOGLETRANSLATE(B461,""en"",""zh"")"),"选择皮肤")</f>
        <v>选择皮肤</v>
      </c>
      <c r="AA461" s="4" t="str">
        <f>IFERROR(__xludf.DUMMYFUNCTION("GOOGLETRANSLATE(B461,""en"",""zh-TW"")"),"選擇皮膚")</f>
        <v>選擇皮膚</v>
      </c>
      <c r="AB461" s="4" t="str">
        <f>IFERROR(__xludf.DUMMYFUNCTION("GOOGLETRANSLATE(B461,""en"",""ja"")"),"スキンを選択")</f>
        <v>スキンを選択</v>
      </c>
      <c r="AC461" s="4" t="str">
        <f>IFERROR(__xludf.DUMMYFUNCTION("GOOGLETRANSLATE(B461,""en"",""bg"")"),"Изберете Кожи")</f>
        <v>Изберете Кожи</v>
      </c>
      <c r="AD461" s="4" t="str">
        <f>IFERROR(__xludf.DUMMYFUNCTION("GOOGLETRANSLATE(B461,""en"",""cs"")"),"Vyberte Vzhledy")</f>
        <v>Vyberte Vzhledy</v>
      </c>
      <c r="AE461" s="4" t="str">
        <f>IFERROR(__xludf.DUMMYFUNCTION("GOOGLETRANSLATE(B461,""en"",""da"")"),"Vælg Skins")</f>
        <v>Vælg Skins</v>
      </c>
      <c r="AF461" s="4" t="str">
        <f>IFERROR(__xludf.DUMMYFUNCTION("GOOGLETRANSLATE(B461,""en"",""el"")"),"Επιλέξτε Skins")</f>
        <v>Επιλέξτε Skins</v>
      </c>
      <c r="AG461" s="4" t="str">
        <f>IFERROR(__xludf.DUMMYFUNCTION("GOOGLETRANSLATE(B461,""en"",""et"")"),"Valige Skins")</f>
        <v>Valige Skins</v>
      </c>
      <c r="AH461" s="4" t="str">
        <f>IFERROR(__xludf.DUMMYFUNCTION("GOOGLETRANSLATE(B461,""en"",""fi"")"),"Valitse Skinit")</f>
        <v>Valitse Skinit</v>
      </c>
      <c r="AI461" s="4" t="str">
        <f>IFERROR(__xludf.DUMMYFUNCTION("GOOGLETRANSLATE(B461,""en"",""hr"")"),"Odaberite Skinovi")</f>
        <v>Odaberite Skinovi</v>
      </c>
      <c r="AJ461" s="4" t="str">
        <f>IFERROR(__xludf.DUMMYFUNCTION("GOOGLETRANSLATE(B461,""en"",""hu"")"),"Válassza a Skineket")</f>
        <v>Válassza a Skineket</v>
      </c>
      <c r="AK461" s="4" t="str">
        <f>IFERROR(__xludf.DUMMYFUNCTION("GOOGLETRANSLATE(B461,""en"",""hy"")"),"Ընտրեք երեսվածքները")</f>
        <v>Ընտրեք երեսվածքները</v>
      </c>
      <c r="AL461" s="4" t="str">
        <f>IFERROR(__xludf.DUMMYFUNCTION("GOOGLETRANSLATE(B461,""en"",""ca"")"),"Trieu Skins")</f>
        <v>Trieu Skins</v>
      </c>
      <c r="AM461" s="4" t="str">
        <f>IFERROR(__xludf.DUMMYFUNCTION("GOOGLETRANSLATE(B461,""en"",""nl"")"),"Kies skins")</f>
        <v>Kies skins</v>
      </c>
      <c r="AN461" s="4" t="str">
        <f>IFERROR(__xludf.DUMMYFUNCTION("GOOGLETRANSLATE(B461,""en"",""he"")"),"בחר סקינס")</f>
        <v>בחר סקינס</v>
      </c>
      <c r="AO461" s="4" t="str">
        <f>IFERROR(__xludf.DUMMYFUNCTION("GOOGLETRANSLATE(B461,""en"",""is"")"),"Veldu Skins")</f>
        <v>Veldu Skins</v>
      </c>
      <c r="AP461" s="4" t="str">
        <f>IFERROR(__xludf.DUMMYFUNCTION("GOOGLETRANSLATE(B461,""en"",""no"")"),"Velg Skins")</f>
        <v>Velg Skins</v>
      </c>
      <c r="AQ461" s="4" t="str">
        <f>IFERROR(__xludf.DUMMYFUNCTION("GOOGLETRANSLATE(B461,""en"",""fa"")"),"پوسته ها را انتخاب کنید")</f>
        <v>پوسته ها را انتخاب کنید</v>
      </c>
      <c r="AR461" s="4" t="str">
        <f>IFERROR(__xludf.DUMMYFUNCTION("GOOGLETRANSLATE(B461,""en"",""pl"")"),"Wybierz skórki")</f>
        <v>Wybierz skórki</v>
      </c>
      <c r="AS461" s="4" t="str">
        <f>IFERROR(__xludf.DUMMYFUNCTION("GOOGLETRANSLATE(B461,""en"",""sv"")"),"Välj Skins")</f>
        <v>Välj Skins</v>
      </c>
      <c r="AT461" s="4" t="str">
        <f>IFERROR(__xludf.DUMMYFUNCTION("GOOGLETRANSLATE(B461,""en"",""uk"")"),"Виберіть Скіни")</f>
        <v>Виберіть Скіни</v>
      </c>
      <c r="AU461" s="4" t="str">
        <f>IFERROR(__xludf.DUMMYFUNCTION("GOOGLETRANSLATE(B461,""en"",""zu"")"),"Khetha Izikhumba")</f>
        <v>Khetha Izikhumba</v>
      </c>
      <c r="AV461" s="4" t="str">
        <f>IFERROR(__xludf.DUMMYFUNCTION("GOOGLETRANSLATE(B461,""en"",""sr"")"),"Изаберите Скинови")</f>
        <v>Изаберите Скинови</v>
      </c>
    </row>
    <row r="462">
      <c r="A462" s="3" t="s">
        <v>896</v>
      </c>
      <c r="B462" s="3" t="s">
        <v>897</v>
      </c>
      <c r="C462" s="4" t="str">
        <f>IFERROR(__xludf.DUMMYFUNCTION("GOOGLETRANSLATE(B462,""en"",""ta"")"),"தற்போது பயன்படுத்தப்பட்டுள்ளது")</f>
        <v>தற்போது பயன்படுத்தப்பட்டுள்ளது</v>
      </c>
      <c r="D462" s="4" t="str">
        <f>IFERROR(__xludf.DUMMYFUNCTION("GOOGLETRANSLATE(B462,""en"",""hi"")"),"वर्तमान में लागू")</f>
        <v>वर्तमान में लागू</v>
      </c>
      <c r="E462" s="4" t="str">
        <f>IFERROR(__xludf.DUMMYFUNCTION("GOOGLETRANSLATE(B462,""en"",""id"")"),"Saat Ini Diterapkan")</f>
        <v>Saat Ini Diterapkan</v>
      </c>
      <c r="F462" s="4" t="str">
        <f>IFERROR(__xludf.DUMMYFUNCTION("GOOGLETRANSLATE(B462,""en"",""ms"")"),"Sedang Dipakai")</f>
        <v>Sedang Dipakai</v>
      </c>
      <c r="G462" s="4" t="str">
        <f>IFERROR(__xludf.DUMMYFUNCTION("GOOGLETRANSLATE(B462,""en"",""de"")"),"Derzeit angewendet")</f>
        <v>Derzeit angewendet</v>
      </c>
      <c r="H462" s="4" t="str">
        <f>IFERROR(__xludf.DUMMYFUNCTION("GOOGLETRANSLATE(B462,""en"",""es"")"),"Aplicado actualmente")</f>
        <v>Aplicado actualmente</v>
      </c>
      <c r="I462" s="4" t="str">
        <f>IFERROR(__xludf.DUMMYFUNCTION("GOOGLETRANSLATE(B462,""en"",""fr"")"),"Actuellement appliqué")</f>
        <v>Actuellement appliqué</v>
      </c>
      <c r="J462" s="4" t="str">
        <f>IFERROR(__xludf.DUMMYFUNCTION("GOOGLETRANSLATE(B462,""en"",""it"")"),"Attualmente applicato")</f>
        <v>Attualmente applicato</v>
      </c>
      <c r="K462" s="4" t="str">
        <f>IFERROR(__xludf.DUMMYFUNCTION("GOOGLETRANSLATE(B462,""en"",""pt"")"),"Atualmente aplicado")</f>
        <v>Atualmente aplicado</v>
      </c>
      <c r="L462" s="4" t="str">
        <f>IFERROR(__xludf.DUMMYFUNCTION("GOOGLETRANSLATE(B462,""en"",""ro"")"),"Aplicat în prezent")</f>
        <v>Aplicat în prezent</v>
      </c>
      <c r="M462" s="4" t="str">
        <f>IFERROR(__xludf.DUMMYFUNCTION("GOOGLETRANSLATE(B462,""en"",""vi"")"),"Hiện đang áp dụng")</f>
        <v>Hiện đang áp dụng</v>
      </c>
      <c r="N462" s="4" t="str">
        <f>IFERROR(__xludf.DUMMYFUNCTION("GOOGLETRANSLATE(B462,""en"",""ru"")"),"В настоящее время применяется")</f>
        <v>В настоящее время применяется</v>
      </c>
      <c r="O462" s="4" t="str">
        <f>IFERROR(__xludf.DUMMYFUNCTION("GOOGLETRANSLATE(B462,""en"",""tr"")"),"Şu anda uygulanan")</f>
        <v>Şu anda uygulanan</v>
      </c>
      <c r="P462" s="4" t="str">
        <f>IFERROR(__xludf.DUMMYFUNCTION("GOOGLETRANSLATE(B462,""en"",""ar"")"),"مطبق حاليا")</f>
        <v>مطبق حاليا</v>
      </c>
      <c r="Q462" s="4" t="str">
        <f>IFERROR(__xludf.DUMMYFUNCTION("GOOGLETRANSLATE(B462,""en"",""mr"")"),"सध्या लागू")</f>
        <v>सध्या लागू</v>
      </c>
      <c r="R462" s="4" t="str">
        <f>IFERROR(__xludf.DUMMYFUNCTION("GOOGLETRANSLATE(B462,""en"",""gu"")"),"હાલમાં લાગુ")</f>
        <v>હાલમાં લાગુ</v>
      </c>
      <c r="S462" s="4" t="str">
        <f>IFERROR(__xludf.DUMMYFUNCTION("GOOGLETRANSLATE(B462,""en"",""bn"")"),"বর্তমানে প্রয়োগ করা হয়েছে")</f>
        <v>বর্তমানে প্রয়োগ করা হয়েছে</v>
      </c>
      <c r="T462" s="4" t="str">
        <f>IFERROR(__xludf.DUMMYFUNCTION("GOOGLETRANSLATE(B462,""en"",""pa"")"),"ਵਰਤਮਾਨ ਵਿੱਚ ਲਾਗੂ")</f>
        <v>ਵਰਤਮਾਨ ਵਿੱਚ ਲਾਗੂ</v>
      </c>
      <c r="U462" s="4" t="str">
        <f>IFERROR(__xludf.DUMMYFUNCTION("GOOGLETRANSLATE(B462,""en"",""te"")"),"ప్రస్తుతం వర్తించబడింది")</f>
        <v>ప్రస్తుతం వర్తించబడింది</v>
      </c>
      <c r="V462" s="4" t="str">
        <f>IFERROR(__xludf.DUMMYFUNCTION("GOOGLETRANSLATE(B462,""en"",""kn"")"),"ಪ್ರಸ್ತುತ ಅನ್ವಯಿಸಲಾಗಿದೆ")</f>
        <v>ಪ್ರಸ್ತುತ ಅನ್ವಯಿಸಲಾಗಿದೆ</v>
      </c>
      <c r="W462" s="4" t="str">
        <f>IFERROR(__xludf.DUMMYFUNCTION("GOOGLETRANSLATE(B462,""en"",""ml"")"),"നിലവിൽ പ്രയോഗിച്ചു")</f>
        <v>നിലവിൽ പ്രയോഗിച്ചു</v>
      </c>
      <c r="X462" s="4" t="str">
        <f>IFERROR(__xludf.DUMMYFUNCTION("GOOGLETRANSLATE(B462,""en"",""th"")"),"ประยุกต์ใช้ในปัจจุบัน")</f>
        <v>ประยุกต์ใช้ในปัจจุบัน</v>
      </c>
      <c r="Y462" s="4" t="str">
        <f>IFERROR(__xludf.DUMMYFUNCTION("GOOGLETRANSLATE(B462,""en"",""ko"")"),"현재 적용됨")</f>
        <v>현재 적용됨</v>
      </c>
      <c r="Z462" s="4" t="str">
        <f>IFERROR(__xludf.DUMMYFUNCTION("GOOGLETRANSLATE(B462,""en"",""zh"")"),"目前已应用")</f>
        <v>目前已应用</v>
      </c>
      <c r="AA462" s="4" t="str">
        <f>IFERROR(__xludf.DUMMYFUNCTION("GOOGLETRANSLATE(B462,""en"",""zh-TW"")"),"目前已應用")</f>
        <v>目前已應用</v>
      </c>
      <c r="AB462" s="4" t="str">
        <f>IFERROR(__xludf.DUMMYFUNCTION("GOOGLETRANSLATE(B462,""en"",""ja"")"),"現在適用中")</f>
        <v>現在適用中</v>
      </c>
      <c r="AC462" s="4" t="str">
        <f>IFERROR(__xludf.DUMMYFUNCTION("GOOGLETRANSLATE(B462,""en"",""bg"")"),"В момента се прилага")</f>
        <v>В момента се прилага</v>
      </c>
      <c r="AD462" s="4" t="str">
        <f>IFERROR(__xludf.DUMMYFUNCTION("GOOGLETRANSLATE(B462,""en"",""cs"")"),"Aktuálně použito")</f>
        <v>Aktuálně použito</v>
      </c>
      <c r="AE462" s="4" t="str">
        <f>IFERROR(__xludf.DUMMYFUNCTION("GOOGLETRANSLATE(B462,""en"",""da"")"),"Aktuelt anvendt")</f>
        <v>Aktuelt anvendt</v>
      </c>
      <c r="AF462" s="4" t="str">
        <f>IFERROR(__xludf.DUMMYFUNCTION("GOOGLETRANSLATE(B462,""en"",""el"")"),"Εφαρμόζεται επί του παρόντος")</f>
        <v>Εφαρμόζεται επί του παρόντος</v>
      </c>
      <c r="AG462" s="4" t="str">
        <f>IFERROR(__xludf.DUMMYFUNCTION("GOOGLETRANSLATE(B462,""en"",""et"")"),"Hetkel rakendatud")</f>
        <v>Hetkel rakendatud</v>
      </c>
      <c r="AH462" s="4" t="str">
        <f>IFERROR(__xludf.DUMMYFUNCTION("GOOGLETRANSLATE(B462,""en"",""fi"")"),"Tällä hetkellä käytössä")</f>
        <v>Tällä hetkellä käytössä</v>
      </c>
      <c r="AI462" s="4" t="str">
        <f>IFERROR(__xludf.DUMMYFUNCTION("GOOGLETRANSLATE(B462,""en"",""hr"")"),"Trenutno primijenjeno")</f>
        <v>Trenutno primijenjeno</v>
      </c>
      <c r="AJ462" s="4" t="str">
        <f>IFERROR(__xludf.DUMMYFUNCTION("GOOGLETRANSLATE(B462,""en"",""hu"")"),"Jelenleg Alkalmazott")</f>
        <v>Jelenleg Alkalmazott</v>
      </c>
      <c r="AK462" s="4" t="str">
        <f>IFERROR(__xludf.DUMMYFUNCTION("GOOGLETRANSLATE(B462,""en"",""hy"")"),"Ներկայումս կիրառվում է")</f>
        <v>Ներկայումս կիրառվում է</v>
      </c>
      <c r="AL462" s="4" t="str">
        <f>IFERROR(__xludf.DUMMYFUNCTION("GOOGLETRANSLATE(B462,""en"",""ca"")"),"Aplicat actualment")</f>
        <v>Aplicat actualment</v>
      </c>
      <c r="AM462" s="4" t="str">
        <f>IFERROR(__xludf.DUMMYFUNCTION("GOOGLETRANSLATE(B462,""en"",""nl"")"),"Momenteel toegepast")</f>
        <v>Momenteel toegepast</v>
      </c>
      <c r="AN462" s="4" t="str">
        <f>IFERROR(__xludf.DUMMYFUNCTION("GOOGLETRANSLATE(B462,""en"",""he"")"),"מיושם כרגע")</f>
        <v>מיושם כרגע</v>
      </c>
      <c r="AO462" s="4" t="str">
        <f>IFERROR(__xludf.DUMMYFUNCTION("GOOGLETRANSLATE(B462,""en"",""is"")"),"Núna beitt")</f>
        <v>Núna beitt</v>
      </c>
      <c r="AP462" s="4" t="str">
        <f>IFERROR(__xludf.DUMMYFUNCTION("GOOGLETRANSLATE(B462,""en"",""no"")"),"Brukes for øyeblikket")</f>
        <v>Brukes for øyeblikket</v>
      </c>
      <c r="AQ462" s="4" t="str">
        <f>IFERROR(__xludf.DUMMYFUNCTION("GOOGLETRANSLATE(B462,""en"",""fa"")"),"در حال حاضر اعمال می شود")</f>
        <v>در حال حاضر اعمال می شود</v>
      </c>
      <c r="AR462" s="4" t="str">
        <f>IFERROR(__xludf.DUMMYFUNCTION("GOOGLETRANSLATE(B462,""en"",""pl"")"),"Aktualnie stosowane")</f>
        <v>Aktualnie stosowane</v>
      </c>
      <c r="AS462" s="4" t="str">
        <f>IFERROR(__xludf.DUMMYFUNCTION("GOOGLETRANSLATE(B462,""en"",""sv"")"),"Tillämpas för närvarande")</f>
        <v>Tillämpas för närvarande</v>
      </c>
      <c r="AT462" s="4" t="str">
        <f>IFERROR(__xludf.DUMMYFUNCTION("GOOGLETRANSLATE(B462,""en"",""uk"")"),"Наразі застосовано")</f>
        <v>Наразі застосовано</v>
      </c>
      <c r="AU462" s="4" t="str">
        <f>IFERROR(__xludf.DUMMYFUNCTION("GOOGLETRANSLATE(B462,""en"",""zu"")"),"Kusetshenziswa manje")</f>
        <v>Kusetshenziswa manje</v>
      </c>
      <c r="AV462" s="4" t="str">
        <f>IFERROR(__xludf.DUMMYFUNCTION("GOOGLETRANSLATE(B462,""en"",""sr"")"),"Тренутно се примењује")</f>
        <v>Тренутно се примењује</v>
      </c>
    </row>
    <row r="463">
      <c r="A463" s="3" t="s">
        <v>898</v>
      </c>
      <c r="B463" s="3" t="s">
        <v>352</v>
      </c>
      <c r="C463" s="4" t="str">
        <f>IFERROR(__xludf.DUMMYFUNCTION("GOOGLETRANSLATE(B463,""en"",""ta"")"),"விண்ணப்பிக்கவும்")</f>
        <v>விண்ணப்பிக்கவும்</v>
      </c>
      <c r="D463" s="4" t="str">
        <f>IFERROR(__xludf.DUMMYFUNCTION("GOOGLETRANSLATE(B463,""en"",""hi"")"),"आवेदन करना")</f>
        <v>आवेदन करना</v>
      </c>
      <c r="E463" s="4" t="str">
        <f>IFERROR(__xludf.DUMMYFUNCTION("GOOGLETRANSLATE(B463,""en"",""id"")"),"Menerapkan")</f>
        <v>Menerapkan</v>
      </c>
      <c r="F463" s="4" t="str">
        <f>IFERROR(__xludf.DUMMYFUNCTION("GOOGLETRANSLATE(B463,""en"",""ms"")"),"Mohon")</f>
        <v>Mohon</v>
      </c>
      <c r="G463" s="4" t="str">
        <f>IFERROR(__xludf.DUMMYFUNCTION("GOOGLETRANSLATE(B463,""en"",""de"")"),"Anwenden")</f>
        <v>Anwenden</v>
      </c>
      <c r="H463" s="4" t="str">
        <f>IFERROR(__xludf.DUMMYFUNCTION("GOOGLETRANSLATE(B463,""en"",""es"")"),"Aplicar")</f>
        <v>Aplicar</v>
      </c>
      <c r="I463" s="4" t="str">
        <f>IFERROR(__xludf.DUMMYFUNCTION("GOOGLETRANSLATE(B463,""en"",""fr"")"),"Appliquer")</f>
        <v>Appliquer</v>
      </c>
      <c r="J463" s="4" t="str">
        <f>IFERROR(__xludf.DUMMYFUNCTION("GOOGLETRANSLATE(B463,""en"",""it"")"),"Fare domanda a")</f>
        <v>Fare domanda a</v>
      </c>
      <c r="K463" s="4" t="str">
        <f>IFERROR(__xludf.DUMMYFUNCTION("GOOGLETRANSLATE(B463,""en"",""pt"")"),"Aplicar")</f>
        <v>Aplicar</v>
      </c>
      <c r="L463" s="4" t="str">
        <f>IFERROR(__xludf.DUMMYFUNCTION("GOOGLETRANSLATE(B463,""en"",""ro"")"),"Aplicați")</f>
        <v>Aplicați</v>
      </c>
      <c r="M463" s="4" t="str">
        <f>IFERROR(__xludf.DUMMYFUNCTION("GOOGLETRANSLATE(B463,""en"",""vi"")"),"Áp dụng")</f>
        <v>Áp dụng</v>
      </c>
      <c r="N463" s="4" t="str">
        <f>IFERROR(__xludf.DUMMYFUNCTION("GOOGLETRANSLATE(B463,""en"",""ru"")"),"Применять")</f>
        <v>Применять</v>
      </c>
      <c r="O463" s="4" t="str">
        <f>IFERROR(__xludf.DUMMYFUNCTION("GOOGLETRANSLATE(B463,""en"",""tr"")"),"Uygula")</f>
        <v>Uygula</v>
      </c>
      <c r="P463" s="4" t="str">
        <f>IFERROR(__xludf.DUMMYFUNCTION("GOOGLETRANSLATE(B463,""en"",""ar"")"),"يتقدم")</f>
        <v>يتقدم</v>
      </c>
      <c r="Q463" s="4" t="str">
        <f>IFERROR(__xludf.DUMMYFUNCTION("GOOGLETRANSLATE(B463,""en"",""mr"")"),"अर्ज करा")</f>
        <v>अर्ज करा</v>
      </c>
      <c r="R463" s="4" t="str">
        <f>IFERROR(__xludf.DUMMYFUNCTION("GOOGLETRANSLATE(B463,""en"",""gu"")"),"અરજી કરો")</f>
        <v>અરજી કરો</v>
      </c>
      <c r="S463" s="4" t="str">
        <f>IFERROR(__xludf.DUMMYFUNCTION("GOOGLETRANSLATE(B463,""en"",""bn"")"),"আবেদন করুন")</f>
        <v>আবেদন করুন</v>
      </c>
      <c r="T463" s="4" t="str">
        <f>IFERROR(__xludf.DUMMYFUNCTION("GOOGLETRANSLATE(B463,""en"",""pa"")"),"ਲਾਗੂ ਕਰੋ")</f>
        <v>ਲਾਗੂ ਕਰੋ</v>
      </c>
      <c r="U463" s="4" t="str">
        <f>IFERROR(__xludf.DUMMYFUNCTION("GOOGLETRANSLATE(B463,""en"",""te"")"),"దరఖాస్తు చేసుకోండి")</f>
        <v>దరఖాస్తు చేసుకోండి</v>
      </c>
      <c r="V463" s="4" t="str">
        <f>IFERROR(__xludf.DUMMYFUNCTION("GOOGLETRANSLATE(B463,""en"",""kn"")"),"ಅನ್ವಯಿಸು")</f>
        <v>ಅನ್ವಯಿಸು</v>
      </c>
      <c r="W463" s="4" t="str">
        <f>IFERROR(__xludf.DUMMYFUNCTION("GOOGLETRANSLATE(B463,""en"",""ml"")"),"അപേക്ഷിക്കുക")</f>
        <v>അപേക്ഷിക്കുക</v>
      </c>
      <c r="X463" s="4" t="str">
        <f>IFERROR(__xludf.DUMMYFUNCTION("GOOGLETRANSLATE(B463,""en"",""th"")"),"นำมาใช้")</f>
        <v>นำมาใช้</v>
      </c>
      <c r="Y463" s="4" t="str">
        <f>IFERROR(__xludf.DUMMYFUNCTION("GOOGLETRANSLATE(B463,""en"",""ko"")"),"적용하다")</f>
        <v>적용하다</v>
      </c>
      <c r="Z463" s="4" t="str">
        <f>IFERROR(__xludf.DUMMYFUNCTION("GOOGLETRANSLATE(B463,""en"",""zh"")"),"申请")</f>
        <v>申请</v>
      </c>
      <c r="AA463" s="4" t="str">
        <f>IFERROR(__xludf.DUMMYFUNCTION("GOOGLETRANSLATE(B463,""en"",""zh-TW"")"),"申請")</f>
        <v>申請</v>
      </c>
      <c r="AB463" s="4" t="str">
        <f>IFERROR(__xludf.DUMMYFUNCTION("GOOGLETRANSLATE(B463,""en"",""ja"")"),"適用する")</f>
        <v>適用する</v>
      </c>
      <c r="AC463" s="4" t="str">
        <f>IFERROR(__xludf.DUMMYFUNCTION("GOOGLETRANSLATE(B463,""en"",""bg"")"),"Кандидатствайте")</f>
        <v>Кандидатствайте</v>
      </c>
      <c r="AD463" s="4" t="str">
        <f>IFERROR(__xludf.DUMMYFUNCTION("GOOGLETRANSLATE(B463,""en"",""cs"")"),"Použít")</f>
        <v>Použít</v>
      </c>
      <c r="AE463" s="4" t="str">
        <f>IFERROR(__xludf.DUMMYFUNCTION("GOOGLETRANSLATE(B463,""en"",""da"")"),"Anvende")</f>
        <v>Anvende</v>
      </c>
      <c r="AF463" s="4" t="str">
        <f>IFERROR(__xludf.DUMMYFUNCTION("GOOGLETRANSLATE(B463,""en"",""el"")"),"Εφαρμόζω")</f>
        <v>Εφαρμόζω</v>
      </c>
      <c r="AG463" s="4" t="str">
        <f>IFERROR(__xludf.DUMMYFUNCTION("GOOGLETRANSLATE(B463,""en"",""et"")"),"Rakenda")</f>
        <v>Rakenda</v>
      </c>
      <c r="AH463" s="4" t="str">
        <f>IFERROR(__xludf.DUMMYFUNCTION("GOOGLETRANSLATE(B463,""en"",""fi"")"),"Käytä")</f>
        <v>Käytä</v>
      </c>
      <c r="AI463" s="4" t="str">
        <f>IFERROR(__xludf.DUMMYFUNCTION("GOOGLETRANSLATE(B463,""en"",""hr"")"),"primijeniti")</f>
        <v>primijeniti</v>
      </c>
      <c r="AJ463" s="4" t="str">
        <f>IFERROR(__xludf.DUMMYFUNCTION("GOOGLETRANSLATE(B463,""en"",""hu"")"),"Alkalmazni")</f>
        <v>Alkalmazni</v>
      </c>
      <c r="AK463" s="4" t="str">
        <f>IFERROR(__xludf.DUMMYFUNCTION("GOOGLETRANSLATE(B463,""en"",""hy"")"),"Դիմել")</f>
        <v>Դիմել</v>
      </c>
      <c r="AL463" s="4" t="str">
        <f>IFERROR(__xludf.DUMMYFUNCTION("GOOGLETRANSLATE(B463,""en"",""ca"")"),"Aplicar")</f>
        <v>Aplicar</v>
      </c>
      <c r="AM463" s="4" t="str">
        <f>IFERROR(__xludf.DUMMYFUNCTION("GOOGLETRANSLATE(B463,""en"",""nl"")"),"Toepassen")</f>
        <v>Toepassen</v>
      </c>
      <c r="AN463" s="4" t="str">
        <f>IFERROR(__xludf.DUMMYFUNCTION("GOOGLETRANSLATE(B463,""en"",""he"")"),"לִפְנוֹת")</f>
        <v>לִפְנוֹת</v>
      </c>
      <c r="AO463" s="4" t="str">
        <f>IFERROR(__xludf.DUMMYFUNCTION("GOOGLETRANSLATE(B463,""en"",""is"")"),"Sækja um")</f>
        <v>Sækja um</v>
      </c>
      <c r="AP463" s="4" t="str">
        <f>IFERROR(__xludf.DUMMYFUNCTION("GOOGLETRANSLATE(B463,""en"",""no"")"),"Søke")</f>
        <v>Søke</v>
      </c>
      <c r="AQ463" s="4" t="str">
        <f>IFERROR(__xludf.DUMMYFUNCTION("GOOGLETRANSLATE(B463,""en"",""fa"")"),"درخواست کنید")</f>
        <v>درخواست کنید</v>
      </c>
      <c r="AR463" s="4" t="str">
        <f>IFERROR(__xludf.DUMMYFUNCTION("GOOGLETRANSLATE(B463,""en"",""pl"")"),"Stosować")</f>
        <v>Stosować</v>
      </c>
      <c r="AS463" s="4" t="str">
        <f>IFERROR(__xludf.DUMMYFUNCTION("GOOGLETRANSLATE(B463,""en"",""sv"")"),"Tillämpas")</f>
        <v>Tillämpas</v>
      </c>
      <c r="AT463" s="4" t="str">
        <f>IFERROR(__xludf.DUMMYFUNCTION("GOOGLETRANSLATE(B463,""en"",""uk"")"),"Застосувати")</f>
        <v>Застосувати</v>
      </c>
      <c r="AU463" s="4" t="str">
        <f>IFERROR(__xludf.DUMMYFUNCTION("GOOGLETRANSLATE(B463,""en"",""zu"")"),"Faka isicelo")</f>
        <v>Faka isicelo</v>
      </c>
      <c r="AV463" s="4" t="str">
        <f>IFERROR(__xludf.DUMMYFUNCTION("GOOGLETRANSLATE(B463,""en"",""sr"")"),"Пријавите се")</f>
        <v>Пријавите се</v>
      </c>
    </row>
    <row r="464">
      <c r="A464" s="3" t="s">
        <v>899</v>
      </c>
      <c r="B464" s="3" t="s">
        <v>900</v>
      </c>
      <c r="C464" s="4" t="str">
        <f>IFERROR(__xludf.DUMMYFUNCTION("GOOGLETRANSLATE(B464,""en"",""ta"")"),"தோல் வெற்றிகரமாக பயன்படுத்தப்பட்டது!")</f>
        <v>தோல் வெற்றிகரமாக பயன்படுத்தப்பட்டது!</v>
      </c>
      <c r="D464" s="4" t="str">
        <f>IFERROR(__xludf.DUMMYFUNCTION("GOOGLETRANSLATE(B464,""en"",""hi"")"),"त्वचा पर सफलतापूर्वक लगाया गया!")</f>
        <v>त्वचा पर सफलतापूर्वक लगाया गया!</v>
      </c>
      <c r="E464" s="4" t="str">
        <f>IFERROR(__xludf.DUMMYFUNCTION("GOOGLETRANSLATE(B464,""en"",""id"")"),"Kulit Berhasil Diaplikasikan!")</f>
        <v>Kulit Berhasil Diaplikasikan!</v>
      </c>
      <c r="F464" s="4" t="str">
        <f>IFERROR(__xludf.DUMMYFUNCTION("GOOGLETRANSLATE(B464,""en"",""ms"")"),"Kulit Digunakan Berjaya!")</f>
        <v>Kulit Digunakan Berjaya!</v>
      </c>
      <c r="G464" s="4" t="str">
        <f>IFERROR(__xludf.DUMMYFUNCTION("GOOGLETRANSLATE(B464,""en"",""de"")"),"Haut erfolgreich angewendet!")</f>
        <v>Haut erfolgreich angewendet!</v>
      </c>
      <c r="H464" s="4" t="str">
        <f>IFERROR(__xludf.DUMMYFUNCTION("GOOGLETRANSLATE(B464,""en"",""es"")"),"¡Piel aplicada exitosamente!")</f>
        <v>¡Piel aplicada exitosamente!</v>
      </c>
      <c r="I464" s="4" t="str">
        <f>IFERROR(__xludf.DUMMYFUNCTION("GOOGLETRANSLATE(B464,""en"",""fr"")"),"Peau appliquée avec succès !")</f>
        <v>Peau appliquée avec succès !</v>
      </c>
      <c r="J464" s="4" t="str">
        <f>IFERROR(__xludf.DUMMYFUNCTION("GOOGLETRANSLATE(B464,""en"",""it"")"),"Applicazione della pelle riuscita!")</f>
        <v>Applicazione della pelle riuscita!</v>
      </c>
      <c r="K464" s="4" t="str">
        <f>IFERROR(__xludf.DUMMYFUNCTION("GOOGLETRANSLATE(B464,""en"",""pt"")"),"Pele aplicada com sucesso!")</f>
        <v>Pele aplicada com sucesso!</v>
      </c>
      <c r="L464" s="4" t="str">
        <f>IFERROR(__xludf.DUMMYFUNCTION("GOOGLETRANSLATE(B464,""en"",""ro"")"),"Piele aplicată cu succes!")</f>
        <v>Piele aplicată cu succes!</v>
      </c>
      <c r="M464" s="4" t="str">
        <f>IFERROR(__xludf.DUMMYFUNCTION("GOOGLETRANSLATE(B464,""en"",""vi"")"),"Đã dán da thành công!")</f>
        <v>Đã dán da thành công!</v>
      </c>
      <c r="N464" s="4" t="str">
        <f>IFERROR(__xludf.DUMMYFUNCTION("GOOGLETRANSLATE(B464,""en"",""ru"")"),"Кожа успешно применена!")</f>
        <v>Кожа успешно применена!</v>
      </c>
      <c r="O464" s="4" t="str">
        <f>IFERROR(__xludf.DUMMYFUNCTION("GOOGLETRANSLATE(B464,""en"",""tr"")"),"Cilt Başarıyla Uygulandı!")</f>
        <v>Cilt Başarıyla Uygulandı!</v>
      </c>
      <c r="P464" s="4" t="str">
        <f>IFERROR(__xludf.DUMMYFUNCTION("GOOGLETRANSLATE(B464,""en"",""ar"")"),"تم تطبيق الجلد بنجاح!")</f>
        <v>تم تطبيق الجلد بنجاح!</v>
      </c>
      <c r="Q464" s="4" t="str">
        <f>IFERROR(__xludf.DUMMYFUNCTION("GOOGLETRANSLATE(B464,""en"",""mr"")"),"त्वचा यशस्वीरित्या लागू!")</f>
        <v>त्वचा यशस्वीरित्या लागू!</v>
      </c>
      <c r="R464" s="4" t="str">
        <f>IFERROR(__xludf.DUMMYFUNCTION("GOOGLETRANSLATE(B464,""en"",""gu"")"),"ત્વચા સફળતાપૂર્વક લાગુ!")</f>
        <v>ત્વચા સફળતાપૂર્વક લાગુ!</v>
      </c>
      <c r="S464" s="4" t="str">
        <f>IFERROR(__xludf.DUMMYFUNCTION("GOOGLETRANSLATE(B464,""en"",""bn"")"),"ত্বক সফলভাবে প্রয়োগ করা হয়েছে!")</f>
        <v>ত্বক সফলভাবে প্রয়োগ করা হয়েছে!</v>
      </c>
      <c r="T464" s="4" t="str">
        <f>IFERROR(__xludf.DUMMYFUNCTION("GOOGLETRANSLATE(B464,""en"",""pa"")"),"ਚਮੜੀ ਨੂੰ ਸਫਲਤਾਪੂਰਵਕ ਲਾਗੂ ਕੀਤਾ ਗਿਆ!")</f>
        <v>ਚਮੜੀ ਨੂੰ ਸਫਲਤਾਪੂਰਵਕ ਲਾਗੂ ਕੀਤਾ ਗਿਆ!</v>
      </c>
      <c r="U464" s="4" t="str">
        <f>IFERROR(__xludf.DUMMYFUNCTION("GOOGLETRANSLATE(B464,""en"",""te"")"),"స్కిన్ విజయవంతంగా అప్లై చేయబడింది!")</f>
        <v>స్కిన్ విజయవంతంగా అప్లై చేయబడింది!</v>
      </c>
      <c r="V464" s="4" t="str">
        <f>IFERROR(__xludf.DUMMYFUNCTION("GOOGLETRANSLATE(B464,""en"",""kn"")"),"ಚರ್ಮವನ್ನು ಯಶಸ್ವಿಯಾಗಿ ಅನ್ವಯಿಸಲಾಗಿದೆ!")</f>
        <v>ಚರ್ಮವನ್ನು ಯಶಸ್ವಿಯಾಗಿ ಅನ್ವಯಿಸಲಾಗಿದೆ!</v>
      </c>
      <c r="W464" s="4" t="str">
        <f>IFERROR(__xludf.DUMMYFUNCTION("GOOGLETRANSLATE(B464,""en"",""ml"")"),"ചർമ്മം പ്രയോഗിച്ചു!")</f>
        <v>ചർമ്മം പ്രയോഗിച്ചു!</v>
      </c>
      <c r="X464" s="4" t="str">
        <f>IFERROR(__xludf.DUMMYFUNCTION("GOOGLETRANSLATE(B464,""en"",""th"")"),"ติดผิวสำเร็จแล้ว!")</f>
        <v>ติดผิวสำเร็จแล้ว!</v>
      </c>
      <c r="Y464" s="4" t="str">
        <f>IFERROR(__xludf.DUMMYFUNCTION("GOOGLETRANSLATE(B464,""en"",""ko"")"),"스킨 적용이 성공적으로 완료되었습니다!")</f>
        <v>스킨 적용이 성공적으로 완료되었습니다!</v>
      </c>
      <c r="Z464" s="4" t="str">
        <f>IFERROR(__xludf.DUMMYFUNCTION("GOOGLETRANSLATE(B464,""en"",""zh"")"),"皮膚應用成功！")</f>
        <v>皮膚應用成功！</v>
      </c>
      <c r="AA464" s="4" t="str">
        <f>IFERROR(__xludf.DUMMYFUNCTION("GOOGLETRANSLATE(B464,""en"",""zh-TW"")"),"皮膚應用成功！")</f>
        <v>皮膚應用成功！</v>
      </c>
      <c r="AB464" s="4" t="str">
        <f>IFERROR(__xludf.DUMMYFUNCTION("GOOGLETRANSLATE(B464,""en"",""ja"")"),"スキンの適用に成功しました!")</f>
        <v>スキンの適用に成功しました!</v>
      </c>
      <c r="AC464" s="4" t="str">
        <f>IFERROR(__xludf.DUMMYFUNCTION("GOOGLETRANSLATE(B464,""en"",""bg"")"),"Кожата е нанесена успешно!")</f>
        <v>Кожата е нанесена успешно!</v>
      </c>
      <c r="AD464" s="4" t="str">
        <f>IFERROR(__xludf.DUMMYFUNCTION("GOOGLETRANSLATE(B464,""en"",""cs"")"),"Skin úspěšně aplikován!")</f>
        <v>Skin úspěšně aplikován!</v>
      </c>
      <c r="AE464" s="4" t="str">
        <f>IFERROR(__xludf.DUMMYFUNCTION("GOOGLETRANSLATE(B464,""en"",""da"")"),"Hud påført med succes!")</f>
        <v>Hud påført med succes!</v>
      </c>
      <c r="AF464" s="4" t="str">
        <f>IFERROR(__xludf.DUMMYFUNCTION("GOOGLETRANSLATE(B464,""en"",""el"")"),"Εφαρμογή στο δέρμα με επιτυχία!")</f>
        <v>Εφαρμογή στο δέρμα με επιτυχία!</v>
      </c>
      <c r="AG464" s="4" t="str">
        <f>IFERROR(__xludf.DUMMYFUNCTION("GOOGLETRANSLATE(B464,""en"",""et"")"),"Naha pealekandmine õnnestus!")</f>
        <v>Naha pealekandmine õnnestus!</v>
      </c>
      <c r="AH464" s="4" t="str">
        <f>IFERROR(__xludf.DUMMYFUNCTION("GOOGLETRANSLATE(B464,""en"",""fi"")"),"Iho levitetty onnistuneesti!")</f>
        <v>Iho levitetty onnistuneesti!</v>
      </c>
      <c r="AI464" s="4" t="str">
        <f>IFERROR(__xludf.DUMMYFUNCTION("GOOGLETRANSLATE(B464,""en"",""hr"")"),"Koža uspješno nanesena!")</f>
        <v>Koža uspješno nanesena!</v>
      </c>
      <c r="AJ464" s="4" t="str">
        <f>IFERROR(__xludf.DUMMYFUNCTION("GOOGLETRANSLATE(B464,""en"",""hu"")"),"A bőr sikeresen felhordása!")</f>
        <v>A bőr sikeresen felhordása!</v>
      </c>
      <c r="AK464" s="4" t="str">
        <f>IFERROR(__xludf.DUMMYFUNCTION("GOOGLETRANSLATE(B464,""en"",""hy"")"),"Մաշկը հաջողությամբ կիրառվեց:")</f>
        <v>Մաշկը հաջողությամբ կիրառվեց:</v>
      </c>
      <c r="AL464" s="4" t="str">
        <f>IFERROR(__xludf.DUMMYFUNCTION("GOOGLETRANSLATE(B464,""en"",""ca"")"),"La pell s'ha aplicat amb èxit!")</f>
        <v>La pell s'ha aplicat amb èxit!</v>
      </c>
      <c r="AM464" s="4" t="str">
        <f>IFERROR(__xludf.DUMMYFUNCTION("GOOGLETRANSLATE(B464,""en"",""nl"")"),"Huid succesvol aangebracht!")</f>
        <v>Huid succesvol aangebracht!</v>
      </c>
      <c r="AN464" s="4" t="str">
        <f>IFERROR(__xludf.DUMMYFUNCTION("GOOGLETRANSLATE(B464,""en"",""he"")"),"עור מוחל בהצלחה!")</f>
        <v>עור מוחל בהצלחה!</v>
      </c>
      <c r="AO464" s="4" t="str">
        <f>IFERROR(__xludf.DUMMYFUNCTION("GOOGLETRANSLATE(B464,""en"",""is"")"),"Húð beitt með góðum árangri!")</f>
        <v>Húð beitt með góðum árangri!</v>
      </c>
      <c r="AP464" s="4" t="str">
        <f>IFERROR(__xludf.DUMMYFUNCTION("GOOGLETRANSLATE(B464,""en"",""no"")"),"Hud påført med suksess!")</f>
        <v>Hud påført med suksess!</v>
      </c>
      <c r="AQ464" s="4" t="str">
        <f>IFERROR(__xludf.DUMMYFUNCTION("GOOGLETRANSLATE(B464,""en"",""fa"")"),"پوست با موفقیت اعمال شد!")</f>
        <v>پوست با موفقیت اعمال شد!</v>
      </c>
      <c r="AR464" s="4" t="str">
        <f>IFERROR(__xludf.DUMMYFUNCTION("GOOGLETRANSLATE(B464,""en"",""pl"")"),"Zabieg na skórze zakończony sukcesem!")</f>
        <v>Zabieg na skórze zakończony sukcesem!</v>
      </c>
      <c r="AS464" s="4" t="str">
        <f>IFERROR(__xludf.DUMMYFUNCTION("GOOGLETRANSLATE(B464,""en"",""sv"")"),"Hud appliceras framgångsrikt!")</f>
        <v>Hud appliceras framgångsrikt!</v>
      </c>
      <c r="AT464" s="4" t="str">
        <f>IFERROR(__xludf.DUMMYFUNCTION("GOOGLETRANSLATE(B464,""en"",""uk"")"),"Шкіра успішно нанесена!")</f>
        <v>Шкіра успішно нанесена!</v>
      </c>
      <c r="AU464" s="4" t="str">
        <f>IFERROR(__xludf.DUMMYFUNCTION("GOOGLETRANSLATE(B464,""en"",""zu"")"),"Isikhumba Sisetshenziswe Ngempumelelo!")</f>
        <v>Isikhumba Sisetshenziswe Ngempumelelo!</v>
      </c>
      <c r="AV464" s="4" t="str">
        <f>IFERROR(__xludf.DUMMYFUNCTION("GOOGLETRANSLATE(B464,""en"",""sr"")"),"Кожа је успешно примењена!")</f>
        <v>Кожа је успешно примењена!</v>
      </c>
    </row>
    <row r="465">
      <c r="A465" s="3" t="s">
        <v>901</v>
      </c>
      <c r="B465" s="3" t="s">
        <v>902</v>
      </c>
      <c r="C465" s="4" t="str">
        <f>IFERROR(__xludf.DUMMYFUNCTION("GOOGLETRANSLATE(B465,""en"",""ta"")"),"{{total}} இல் {{தற்போதைய}}")</f>
        <v>{{total}} இல் {{தற்போதைய}}</v>
      </c>
      <c r="D465" s="4" t="str">
        <f>IFERROR(__xludf.DUMMYFUNCTION("GOOGLETRANSLATE(B465,""en"",""hi"")"),"{{कुल}} में से {{वर्तमान}}")</f>
        <v>{{कुल}} में से {{वर्तमान}}</v>
      </c>
      <c r="E465" s="4" t="str">
        <f>IFERROR(__xludf.DUMMYFUNCTION("GOOGLETRANSLATE(B465,""en"",""id"")"),"{{saat ini}} dari {{total}}")</f>
        <v>{{saat ini}} dari {{total}}</v>
      </c>
      <c r="F465" s="4" t="str">
        <f>IFERROR(__xludf.DUMMYFUNCTION("GOOGLETRANSLATE(B465,""en"",""ms"")"),"{{semasa}} daripada {{total}}")</f>
        <v>{{semasa}} daripada {{total}}</v>
      </c>
      <c r="G465" s="4" t="str">
        <f>IFERROR(__xludf.DUMMYFUNCTION("GOOGLETRANSLATE(B465,""en"",""de"")"),"{{current}} von {{total}}")</f>
        <v>{{current}} von {{total}}</v>
      </c>
      <c r="H465" s="4" t="str">
        <f>IFERROR(__xludf.DUMMYFUNCTION("GOOGLETRANSLATE(B465,""en"",""es"")"),"{{actual}} de {{total}}")</f>
        <v>{{actual}} de {{total}}</v>
      </c>
      <c r="I465" s="4" t="str">
        <f>IFERROR(__xludf.DUMMYFUNCTION("GOOGLETRANSLATE(B465,""en"",""fr"")"),"{{current}} sur {{total}}")</f>
        <v>{{current}} sur {{total}}</v>
      </c>
      <c r="J465" s="4" t="str">
        <f>IFERROR(__xludf.DUMMYFUNCTION("GOOGLETRANSLATE(B465,""en"",""it"")"),"{{current}} di {{total}}")</f>
        <v>{{current}} di {{total}}</v>
      </c>
      <c r="K465" s="4" t="str">
        <f>IFERROR(__xludf.DUMMYFUNCTION("GOOGLETRANSLATE(B465,""en"",""pt"")"),"{{atual}} de {{total}}")</f>
        <v>{{atual}} de {{total}}</v>
      </c>
      <c r="L465" s="4" t="str">
        <f>IFERROR(__xludf.DUMMYFUNCTION("GOOGLETRANSLATE(B465,""en"",""ro"")"),"{{current}} din {{total}}")</f>
        <v>{{current}} din {{total}}</v>
      </c>
      <c r="M465" s="4" t="str">
        <f>IFERROR(__xludf.DUMMYFUNCTION("GOOGLETRANSLATE(B465,""en"",""vi"")"),"{{hiện tại}} trong tổng số {{tổng số}}")</f>
        <v>{{hiện tại}} trong tổng số {{tổng số}}</v>
      </c>
      <c r="N465" s="4" t="str">
        <f>IFERROR(__xludf.DUMMYFUNCTION("GOOGLETRANSLATE(B465,""en"",""ru"")"),"{{current}} из {{total}}")</f>
        <v>{{current}} из {{total}}</v>
      </c>
      <c r="O465" s="4" t="str">
        <f>IFERROR(__xludf.DUMMYFUNCTION("GOOGLETRANSLATE(B465,""en"",""tr"")"),"{{current}} / {{total}}")</f>
        <v>{{current}} / {{total}}</v>
      </c>
      <c r="P465" s="4" t="str">
        <f>IFERROR(__xludf.DUMMYFUNCTION("GOOGLETRANSLATE(B465,""en"",""ar"")"),"{{الحالي}} من {{الإجمالي}}")</f>
        <v>{{الحالي}} من {{الإجمالي}}</v>
      </c>
      <c r="Q465" s="4" t="str">
        <f>IFERROR(__xludf.DUMMYFUNCTION("GOOGLETRANSLATE(B465,""en"",""mr"")"),"{{total}} पैकी {{वर्तमान}}")</f>
        <v>{{total}} पैकी {{वर्तमान}}</v>
      </c>
      <c r="R465" s="4" t="str">
        <f>IFERROR(__xludf.DUMMYFUNCTION("GOOGLETRANSLATE(B465,""en"",""gu"")"),"{{total}} માંથી {{current}}")</f>
        <v>{{total}} માંથી {{current}}</v>
      </c>
      <c r="S465" s="4" t="str">
        <f>IFERROR(__xludf.DUMMYFUNCTION("GOOGLETRANSLATE(B465,""en"",""bn"")"),"{{total}} এর মধ্যে {{current}}")</f>
        <v>{{total}} এর মধ্যে {{current}}</v>
      </c>
      <c r="T465" s="4" t="str">
        <f>IFERROR(__xludf.DUMMYFUNCTION("GOOGLETRANSLATE(B465,""en"",""pa"")"),"{{total}} ਵਿੱਚੋਂ {{current}}")</f>
        <v>{{total}} ਵਿੱਚੋਂ {{current}}</v>
      </c>
      <c r="U465" s="4" t="str">
        <f>IFERROR(__xludf.DUMMYFUNCTION("GOOGLETRANSLATE(B465,""en"",""te"")"),"{{total}}లో {{current}}")</f>
        <v>{{total}}లో {{current}}</v>
      </c>
      <c r="V465" s="4" t="str">
        <f>IFERROR(__xludf.DUMMYFUNCTION("GOOGLETRANSLATE(B465,""en"",""kn"")"),"{{total}} ರಲ್ಲಿ {{ಪ್ರಸ್ತುತ}}")</f>
        <v>{{total}} ರಲ್ಲಿ {{ಪ್ರಸ್ತುತ}}</v>
      </c>
      <c r="W465" s="4" t="str">
        <f>IFERROR(__xludf.DUMMYFUNCTION("GOOGLETRANSLATE(B465,""en"",""ml"")"),"{{total}}-ൽ {{നിലവിലെ}}")</f>
        <v>{{total}}-ൽ {{നിലവിലെ}}</v>
      </c>
      <c r="X465" s="4" t="str">
        <f>IFERROR(__xludf.DUMMYFUNCTION("GOOGLETRANSLATE(B465,""en"",""th"")"),"{{ปัจจุบัน}} จาก {{รวม}}")</f>
        <v>{{ปัจจุบัน}} จาก {{รวม}}</v>
      </c>
      <c r="Y465" s="4" t="str">
        <f>IFERROR(__xludf.DUMMYFUNCTION("GOOGLETRANSLATE(B465,""en"",""ko"")"),"{{전체}} 중 {{현재}}")</f>
        <v>{{전체}} 중 {{현재}}</v>
      </c>
      <c r="Z465" s="4" t="str">
        <f>IFERROR(__xludf.DUMMYFUNCTION("GOOGLETRANSLATE(B465,""en"",""zh"")"),"{{current}} 共 {{total}}")</f>
        <v>{{current}} 共 {{total}}</v>
      </c>
      <c r="AA465" s="4" t="str">
        <f>IFERROR(__xludf.DUMMYFUNCTION("GOOGLETRANSLATE(B465,""en"",""zh-TW"")"),"{{current}} / {{total}}")</f>
        <v>{{current}} / {{total}}</v>
      </c>
      <c r="AB465" s="4" t="str">
        <f>IFERROR(__xludf.DUMMYFUNCTION("GOOGLETRANSLATE(B465,""en"",""ja"")"),"{{current}} / {{total}}")</f>
        <v>{{current}} / {{total}}</v>
      </c>
      <c r="AC465" s="4" t="str">
        <f>IFERROR(__xludf.DUMMYFUNCTION("GOOGLETRANSLATE(B465,""en"",""bg"")"),"{{current}} от {{total}}")</f>
        <v>{{current}} от {{total}}</v>
      </c>
      <c r="AD465" s="4" t="str">
        <f>IFERROR(__xludf.DUMMYFUNCTION("GOOGLETRANSLATE(B465,""en"",""cs"")"),"{{current}} z {{total}}")</f>
        <v>{{current}} z {{total}}</v>
      </c>
      <c r="AE465" s="4" t="str">
        <f>IFERROR(__xludf.DUMMYFUNCTION("GOOGLETRANSLATE(B465,""en"",""da"")"),"{{current}} af {{total}}")</f>
        <v>{{current}} af {{total}}</v>
      </c>
      <c r="AF465" s="4" t="str">
        <f>IFERROR(__xludf.DUMMYFUNCTION("GOOGLETRANSLATE(B465,""en"",""el"")"),"{{current}} από {{total}}")</f>
        <v>{{current}} από {{total}}</v>
      </c>
      <c r="AG465" s="4" t="str">
        <f>IFERROR(__xludf.DUMMYFUNCTION("GOOGLETRANSLATE(B465,""en"",""et"")"),"{{current}}/{{total}}")</f>
        <v>{{current}}/{{total}}</v>
      </c>
      <c r="AH465" s="4" t="str">
        <f>IFERROR(__xludf.DUMMYFUNCTION("GOOGLETRANSLATE(B465,""en"",""fi"")"),"{{current}} / {{total}}")</f>
        <v>{{current}} / {{total}}</v>
      </c>
      <c r="AI465" s="4" t="str">
        <f>IFERROR(__xludf.DUMMYFUNCTION("GOOGLETRANSLATE(B465,""en"",""hr"")"),"{{current}} od {{total}}")</f>
        <v>{{current}} od {{total}}</v>
      </c>
      <c r="AJ465" s="4" t="str">
        <f>IFERROR(__xludf.DUMMYFUNCTION("GOOGLETRANSLATE(B465,""en"",""hu"")"),"{{total}}/{{current}}")</f>
        <v>{{total}}/{{current}}</v>
      </c>
      <c r="AK465" s="4" t="str">
        <f>IFERROR(__xludf.DUMMYFUNCTION("GOOGLETRANSLATE(B465,""en"",""hy"")"),"{{ ընթացիկ}} {{ընդհանուր}}-ից")</f>
        <v>{{ ընթացիկ}} {{ընդհանուր}}-ից</v>
      </c>
      <c r="AL465" s="4" t="str">
        <f>IFERROR(__xludf.DUMMYFUNCTION("GOOGLETRANSLATE(B465,""en"",""ca"")"),"{{actual}} de {{total}}")</f>
        <v>{{actual}} de {{total}}</v>
      </c>
      <c r="AM465" s="4" t="str">
        <f>IFERROR(__xludf.DUMMYFUNCTION("GOOGLETRANSLATE(B465,""en"",""nl"")"),"{{huidig}} van {{totaal}}")</f>
        <v>{{huidig}} van {{totaal}}</v>
      </c>
      <c r="AN465" s="4" t="str">
        <f>IFERROR(__xludf.DUMMYFUNCTION("GOOGLETRANSLATE(B465,""en"",""he"")"),"{{current}} מתוך {{total}}")</f>
        <v>{{current}} מתוך {{total}}</v>
      </c>
      <c r="AO465" s="4" t="str">
        <f>IFERROR(__xludf.DUMMYFUNCTION("GOOGLETRANSLATE(B465,""en"",""is"")"),"{{current}} af {{total}}")</f>
        <v>{{current}} af {{total}}</v>
      </c>
      <c r="AP465" s="4" t="str">
        <f>IFERROR(__xludf.DUMMYFUNCTION("GOOGLETRANSLATE(B465,""en"",""no"")"),"{{current}} av {{total}}")</f>
        <v>{{current}} av {{total}}</v>
      </c>
      <c r="AQ465" s="4" t="str">
        <f>IFERROR(__xludf.DUMMYFUNCTION("GOOGLETRANSLATE(B465,""en"",""fa"")"),"{{current}} از {{total}}")</f>
        <v>{{current}} از {{total}}</v>
      </c>
      <c r="AR465" s="4" t="str">
        <f>IFERROR(__xludf.DUMMYFUNCTION("GOOGLETRANSLATE(B465,""en"",""pl"")"),"{{aktualne}} z {{całkowitej liczby}}")</f>
        <v>{{aktualne}} z {{całkowitej liczby}}</v>
      </c>
      <c r="AS465" s="4" t="str">
        <f>IFERROR(__xludf.DUMMYFUNCTION("GOOGLETRANSLATE(B465,""en"",""sv"")"),"{{current}} av {{total}}")</f>
        <v>{{current}} av {{total}}</v>
      </c>
      <c r="AT465" s="4" t="str">
        <f>IFERROR(__xludf.DUMMYFUNCTION("GOOGLETRANSLATE(B465,""en"",""uk"")"),"{{current}} із {{total}}")</f>
        <v>{{current}} із {{total}}</v>
      </c>
      <c r="AU465" s="4" t="str">
        <f>IFERROR(__xludf.DUMMYFUNCTION("GOOGLETRANSLATE(B465,""en"",""zu"")"),"{{current}} kwangu-{{total}}")</f>
        <v>{{current}} kwangu-{{total}}</v>
      </c>
      <c r="AV465" s="4" t="str">
        <f>IFERROR(__xludf.DUMMYFUNCTION("GOOGLETRANSLATE(B465,""en"",""sr"")"),"{{цуррент}} од {{тотал}}")</f>
        <v>{{цуррент}} од {{тотал}}</v>
      </c>
    </row>
    <row r="466">
      <c r="A466" s="3" t="s">
        <v>903</v>
      </c>
      <c r="B466" s="3" t="s">
        <v>904</v>
      </c>
      <c r="C466" s="4" t="str">
        <f>IFERROR(__xludf.DUMMYFUNCTION("GOOGLETRANSLATE(B466,""en"",""ta"")"),"இலக்கு இருப்பிடத்தின் அட்சரேகை மற்றும் தீர்க்கரேகையை உள்ளிடவும்")</f>
        <v>இலக்கு இருப்பிடத்தின் அட்சரேகை மற்றும் தீர்க்கரேகையை உள்ளிடவும்</v>
      </c>
      <c r="D466" s="4" t="str">
        <f>IFERROR(__xludf.DUMMYFUNCTION("GOOGLETRANSLATE(B466,""en"",""hi"")"),"कृपया लक्ष्य स्थान का अक्षांश और देशांतर दर्ज करें")</f>
        <v>कृपया लक्ष्य स्थान का अक्षांश और देशांतर दर्ज करें</v>
      </c>
      <c r="E466" s="4" t="str">
        <f>IFERROR(__xludf.DUMMYFUNCTION("GOOGLETRANSLATE(B466,""en"",""id"")"),"Silakan masukkan lintang dan bujur lokasi target")</f>
        <v>Silakan masukkan lintang dan bujur lokasi target</v>
      </c>
      <c r="F466" s="4" t="str">
        <f>IFERROR(__xludf.DUMMYFUNCTION("GOOGLETRANSLATE(B466,""en"",""ms"")"),"Sila masukkan latitud dan longitud lokasi sasaran")</f>
        <v>Sila masukkan latitud dan longitud lokasi sasaran</v>
      </c>
      <c r="G466" s="4" t="str">
        <f>IFERROR(__xludf.DUMMYFUNCTION("GOOGLETRANSLATE(B466,""en"",""de"")"),"Bitte geben Sie den Breiten- und Längengrad des Zielorts ein")</f>
        <v>Bitte geben Sie den Breiten- und Längengrad des Zielorts ein</v>
      </c>
      <c r="H466" s="4" t="str">
        <f>IFERROR(__xludf.DUMMYFUNCTION("GOOGLETRANSLATE(B466,""en"",""es"")"),"Ingrese la latitud y longitud de la ubicación de destino")</f>
        <v>Ingrese la latitud y longitud de la ubicación de destino</v>
      </c>
      <c r="I466" s="4" t="str">
        <f>IFERROR(__xludf.DUMMYFUNCTION("GOOGLETRANSLATE(B466,""en"",""fr"")"),"Veuillez saisir la latitude et la longitude de l'emplacement cible")</f>
        <v>Veuillez saisir la latitude et la longitude de l'emplacement cible</v>
      </c>
      <c r="J466" s="4" t="str">
        <f>IFERROR(__xludf.DUMMYFUNCTION("GOOGLETRANSLATE(B466,""en"",""it"")"),"Inserisci la latitudine e la longitudine della posizione di destinazione")</f>
        <v>Inserisci la latitudine e la longitudine della posizione di destinazione</v>
      </c>
      <c r="K466" s="4" t="str">
        <f>IFERROR(__xludf.DUMMYFUNCTION("GOOGLETRANSLATE(B466,""en"",""pt"")"),"Por favor, insira a latitude e a longitude do local de destino")</f>
        <v>Por favor, insira a latitude e a longitude do local de destino</v>
      </c>
      <c r="L466" s="4" t="str">
        <f>IFERROR(__xludf.DUMMYFUNCTION("GOOGLETRANSLATE(B466,""en"",""ro"")"),"Vă rugăm să introduceți latitudinea și longitudinea locației țintă")</f>
        <v>Vă rugăm să introduceți latitudinea și longitudinea locației țintă</v>
      </c>
      <c r="M466" s="4" t="str">
        <f>IFERROR(__xludf.DUMMYFUNCTION("GOOGLETRANSLATE(B466,""en"",""vi"")"),"Vui lòng nhập vĩ độ và kinh độ của vị trí mục tiêu")</f>
        <v>Vui lòng nhập vĩ độ và kinh độ của vị trí mục tiêu</v>
      </c>
      <c r="N466" s="4" t="str">
        <f>IFERROR(__xludf.DUMMYFUNCTION("GOOGLETRANSLATE(B466,""en"",""ru"")"),"Введите широту и долготу целевого местоположения.")</f>
        <v>Введите широту и долготу целевого местоположения.</v>
      </c>
      <c r="O466" s="4" t="str">
        <f>IFERROR(__xludf.DUMMYFUNCTION("GOOGLETRANSLATE(B466,""en"",""tr"")"),"Lütfen hedef konumun enlem ve boylamını girin")</f>
        <v>Lütfen hedef konumun enlem ve boylamını girin</v>
      </c>
      <c r="P466" s="4" t="str">
        <f>IFERROR(__xludf.DUMMYFUNCTION("GOOGLETRANSLATE(B466,""en"",""ar"")"),"الرجاء إدخال خط العرض وخط الطول للموقع المستهدف")</f>
        <v>الرجاء إدخال خط العرض وخط الطول للموقع المستهدف</v>
      </c>
      <c r="Q466" s="4" t="str">
        <f>IFERROR(__xludf.DUMMYFUNCTION("GOOGLETRANSLATE(B466,""en"",""mr"")"),"कृपया लक्ष्य स्थानाचे अक्षांश आणि रेखांश प्रविष्ट करा")</f>
        <v>कृपया लक्ष्य स्थानाचे अक्षांश आणि रेखांश प्रविष्ट करा</v>
      </c>
      <c r="R466" s="4" t="str">
        <f>IFERROR(__xludf.DUMMYFUNCTION("GOOGLETRANSLATE(B466,""en"",""gu"")"),"કૃપા કરીને લક્ષ્ય સ્થાનનું અક્ષાંશ અને રેખાંશ દાખલ કરો")</f>
        <v>કૃપા કરીને લક્ષ્ય સ્થાનનું અક્ષાંશ અને રેખાંશ દાખલ કરો</v>
      </c>
      <c r="S466" s="4" t="str">
        <f>IFERROR(__xludf.DUMMYFUNCTION("GOOGLETRANSLATE(B466,""en"",""bn"")"),"লক্ষ্য অবস্থানের অক্ষাংশ এবং দ্রাঘিমাংশ লিখুন")</f>
        <v>লক্ষ্য অবস্থানের অক্ষাংশ এবং দ্রাঘিমাংশ লিখুন</v>
      </c>
      <c r="T466" s="4" t="str">
        <f>IFERROR(__xludf.DUMMYFUNCTION("GOOGLETRANSLATE(B466,""en"",""pa"")"),"ਕਿਰਪਾ ਕਰਕੇ ਨਿਸ਼ਾਨਾ ਸਥਾਨ ਦਾ ਵਿਥਕਾਰ ਅਤੇ ਲੰਬਕਾਰ ਦਰਜ ਕਰੋ")</f>
        <v>ਕਿਰਪਾ ਕਰਕੇ ਨਿਸ਼ਾਨਾ ਸਥਾਨ ਦਾ ਵਿਥਕਾਰ ਅਤੇ ਲੰਬਕਾਰ ਦਰਜ ਕਰੋ</v>
      </c>
      <c r="U466" s="4" t="str">
        <f>IFERROR(__xludf.DUMMYFUNCTION("GOOGLETRANSLATE(B466,""en"",""te"")"),"దయచేసి లక్ష్య స్థానం యొక్క అక్షాంశం మరియు రేఖాంశాన్ని నమోదు చేయండి")</f>
        <v>దయచేసి లక్ష్య స్థానం యొక్క అక్షాంశం మరియు రేఖాంశాన్ని నమోదు చేయండి</v>
      </c>
      <c r="V466" s="4" t="str">
        <f>IFERROR(__xludf.DUMMYFUNCTION("GOOGLETRANSLATE(B466,""en"",""kn"")"),"ದಯವಿಟ್ಟು ಗುರಿಯ ಸ್ಥಳದ ಅಕ್ಷಾಂಶ ಮತ್ತು ರೇಖಾಂಶವನ್ನು ನಮೂದಿಸಿ")</f>
        <v>ದಯವಿಟ್ಟು ಗುರಿಯ ಸ್ಥಳದ ಅಕ್ಷಾಂಶ ಮತ್ತು ರೇಖಾಂಶವನ್ನು ನಮೂದಿಸಿ</v>
      </c>
      <c r="W466" s="4" t="str">
        <f>IFERROR(__xludf.DUMMYFUNCTION("GOOGLETRANSLATE(B466,""en"",""ml"")"),"ലക്ഷ്യസ്ഥാനത്തിൻ്റെ അക്ഷാംശവും രേഖാംശവും ദയവായി നൽകുക")</f>
        <v>ലക്ഷ്യസ്ഥാനത്തിൻ്റെ അക്ഷാംശവും രേഖാംശവും ദയവായി നൽകുക</v>
      </c>
      <c r="X466" s="4" t="str">
        <f>IFERROR(__xludf.DUMMYFUNCTION("GOOGLETRANSLATE(B466,""en"",""th"")"),"กรุณาระบุละติจูดและลองจิจูดของตำแหน่งเป้าหมาย")</f>
        <v>กรุณาระบุละติจูดและลองจิจูดของตำแหน่งเป้าหมาย</v>
      </c>
      <c r="Y466" s="4" t="str">
        <f>IFERROR(__xludf.DUMMYFUNCTION("GOOGLETRANSLATE(B466,""en"",""ko"")"),"대상 위치의 위도와 경도를 입력하세요.")</f>
        <v>대상 위치의 위도와 경도를 입력하세요.</v>
      </c>
      <c r="Z466" s="4" t="str">
        <f>IFERROR(__xludf.DUMMYFUNCTION("GOOGLETRANSLATE(B466,""en"",""zh"")"),"请输入目标地点的经纬度")</f>
        <v>请输入目标地点的经纬度</v>
      </c>
      <c r="AA466" s="4" t="str">
        <f>IFERROR(__xludf.DUMMYFUNCTION("GOOGLETRANSLATE(B466,""en"",""zh-TW"")"),"請輸入目標地點的經緯度")</f>
        <v>請輸入目標地點的經緯度</v>
      </c>
      <c r="AB466" s="4" t="str">
        <f>IFERROR(__xludf.DUMMYFUNCTION("GOOGLETRANSLATE(B466,""en"",""ja"")"),"目的地の緯度と経度を入力してください")</f>
        <v>目的地の緯度と経度を入力してください</v>
      </c>
      <c r="AC466" s="4" t="str">
        <f>IFERROR(__xludf.DUMMYFUNCTION("GOOGLETRANSLATE(B466,""en"",""bg"")"),"Моля, въведете географската ширина и дължина на целевото местоположение")</f>
        <v>Моля, въведете географската ширина и дължина на целевото местоположение</v>
      </c>
      <c r="AD466" s="4" t="str">
        <f>IFERROR(__xludf.DUMMYFUNCTION("GOOGLETRANSLATE(B466,""en"",""cs"")"),"Zadejte prosím zeměpisnou šířku a délku cílového umístění")</f>
        <v>Zadejte prosím zeměpisnou šířku a délku cílového umístění</v>
      </c>
      <c r="AE466" s="4" t="str">
        <f>IFERROR(__xludf.DUMMYFUNCTION("GOOGLETRANSLATE(B466,""en"",""da"")"),"Indtast venligst målpositionens bredde- og længdegrad")</f>
        <v>Indtast venligst målpositionens bredde- og længdegrad</v>
      </c>
      <c r="AF466" s="4" t="str">
        <f>IFERROR(__xludf.DUMMYFUNCTION("GOOGLETRANSLATE(B466,""en"",""el"")"),"Εισαγάγετε το γεωγραφικό πλάτος και το μήκος της τοποθεσίας-στόχου")</f>
        <v>Εισαγάγετε το γεωγραφικό πλάτος και το μήκος της τοποθεσίας-στόχου</v>
      </c>
      <c r="AG466" s="4" t="str">
        <f>IFERROR(__xludf.DUMMYFUNCTION("GOOGLETRANSLATE(B466,""en"",""et"")"),"Sisestage sihtasukoha laius- ja pikkuskraad")</f>
        <v>Sisestage sihtasukoha laius- ja pikkuskraad</v>
      </c>
      <c r="AH466" s="4" t="str">
        <f>IFERROR(__xludf.DUMMYFUNCTION("GOOGLETRANSLATE(B466,""en"",""fi"")"),"Anna kohdesijainnin leveys- ja pituusaste")</f>
        <v>Anna kohdesijainnin leveys- ja pituusaste</v>
      </c>
      <c r="AI466" s="4" t="str">
        <f>IFERROR(__xludf.DUMMYFUNCTION("GOOGLETRANSLATE(B466,""en"",""hr"")"),"Unesite zemljopisnu širinu i dužinu ciljne lokacije")</f>
        <v>Unesite zemljopisnu širinu i dužinu ciljne lokacije</v>
      </c>
      <c r="AJ466" s="4" t="str">
        <f>IFERROR(__xludf.DUMMYFUNCTION("GOOGLETRANSLATE(B466,""en"",""hu"")"),"Kérjük, adja meg a célhely szélességi és hosszúsági fokát")</f>
        <v>Kérjük, adja meg a célhely szélességi és hosszúsági fokát</v>
      </c>
      <c r="AK466" s="4" t="str">
        <f>IFERROR(__xludf.DUMMYFUNCTION("GOOGLETRANSLATE(B466,""en"",""hy"")"),"Խնդրում ենք մուտքագրել նպատակակետի լայնությունը և երկայնությունը")</f>
        <v>Խնդրում ենք մուտքագրել նպատակակետի լայնությունը և երկայնությունը</v>
      </c>
      <c r="AL466" s="4" t="str">
        <f>IFERROR(__xludf.DUMMYFUNCTION("GOOGLETRANSLATE(B466,""en"",""ca"")"),"Introduïu la latitud i la longitud de la ubicació de destinació")</f>
        <v>Introduïu la latitud i la longitud de la ubicació de destinació</v>
      </c>
      <c r="AM466" s="4" t="str">
        <f>IFERROR(__xludf.DUMMYFUNCTION("GOOGLETRANSLATE(B466,""en"",""nl"")"),"Voer de breedtegraad en lengtegraad van de doellocatie in")</f>
        <v>Voer de breedtegraad en lengtegraad van de doellocatie in</v>
      </c>
      <c r="AN466" s="4" t="str">
        <f>IFERROR(__xludf.DUMMYFUNCTION("GOOGLETRANSLATE(B466,""en"",""he"")"),"נא להזין את קו הרוחב והאורך של מיקום היעד")</f>
        <v>נא להזין את קו הרוחב והאורך של מיקום היעד</v>
      </c>
      <c r="AO466" s="4" t="str">
        <f>IFERROR(__xludf.DUMMYFUNCTION("GOOGLETRANSLATE(B466,""en"",""is"")"),"Vinsamlega sláðu inn breiddar- og lengdargráðu markstaðarins")</f>
        <v>Vinsamlega sláðu inn breiddar- og lengdargráðu markstaðarins</v>
      </c>
      <c r="AP466" s="4" t="str">
        <f>IFERROR(__xludf.DUMMYFUNCTION("GOOGLETRANSLATE(B466,""en"",""no"")"),"Angi bredde- og lengdegraden til målstedet")</f>
        <v>Angi bredde- og lengdegraden til målstedet</v>
      </c>
      <c r="AQ466" s="4" t="str">
        <f>IFERROR(__xludf.DUMMYFUNCTION("GOOGLETRANSLATE(B466,""en"",""fa"")"),"لطفا طول و عرض جغرافیایی مکان مورد نظر را وارد کنید")</f>
        <v>لطفا طول و عرض جغرافیایی مکان مورد نظر را وارد کنید</v>
      </c>
      <c r="AR466" s="4" t="str">
        <f>IFERROR(__xludf.DUMMYFUNCTION("GOOGLETRANSLATE(B466,""en"",""pl"")"),"Proszę wprowadzić szerokość i długość geograficzną miejsca docelowego")</f>
        <v>Proszę wprowadzić szerokość i długość geograficzną miejsca docelowego</v>
      </c>
      <c r="AS466" s="4" t="str">
        <f>IFERROR(__xludf.DUMMYFUNCTION("GOOGLETRANSLATE(B466,""en"",""sv"")"),"Ange latitud och longitud för målplatsen")</f>
        <v>Ange latitud och longitud för målplatsen</v>
      </c>
      <c r="AT466" s="4" t="str">
        <f>IFERROR(__xludf.DUMMYFUNCTION("GOOGLETRANSLATE(B466,""en"",""uk"")"),"Будь ласка, введіть широту та довготу цільового розташування")</f>
        <v>Будь ласка, введіть широту та довготу цільового розташування</v>
      </c>
      <c r="AU466" s="4" t="str">
        <f>IFERROR(__xludf.DUMMYFUNCTION("GOOGLETRANSLATE(B466,""en"",""zu"")"),"Sicela ufake i-latitude nobude bendawo okuqondiswe kuyo")</f>
        <v>Sicela ufake i-latitude nobude bendawo okuqondiswe kuyo</v>
      </c>
      <c r="AV466" s="4" t="str">
        <f>IFERROR(__xludf.DUMMYFUNCTION("GOOGLETRANSLATE(B466,""en"",""sr"")"),"Унесите географску ширину и дужину циљане локације")</f>
        <v>Унесите географску ширину и дужину циљане локације</v>
      </c>
    </row>
    <row r="467">
      <c r="A467" s="3" t="s">
        <v>905</v>
      </c>
      <c r="B467" s="3" t="s">
        <v>906</v>
      </c>
      <c r="C467" s="4" t="str">
        <f>IFERROR(__xludf.DUMMYFUNCTION("GOOGLETRANSLATE(B467,""en"",""ta"")"),"அட்சரேகை")</f>
        <v>அட்சரேகை</v>
      </c>
      <c r="D467" s="4" t="str">
        <f>IFERROR(__xludf.DUMMYFUNCTION("GOOGLETRANSLATE(B467,""en"",""hi"")"),"अक्षांश")</f>
        <v>अक्षांश</v>
      </c>
      <c r="E467" s="4" t="str">
        <f>IFERROR(__xludf.DUMMYFUNCTION("GOOGLETRANSLATE(B467,""en"",""id"")"),"Lintang")</f>
        <v>Lintang</v>
      </c>
      <c r="F467" s="4" t="str">
        <f>IFERROR(__xludf.DUMMYFUNCTION("GOOGLETRANSLATE(B467,""en"",""ms"")"),"Latitud")</f>
        <v>Latitud</v>
      </c>
      <c r="G467" s="4" t="str">
        <f>IFERROR(__xludf.DUMMYFUNCTION("GOOGLETRANSLATE(B467,""en"",""de"")"),"Breite")</f>
        <v>Breite</v>
      </c>
      <c r="H467" s="4" t="str">
        <f>IFERROR(__xludf.DUMMYFUNCTION("GOOGLETRANSLATE(B467,""en"",""es"")"),"Latitud")</f>
        <v>Latitud</v>
      </c>
      <c r="I467" s="4" t="str">
        <f>IFERROR(__xludf.DUMMYFUNCTION("GOOGLETRANSLATE(B467,""en"",""fr"")"),"Latitude")</f>
        <v>Latitude</v>
      </c>
      <c r="J467" s="4" t="str">
        <f>IFERROR(__xludf.DUMMYFUNCTION("GOOGLETRANSLATE(B467,""en"",""it"")"),"Latitudine")</f>
        <v>Latitudine</v>
      </c>
      <c r="K467" s="4" t="str">
        <f>IFERROR(__xludf.DUMMYFUNCTION("GOOGLETRANSLATE(B467,""en"",""pt"")"),"Latitude")</f>
        <v>Latitude</v>
      </c>
      <c r="L467" s="4" t="str">
        <f>IFERROR(__xludf.DUMMYFUNCTION("GOOGLETRANSLATE(B467,""en"",""ro"")"),"Latitudine")</f>
        <v>Latitudine</v>
      </c>
      <c r="M467" s="4" t="str">
        <f>IFERROR(__xludf.DUMMYFUNCTION("GOOGLETRANSLATE(B467,""en"",""vi"")"),"Vĩ độ")</f>
        <v>Vĩ độ</v>
      </c>
      <c r="N467" s="4" t="str">
        <f>IFERROR(__xludf.DUMMYFUNCTION("GOOGLETRANSLATE(B467,""en"",""ru"")"),"Широта")</f>
        <v>Широта</v>
      </c>
      <c r="O467" s="4" t="str">
        <f>IFERROR(__xludf.DUMMYFUNCTION("GOOGLETRANSLATE(B467,""en"",""tr"")"),"Enlem")</f>
        <v>Enlem</v>
      </c>
      <c r="P467" s="4" t="str">
        <f>IFERROR(__xludf.DUMMYFUNCTION("GOOGLETRANSLATE(B467,""en"",""ar"")"),"خط العرض")</f>
        <v>خط العرض</v>
      </c>
      <c r="Q467" s="4" t="str">
        <f>IFERROR(__xludf.DUMMYFUNCTION("GOOGLETRANSLATE(B467,""en"",""mr"")"),"अक्षांश")</f>
        <v>अक्षांश</v>
      </c>
      <c r="R467" s="4" t="str">
        <f>IFERROR(__xludf.DUMMYFUNCTION("GOOGLETRANSLATE(B467,""en"",""gu"")"),"અક્ષાંશ")</f>
        <v>અક્ષાંશ</v>
      </c>
      <c r="S467" s="4" t="str">
        <f>IFERROR(__xludf.DUMMYFUNCTION("GOOGLETRANSLATE(B467,""en"",""bn"")"),"অক্ষাংশ")</f>
        <v>অক্ষাংশ</v>
      </c>
      <c r="T467" s="4" t="str">
        <f>IFERROR(__xludf.DUMMYFUNCTION("GOOGLETRANSLATE(B467,""en"",""pa"")"),"ਵਿਥਕਾਰ")</f>
        <v>ਵਿਥਕਾਰ</v>
      </c>
      <c r="U467" s="4" t="str">
        <f>IFERROR(__xludf.DUMMYFUNCTION("GOOGLETRANSLATE(B467,""en"",""te"")"),"అక్షాంశం")</f>
        <v>అక్షాంశం</v>
      </c>
      <c r="V467" s="4" t="str">
        <f>IFERROR(__xludf.DUMMYFUNCTION("GOOGLETRANSLATE(B467,""en"",""kn"")"),"ಅಕ್ಷಾಂಶ")</f>
        <v>ಅಕ್ಷಾಂಶ</v>
      </c>
      <c r="W467" s="4" t="str">
        <f>IFERROR(__xludf.DUMMYFUNCTION("GOOGLETRANSLATE(B467,""en"",""ml"")"),"അക്ഷാംശം")</f>
        <v>അക്ഷാംശം</v>
      </c>
      <c r="X467" s="4" t="str">
        <f>IFERROR(__xludf.DUMMYFUNCTION("GOOGLETRANSLATE(B467,""en"",""th"")"),"ละติจูด")</f>
        <v>ละติจูด</v>
      </c>
      <c r="Y467" s="4" t="str">
        <f>IFERROR(__xludf.DUMMYFUNCTION("GOOGLETRANSLATE(B467,""en"",""ko"")"),"위도")</f>
        <v>위도</v>
      </c>
      <c r="Z467" s="4" t="str">
        <f>IFERROR(__xludf.DUMMYFUNCTION("GOOGLETRANSLATE(B467,""en"",""zh"")"),"纬度")</f>
        <v>纬度</v>
      </c>
      <c r="AA467" s="4" t="str">
        <f>IFERROR(__xludf.DUMMYFUNCTION("GOOGLETRANSLATE(B467,""en"",""zh-TW"")"),"緯度")</f>
        <v>緯度</v>
      </c>
      <c r="AB467" s="4" t="str">
        <f>IFERROR(__xludf.DUMMYFUNCTION("GOOGLETRANSLATE(B467,""en"",""ja"")"),"緯度")</f>
        <v>緯度</v>
      </c>
      <c r="AC467" s="4" t="str">
        <f>IFERROR(__xludf.DUMMYFUNCTION("GOOGLETRANSLATE(B467,""en"",""bg"")"),"Географска ширина")</f>
        <v>Географска ширина</v>
      </c>
      <c r="AD467" s="4" t="str">
        <f>IFERROR(__xludf.DUMMYFUNCTION("GOOGLETRANSLATE(B467,""en"",""cs"")"),"Zeměpisná šířka")</f>
        <v>Zeměpisná šířka</v>
      </c>
      <c r="AE467" s="4" t="str">
        <f>IFERROR(__xludf.DUMMYFUNCTION("GOOGLETRANSLATE(B467,""en"",""da"")"),"Breddegrad")</f>
        <v>Breddegrad</v>
      </c>
      <c r="AF467" s="4" t="str">
        <f>IFERROR(__xludf.DUMMYFUNCTION("GOOGLETRANSLATE(B467,""en"",""el"")"),"Γεωγραφικό πλάτος")</f>
        <v>Γεωγραφικό πλάτος</v>
      </c>
      <c r="AG467" s="4" t="str">
        <f>IFERROR(__xludf.DUMMYFUNCTION("GOOGLETRANSLATE(B467,""en"",""et"")"),"Laiuskraad")</f>
        <v>Laiuskraad</v>
      </c>
      <c r="AH467" s="4" t="str">
        <f>IFERROR(__xludf.DUMMYFUNCTION("GOOGLETRANSLATE(B467,""en"",""fi"")"),"Leveysaste")</f>
        <v>Leveysaste</v>
      </c>
      <c r="AI467" s="4" t="str">
        <f>IFERROR(__xludf.DUMMYFUNCTION("GOOGLETRANSLATE(B467,""en"",""hr"")"),"Zemljopisna širina")</f>
        <v>Zemljopisna širina</v>
      </c>
      <c r="AJ467" s="4" t="str">
        <f>IFERROR(__xludf.DUMMYFUNCTION("GOOGLETRANSLATE(B467,""en"",""hu"")"),"Szélesség")</f>
        <v>Szélesség</v>
      </c>
      <c r="AK467" s="4" t="str">
        <f>IFERROR(__xludf.DUMMYFUNCTION("GOOGLETRANSLATE(B467,""en"",""hy"")"),"Լայնություն")</f>
        <v>Լայնություն</v>
      </c>
      <c r="AL467" s="4" t="str">
        <f>IFERROR(__xludf.DUMMYFUNCTION("GOOGLETRANSLATE(B467,""en"",""ca"")"),"Latitud")</f>
        <v>Latitud</v>
      </c>
      <c r="AM467" s="4" t="str">
        <f>IFERROR(__xludf.DUMMYFUNCTION("GOOGLETRANSLATE(B467,""en"",""nl"")"),"Breedte")</f>
        <v>Breedte</v>
      </c>
      <c r="AN467" s="4" t="str">
        <f>IFERROR(__xludf.DUMMYFUNCTION("GOOGLETRANSLATE(B467,""en"",""he"")"),"רוֹחַב")</f>
        <v>רוֹחַב</v>
      </c>
      <c r="AO467" s="4" t="str">
        <f>IFERROR(__xludf.DUMMYFUNCTION("GOOGLETRANSLATE(B467,""en"",""is"")"),"Breidd")</f>
        <v>Breidd</v>
      </c>
      <c r="AP467" s="4" t="str">
        <f>IFERROR(__xludf.DUMMYFUNCTION("GOOGLETRANSLATE(B467,""en"",""no"")"),"Breddegrad")</f>
        <v>Breddegrad</v>
      </c>
      <c r="AQ467" s="4" t="str">
        <f>IFERROR(__xludf.DUMMYFUNCTION("GOOGLETRANSLATE(B467,""en"",""fa"")"),"عرض جغرافیایی")</f>
        <v>عرض جغرافیایی</v>
      </c>
      <c r="AR467" s="4" t="str">
        <f>IFERROR(__xludf.DUMMYFUNCTION("GOOGLETRANSLATE(B467,""en"",""pl"")"),"Szerokość")</f>
        <v>Szerokość</v>
      </c>
      <c r="AS467" s="4" t="str">
        <f>IFERROR(__xludf.DUMMYFUNCTION("GOOGLETRANSLATE(B467,""en"",""sv"")"),"Latitud")</f>
        <v>Latitud</v>
      </c>
      <c r="AT467" s="4" t="str">
        <f>IFERROR(__xludf.DUMMYFUNCTION("GOOGLETRANSLATE(B467,""en"",""uk"")"),"Широта")</f>
        <v>Широта</v>
      </c>
      <c r="AU467" s="4" t="str">
        <f>IFERROR(__xludf.DUMMYFUNCTION("GOOGLETRANSLATE(B467,""en"",""zu"")"),"I-Latitude")</f>
        <v>I-Latitude</v>
      </c>
      <c r="AV467" s="4" t="str">
        <f>IFERROR(__xludf.DUMMYFUNCTION("GOOGLETRANSLATE(B467,""en"",""sr"")"),"Латитуде")</f>
        <v>Латитуде</v>
      </c>
    </row>
    <row r="468">
      <c r="A468" s="3" t="s">
        <v>907</v>
      </c>
      <c r="B468" s="3" t="s">
        <v>908</v>
      </c>
      <c r="C468" s="4" t="str">
        <f>IFERROR(__xludf.DUMMYFUNCTION("GOOGLETRANSLATE(B468,""en"",""ta"")"),"தீர்க்கரேகை")</f>
        <v>தீர்க்கரேகை</v>
      </c>
      <c r="D468" s="4" t="str">
        <f>IFERROR(__xludf.DUMMYFUNCTION("GOOGLETRANSLATE(B468,""en"",""hi"")"),"देशान्तर")</f>
        <v>देशान्तर</v>
      </c>
      <c r="E468" s="4" t="str">
        <f>IFERROR(__xludf.DUMMYFUNCTION("GOOGLETRANSLATE(B468,""en"",""id"")"),"Garis bujur")</f>
        <v>Garis bujur</v>
      </c>
      <c r="F468" s="4" t="str">
        <f>IFERROR(__xludf.DUMMYFUNCTION("GOOGLETRANSLATE(B468,""en"",""ms"")"),"Longitud")</f>
        <v>Longitud</v>
      </c>
      <c r="G468" s="4" t="str">
        <f>IFERROR(__xludf.DUMMYFUNCTION("GOOGLETRANSLATE(B468,""en"",""de"")"),"Länge")</f>
        <v>Länge</v>
      </c>
      <c r="H468" s="4" t="str">
        <f>IFERROR(__xludf.DUMMYFUNCTION("GOOGLETRANSLATE(B468,""en"",""es"")"),"Longitud")</f>
        <v>Longitud</v>
      </c>
      <c r="I468" s="4" t="str">
        <f>IFERROR(__xludf.DUMMYFUNCTION("GOOGLETRANSLATE(B468,""en"",""fr"")"),"Longitude")</f>
        <v>Longitude</v>
      </c>
      <c r="J468" s="4" t="str">
        <f>IFERROR(__xludf.DUMMYFUNCTION("GOOGLETRANSLATE(B468,""en"",""it"")"),"Longitudine")</f>
        <v>Longitudine</v>
      </c>
      <c r="K468" s="4" t="str">
        <f>IFERROR(__xludf.DUMMYFUNCTION("GOOGLETRANSLATE(B468,""en"",""pt"")"),"Longitude")</f>
        <v>Longitude</v>
      </c>
      <c r="L468" s="4" t="str">
        <f>IFERROR(__xludf.DUMMYFUNCTION("GOOGLETRANSLATE(B468,""en"",""ro"")"),"Longitudine")</f>
        <v>Longitudine</v>
      </c>
      <c r="M468" s="4" t="str">
        <f>IFERROR(__xludf.DUMMYFUNCTION("GOOGLETRANSLATE(B468,""en"",""vi"")"),"Kinh độ")</f>
        <v>Kinh độ</v>
      </c>
      <c r="N468" s="4" t="str">
        <f>IFERROR(__xludf.DUMMYFUNCTION("GOOGLETRANSLATE(B468,""en"",""ru"")"),"Долгота")</f>
        <v>Долгота</v>
      </c>
      <c r="O468" s="4" t="str">
        <f>IFERROR(__xludf.DUMMYFUNCTION("GOOGLETRANSLATE(B468,""en"",""tr"")"),"Boylam")</f>
        <v>Boylam</v>
      </c>
      <c r="P468" s="4" t="str">
        <f>IFERROR(__xludf.DUMMYFUNCTION("GOOGLETRANSLATE(B468,""en"",""ar"")"),"خط الطول")</f>
        <v>خط الطول</v>
      </c>
      <c r="Q468" s="4" t="str">
        <f>IFERROR(__xludf.DUMMYFUNCTION("GOOGLETRANSLATE(B468,""en"",""mr"")"),"रेखांश")</f>
        <v>रेखांश</v>
      </c>
      <c r="R468" s="4" t="str">
        <f>IFERROR(__xludf.DUMMYFUNCTION("GOOGLETRANSLATE(B468,""en"",""gu"")"),"રેખાંશ")</f>
        <v>રેખાંશ</v>
      </c>
      <c r="S468" s="4" t="str">
        <f>IFERROR(__xludf.DUMMYFUNCTION("GOOGLETRANSLATE(B468,""en"",""bn"")"),"দ্রাঘিমাংশ")</f>
        <v>দ্রাঘিমাংশ</v>
      </c>
      <c r="T468" s="4" t="str">
        <f>IFERROR(__xludf.DUMMYFUNCTION("GOOGLETRANSLATE(B468,""en"",""pa"")"),"ਲੰਬਕਾਰ")</f>
        <v>ਲੰਬਕਾਰ</v>
      </c>
      <c r="U468" s="4" t="str">
        <f>IFERROR(__xludf.DUMMYFUNCTION("GOOGLETRANSLATE(B468,""en"",""te"")"),"రేఖాంశం")</f>
        <v>రేఖాంశం</v>
      </c>
      <c r="V468" s="4" t="str">
        <f>IFERROR(__xludf.DUMMYFUNCTION("GOOGLETRANSLATE(B468,""en"",""kn"")"),"ರೇಖಾಂಶ")</f>
        <v>ರೇಖಾಂಶ</v>
      </c>
      <c r="W468" s="4" t="str">
        <f>IFERROR(__xludf.DUMMYFUNCTION("GOOGLETRANSLATE(B468,""en"",""ml"")"),"രേഖാംശം")</f>
        <v>രേഖാംശം</v>
      </c>
      <c r="X468" s="4" t="str">
        <f>IFERROR(__xludf.DUMMYFUNCTION("GOOGLETRANSLATE(B468,""en"",""th"")"),"ลองจิจูด")</f>
        <v>ลองจิจูด</v>
      </c>
      <c r="Y468" s="4" t="str">
        <f>IFERROR(__xludf.DUMMYFUNCTION("GOOGLETRANSLATE(B468,""en"",""ko"")"),"경도")</f>
        <v>경도</v>
      </c>
      <c r="Z468" s="4" t="str">
        <f>IFERROR(__xludf.DUMMYFUNCTION("GOOGLETRANSLATE(B468,""en"",""zh"")"),"经度")</f>
        <v>经度</v>
      </c>
      <c r="AA468" s="4" t="str">
        <f>IFERROR(__xludf.DUMMYFUNCTION("GOOGLETRANSLATE(B468,""en"",""zh-TW"")"),"經度")</f>
        <v>經度</v>
      </c>
      <c r="AB468" s="4" t="str">
        <f>IFERROR(__xludf.DUMMYFUNCTION("GOOGLETRANSLATE(B468,""en"",""ja"")"),"経度")</f>
        <v>経度</v>
      </c>
      <c r="AC468" s="4" t="str">
        <f>IFERROR(__xludf.DUMMYFUNCTION("GOOGLETRANSLATE(B468,""en"",""bg"")"),"Географска дължина")</f>
        <v>Географска дължина</v>
      </c>
      <c r="AD468" s="4" t="str">
        <f>IFERROR(__xludf.DUMMYFUNCTION("GOOGLETRANSLATE(B468,""en"",""cs"")"),"Zeměpisná délka")</f>
        <v>Zeměpisná délka</v>
      </c>
      <c r="AE468" s="4" t="str">
        <f>IFERROR(__xludf.DUMMYFUNCTION("GOOGLETRANSLATE(B468,""en"",""da"")"),"Længde")</f>
        <v>Længde</v>
      </c>
      <c r="AF468" s="4" t="str">
        <f>IFERROR(__xludf.DUMMYFUNCTION("GOOGLETRANSLATE(B468,""en"",""el"")"),"Γεωγραφικό μήκος")</f>
        <v>Γεωγραφικό μήκος</v>
      </c>
      <c r="AG468" s="4" t="str">
        <f>IFERROR(__xludf.DUMMYFUNCTION("GOOGLETRANSLATE(B468,""en"",""et"")"),"Pikkuskraad")</f>
        <v>Pikkuskraad</v>
      </c>
      <c r="AH468" s="4" t="str">
        <f>IFERROR(__xludf.DUMMYFUNCTION("GOOGLETRANSLATE(B468,""en"",""fi"")"),"Pituusaste")</f>
        <v>Pituusaste</v>
      </c>
      <c r="AI468" s="4" t="str">
        <f>IFERROR(__xludf.DUMMYFUNCTION("GOOGLETRANSLATE(B468,""en"",""hr"")"),"Zemljopisna dužina")</f>
        <v>Zemljopisna dužina</v>
      </c>
      <c r="AJ468" s="4" t="str">
        <f>IFERROR(__xludf.DUMMYFUNCTION("GOOGLETRANSLATE(B468,""en"",""hu"")"),"Hosszúság")</f>
        <v>Hosszúság</v>
      </c>
      <c r="AK468" s="4" t="str">
        <f>IFERROR(__xludf.DUMMYFUNCTION("GOOGLETRANSLATE(B468,""en"",""hy"")"),"Երկայնություն")</f>
        <v>Երկայնություն</v>
      </c>
      <c r="AL468" s="4" t="str">
        <f>IFERROR(__xludf.DUMMYFUNCTION("GOOGLETRANSLATE(B468,""en"",""ca"")"),"Longitud")</f>
        <v>Longitud</v>
      </c>
      <c r="AM468" s="4" t="str">
        <f>IFERROR(__xludf.DUMMYFUNCTION("GOOGLETRANSLATE(B468,""en"",""nl"")"),"Lengte")</f>
        <v>Lengte</v>
      </c>
      <c r="AN468" s="4" t="str">
        <f>IFERROR(__xludf.DUMMYFUNCTION("GOOGLETRANSLATE(B468,""en"",""he"")"),"קו אורך")</f>
        <v>קו אורך</v>
      </c>
      <c r="AO468" s="4" t="str">
        <f>IFERROR(__xludf.DUMMYFUNCTION("GOOGLETRANSLATE(B468,""en"",""is"")"),"Lengdargráða")</f>
        <v>Lengdargráða</v>
      </c>
      <c r="AP468" s="4" t="str">
        <f>IFERROR(__xludf.DUMMYFUNCTION("GOOGLETRANSLATE(B468,""en"",""no"")"),"Lengdegrad")</f>
        <v>Lengdegrad</v>
      </c>
      <c r="AQ468" s="4" t="str">
        <f>IFERROR(__xludf.DUMMYFUNCTION("GOOGLETRANSLATE(B468,""en"",""fa"")"),"طول جغرافیایی")</f>
        <v>طول جغرافیایی</v>
      </c>
      <c r="AR468" s="4" t="str">
        <f>IFERROR(__xludf.DUMMYFUNCTION("GOOGLETRANSLATE(B468,""en"",""pl"")"),"Długość geograficzna")</f>
        <v>Długość geograficzna</v>
      </c>
      <c r="AS468" s="4" t="str">
        <f>IFERROR(__xludf.DUMMYFUNCTION("GOOGLETRANSLATE(B468,""en"",""sv"")"),"Longitud")</f>
        <v>Longitud</v>
      </c>
      <c r="AT468" s="4" t="str">
        <f>IFERROR(__xludf.DUMMYFUNCTION("GOOGLETRANSLATE(B468,""en"",""uk"")"),"Довгота")</f>
        <v>Довгота</v>
      </c>
      <c r="AU468" s="4" t="str">
        <f>IFERROR(__xludf.DUMMYFUNCTION("GOOGLETRANSLATE(B468,""en"",""zu"")"),"Ubude")</f>
        <v>Ubude</v>
      </c>
      <c r="AV468" s="4" t="str">
        <f>IFERROR(__xludf.DUMMYFUNCTION("GOOGLETRANSLATE(B468,""en"",""sr"")"),"Географска дужина")</f>
        <v>Географска дужина</v>
      </c>
    </row>
    <row r="469">
      <c r="A469" s="3" t="s">
        <v>909</v>
      </c>
      <c r="B469" s="3" t="s">
        <v>910</v>
      </c>
      <c r="C469" s="4" t="str">
        <f>IFERROR(__xludf.DUMMYFUNCTION("GOOGLETRANSLATE(B469,""en"",""ta"")"),"Latitude ஐ உள்ளிடவும்")</f>
        <v>Latitude ஐ உள்ளிடவும்</v>
      </c>
      <c r="D469" s="4" t="str">
        <f>IFERROR(__xludf.DUMMYFUNCTION("GOOGLETRANSLATE(B469,""en"",""hi"")"),"अक्षांश दर्ज करें")</f>
        <v>अक्षांश दर्ज करें</v>
      </c>
      <c r="E469" s="4" t="str">
        <f>IFERROR(__xludf.DUMMYFUNCTION("GOOGLETRANSLATE(B469,""en"",""id"")"),"Masukkan Lintang")</f>
        <v>Masukkan Lintang</v>
      </c>
      <c r="F469" s="4" t="str">
        <f>IFERROR(__xludf.DUMMYFUNCTION("GOOGLETRANSLATE(B469,""en"",""ms"")"),"Masukkan Latitud")</f>
        <v>Masukkan Latitud</v>
      </c>
      <c r="G469" s="4" t="str">
        <f>IFERROR(__xludf.DUMMYFUNCTION("GOOGLETRANSLATE(B469,""en"",""de"")"),"Breitengrad eingeben")</f>
        <v>Breitengrad eingeben</v>
      </c>
      <c r="H469" s="4" t="str">
        <f>IFERROR(__xludf.DUMMYFUNCTION("GOOGLETRANSLATE(B469,""en"",""es"")"),"Ingrese Latitud")</f>
        <v>Ingrese Latitud</v>
      </c>
      <c r="I469" s="4" t="str">
        <f>IFERROR(__xludf.DUMMYFUNCTION("GOOGLETRANSLATE(B469,""en"",""fr"")"),"Entrez Latitude")</f>
        <v>Entrez Latitude</v>
      </c>
      <c r="J469" s="4" t="str">
        <f>IFERROR(__xludf.DUMMYFUNCTION("GOOGLETRANSLATE(B469,""en"",""it"")"),"Inserisci latitudine")</f>
        <v>Inserisci latitudine</v>
      </c>
      <c r="K469" s="4" t="str">
        <f>IFERROR(__xludf.DUMMYFUNCTION("GOOGLETRANSLATE(B469,""en"",""pt"")"),"Digite Latitude")</f>
        <v>Digite Latitude</v>
      </c>
      <c r="L469" s="4" t="str">
        <f>IFERROR(__xludf.DUMMYFUNCTION("GOOGLETRANSLATE(B469,""en"",""ro"")"),"Introduceți Latitudine")</f>
        <v>Introduceți Latitudine</v>
      </c>
      <c r="M469" s="4" t="str">
        <f>IFERROR(__xludf.DUMMYFUNCTION("GOOGLETRANSLATE(B469,""en"",""vi"")"),"Nhập Vĩ độ")</f>
        <v>Nhập Vĩ độ</v>
      </c>
      <c r="N469" s="4" t="str">
        <f>IFERROR(__xludf.DUMMYFUNCTION("GOOGLETRANSLATE(B469,""en"",""ru"")"),"Введите широту")</f>
        <v>Введите широту</v>
      </c>
      <c r="O469" s="4" t="str">
        <f>IFERROR(__xludf.DUMMYFUNCTION("GOOGLETRANSLATE(B469,""en"",""tr"")"),"Enlem Girin")</f>
        <v>Enlem Girin</v>
      </c>
      <c r="P469" s="4" t="str">
        <f>IFERROR(__xludf.DUMMYFUNCTION("GOOGLETRANSLATE(B469,""en"",""ar"")"),"أدخل خط العرض")</f>
        <v>أدخل خط العرض</v>
      </c>
      <c r="Q469" s="4" t="str">
        <f>IFERROR(__xludf.DUMMYFUNCTION("GOOGLETRANSLATE(B469,""en"",""mr"")"),"अक्षांश प्रविष्ट करा")</f>
        <v>अक्षांश प्रविष्ट करा</v>
      </c>
      <c r="R469" s="4" t="str">
        <f>IFERROR(__xludf.DUMMYFUNCTION("GOOGLETRANSLATE(B469,""en"",""gu"")"),"અક્ષાંશ દાખલ કરો")</f>
        <v>અક્ષાંશ દાખલ કરો</v>
      </c>
      <c r="S469" s="4" t="str">
        <f>IFERROR(__xludf.DUMMYFUNCTION("GOOGLETRANSLATE(B469,""en"",""bn"")"),"অক্ষাংশ লিখুন")</f>
        <v>অক্ষাংশ লিখুন</v>
      </c>
      <c r="T469" s="4" t="str">
        <f>IFERROR(__xludf.DUMMYFUNCTION("GOOGLETRANSLATE(B469,""en"",""pa"")"),"ਵਿਥਕਾਰ ਦਰਜ ਕਰੋ")</f>
        <v>ਵਿਥਕਾਰ ਦਰਜ ਕਰੋ</v>
      </c>
      <c r="U469" s="4" t="str">
        <f>IFERROR(__xludf.DUMMYFUNCTION("GOOGLETRANSLATE(B469,""en"",""te"")"),"అక్షాంశాన్ని నమోదు చేయండి")</f>
        <v>అక్షాంశాన్ని నమోదు చేయండి</v>
      </c>
      <c r="V469" s="4" t="str">
        <f>IFERROR(__xludf.DUMMYFUNCTION("GOOGLETRANSLATE(B469,""en"",""kn"")"),"ಅಕ್ಷಾಂಶವನ್ನು ನಮೂದಿಸಿ")</f>
        <v>ಅಕ್ಷಾಂಶವನ್ನು ನಮೂದಿಸಿ</v>
      </c>
      <c r="W469" s="4" t="str">
        <f>IFERROR(__xludf.DUMMYFUNCTION("GOOGLETRANSLATE(B469,""en"",""ml"")"),"Latitude നൽകുക")</f>
        <v>Latitude നൽകുക</v>
      </c>
      <c r="X469" s="4" t="str">
        <f>IFERROR(__xludf.DUMMYFUNCTION("GOOGLETRANSLATE(B469,""en"",""th"")"),"เข้าสู่ละติจูด")</f>
        <v>เข้าสู่ละติจูด</v>
      </c>
      <c r="Y469" s="4" t="str">
        <f>IFERROR(__xludf.DUMMYFUNCTION("GOOGLETRANSLATE(B469,""en"",""ko"")"),"위도 입력")</f>
        <v>위도 입력</v>
      </c>
      <c r="Z469" s="4" t="str">
        <f>IFERROR(__xludf.DUMMYFUNCTION("GOOGLETRANSLATE(B469,""en"",""zh"")"),"输入纬度")</f>
        <v>输入纬度</v>
      </c>
      <c r="AA469" s="4" t="str">
        <f>IFERROR(__xludf.DUMMYFUNCTION("GOOGLETRANSLATE(B469,""en"",""zh-TW"")"),"輸入緯度")</f>
        <v>輸入緯度</v>
      </c>
      <c r="AB469" s="4" t="str">
        <f>IFERROR(__xludf.DUMMYFUNCTION("GOOGLETRANSLATE(B469,""en"",""ja"")"),"緯度を入力")</f>
        <v>緯度を入力</v>
      </c>
      <c r="AC469" s="4" t="str">
        <f>IFERROR(__xludf.DUMMYFUNCTION("GOOGLETRANSLATE(B469,""en"",""bg"")"),"Въведете Latitude")</f>
        <v>Въведете Latitude</v>
      </c>
      <c r="AD469" s="4" t="str">
        <f>IFERROR(__xludf.DUMMYFUNCTION("GOOGLETRANSLATE(B469,""en"",""cs"")"),"Zadejte Latitude")</f>
        <v>Zadejte Latitude</v>
      </c>
      <c r="AE469" s="4" t="str">
        <f>IFERROR(__xludf.DUMMYFUNCTION("GOOGLETRANSLATE(B469,""en"",""da"")"),"Indtast Latitude")</f>
        <v>Indtast Latitude</v>
      </c>
      <c r="AF469" s="4" t="str">
        <f>IFERROR(__xludf.DUMMYFUNCTION("GOOGLETRANSLATE(B469,""en"",""el"")"),"Εισαγάγετε το Latitude")</f>
        <v>Εισαγάγετε το Latitude</v>
      </c>
      <c r="AG469" s="4" t="str">
        <f>IFERROR(__xludf.DUMMYFUNCTION("GOOGLETRANSLATE(B469,""en"",""et"")"),"Sisestage Latitude")</f>
        <v>Sisestage Latitude</v>
      </c>
      <c r="AH469" s="4" t="str">
        <f>IFERROR(__xludf.DUMMYFUNCTION("GOOGLETRANSLATE(B469,""en"",""fi"")"),"Anna Latitude")</f>
        <v>Anna Latitude</v>
      </c>
      <c r="AI469" s="4" t="str">
        <f>IFERROR(__xludf.DUMMYFUNCTION("GOOGLETRANSLATE(B469,""en"",""hr"")"),"Unesite Latitude")</f>
        <v>Unesite Latitude</v>
      </c>
      <c r="AJ469" s="4" t="str">
        <f>IFERROR(__xludf.DUMMYFUNCTION("GOOGLETRANSLATE(B469,""en"",""hu"")"),"Írja be a Latitude-ot")</f>
        <v>Írja be a Latitude-ot</v>
      </c>
      <c r="AK469" s="4" t="str">
        <f>IFERROR(__xludf.DUMMYFUNCTION("GOOGLETRANSLATE(B469,""en"",""hy"")"),"Մուտքագրեք Latitude")</f>
        <v>Մուտքագրեք Latitude</v>
      </c>
      <c r="AL469" s="4" t="str">
        <f>IFERROR(__xludf.DUMMYFUNCTION("GOOGLETRANSLATE(B469,""en"",""ca"")"),"Introduïu Latitud")</f>
        <v>Introduïu Latitud</v>
      </c>
      <c r="AM469" s="4" t="str">
        <f>IFERROR(__xludf.DUMMYFUNCTION("GOOGLETRANSLATE(B469,""en"",""nl"")"),"Voer breedtegraad in")</f>
        <v>Voer breedtegraad in</v>
      </c>
      <c r="AN469" s="4" t="str">
        <f>IFERROR(__xludf.DUMMYFUNCTION("GOOGLETRANSLATE(B469,""en"",""he"")"),"הזן Latitude")</f>
        <v>הזן Latitude</v>
      </c>
      <c r="AO469" s="4" t="str">
        <f>IFERROR(__xludf.DUMMYFUNCTION("GOOGLETRANSLATE(B469,""en"",""is"")"),"Sláðu inn breiddargráðu")</f>
        <v>Sláðu inn breiddargráðu</v>
      </c>
      <c r="AP469" s="4" t="str">
        <f>IFERROR(__xludf.DUMMYFUNCTION("GOOGLETRANSLATE(B469,""en"",""no"")"),"Skriv inn Latitude")</f>
        <v>Skriv inn Latitude</v>
      </c>
      <c r="AQ469" s="4" t="str">
        <f>IFERROR(__xludf.DUMMYFUNCTION("GOOGLETRANSLATE(B469,""en"",""fa"")"),"Latitude را وارد کنید")</f>
        <v>Latitude را وارد کنید</v>
      </c>
      <c r="AR469" s="4" t="str">
        <f>IFERROR(__xludf.DUMMYFUNCTION("GOOGLETRANSLATE(B469,""en"",""pl"")"),"Wprowadź szerokość geograficzną")</f>
        <v>Wprowadź szerokość geograficzną</v>
      </c>
      <c r="AS469" s="4" t="str">
        <f>IFERROR(__xludf.DUMMYFUNCTION("GOOGLETRANSLATE(B469,""en"",""sv"")"),"Ange Latitude")</f>
        <v>Ange Latitude</v>
      </c>
      <c r="AT469" s="4" t="str">
        <f>IFERROR(__xludf.DUMMYFUNCTION("GOOGLETRANSLATE(B469,""en"",""uk"")"),"Введіть Latitude")</f>
        <v>Введіть Latitude</v>
      </c>
      <c r="AU469" s="4" t="str">
        <f>IFERROR(__xludf.DUMMYFUNCTION("GOOGLETRANSLATE(B469,""en"",""zu"")"),"Faka i-Latitude")</f>
        <v>Faka i-Latitude</v>
      </c>
      <c r="AV469" s="4" t="str">
        <f>IFERROR(__xludf.DUMMYFUNCTION("GOOGLETRANSLATE(B469,""en"",""sr"")"),"Унесите Латитуде")</f>
        <v>Унесите Латитуде</v>
      </c>
    </row>
    <row r="470">
      <c r="A470" s="3" t="s">
        <v>911</v>
      </c>
      <c r="B470" s="3" t="s">
        <v>912</v>
      </c>
      <c r="C470" s="4" t="str">
        <f>IFERROR(__xludf.DUMMYFUNCTION("GOOGLETRANSLATE(B470,""en"",""ta"")"),"தீர்க்கரேகையை உள்ளிடவும்")</f>
        <v>தீர்க்கரேகையை உள்ளிடவும்</v>
      </c>
      <c r="D470" s="4" t="str">
        <f>IFERROR(__xludf.DUMMYFUNCTION("GOOGLETRANSLATE(B470,""en"",""hi"")"),"देशांतर दर्ज करें")</f>
        <v>देशांतर दर्ज करें</v>
      </c>
      <c r="E470" s="4" t="str">
        <f>IFERROR(__xludf.DUMMYFUNCTION("GOOGLETRANSLATE(B470,""en"",""id"")"),"Masukkan Garis Bujur")</f>
        <v>Masukkan Garis Bujur</v>
      </c>
      <c r="F470" s="4" t="str">
        <f>IFERROR(__xludf.DUMMYFUNCTION("GOOGLETRANSLATE(B470,""en"",""ms"")"),"Masukkan Longitud")</f>
        <v>Masukkan Longitud</v>
      </c>
      <c r="G470" s="4" t="str">
        <f>IFERROR(__xludf.DUMMYFUNCTION("GOOGLETRANSLATE(B470,""en"",""de"")"),"Längengrad eingeben")</f>
        <v>Längengrad eingeben</v>
      </c>
      <c r="H470" s="4" t="str">
        <f>IFERROR(__xludf.DUMMYFUNCTION("GOOGLETRANSLATE(B470,""en"",""es"")"),"Introduzca la longitud")</f>
        <v>Introduzca la longitud</v>
      </c>
      <c r="I470" s="4" t="str">
        <f>IFERROR(__xludf.DUMMYFUNCTION("GOOGLETRANSLATE(B470,""en"",""fr"")"),"Entrez la longitude")</f>
        <v>Entrez la longitude</v>
      </c>
      <c r="J470" s="4" t="str">
        <f>IFERROR(__xludf.DUMMYFUNCTION("GOOGLETRANSLATE(B470,""en"",""it"")"),"Inserisci la longitudine")</f>
        <v>Inserisci la longitudine</v>
      </c>
      <c r="K470" s="4" t="str">
        <f>IFERROR(__xludf.DUMMYFUNCTION("GOOGLETRANSLATE(B470,""en"",""pt"")"),"Insira a longitude")</f>
        <v>Insira a longitude</v>
      </c>
      <c r="L470" s="4" t="str">
        <f>IFERROR(__xludf.DUMMYFUNCTION("GOOGLETRANSLATE(B470,""en"",""ro"")"),"Introduceți Longitudine")</f>
        <v>Introduceți Longitudine</v>
      </c>
      <c r="M470" s="4" t="str">
        <f>IFERROR(__xludf.DUMMYFUNCTION("GOOGLETRANSLATE(B470,""en"",""vi"")"),"Nhập kinh độ")</f>
        <v>Nhập kinh độ</v>
      </c>
      <c r="N470" s="4" t="str">
        <f>IFERROR(__xludf.DUMMYFUNCTION("GOOGLETRANSLATE(B470,""en"",""ru"")"),"Введите долготу")</f>
        <v>Введите долготу</v>
      </c>
      <c r="O470" s="4" t="str">
        <f>IFERROR(__xludf.DUMMYFUNCTION("GOOGLETRANSLATE(B470,""en"",""tr"")"),"Boylam girin")</f>
        <v>Boylam girin</v>
      </c>
      <c r="P470" s="4" t="str">
        <f>IFERROR(__xludf.DUMMYFUNCTION("GOOGLETRANSLATE(B470,""en"",""ar"")"),"أدخل خط الطول")</f>
        <v>أدخل خط الطول</v>
      </c>
      <c r="Q470" s="4" t="str">
        <f>IFERROR(__xludf.DUMMYFUNCTION("GOOGLETRANSLATE(B470,""en"",""mr"")"),"रेखांश प्रविष्ट करा")</f>
        <v>रेखांश प्रविष्ट करा</v>
      </c>
      <c r="R470" s="4" t="str">
        <f>IFERROR(__xludf.DUMMYFUNCTION("GOOGLETRANSLATE(B470,""en"",""gu"")"),"રેખાંશ દાખલ કરો")</f>
        <v>રેખાંશ દાખલ કરો</v>
      </c>
      <c r="S470" s="4" t="str">
        <f>IFERROR(__xludf.DUMMYFUNCTION("GOOGLETRANSLATE(B470,""en"",""bn"")"),"দ্রাঘিমাংশ লিখুন")</f>
        <v>দ্রাঘিমাংশ লিখুন</v>
      </c>
      <c r="T470" s="4" t="str">
        <f>IFERROR(__xludf.DUMMYFUNCTION("GOOGLETRANSLATE(B470,""en"",""pa"")"),"ਲੰਬਕਾਰ ਦਰਜ ਕਰੋ")</f>
        <v>ਲੰਬਕਾਰ ਦਰਜ ਕਰੋ</v>
      </c>
      <c r="U470" s="4" t="str">
        <f>IFERROR(__xludf.DUMMYFUNCTION("GOOGLETRANSLATE(B470,""en"",""te"")"),"రేఖాంశాన్ని నమోదు చేయండి")</f>
        <v>రేఖాంశాన్ని నమోదు చేయండి</v>
      </c>
      <c r="V470" s="4" t="str">
        <f>IFERROR(__xludf.DUMMYFUNCTION("GOOGLETRANSLATE(B470,""en"",""kn"")"),"ರೇಖಾಂಶವನ್ನು ನಮೂದಿಸಿ")</f>
        <v>ರೇಖಾಂಶವನ್ನು ನಮೂದಿಸಿ</v>
      </c>
      <c r="W470" s="4" t="str">
        <f>IFERROR(__xludf.DUMMYFUNCTION("GOOGLETRANSLATE(B470,""en"",""ml"")"),"രേഖാംശം നൽകുക")</f>
        <v>രേഖാംശം നൽകുക</v>
      </c>
      <c r="X470" s="4" t="str">
        <f>IFERROR(__xludf.DUMMYFUNCTION("GOOGLETRANSLATE(B470,""en"",""th"")"),"ป้อนลองจิจูด")</f>
        <v>ป้อนลองจิจูด</v>
      </c>
      <c r="Y470" s="4" t="str">
        <f>IFERROR(__xludf.DUMMYFUNCTION("GOOGLETRANSLATE(B470,""en"",""ko"")"),"경도를 입력하세요")</f>
        <v>경도를 입력하세요</v>
      </c>
      <c r="Z470" s="4" t="str">
        <f>IFERROR(__xludf.DUMMYFUNCTION("GOOGLETRANSLATE(B470,""en"",""zh"")"),"输入经度")</f>
        <v>输入经度</v>
      </c>
      <c r="AA470" s="4" t="str">
        <f>IFERROR(__xludf.DUMMYFUNCTION("GOOGLETRANSLATE(B470,""en"",""zh-TW"")"),"輸入經度")</f>
        <v>輸入經度</v>
      </c>
      <c r="AB470" s="4" t="str">
        <f>IFERROR(__xludf.DUMMYFUNCTION("GOOGLETRANSLATE(B470,""en"",""ja"")"),"経度を入力")</f>
        <v>経度を入力</v>
      </c>
      <c r="AC470" s="4" t="str">
        <f>IFERROR(__xludf.DUMMYFUNCTION("GOOGLETRANSLATE(B470,""en"",""bg"")"),"Въведете дължина")</f>
        <v>Въведете дължина</v>
      </c>
      <c r="AD470" s="4" t="str">
        <f>IFERROR(__xludf.DUMMYFUNCTION("GOOGLETRANSLATE(B470,""en"",""cs"")"),"Zadejte zeměpisnou délku")</f>
        <v>Zadejte zeměpisnou délku</v>
      </c>
      <c r="AE470" s="4" t="str">
        <f>IFERROR(__xludf.DUMMYFUNCTION("GOOGLETRANSLATE(B470,""en"",""da"")"),"Indtast længdegrad")</f>
        <v>Indtast længdegrad</v>
      </c>
      <c r="AF470" s="4" t="str">
        <f>IFERROR(__xludf.DUMMYFUNCTION("GOOGLETRANSLATE(B470,""en"",""el"")"),"Εισαγάγετε γεωγραφικό μήκος")</f>
        <v>Εισαγάγετε γεωγραφικό μήκος</v>
      </c>
      <c r="AG470" s="4" t="str">
        <f>IFERROR(__xludf.DUMMYFUNCTION("GOOGLETRANSLATE(B470,""en"",""et"")"),"Sisestage pikkuskraad")</f>
        <v>Sisestage pikkuskraad</v>
      </c>
      <c r="AH470" s="4" t="str">
        <f>IFERROR(__xludf.DUMMYFUNCTION("GOOGLETRANSLATE(B470,""en"",""fi"")"),"Anna pituusaste")</f>
        <v>Anna pituusaste</v>
      </c>
      <c r="AI470" s="4" t="str">
        <f>IFERROR(__xludf.DUMMYFUNCTION("GOOGLETRANSLATE(B470,""en"",""hr"")"),"Unesite zemljopisnu dužinu")</f>
        <v>Unesite zemljopisnu dužinu</v>
      </c>
      <c r="AJ470" s="4" t="str">
        <f>IFERROR(__xludf.DUMMYFUNCTION("GOOGLETRANSLATE(B470,""en"",""hu"")"),"Írja be a hosszúsági fokot")</f>
        <v>Írja be a hosszúsági fokot</v>
      </c>
      <c r="AK470" s="4" t="str">
        <f>IFERROR(__xludf.DUMMYFUNCTION("GOOGLETRANSLATE(B470,""en"",""hy"")"),"Մուտքագրեք երկայնություն")</f>
        <v>Մուտքագրեք երկայնություն</v>
      </c>
      <c r="AL470" s="4" t="str">
        <f>IFERROR(__xludf.DUMMYFUNCTION("GOOGLETRANSLATE(B470,""en"",""ca"")"),"Introduïu Longitud")</f>
        <v>Introduïu Longitud</v>
      </c>
      <c r="AM470" s="4" t="str">
        <f>IFERROR(__xludf.DUMMYFUNCTION("GOOGLETRANSLATE(B470,""en"",""nl"")"),"Voer lengtegraad in")</f>
        <v>Voer lengtegraad in</v>
      </c>
      <c r="AN470" s="4" t="str">
        <f>IFERROR(__xludf.DUMMYFUNCTION("GOOGLETRANSLATE(B470,""en"",""he"")"),"הזן קו אורך")</f>
        <v>הזן קו אורך</v>
      </c>
      <c r="AO470" s="4" t="str">
        <f>IFERROR(__xludf.DUMMYFUNCTION("GOOGLETRANSLATE(B470,""en"",""is"")"),"Sláðu inn lengdargráðu")</f>
        <v>Sláðu inn lengdargráðu</v>
      </c>
      <c r="AP470" s="4" t="str">
        <f>IFERROR(__xludf.DUMMYFUNCTION("GOOGLETRANSLATE(B470,""en"",""no"")"),"Angi lengdegrad")</f>
        <v>Angi lengdegrad</v>
      </c>
      <c r="AQ470" s="4" t="str">
        <f>IFERROR(__xludf.DUMMYFUNCTION("GOOGLETRANSLATE(B470,""en"",""fa"")"),"طول جغرافیایی را وارد کنید")</f>
        <v>طول جغرافیایی را وارد کنید</v>
      </c>
      <c r="AR470" s="4" t="str">
        <f>IFERROR(__xludf.DUMMYFUNCTION("GOOGLETRANSLATE(B470,""en"",""pl"")"),"Wprowadź długość geograficzną")</f>
        <v>Wprowadź długość geograficzną</v>
      </c>
      <c r="AS470" s="4" t="str">
        <f>IFERROR(__xludf.DUMMYFUNCTION("GOOGLETRANSLATE(B470,""en"",""sv"")"),"Ange Longitud")</f>
        <v>Ange Longitud</v>
      </c>
      <c r="AT470" s="4" t="str">
        <f>IFERROR(__xludf.DUMMYFUNCTION("GOOGLETRANSLATE(B470,""en"",""uk"")"),"Введіть довготу")</f>
        <v>Введіть довготу</v>
      </c>
      <c r="AU470" s="4" t="str">
        <f>IFERROR(__xludf.DUMMYFUNCTION("GOOGLETRANSLATE(B470,""en"",""zu"")"),"Faka i-Longitude")</f>
        <v>Faka i-Longitude</v>
      </c>
      <c r="AV470" s="4" t="str">
        <f>IFERROR(__xludf.DUMMYFUNCTION("GOOGLETRANSLATE(B470,""en"",""sr"")"),"Унесите географску дужину")</f>
        <v>Унесите географску дужину</v>
      </c>
    </row>
    <row r="471">
      <c r="A471" s="3" t="s">
        <v>913</v>
      </c>
      <c r="B471" s="3" t="s">
        <v>914</v>
      </c>
      <c r="C471" s="4" t="str">
        <f>IFERROR(__xludf.DUMMYFUNCTION("GOOGLETRANSLATE(B471,""en"",""ta"")"),"அட்சரேகை -90 மற்றும் 90 க்கு இடையில் இருக்க வேண்டும்")</f>
        <v>அட்சரேகை -90 மற்றும் 90 க்கு இடையில் இருக்க வேண்டும்</v>
      </c>
      <c r="D471" s="4" t="str">
        <f>IFERROR(__xludf.DUMMYFUNCTION("GOOGLETRANSLATE(B471,""en"",""hi"")"),"अक्षांश -90 और 90 के बीच होना चाहिए")</f>
        <v>अक्षांश -90 और 90 के बीच होना चाहिए</v>
      </c>
      <c r="E471" s="4" t="str">
        <f>IFERROR(__xludf.DUMMYFUNCTION("GOOGLETRANSLATE(B471,""en"",""id"")"),"Lintang harus antara -90 dan 90")</f>
        <v>Lintang harus antara -90 dan 90</v>
      </c>
      <c r="F471" s="4" t="str">
        <f>IFERROR(__xludf.DUMMYFUNCTION("GOOGLETRANSLATE(B471,""en"",""ms"")"),"Latitud mestilah antara -90 dan 90")</f>
        <v>Latitud mestilah antara -90 dan 90</v>
      </c>
      <c r="G471" s="4" t="str">
        <f>IFERROR(__xludf.DUMMYFUNCTION("GOOGLETRANSLATE(B471,""en"",""de"")"),"Der Breitengrad muss zwischen -90 und 90 liegen")</f>
        <v>Der Breitengrad muss zwischen -90 und 90 liegen</v>
      </c>
      <c r="H471" s="4" t="str">
        <f>IFERROR(__xludf.DUMMYFUNCTION("GOOGLETRANSLATE(B471,""en"",""es"")"),"La latitud debe estar entre -90 y 90")</f>
        <v>La latitud debe estar entre -90 y 90</v>
      </c>
      <c r="I471" s="4" t="str">
        <f>IFERROR(__xludf.DUMMYFUNCTION("GOOGLETRANSLATE(B471,""en"",""fr"")"),"La latitude doit être comprise entre -90 et 90")</f>
        <v>La latitude doit être comprise entre -90 et 90</v>
      </c>
      <c r="J471" s="4" t="str">
        <f>IFERROR(__xludf.DUMMYFUNCTION("GOOGLETRANSLATE(B471,""en"",""it"")"),"La latitudine deve essere compresa tra -90 e 90")</f>
        <v>La latitudine deve essere compresa tra -90 e 90</v>
      </c>
      <c r="K471" s="4" t="str">
        <f>IFERROR(__xludf.DUMMYFUNCTION("GOOGLETRANSLATE(B471,""en"",""pt"")"),"A latitude deve estar entre -90 e 90")</f>
        <v>A latitude deve estar entre -90 e 90</v>
      </c>
      <c r="L471" s="4" t="str">
        <f>IFERROR(__xludf.DUMMYFUNCTION("GOOGLETRANSLATE(B471,""en"",""ro"")"),"Latitudinea trebuie să fie între -90 și 90")</f>
        <v>Latitudinea trebuie să fie între -90 și 90</v>
      </c>
      <c r="M471" s="4" t="str">
        <f>IFERROR(__xludf.DUMMYFUNCTION("GOOGLETRANSLATE(B471,""en"",""vi"")"),"Vĩ độ phải nằm trong khoảng từ -90 đến 90")</f>
        <v>Vĩ độ phải nằm trong khoảng từ -90 đến 90</v>
      </c>
      <c r="N471" s="4" t="str">
        <f>IFERROR(__xludf.DUMMYFUNCTION("GOOGLETRANSLATE(B471,""en"",""ru"")"),"Широта должна быть в диапазоне от -90 до 90.")</f>
        <v>Широта должна быть в диапазоне от -90 до 90.</v>
      </c>
      <c r="O471" s="4" t="str">
        <f>IFERROR(__xludf.DUMMYFUNCTION("GOOGLETRANSLATE(B471,""en"",""tr"")"),"Enlem -90 ile 90 arasında olmalıdır")</f>
        <v>Enlem -90 ile 90 arasında olmalıdır</v>
      </c>
      <c r="P471" s="4" t="str">
        <f>IFERROR(__xludf.DUMMYFUNCTION("GOOGLETRANSLATE(B471,""en"",""ar"")"),"يجب أن يكون خط العرض بين -90 و 90")</f>
        <v>يجب أن يكون خط العرض بين -90 و 90</v>
      </c>
      <c r="Q471" s="4" t="str">
        <f>IFERROR(__xludf.DUMMYFUNCTION("GOOGLETRANSLATE(B471,""en"",""mr"")"),"अक्षांश -90 आणि 90 दरम्यान असणे आवश्यक आहे")</f>
        <v>अक्षांश -90 आणि 90 दरम्यान असणे आवश्यक आहे</v>
      </c>
      <c r="R471" s="4" t="str">
        <f>IFERROR(__xludf.DUMMYFUNCTION("GOOGLETRANSLATE(B471,""en"",""gu"")"),"અક્ષાંશ -90 અને 90 ની વચ્ચે હોવું આવશ્યક છે")</f>
        <v>અક્ષાંશ -90 અને 90 ની વચ્ચે હોવું આવશ્યક છે</v>
      </c>
      <c r="S471" s="4" t="str">
        <f>IFERROR(__xludf.DUMMYFUNCTION("GOOGLETRANSLATE(B471,""en"",""bn"")"),"অক্ষাংশ অবশ্যই -90 এবং 90 এর মধ্যে হতে হবে")</f>
        <v>অক্ষাংশ অবশ্যই -90 এবং 90 এর মধ্যে হতে হবে</v>
      </c>
      <c r="T471" s="4" t="str">
        <f>IFERROR(__xludf.DUMMYFUNCTION("GOOGLETRANSLATE(B471,""en"",""pa"")"),"ਵਿਥਕਾਰ -90 ਅਤੇ 90 ਦੇ ਵਿਚਕਾਰ ਹੋਣਾ ਚਾਹੀਦਾ ਹੈ")</f>
        <v>ਵਿਥਕਾਰ -90 ਅਤੇ 90 ਦੇ ਵਿਚਕਾਰ ਹੋਣਾ ਚਾਹੀਦਾ ਹੈ</v>
      </c>
      <c r="U471" s="4" t="str">
        <f>IFERROR(__xludf.DUMMYFUNCTION("GOOGLETRANSLATE(B471,""en"",""te"")"),"అక్షాంశం తప్పనిసరిగా -90 మరియు 90 మధ్య ఉండాలి")</f>
        <v>అక్షాంశం తప్పనిసరిగా -90 మరియు 90 మధ్య ఉండాలి</v>
      </c>
      <c r="V471" s="4" t="str">
        <f>IFERROR(__xludf.DUMMYFUNCTION("GOOGLETRANSLATE(B471,""en"",""kn"")"),"ಅಕ್ಷಾಂಶವು -90 ಮತ್ತು 90 ರ ನಡುವೆ ಇರಬೇಕು")</f>
        <v>ಅಕ್ಷಾಂಶವು -90 ಮತ್ತು 90 ರ ನಡುವೆ ಇರಬೇಕು</v>
      </c>
      <c r="W471" s="4" t="str">
        <f>IFERROR(__xludf.DUMMYFUNCTION("GOOGLETRANSLATE(B471,""en"",""ml"")"),"അക്ഷാംശം -90 നും 90 നും ഇടയിലായിരിക്കണം")</f>
        <v>അക്ഷാംശം -90 നും 90 നും ഇടയിലായിരിക്കണം</v>
      </c>
      <c r="X471" s="4" t="str">
        <f>IFERROR(__xludf.DUMMYFUNCTION("GOOGLETRANSLATE(B471,""en"",""th"")"),"ละติจูดต้องอยู่ระหว่าง -90 ถึง 90")</f>
        <v>ละติจูดต้องอยู่ระหว่าง -90 ถึง 90</v>
      </c>
      <c r="Y471" s="4" t="str">
        <f>IFERROR(__xludf.DUMMYFUNCTION("GOOGLETRANSLATE(B471,""en"",""ko"")"),"위도는 -90~90 사이여야 합니다.")</f>
        <v>위도는 -90~90 사이여야 합니다.</v>
      </c>
      <c r="Z471" s="4" t="str">
        <f>IFERROR(__xludf.DUMMYFUNCTION("GOOGLETRANSLATE(B471,""en"",""zh"")"),"纬度必须介于 -90 到 90 之间")</f>
        <v>纬度必须介于 -90 到 90 之间</v>
      </c>
      <c r="AA471" s="4" t="str">
        <f>IFERROR(__xludf.DUMMYFUNCTION("GOOGLETRANSLATE(B471,""en"",""zh-TW"")"),"緯度必須介於 -90 到 90 之間")</f>
        <v>緯度必須介於 -90 到 90 之間</v>
      </c>
      <c r="AB471" s="4" t="str">
        <f>IFERROR(__xludf.DUMMYFUNCTION("GOOGLETRANSLATE(B471,""en"",""ja"")"),"緯度は-90から90の間でなければなりません")</f>
        <v>緯度は-90から90の間でなければなりません</v>
      </c>
      <c r="AC471" s="4" t="str">
        <f>IFERROR(__xludf.DUMMYFUNCTION("GOOGLETRANSLATE(B471,""en"",""bg"")"),"Географската ширина трябва да е между -90 и 90")</f>
        <v>Географската ширина трябва да е между -90 и 90</v>
      </c>
      <c r="AD471" s="4" t="str">
        <f>IFERROR(__xludf.DUMMYFUNCTION("GOOGLETRANSLATE(B471,""en"",""cs"")"),"Zeměpisná šířka musí být mezi -90 a 90")</f>
        <v>Zeměpisná šířka musí být mezi -90 a 90</v>
      </c>
      <c r="AE471" s="4" t="str">
        <f>IFERROR(__xludf.DUMMYFUNCTION("GOOGLETRANSLATE(B471,""en"",""da"")"),"Breddegrad skal være mellem -90 og 90")</f>
        <v>Breddegrad skal være mellem -90 og 90</v>
      </c>
      <c r="AF471" s="4" t="str">
        <f>IFERROR(__xludf.DUMMYFUNCTION("GOOGLETRANSLATE(B471,""en"",""el"")"),"Το γεωγραφικό πλάτος πρέπει να είναι μεταξύ -90 και 90")</f>
        <v>Το γεωγραφικό πλάτος πρέπει να είναι μεταξύ -90 και 90</v>
      </c>
      <c r="AG471" s="4" t="str">
        <f>IFERROR(__xludf.DUMMYFUNCTION("GOOGLETRANSLATE(B471,""en"",""et"")"),"Laiuskraad peab olema vahemikus –90 kuni 90")</f>
        <v>Laiuskraad peab olema vahemikus –90 kuni 90</v>
      </c>
      <c r="AH471" s="4" t="str">
        <f>IFERROR(__xludf.DUMMYFUNCTION("GOOGLETRANSLATE(B471,""en"",""fi"")"),"Leveysasteen on oltava välillä -90 ja 90")</f>
        <v>Leveysasteen on oltava välillä -90 ja 90</v>
      </c>
      <c r="AI471" s="4" t="str">
        <f>IFERROR(__xludf.DUMMYFUNCTION("GOOGLETRANSLATE(B471,""en"",""hr"")"),"Geografska širina mora biti između -90 i 90")</f>
        <v>Geografska širina mora biti između -90 i 90</v>
      </c>
      <c r="AJ471" s="4" t="str">
        <f>IFERROR(__xludf.DUMMYFUNCTION("GOOGLETRANSLATE(B471,""en"",""hu"")"),"A szélességnek -90 és 90 között kell lennie")</f>
        <v>A szélességnek -90 és 90 között kell lennie</v>
      </c>
      <c r="AK471" s="4" t="str">
        <f>IFERROR(__xludf.DUMMYFUNCTION("GOOGLETRANSLATE(B471,""en"",""hy"")"),"Լայնությունը պետք է լինի -90-ից 90-ի սահմաններում")</f>
        <v>Լայնությունը պետք է լինի -90-ից 90-ի սահմաններում</v>
      </c>
      <c r="AL471" s="4" t="str">
        <f>IFERROR(__xludf.DUMMYFUNCTION("GOOGLETRANSLATE(B471,""en"",""ca"")"),"La latitud ha d'estar entre -90 i 90")</f>
        <v>La latitud ha d'estar entre -90 i 90</v>
      </c>
      <c r="AM471" s="4" t="str">
        <f>IFERROR(__xludf.DUMMYFUNCTION("GOOGLETRANSLATE(B471,""en"",""nl"")"),"De breedtegraad moet tussen -90 en 90 liggen")</f>
        <v>De breedtegraad moet tussen -90 en 90 liggen</v>
      </c>
      <c r="AN471" s="4" t="str">
        <f>IFERROR(__xludf.DUMMYFUNCTION("GOOGLETRANSLATE(B471,""en"",""he"")"),"קו הרוחב חייב להיות בין -90 ל-90")</f>
        <v>קו הרוחב חייב להיות בין -90 ל-90</v>
      </c>
      <c r="AO471" s="4" t="str">
        <f>IFERROR(__xludf.DUMMYFUNCTION("GOOGLETRANSLATE(B471,""en"",""is"")"),"Breidd verður að vera á milli -90 og 90")</f>
        <v>Breidd verður að vera á milli -90 og 90</v>
      </c>
      <c r="AP471" s="4" t="str">
        <f>IFERROR(__xludf.DUMMYFUNCTION("GOOGLETRANSLATE(B471,""en"",""no"")"),"Breddegrad må være mellom -90 og 90")</f>
        <v>Breddegrad må være mellom -90 og 90</v>
      </c>
      <c r="AQ471" s="4" t="str">
        <f>IFERROR(__xludf.DUMMYFUNCTION("GOOGLETRANSLATE(B471,""en"",""fa"")"),"عرض جغرافیایی باید بین 90- تا 90 باشد")</f>
        <v>عرض جغرافیایی باید بین 90- تا 90 باشد</v>
      </c>
      <c r="AR471" s="4" t="str">
        <f>IFERROR(__xludf.DUMMYFUNCTION("GOOGLETRANSLATE(B471,""en"",""pl"")"),"Szerokość geograficzna musi mieścić się w przedziale od -90 do 90")</f>
        <v>Szerokość geograficzna musi mieścić się w przedziale od -90 do 90</v>
      </c>
      <c r="AS471" s="4" t="str">
        <f>IFERROR(__xludf.DUMMYFUNCTION("GOOGLETRANSLATE(B471,""en"",""sv"")"),"Latitud måste vara mellan -90 och 90")</f>
        <v>Latitud måste vara mellan -90 och 90</v>
      </c>
      <c r="AT471" s="4" t="str">
        <f>IFERROR(__xludf.DUMMYFUNCTION("GOOGLETRANSLATE(B471,""en"",""uk"")"),"Широта має бути між -90 і 90")</f>
        <v>Широта має бути між -90 і 90</v>
      </c>
      <c r="AU471" s="4" t="str">
        <f>IFERROR(__xludf.DUMMYFUNCTION("GOOGLETRANSLATE(B471,""en"",""zu"")"),"I-latitude kumelwe ibe phakathi kuka--90 no-90")</f>
        <v>I-latitude kumelwe ibe phakathi kuka--90 no-90</v>
      </c>
      <c r="AV471" s="4" t="str">
        <f>IFERROR(__xludf.DUMMYFUNCTION("GOOGLETRANSLATE(B471,""en"",""sr"")"),"Географска ширина мора бити између -90 и 90")</f>
        <v>Географска ширина мора бити између -90 и 90</v>
      </c>
    </row>
    <row r="472">
      <c r="A472" s="3" t="s">
        <v>915</v>
      </c>
      <c r="B472" s="3" t="s">
        <v>916</v>
      </c>
      <c r="C472" s="4" t="str">
        <f>IFERROR(__xludf.DUMMYFUNCTION("GOOGLETRANSLATE(B472,""en"",""ta"")"),"தீர்க்கரேகை -180 மற்றும் 180 க்கு இடையில் இருக்க வேண்டும்")</f>
        <v>தீர்க்கரேகை -180 மற்றும் 180 க்கு இடையில் இருக்க வேண்டும்</v>
      </c>
      <c r="D472" s="4" t="str">
        <f>IFERROR(__xludf.DUMMYFUNCTION("GOOGLETRANSLATE(B472,""en"",""hi"")"),"देशांतर -180 और 180 के बीच होना चाहिए")</f>
        <v>देशांतर -180 और 180 के बीच होना चाहिए</v>
      </c>
      <c r="E472" s="4" t="str">
        <f>IFERROR(__xludf.DUMMYFUNCTION("GOOGLETRANSLATE(B472,""en"",""id"")"),"Bujur harus antara -180 dan 180")</f>
        <v>Bujur harus antara -180 dan 180</v>
      </c>
      <c r="F472" s="4" t="str">
        <f>IFERROR(__xludf.DUMMYFUNCTION("GOOGLETRANSLATE(B472,""en"",""ms"")"),"Longitud mestilah antara -180 dan 180")</f>
        <v>Longitud mestilah antara -180 dan 180</v>
      </c>
      <c r="G472" s="4" t="str">
        <f>IFERROR(__xludf.DUMMYFUNCTION("GOOGLETRANSLATE(B472,""en"",""de"")"),"Der Längengrad muss zwischen -180 und 180 liegen")</f>
        <v>Der Längengrad muss zwischen -180 und 180 liegen</v>
      </c>
      <c r="H472" s="4" t="str">
        <f>IFERROR(__xludf.DUMMYFUNCTION("GOOGLETRANSLATE(B472,""en"",""es"")"),"La longitud debe estar entre -180 y 180")</f>
        <v>La longitud debe estar entre -180 y 180</v>
      </c>
      <c r="I472" s="4" t="str">
        <f>IFERROR(__xludf.DUMMYFUNCTION("GOOGLETRANSLATE(B472,""en"",""fr"")"),"La longitude doit être comprise entre -180 et 180")</f>
        <v>La longitude doit être comprise entre -180 et 180</v>
      </c>
      <c r="J472" s="4" t="str">
        <f>IFERROR(__xludf.DUMMYFUNCTION("GOOGLETRANSLATE(B472,""en"",""it"")"),"La longitudine deve essere compresa tra -180 e 180")</f>
        <v>La longitudine deve essere compresa tra -180 e 180</v>
      </c>
      <c r="K472" s="4" t="str">
        <f>IFERROR(__xludf.DUMMYFUNCTION("GOOGLETRANSLATE(B472,""en"",""pt"")"),"A longitude deve estar entre -180 e 180")</f>
        <v>A longitude deve estar entre -180 e 180</v>
      </c>
      <c r="L472" s="4" t="str">
        <f>IFERROR(__xludf.DUMMYFUNCTION("GOOGLETRANSLATE(B472,""en"",""ro"")"),"Longitudinea trebuie să fie între -180 și 180")</f>
        <v>Longitudinea trebuie să fie între -180 și 180</v>
      </c>
      <c r="M472" s="4" t="str">
        <f>IFERROR(__xludf.DUMMYFUNCTION("GOOGLETRANSLATE(B472,""en"",""vi"")"),"Kinh độ phải nằm trong khoảng từ -180 đến 180")</f>
        <v>Kinh độ phải nằm trong khoảng từ -180 đến 180</v>
      </c>
      <c r="N472" s="4" t="str">
        <f>IFERROR(__xludf.DUMMYFUNCTION("GOOGLETRANSLATE(B472,""en"",""ru"")"),"Долгота должна быть между -180 и 180.")</f>
        <v>Долгота должна быть между -180 и 180.</v>
      </c>
      <c r="O472" s="4" t="str">
        <f>IFERROR(__xludf.DUMMYFUNCTION("GOOGLETRANSLATE(B472,""en"",""tr"")"),"Boylam -180 ile 180 arasında olmalıdır")</f>
        <v>Boylam -180 ile 180 arasında olmalıdır</v>
      </c>
      <c r="P472" s="4" t="str">
        <f>IFERROR(__xludf.DUMMYFUNCTION("GOOGLETRANSLATE(B472,""en"",""ar"")"),"يجب أن يكون خط الطول بين -180 و 180")</f>
        <v>يجب أن يكون خط الطول بين -180 و 180</v>
      </c>
      <c r="Q472" s="4" t="str">
        <f>IFERROR(__xludf.DUMMYFUNCTION("GOOGLETRANSLATE(B472,""en"",""mr"")"),"रेखांश -180 आणि 180 च्या दरम्यान असणे आवश्यक आहे")</f>
        <v>रेखांश -180 आणि 180 च्या दरम्यान असणे आवश्यक आहे</v>
      </c>
      <c r="R472" s="4" t="str">
        <f>IFERROR(__xludf.DUMMYFUNCTION("GOOGLETRANSLATE(B472,""en"",""gu"")"),"રેખાંશ -180 અને 180 ની વચ્ચે હોવું આવશ્યક છે")</f>
        <v>રેખાંશ -180 અને 180 ની વચ્ચે હોવું આવશ્યક છે</v>
      </c>
      <c r="S472" s="4" t="str">
        <f>IFERROR(__xludf.DUMMYFUNCTION("GOOGLETRANSLATE(B472,""en"",""bn"")"),"দ্রাঘিমাংশ অবশ্যই -180 এবং 180 এর মধ্যে হতে হবে")</f>
        <v>দ্রাঘিমাংশ অবশ্যই -180 এবং 180 এর মধ্যে হতে হবে</v>
      </c>
      <c r="T472" s="4" t="str">
        <f>IFERROR(__xludf.DUMMYFUNCTION("GOOGLETRANSLATE(B472,""en"",""pa"")"),"ਲੰਬਕਾਰ -180 ਅਤੇ 180 ਦੇ ਵਿਚਕਾਰ ਹੋਣਾ ਚਾਹੀਦਾ ਹੈ")</f>
        <v>ਲੰਬਕਾਰ -180 ਅਤੇ 180 ਦੇ ਵਿਚਕਾਰ ਹੋਣਾ ਚਾਹੀਦਾ ਹੈ</v>
      </c>
      <c r="U472" s="4" t="str">
        <f>IFERROR(__xludf.DUMMYFUNCTION("GOOGLETRANSLATE(B472,""en"",""te"")"),"రేఖాంశం తప్పనిసరిగా -180 మరియు 180 మధ్య ఉండాలి")</f>
        <v>రేఖాంశం తప్పనిసరిగా -180 మరియు 180 మధ్య ఉండాలి</v>
      </c>
      <c r="V472" s="4" t="str">
        <f>IFERROR(__xludf.DUMMYFUNCTION("GOOGLETRANSLATE(B472,""en"",""kn"")"),"ರೇಖಾಂಶವು -180 ಮತ್ತು 180 ರ ನಡುವೆ ಇರಬೇಕು")</f>
        <v>ರೇಖಾಂಶವು -180 ಮತ್ತು 180 ರ ನಡುವೆ ಇರಬೇಕು</v>
      </c>
      <c r="W472" s="4" t="str">
        <f>IFERROR(__xludf.DUMMYFUNCTION("GOOGLETRANSLATE(B472,""en"",""ml"")"),"രേഖാംശം -180 നും 180 നും ഇടയിലായിരിക്കണം")</f>
        <v>രേഖാംശം -180 നും 180 നും ഇടയിലായിരിക്കണം</v>
      </c>
      <c r="X472" s="4" t="str">
        <f>IFERROR(__xludf.DUMMYFUNCTION("GOOGLETRANSLATE(B472,""en"",""th"")"),"ลองจิจูดต้องอยู่ระหว่าง -180 ถึง 180")</f>
        <v>ลองจิจูดต้องอยู่ระหว่าง -180 ถึง 180</v>
      </c>
      <c r="Y472" s="4" t="str">
        <f>IFERROR(__xludf.DUMMYFUNCTION("GOOGLETRANSLATE(B472,""en"",""ko"")"),"경도는 -180과 180 사이여야 합니다.")</f>
        <v>경도는 -180과 180 사이여야 합니다.</v>
      </c>
      <c r="Z472" s="4" t="str">
        <f>IFERROR(__xludf.DUMMYFUNCTION("GOOGLETRANSLATE(B472,""en"",""zh"")"),"经度必须介于 -180 到 180 之间")</f>
        <v>经度必须介于 -180 到 180 之间</v>
      </c>
      <c r="AA472" s="4" t="str">
        <f>IFERROR(__xludf.DUMMYFUNCTION("GOOGLETRANSLATE(B472,""en"",""zh-TW"")"),"經度必須介於 -180 到 180 之間")</f>
        <v>經度必須介於 -180 到 180 之間</v>
      </c>
      <c r="AB472" s="4" t="str">
        <f>IFERROR(__xludf.DUMMYFUNCTION("GOOGLETRANSLATE(B472,""en"",""ja"")"),"経度は -180 から 180 の間でなければなりません")</f>
        <v>経度は -180 から 180 の間でなければなりません</v>
      </c>
      <c r="AC472" s="4" t="str">
        <f>IFERROR(__xludf.DUMMYFUNCTION("GOOGLETRANSLATE(B472,""en"",""bg"")"),"Географската дължина трябва да е между -180 и 180")</f>
        <v>Географската дължина трябва да е между -180 и 180</v>
      </c>
      <c r="AD472" s="4" t="str">
        <f>IFERROR(__xludf.DUMMYFUNCTION("GOOGLETRANSLATE(B472,""en"",""cs"")"),"Zeměpisná délka musí být mezi -180 a 180")</f>
        <v>Zeměpisná délka musí být mezi -180 a 180</v>
      </c>
      <c r="AE472" s="4" t="str">
        <f>IFERROR(__xludf.DUMMYFUNCTION("GOOGLETRANSLATE(B472,""en"",""da"")"),"Længdegraden skal være mellem -180 og 180")</f>
        <v>Længdegraden skal være mellem -180 og 180</v>
      </c>
      <c r="AF472" s="4" t="str">
        <f>IFERROR(__xludf.DUMMYFUNCTION("GOOGLETRANSLATE(B472,""en"",""el"")"),"Το γεωγραφικό μήκος πρέπει να είναι μεταξύ -180 και 180")</f>
        <v>Το γεωγραφικό μήκος πρέπει να είναι μεταξύ -180 και 180</v>
      </c>
      <c r="AG472" s="4" t="str">
        <f>IFERROR(__xludf.DUMMYFUNCTION("GOOGLETRANSLATE(B472,""en"",""et"")"),"Pikkuskraad peab olema vahemikus –180 kuni 180")</f>
        <v>Pikkuskraad peab olema vahemikus –180 kuni 180</v>
      </c>
      <c r="AH472" s="4" t="str">
        <f>IFERROR(__xludf.DUMMYFUNCTION("GOOGLETRANSLATE(B472,""en"",""fi"")"),"Pituusasteen on oltava välillä -180 ja 180")</f>
        <v>Pituusasteen on oltava välillä -180 ja 180</v>
      </c>
      <c r="AI472" s="4" t="str">
        <f>IFERROR(__xludf.DUMMYFUNCTION("GOOGLETRANSLATE(B472,""en"",""hr"")"),"Zemljopisna dužina mora biti između -180 i 180")</f>
        <v>Zemljopisna dužina mora biti između -180 i 180</v>
      </c>
      <c r="AJ472" s="4" t="str">
        <f>IFERROR(__xludf.DUMMYFUNCTION("GOOGLETRANSLATE(B472,""en"",""hu"")"),"A hosszúságnak -180 és 180 között kell lennie")</f>
        <v>A hosszúságnak -180 és 180 között kell lennie</v>
      </c>
      <c r="AK472" s="4" t="str">
        <f>IFERROR(__xludf.DUMMYFUNCTION("GOOGLETRANSLATE(B472,""en"",""hy"")"),"Երկայնությունը պետք է լինի -180-ից 180-ի սահմաններում")</f>
        <v>Երկայնությունը պետք է լինի -180-ից 180-ի սահմաններում</v>
      </c>
      <c r="AL472" s="4" t="str">
        <f>IFERROR(__xludf.DUMMYFUNCTION("GOOGLETRANSLATE(B472,""en"",""ca"")"),"La longitud ha d'estar entre -180 i 180")</f>
        <v>La longitud ha d'estar entre -180 i 180</v>
      </c>
      <c r="AM472" s="4" t="str">
        <f>IFERROR(__xludf.DUMMYFUNCTION("GOOGLETRANSLATE(B472,""en"",""nl"")"),"De lengtegraad moet tussen -180 en 180 liggen")</f>
        <v>De lengtegraad moet tussen -180 en 180 liggen</v>
      </c>
      <c r="AN472" s="4" t="str">
        <f>IFERROR(__xludf.DUMMYFUNCTION("GOOGLETRANSLATE(B472,""en"",""he"")"),"קו האורך חייב להיות בין -180 ל-180")</f>
        <v>קו האורך חייב להיות בין -180 ל-180</v>
      </c>
      <c r="AO472" s="4" t="str">
        <f>IFERROR(__xludf.DUMMYFUNCTION("GOOGLETRANSLATE(B472,""en"",""is"")"),"Lengdargráða verður að vera á milli -180 og 180")</f>
        <v>Lengdargráða verður að vera á milli -180 og 180</v>
      </c>
      <c r="AP472" s="4" t="str">
        <f>IFERROR(__xludf.DUMMYFUNCTION("GOOGLETRANSLATE(B472,""en"",""no"")"),"Lengdegraden må være mellom -180 og 180")</f>
        <v>Lengdegraden må være mellom -180 og 180</v>
      </c>
      <c r="AQ472" s="4" t="str">
        <f>IFERROR(__xludf.DUMMYFUNCTION("GOOGLETRANSLATE(B472,""en"",""fa"")"),"طول جغرافیایی باید بین 180- تا 180 باشد")</f>
        <v>طول جغرافیایی باید بین 180- تا 180 باشد</v>
      </c>
      <c r="AR472" s="4" t="str">
        <f>IFERROR(__xludf.DUMMYFUNCTION("GOOGLETRANSLATE(B472,""en"",""pl"")"),"Długość geograficzna musi mieścić się w przedziale od -180 do 180")</f>
        <v>Długość geograficzna musi mieścić się w przedziale od -180 do 180</v>
      </c>
      <c r="AS472" s="4" t="str">
        <f>IFERROR(__xludf.DUMMYFUNCTION("GOOGLETRANSLATE(B472,""en"",""sv"")"),"Longitud måste vara mellan -180 och 180")</f>
        <v>Longitud måste vara mellan -180 och 180</v>
      </c>
      <c r="AT472" s="4" t="str">
        <f>IFERROR(__xludf.DUMMYFUNCTION("GOOGLETRANSLATE(B472,""en"",""uk"")"),"Довгота має бути між -180 і 180")</f>
        <v>Довгота має бути між -180 і 180</v>
      </c>
      <c r="AU472" s="4" t="str">
        <f>IFERROR(__xludf.DUMMYFUNCTION("GOOGLETRANSLATE(B472,""en"",""zu"")"),"Ubude kufanele bube phakathi kuka- -180 no-180")</f>
        <v>Ubude kufanele bube phakathi kuka- -180 no-180</v>
      </c>
      <c r="AV472" s="4" t="str">
        <f>IFERROR(__xludf.DUMMYFUNCTION("GOOGLETRANSLATE(B472,""en"",""sr"")"),"Географска дужина мора бити између -180 и 180")</f>
        <v>Географска дужина мора бити између -180 и 180</v>
      </c>
    </row>
    <row r="473">
      <c r="A473" s="3" t="s">
        <v>917</v>
      </c>
      <c r="B473" s="3" t="s">
        <v>918</v>
      </c>
      <c r="C473" s="4" t="str">
        <f>IFERROR(__xludf.DUMMYFUNCTION("GOOGLETRANSLATE(B473,""en"",""ta"")"),"இலக்கை அமைக்கவும்")</f>
        <v>இலக்கை அமைக்கவும்</v>
      </c>
      <c r="D473" s="4" t="str">
        <f>IFERROR(__xludf.DUMMYFUNCTION("GOOGLETRANSLATE(B473,""en"",""hi"")"),"लक्ष्य सेट करें")</f>
        <v>लक्ष्य सेट करें</v>
      </c>
      <c r="E473" s="4" t="str">
        <f>IFERROR(__xludf.DUMMYFUNCTION("GOOGLETRANSLATE(B473,""en"",""id"")"),"Tetapkan Target")</f>
        <v>Tetapkan Target</v>
      </c>
      <c r="F473" s="4" t="str">
        <f>IFERROR(__xludf.DUMMYFUNCTION("GOOGLETRANSLATE(B473,""en"",""ms"")"),"Tetapkan Sasaran")</f>
        <v>Tetapkan Sasaran</v>
      </c>
      <c r="G473" s="4" t="str">
        <f>IFERROR(__xludf.DUMMYFUNCTION("GOOGLETRANSLATE(B473,""en"",""de"")"),"Ziel festlegen")</f>
        <v>Ziel festlegen</v>
      </c>
      <c r="H473" s="4" t="str">
        <f>IFERROR(__xludf.DUMMYFUNCTION("GOOGLETRANSLATE(B473,""en"",""es"")"),"Establecer objetivo")</f>
        <v>Establecer objetivo</v>
      </c>
      <c r="I473" s="4" t="str">
        <f>IFERROR(__xludf.DUMMYFUNCTION("GOOGLETRANSLATE(B473,""en"",""fr"")"),"Définir un objectif")</f>
        <v>Définir un objectif</v>
      </c>
      <c r="J473" s="4" t="str">
        <f>IFERROR(__xludf.DUMMYFUNCTION("GOOGLETRANSLATE(B473,""en"",""it"")"),"Imposta obiettivo")</f>
        <v>Imposta obiettivo</v>
      </c>
      <c r="K473" s="4" t="str">
        <f>IFERROR(__xludf.DUMMYFUNCTION("GOOGLETRANSLATE(B473,""en"",""pt"")"),"Definir meta")</f>
        <v>Definir meta</v>
      </c>
      <c r="L473" s="4" t="str">
        <f>IFERROR(__xludf.DUMMYFUNCTION("GOOGLETRANSLATE(B473,""en"",""ro"")"),"Setați țintă")</f>
        <v>Setați țintă</v>
      </c>
      <c r="M473" s="4" t="str">
        <f>IFERROR(__xludf.DUMMYFUNCTION("GOOGLETRANSLATE(B473,""en"",""vi"")"),"Đặt mục tiêu")</f>
        <v>Đặt mục tiêu</v>
      </c>
      <c r="N473" s="4" t="str">
        <f>IFERROR(__xludf.DUMMYFUNCTION("GOOGLETRANSLATE(B473,""en"",""ru"")"),"Установить цель")</f>
        <v>Установить цель</v>
      </c>
      <c r="O473" s="4" t="str">
        <f>IFERROR(__xludf.DUMMYFUNCTION("GOOGLETRANSLATE(B473,""en"",""tr"")"),"Hedef Belirle")</f>
        <v>Hedef Belirle</v>
      </c>
      <c r="P473" s="4" t="str">
        <f>IFERROR(__xludf.DUMMYFUNCTION("GOOGLETRANSLATE(B473,""en"",""ar"")"),"حدد الهدف")</f>
        <v>حدد الهدف</v>
      </c>
      <c r="Q473" s="4" t="str">
        <f>IFERROR(__xludf.DUMMYFUNCTION("GOOGLETRANSLATE(B473,""en"",""mr"")"),"लक्ष्य सेट करा")</f>
        <v>लक्ष्य सेट करा</v>
      </c>
      <c r="R473" s="4" t="str">
        <f>IFERROR(__xludf.DUMMYFUNCTION("GOOGLETRANSLATE(B473,""en"",""gu"")"),"લક્ષ્ય સેટ કરો")</f>
        <v>લક્ષ્ય સેટ કરો</v>
      </c>
      <c r="S473" s="4" t="str">
        <f>IFERROR(__xludf.DUMMYFUNCTION("GOOGLETRANSLATE(B473,""en"",""bn"")"),"টার্গেট সেট করুন")</f>
        <v>টার্গেট সেট করুন</v>
      </c>
      <c r="T473" s="4" t="str">
        <f>IFERROR(__xludf.DUMMYFUNCTION("GOOGLETRANSLATE(B473,""en"",""pa"")"),"ਟੀਚਾ ਸੈੱਟ ਕਰੋ")</f>
        <v>ਟੀਚਾ ਸੈੱਟ ਕਰੋ</v>
      </c>
      <c r="U473" s="4" t="str">
        <f>IFERROR(__xludf.DUMMYFUNCTION("GOOGLETRANSLATE(B473,""en"",""te"")"),"లక్ష్యాన్ని సెట్ చేయండి")</f>
        <v>లక్ష్యాన్ని సెట్ చేయండి</v>
      </c>
      <c r="V473" s="4" t="str">
        <f>IFERROR(__xludf.DUMMYFUNCTION("GOOGLETRANSLATE(B473,""en"",""kn"")"),"ಗುರಿಯನ್ನು ಹೊಂದಿಸಿ")</f>
        <v>ಗುರಿಯನ್ನು ಹೊಂದಿಸಿ</v>
      </c>
      <c r="W473" s="4" t="str">
        <f>IFERROR(__xludf.DUMMYFUNCTION("GOOGLETRANSLATE(B473,""en"",""ml"")"),"ലക്ഷ്യം സജ്ജീകരിക്കുക")</f>
        <v>ലക്ഷ്യം സജ്ജീകരിക്കുക</v>
      </c>
      <c r="X473" s="4" t="str">
        <f>IFERROR(__xludf.DUMMYFUNCTION("GOOGLETRANSLATE(B473,""en"",""th"")"),"กำหนดเป้าหมาย")</f>
        <v>กำหนดเป้าหมาย</v>
      </c>
      <c r="Y473" s="4" t="str">
        <f>IFERROR(__xludf.DUMMYFUNCTION("GOOGLETRANSLATE(B473,""en"",""ko"")"),"목표 설정")</f>
        <v>목표 설정</v>
      </c>
      <c r="Z473" s="4" t="str">
        <f>IFERROR(__xludf.DUMMYFUNCTION("GOOGLETRANSLATE(B473,""en"",""zh"")"),"设定目标")</f>
        <v>设定目标</v>
      </c>
      <c r="AA473" s="4" t="str">
        <f>IFERROR(__xludf.DUMMYFUNCTION("GOOGLETRANSLATE(B473,""en"",""zh-TW"")"),"設定目標")</f>
        <v>設定目標</v>
      </c>
      <c r="AB473" s="4" t="str">
        <f>IFERROR(__xludf.DUMMYFUNCTION("GOOGLETRANSLATE(B473,""en"",""ja"")"),"ターゲットを設定する")</f>
        <v>ターゲットを設定する</v>
      </c>
      <c r="AC473" s="4" t="str">
        <f>IFERROR(__xludf.DUMMYFUNCTION("GOOGLETRANSLATE(B473,""en"",""bg"")"),"Задайте цел")</f>
        <v>Задайте цел</v>
      </c>
      <c r="AD473" s="4" t="str">
        <f>IFERROR(__xludf.DUMMYFUNCTION("GOOGLETRANSLATE(B473,""en"",""cs"")"),"Nastavit cíl")</f>
        <v>Nastavit cíl</v>
      </c>
      <c r="AE473" s="4" t="str">
        <f>IFERROR(__xludf.DUMMYFUNCTION("GOOGLETRANSLATE(B473,""en"",""da"")"),"Sæt mål")</f>
        <v>Sæt mål</v>
      </c>
      <c r="AF473" s="4" t="str">
        <f>IFERROR(__xludf.DUMMYFUNCTION("GOOGLETRANSLATE(B473,""en"",""el"")"),"Ορισμός στόχου")</f>
        <v>Ορισμός στόχου</v>
      </c>
      <c r="AG473" s="4" t="str">
        <f>IFERROR(__xludf.DUMMYFUNCTION("GOOGLETRANSLATE(B473,""en"",""et"")"),"Määra sihtmärk")</f>
        <v>Määra sihtmärk</v>
      </c>
      <c r="AH473" s="4" t="str">
        <f>IFERROR(__xludf.DUMMYFUNCTION("GOOGLETRANSLATE(B473,""en"",""fi"")"),"Aseta kohde")</f>
        <v>Aseta kohde</v>
      </c>
      <c r="AI473" s="4" t="str">
        <f>IFERROR(__xludf.DUMMYFUNCTION("GOOGLETRANSLATE(B473,""en"",""hr"")"),"Postavi cilj")</f>
        <v>Postavi cilj</v>
      </c>
      <c r="AJ473" s="4" t="str">
        <f>IFERROR(__xludf.DUMMYFUNCTION("GOOGLETRANSLATE(B473,""en"",""hu"")"),"Cél beállítása")</f>
        <v>Cél beállítása</v>
      </c>
      <c r="AK473" s="4" t="str">
        <f>IFERROR(__xludf.DUMMYFUNCTION("GOOGLETRANSLATE(B473,""en"",""hy"")"),"Սահմանել թիրախ")</f>
        <v>Սահմանել թիրախ</v>
      </c>
      <c r="AL473" s="4" t="str">
        <f>IFERROR(__xludf.DUMMYFUNCTION("GOOGLETRANSLATE(B473,""en"",""ca"")"),"Estableix l'objectiu")</f>
        <v>Estableix l'objectiu</v>
      </c>
      <c r="AM473" s="4" t="str">
        <f>IFERROR(__xludf.DUMMYFUNCTION("GOOGLETRANSLATE(B473,""en"",""nl"")"),"Doel instellen")</f>
        <v>Doel instellen</v>
      </c>
      <c r="AN473" s="4" t="str">
        <f>IFERROR(__xludf.DUMMYFUNCTION("GOOGLETRANSLATE(B473,""en"",""he"")"),"הגדר יעד")</f>
        <v>הגדר יעד</v>
      </c>
      <c r="AO473" s="4" t="str">
        <f>IFERROR(__xludf.DUMMYFUNCTION("GOOGLETRANSLATE(B473,""en"",""is"")"),"Settu markmið")</f>
        <v>Settu markmið</v>
      </c>
      <c r="AP473" s="4" t="str">
        <f>IFERROR(__xludf.DUMMYFUNCTION("GOOGLETRANSLATE(B473,""en"",""no"")"),"Sett mål")</f>
        <v>Sett mål</v>
      </c>
      <c r="AQ473" s="4" t="str">
        <f>IFERROR(__xludf.DUMMYFUNCTION("GOOGLETRANSLATE(B473,""en"",""fa"")"),"هدف را تنظیم کنید")</f>
        <v>هدف را تنظیم کنید</v>
      </c>
      <c r="AR473" s="4" t="str">
        <f>IFERROR(__xludf.DUMMYFUNCTION("GOOGLETRANSLATE(B473,""en"",""pl"")"),"Ustaw cel")</f>
        <v>Ustaw cel</v>
      </c>
      <c r="AS473" s="4" t="str">
        <f>IFERROR(__xludf.DUMMYFUNCTION("GOOGLETRANSLATE(B473,""en"",""sv"")"),"Ställ in mål")</f>
        <v>Ställ in mål</v>
      </c>
      <c r="AT473" s="4" t="str">
        <f>IFERROR(__xludf.DUMMYFUNCTION("GOOGLETRANSLATE(B473,""en"",""uk"")"),"Встановити ціль")</f>
        <v>Встановити ціль</v>
      </c>
      <c r="AU473" s="4" t="str">
        <f>IFERROR(__xludf.DUMMYFUNCTION("GOOGLETRANSLATE(B473,""en"",""zu"")"),"Setha Ithagethi")</f>
        <v>Setha Ithagethi</v>
      </c>
      <c r="AV473" s="4" t="str">
        <f>IFERROR(__xludf.DUMMYFUNCTION("GOOGLETRANSLATE(B473,""en"",""sr"")"),"Поставите циљ")</f>
        <v>Поставите циљ</v>
      </c>
    </row>
    <row r="474">
      <c r="A474" s="3" t="s">
        <v>919</v>
      </c>
      <c r="B474" s="3" t="s">
        <v>918</v>
      </c>
      <c r="C474" s="4" t="str">
        <f>IFERROR(__xludf.DUMMYFUNCTION("GOOGLETRANSLATE(B474,""en"",""ta"")"),"இலக்கை அமைக்கவும்")</f>
        <v>இலக்கை அமைக்கவும்</v>
      </c>
      <c r="D474" s="4" t="str">
        <f>IFERROR(__xludf.DUMMYFUNCTION("GOOGLETRANSLATE(B474,""en"",""hi"")"),"लक्ष्य सेट करें")</f>
        <v>लक्ष्य सेट करें</v>
      </c>
      <c r="E474" s="4" t="str">
        <f>IFERROR(__xludf.DUMMYFUNCTION("GOOGLETRANSLATE(B474,""en"",""id"")"),"Tetapkan Target")</f>
        <v>Tetapkan Target</v>
      </c>
      <c r="F474" s="4" t="str">
        <f>IFERROR(__xludf.DUMMYFUNCTION("GOOGLETRANSLATE(B474,""en"",""ms"")"),"Tetapkan Sasaran")</f>
        <v>Tetapkan Sasaran</v>
      </c>
      <c r="G474" s="4" t="str">
        <f>IFERROR(__xludf.DUMMYFUNCTION("GOOGLETRANSLATE(B474,""en"",""de"")"),"Ziel festlegen")</f>
        <v>Ziel festlegen</v>
      </c>
      <c r="H474" s="4" t="str">
        <f>IFERROR(__xludf.DUMMYFUNCTION("GOOGLETRANSLATE(B474,""en"",""es"")"),"Establecer objetivo")</f>
        <v>Establecer objetivo</v>
      </c>
      <c r="I474" s="4" t="str">
        <f>IFERROR(__xludf.DUMMYFUNCTION("GOOGLETRANSLATE(B474,""en"",""fr"")"),"Définir un objectif")</f>
        <v>Définir un objectif</v>
      </c>
      <c r="J474" s="4" t="str">
        <f>IFERROR(__xludf.DUMMYFUNCTION("GOOGLETRANSLATE(B474,""en"",""it"")"),"Imposta obiettivo")</f>
        <v>Imposta obiettivo</v>
      </c>
      <c r="K474" s="4" t="str">
        <f>IFERROR(__xludf.DUMMYFUNCTION("GOOGLETRANSLATE(B474,""en"",""pt"")"),"Definir meta")</f>
        <v>Definir meta</v>
      </c>
      <c r="L474" s="4" t="str">
        <f>IFERROR(__xludf.DUMMYFUNCTION("GOOGLETRANSLATE(B474,""en"",""ro"")"),"Setați țintă")</f>
        <v>Setați țintă</v>
      </c>
      <c r="M474" s="4" t="str">
        <f>IFERROR(__xludf.DUMMYFUNCTION("GOOGLETRANSLATE(B474,""en"",""vi"")"),"Đặt mục tiêu")</f>
        <v>Đặt mục tiêu</v>
      </c>
      <c r="N474" s="4" t="str">
        <f>IFERROR(__xludf.DUMMYFUNCTION("GOOGLETRANSLATE(B474,""en"",""ru"")"),"Установить цель")</f>
        <v>Установить цель</v>
      </c>
      <c r="O474" s="4" t="str">
        <f>IFERROR(__xludf.DUMMYFUNCTION("GOOGLETRANSLATE(B474,""en"",""tr"")"),"Hedef Belirle")</f>
        <v>Hedef Belirle</v>
      </c>
      <c r="P474" s="4" t="str">
        <f>IFERROR(__xludf.DUMMYFUNCTION("GOOGLETRANSLATE(B474,""en"",""ar"")"),"حدد الهدف")</f>
        <v>حدد الهدف</v>
      </c>
      <c r="Q474" s="4" t="str">
        <f>IFERROR(__xludf.DUMMYFUNCTION("GOOGLETRANSLATE(B474,""en"",""mr"")"),"लक्ष्य सेट करा")</f>
        <v>लक्ष्य सेट करा</v>
      </c>
      <c r="R474" s="4" t="str">
        <f>IFERROR(__xludf.DUMMYFUNCTION("GOOGLETRANSLATE(B474,""en"",""gu"")"),"લક્ષ્ય સેટ કરો")</f>
        <v>લક્ષ્ય સેટ કરો</v>
      </c>
      <c r="S474" s="4" t="str">
        <f>IFERROR(__xludf.DUMMYFUNCTION("GOOGLETRANSLATE(B474,""en"",""bn"")"),"টার্গেট সেট করুন")</f>
        <v>টার্গেট সেট করুন</v>
      </c>
      <c r="T474" s="4" t="str">
        <f>IFERROR(__xludf.DUMMYFUNCTION("GOOGLETRANSLATE(B474,""en"",""pa"")"),"ਟੀਚਾ ਸੈੱਟ ਕਰੋ")</f>
        <v>ਟੀਚਾ ਸੈੱਟ ਕਰੋ</v>
      </c>
      <c r="U474" s="4" t="str">
        <f>IFERROR(__xludf.DUMMYFUNCTION("GOOGLETRANSLATE(B474,""en"",""te"")"),"లక్ష్యాన్ని సెట్ చేయండి")</f>
        <v>లక్ష్యాన్ని సెట్ చేయండి</v>
      </c>
      <c r="V474" s="4" t="str">
        <f>IFERROR(__xludf.DUMMYFUNCTION("GOOGLETRANSLATE(B474,""en"",""kn"")"),"ಗುರಿಯನ್ನು ಹೊಂದಿಸಿ")</f>
        <v>ಗುರಿಯನ್ನು ಹೊಂದಿಸಿ</v>
      </c>
      <c r="W474" s="4" t="str">
        <f>IFERROR(__xludf.DUMMYFUNCTION("GOOGLETRANSLATE(B474,""en"",""ml"")"),"ലക്ഷ്യം സജ്ജീകരിക്കുക")</f>
        <v>ലക്ഷ്യം സജ്ജീകരിക്കുക</v>
      </c>
      <c r="X474" s="4" t="str">
        <f>IFERROR(__xludf.DUMMYFUNCTION("GOOGLETRANSLATE(B474,""en"",""th"")"),"กำหนดเป้าหมาย")</f>
        <v>กำหนดเป้าหมาย</v>
      </c>
      <c r="Y474" s="4" t="str">
        <f>IFERROR(__xludf.DUMMYFUNCTION("GOOGLETRANSLATE(B474,""en"",""ko"")"),"목표 설정")</f>
        <v>목표 설정</v>
      </c>
      <c r="Z474" s="4" t="str">
        <f>IFERROR(__xludf.DUMMYFUNCTION("GOOGLETRANSLATE(B474,""en"",""zh"")"),"设定目标")</f>
        <v>设定目标</v>
      </c>
      <c r="AA474" s="4" t="str">
        <f>IFERROR(__xludf.DUMMYFUNCTION("GOOGLETRANSLATE(B474,""en"",""zh-TW"")"),"設定目標")</f>
        <v>設定目標</v>
      </c>
      <c r="AB474" s="4" t="str">
        <f>IFERROR(__xludf.DUMMYFUNCTION("GOOGLETRANSLATE(B474,""en"",""ja"")"),"ターゲットを設定する")</f>
        <v>ターゲットを設定する</v>
      </c>
      <c r="AC474" s="4" t="str">
        <f>IFERROR(__xludf.DUMMYFUNCTION("GOOGLETRANSLATE(B474,""en"",""bg"")"),"Задайте цел")</f>
        <v>Задайте цел</v>
      </c>
      <c r="AD474" s="4" t="str">
        <f>IFERROR(__xludf.DUMMYFUNCTION("GOOGLETRANSLATE(B474,""en"",""cs"")"),"Nastavit cíl")</f>
        <v>Nastavit cíl</v>
      </c>
      <c r="AE474" s="4" t="str">
        <f>IFERROR(__xludf.DUMMYFUNCTION("GOOGLETRANSLATE(B474,""en"",""da"")"),"Sæt mål")</f>
        <v>Sæt mål</v>
      </c>
      <c r="AF474" s="4" t="str">
        <f>IFERROR(__xludf.DUMMYFUNCTION("GOOGLETRANSLATE(B474,""en"",""el"")"),"Ορισμός στόχου")</f>
        <v>Ορισμός στόχου</v>
      </c>
      <c r="AG474" s="4" t="str">
        <f>IFERROR(__xludf.DUMMYFUNCTION("GOOGLETRANSLATE(B474,""en"",""et"")"),"Määra sihtmärk")</f>
        <v>Määra sihtmärk</v>
      </c>
      <c r="AH474" s="4" t="str">
        <f>IFERROR(__xludf.DUMMYFUNCTION("GOOGLETRANSLATE(B474,""en"",""fi"")"),"Aseta kohde")</f>
        <v>Aseta kohde</v>
      </c>
      <c r="AI474" s="4" t="str">
        <f>IFERROR(__xludf.DUMMYFUNCTION("GOOGLETRANSLATE(B474,""en"",""hr"")"),"Postavi cilj")</f>
        <v>Postavi cilj</v>
      </c>
      <c r="AJ474" s="4" t="str">
        <f>IFERROR(__xludf.DUMMYFUNCTION("GOOGLETRANSLATE(B474,""en"",""hu"")"),"Cél beállítása")</f>
        <v>Cél beállítása</v>
      </c>
      <c r="AK474" s="4" t="str">
        <f>IFERROR(__xludf.DUMMYFUNCTION("GOOGLETRANSLATE(B474,""en"",""hy"")"),"Սահմանել թիրախ")</f>
        <v>Սահմանել թիրախ</v>
      </c>
      <c r="AL474" s="4" t="str">
        <f>IFERROR(__xludf.DUMMYFUNCTION("GOOGLETRANSLATE(B474,""en"",""ca"")"),"Estableix l'objectiu")</f>
        <v>Estableix l'objectiu</v>
      </c>
      <c r="AM474" s="4" t="str">
        <f>IFERROR(__xludf.DUMMYFUNCTION("GOOGLETRANSLATE(B474,""en"",""nl"")"),"Doel instellen")</f>
        <v>Doel instellen</v>
      </c>
      <c r="AN474" s="4" t="str">
        <f>IFERROR(__xludf.DUMMYFUNCTION("GOOGLETRANSLATE(B474,""en"",""he"")"),"הגדר יעד")</f>
        <v>הגדר יעד</v>
      </c>
      <c r="AO474" s="4" t="str">
        <f>IFERROR(__xludf.DUMMYFUNCTION("GOOGLETRANSLATE(B474,""en"",""is"")"),"Settu markmið")</f>
        <v>Settu markmið</v>
      </c>
      <c r="AP474" s="4" t="str">
        <f>IFERROR(__xludf.DUMMYFUNCTION("GOOGLETRANSLATE(B474,""en"",""no"")"),"Sett mål")</f>
        <v>Sett mål</v>
      </c>
      <c r="AQ474" s="4" t="str">
        <f>IFERROR(__xludf.DUMMYFUNCTION("GOOGLETRANSLATE(B474,""en"",""fa"")"),"هدف را تنظیم کنید")</f>
        <v>هدف را تنظیم کنید</v>
      </c>
      <c r="AR474" s="4" t="str">
        <f>IFERROR(__xludf.DUMMYFUNCTION("GOOGLETRANSLATE(B474,""en"",""pl"")"),"Ustaw cel")</f>
        <v>Ustaw cel</v>
      </c>
      <c r="AS474" s="4" t="str">
        <f>IFERROR(__xludf.DUMMYFUNCTION("GOOGLETRANSLATE(B474,""en"",""sv"")"),"Ställ in mål")</f>
        <v>Ställ in mål</v>
      </c>
      <c r="AT474" s="4" t="str">
        <f>IFERROR(__xludf.DUMMYFUNCTION("GOOGLETRANSLATE(B474,""en"",""uk"")"),"Встановити ціль")</f>
        <v>Встановити ціль</v>
      </c>
      <c r="AU474" s="4" t="str">
        <f>IFERROR(__xludf.DUMMYFUNCTION("GOOGLETRANSLATE(B474,""en"",""zu"")"),"Setha Ithagethi")</f>
        <v>Setha Ithagethi</v>
      </c>
      <c r="AV474" s="4" t="str">
        <f>IFERROR(__xludf.DUMMYFUNCTION("GOOGLETRANSLATE(B474,""en"",""sr"")"),"Поставите циљ")</f>
        <v>Поставите циљ</v>
      </c>
    </row>
    <row r="475">
      <c r="A475" s="3" t="s">
        <v>920</v>
      </c>
      <c r="B475" s="3" t="s">
        <v>921</v>
      </c>
      <c r="C475" s="4" t="str">
        <f>IFERROR(__xludf.DUMMYFUNCTION("GOOGLETRANSLATE(B475,""en"",""ta"")"),"இலக்கு இருப்பிடத்தை அமைக்க வரைபடத்தில் கிளிக் செய்யவும்")</f>
        <v>இலக்கு இருப்பிடத்தை அமைக்க வரைபடத்தில் கிளிக் செய்யவும்</v>
      </c>
      <c r="D475" s="4" t="str">
        <f>IFERROR(__xludf.DUMMYFUNCTION("GOOGLETRANSLATE(B475,""en"",""hi"")"),"कृपया लक्ष्य स्थान निर्धारित करने के लिए मानचित्र पर क्लिक करें")</f>
        <v>कृपया लक्ष्य स्थान निर्धारित करने के लिए मानचित्र पर क्लिक करें</v>
      </c>
      <c r="E475" s="4" t="str">
        <f>IFERROR(__xludf.DUMMYFUNCTION("GOOGLETRANSLATE(B475,""en"",""id"")"),"Silakan Klik pada peta untuk menentukan lokasi target")</f>
        <v>Silakan Klik pada peta untuk menentukan lokasi target</v>
      </c>
      <c r="F475" s="4" t="str">
        <f>IFERROR(__xludf.DUMMYFUNCTION("GOOGLETRANSLATE(B475,""en"",""ms"")"),"Sila Klik pada peta untuk menetapkan lokasi sasaran")</f>
        <v>Sila Klik pada peta untuk menetapkan lokasi sasaran</v>
      </c>
      <c r="G475" s="4" t="str">
        <f>IFERROR(__xludf.DUMMYFUNCTION("GOOGLETRANSLATE(B475,""en"",""de"")"),"Bitte klicken Sie auf die Karte, um den Zielort festzulegen")</f>
        <v>Bitte klicken Sie auf die Karte, um den Zielort festzulegen</v>
      </c>
      <c r="H475" s="4" t="str">
        <f>IFERROR(__xludf.DUMMYFUNCTION("GOOGLETRANSLATE(B475,""en"",""es"")"),"Haga clic en el mapa para establecer la ubicación de destino.")</f>
        <v>Haga clic en el mapa para establecer la ubicación de destino.</v>
      </c>
      <c r="I475" s="4" t="str">
        <f>IFERROR(__xludf.DUMMYFUNCTION("GOOGLETRANSLATE(B475,""en"",""fr"")"),"Veuillez cliquer sur la carte pour définir l'emplacement cible")</f>
        <v>Veuillez cliquer sur la carte pour définir l'emplacement cible</v>
      </c>
      <c r="J475" s="4" t="str">
        <f>IFERROR(__xludf.DUMMYFUNCTION("GOOGLETRANSLATE(B475,""en"",""it"")"),"Fare clic sulla mappa per impostare la posizione di destinazione")</f>
        <v>Fare clic sulla mappa per impostare la posizione di destinazione</v>
      </c>
      <c r="K475" s="4" t="str">
        <f>IFERROR(__xludf.DUMMYFUNCTION("GOOGLETRANSLATE(B475,""en"",""pt"")"),"Clique no mapa para definir o local de destino")</f>
        <v>Clique no mapa para definir o local de destino</v>
      </c>
      <c r="L475" s="4" t="str">
        <f>IFERROR(__xludf.DUMMYFUNCTION("GOOGLETRANSLATE(B475,""en"",""ro"")"),"Dați clic pe hartă pentru a seta locația țintă")</f>
        <v>Dați clic pe hartă pentru a seta locația țintă</v>
      </c>
      <c r="M475" s="4" t="str">
        <f>IFERROR(__xludf.DUMMYFUNCTION("GOOGLETRANSLATE(B475,""en"",""vi"")"),"Vui lòng nhấp vào bản đồ để thiết lập vị trí mục tiêu")</f>
        <v>Vui lòng nhấp vào bản đồ để thiết lập vị trí mục tiêu</v>
      </c>
      <c r="N475" s="4" t="str">
        <f>IFERROR(__xludf.DUMMYFUNCTION("GOOGLETRANSLATE(B475,""en"",""ru"")"),"Нажмите на карту, чтобы указать целевое местоположение.")</f>
        <v>Нажмите на карту, чтобы указать целевое местоположение.</v>
      </c>
      <c r="O475" s="4" t="str">
        <f>IFERROR(__xludf.DUMMYFUNCTION("GOOGLETRANSLATE(B475,""en"",""tr"")"),"Hedef konumu belirlemek için lütfen haritaya tıklayın")</f>
        <v>Hedef konumu belirlemek için lütfen haritaya tıklayın</v>
      </c>
      <c r="P475" s="4" t="str">
        <f>IFERROR(__xludf.DUMMYFUNCTION("GOOGLETRANSLATE(B475,""en"",""ar"")"),"الرجاء النقر على الخريطة لتحديد موقع الهدف")</f>
        <v>الرجاء النقر على الخريطة لتحديد موقع الهدف</v>
      </c>
      <c r="Q475" s="4" t="str">
        <f>IFERROR(__xludf.DUMMYFUNCTION("GOOGLETRANSLATE(B475,""en"",""mr"")"),"कृपया लक्ष्य स्थान सेट करण्यासाठी नकाशावर क्लिक करा")</f>
        <v>कृपया लक्ष्य स्थान सेट करण्यासाठी नकाशावर क्लिक करा</v>
      </c>
      <c r="R475" s="4" t="str">
        <f>IFERROR(__xludf.DUMMYFUNCTION("GOOGLETRANSLATE(B475,""en"",""gu"")"),"લક્ષ્ય સ્થાન સેટ કરવા માટે કૃપા કરીને નકશા પર ક્લિક કરો")</f>
        <v>લક્ષ્ય સ્થાન સેટ કરવા માટે કૃપા કરીને નકશા પર ક્લિક કરો</v>
      </c>
      <c r="S475" s="4" t="str">
        <f>IFERROR(__xludf.DUMMYFUNCTION("GOOGLETRANSLATE(B475,""en"",""bn"")"),"লক্ষ্য অবস্থান সেট করতে মানচিত্রে ক্লিক করুন")</f>
        <v>লক্ষ্য অবস্থান সেট করতে মানচিত্রে ক্লিক করুন</v>
      </c>
      <c r="T475" s="4" t="str">
        <f>IFERROR(__xludf.DUMMYFUNCTION("GOOGLETRANSLATE(B475,""en"",""pa"")"),"ਕਿਰਪਾ ਕਰਕੇ ਨਿਸ਼ਾਨਾ ਟਿਕਾਣਾ ਸੈੱਟ ਕਰਨ ਲਈ ਨਕਸ਼ੇ 'ਤੇ ਕਲਿੱਕ ਕਰੋ")</f>
        <v>ਕਿਰਪਾ ਕਰਕੇ ਨਿਸ਼ਾਨਾ ਟਿਕਾਣਾ ਸੈੱਟ ਕਰਨ ਲਈ ਨਕਸ਼ੇ 'ਤੇ ਕਲਿੱਕ ਕਰੋ</v>
      </c>
      <c r="U475" s="4" t="str">
        <f>IFERROR(__xludf.DUMMYFUNCTION("GOOGLETRANSLATE(B475,""en"",""te"")"),"దయచేసి లక్ష్య స్థానాన్ని సెట్ చేయడానికి మ్యాప్‌పై క్లిక్ చేయండి")</f>
        <v>దయచేసి లక్ష్య స్థానాన్ని సెట్ చేయడానికి మ్యాప్‌పై క్లిక్ చేయండి</v>
      </c>
      <c r="V475" s="4" t="str">
        <f>IFERROR(__xludf.DUMMYFUNCTION("GOOGLETRANSLATE(B475,""en"",""kn"")"),"ಗುರಿಯ ಸ್ಥಳವನ್ನು ಹೊಂದಿಸಲು ದಯವಿಟ್ಟು ನಕ್ಷೆಯ ಮೇಲೆ ಕ್ಲಿಕ್ ಮಾಡಿ")</f>
        <v>ಗುರಿಯ ಸ್ಥಳವನ್ನು ಹೊಂದಿಸಲು ದಯವಿಟ್ಟು ನಕ್ಷೆಯ ಮೇಲೆ ಕ್ಲಿಕ್ ಮಾಡಿ</v>
      </c>
      <c r="W475" s="4" t="str">
        <f>IFERROR(__xludf.DUMMYFUNCTION("GOOGLETRANSLATE(B475,""en"",""ml"")"),"ലക്ഷ്യസ്ഥാനം സജ്ജീകരിക്കാൻ മാപ്പിൽ ക്ലിക്ക് ചെയ്യുക")</f>
        <v>ലക്ഷ്യസ്ഥാനം സജ്ജീകരിക്കാൻ മാപ്പിൽ ക്ലിക്ക് ചെയ്യുക</v>
      </c>
      <c r="X475" s="4" t="str">
        <f>IFERROR(__xludf.DUMMYFUNCTION("GOOGLETRANSLATE(B475,""en"",""th"")"),"กรุณาคลิกบนแผนที่เพื่อกำหนดตำแหน่งเป้าหมาย")</f>
        <v>กรุณาคลิกบนแผนที่เพื่อกำหนดตำแหน่งเป้าหมาย</v>
      </c>
      <c r="Y475" s="4" t="str">
        <f>IFERROR(__xludf.DUMMYFUNCTION("GOOGLETRANSLATE(B475,""en"",""ko"")"),"목표 위치를 설정하려면 지도를 클릭하세요.")</f>
        <v>목표 위치를 설정하려면 지도를 클릭하세요.</v>
      </c>
      <c r="Z475" s="4" t="str">
        <f>IFERROR(__xludf.DUMMYFUNCTION("GOOGLETRANSLATE(B475,""en"",""zh"")"),"请点击地图设置目标位置")</f>
        <v>请点击地图设置目标位置</v>
      </c>
      <c r="AA475" s="4" t="str">
        <f>IFERROR(__xludf.DUMMYFUNCTION("GOOGLETRANSLATE(B475,""en"",""zh-TW"")"),"請點選地圖設定目標位置")</f>
        <v>請點選地圖設定目標位置</v>
      </c>
      <c r="AB475" s="4" t="str">
        <f>IFERROR(__xludf.DUMMYFUNCTION("GOOGLETRANSLATE(B475,""en"",""ja"")"),"目的地を設定するには地図をクリックしてください")</f>
        <v>目的地を設定するには地図をクリックしてください</v>
      </c>
      <c r="AC475" s="4" t="str">
        <f>IFERROR(__xludf.DUMMYFUNCTION("GOOGLETRANSLATE(B475,""en"",""bg"")"),"Моля, щракнете върху картата, за да зададете целевото местоположение")</f>
        <v>Моля, щракнете върху картата, за да зададете целевото местоположение</v>
      </c>
      <c r="AD475" s="4" t="str">
        <f>IFERROR(__xludf.DUMMYFUNCTION("GOOGLETRANSLATE(B475,""en"",""cs"")"),"Kliknutím na mapu nastavte cílové umístění")</f>
        <v>Kliknutím na mapu nastavte cílové umístění</v>
      </c>
      <c r="AE475" s="4" t="str">
        <f>IFERROR(__xludf.DUMMYFUNCTION("GOOGLETRANSLATE(B475,""en"",""da"")"),"Klik venligst på kortet for at indstille målstedet")</f>
        <v>Klik venligst på kortet for at indstille målstedet</v>
      </c>
      <c r="AF475" s="4" t="str">
        <f>IFERROR(__xludf.DUMMYFUNCTION("GOOGLETRANSLATE(B475,""en"",""el"")"),"Κάντε κλικ στο χάρτη για να ορίσετε την τοποθεσία-στόχο")</f>
        <v>Κάντε κλικ στο χάρτη για να ορίσετε την τοποθεσία-στόχο</v>
      </c>
      <c r="AG475" s="4" t="str">
        <f>IFERROR(__xludf.DUMMYFUNCTION("GOOGLETRANSLATE(B475,""en"",""et"")"),"Sihtkoha määramiseks klõpsake kaardil")</f>
        <v>Sihtkoha määramiseks klõpsake kaardil</v>
      </c>
      <c r="AH475" s="4" t="str">
        <f>IFERROR(__xludf.DUMMYFUNCTION("GOOGLETRANSLATE(B475,""en"",""fi"")"),"Napsauta karttaa asettaaksesi kohdesijainnin")</f>
        <v>Napsauta karttaa asettaaksesi kohdesijainnin</v>
      </c>
      <c r="AI475" s="4" t="str">
        <f>IFERROR(__xludf.DUMMYFUNCTION("GOOGLETRANSLATE(B475,""en"",""hr"")"),"Kliknite na kartu kako biste postavili ciljnu lokaciju")</f>
        <v>Kliknite na kartu kako biste postavili ciljnu lokaciju</v>
      </c>
      <c r="AJ475" s="4" t="str">
        <f>IFERROR(__xludf.DUMMYFUNCTION("GOOGLETRANSLATE(B475,""en"",""hu"")"),"Kérjük, kattintson a térképre a célhely beállításához")</f>
        <v>Kérjük, kattintson a térképre a célhely beállításához</v>
      </c>
      <c r="AK475" s="4" t="str">
        <f>IFERROR(__xludf.DUMMYFUNCTION("GOOGLETRANSLATE(B475,""en"",""hy"")"),"Խնդրում ենք սեղմել քարտեզի վրա՝ նպատակակետը սահմանելու համար")</f>
        <v>Խնդրում ենք սեղմել քարտեզի վրա՝ նպատակակետը սահմանելու համար</v>
      </c>
      <c r="AL475" s="4" t="str">
        <f>IFERROR(__xludf.DUMMYFUNCTION("GOOGLETRANSLATE(B475,""en"",""ca"")"),"Feu clic al mapa per establir la ubicació de destinació")</f>
        <v>Feu clic al mapa per establir la ubicació de destinació</v>
      </c>
      <c r="AM475" s="4" t="str">
        <f>IFERROR(__xludf.DUMMYFUNCTION("GOOGLETRANSLATE(B475,""en"",""nl"")"),"Klik op de kaart om de doellocatie in te stellen")</f>
        <v>Klik op de kaart om de doellocatie in te stellen</v>
      </c>
      <c r="AN475" s="4" t="str">
        <f>IFERROR(__xludf.DUMMYFUNCTION("GOOGLETRANSLATE(B475,""en"",""he"")"),"אנא לחץ על המפה כדי להגדיר את מיקום היעד")</f>
        <v>אנא לחץ על המפה כדי להגדיר את מיקום היעד</v>
      </c>
      <c r="AO475" s="4" t="str">
        <f>IFERROR(__xludf.DUMMYFUNCTION("GOOGLETRANSLATE(B475,""en"",""is"")"),"Vinsamlegast smelltu á kortið til að stilla miða staðsetningu")</f>
        <v>Vinsamlegast smelltu á kortið til að stilla miða staðsetningu</v>
      </c>
      <c r="AP475" s="4" t="str">
        <f>IFERROR(__xludf.DUMMYFUNCTION("GOOGLETRANSLATE(B475,""en"",""no"")"),"Klikk på kartet for å angi målstedet")</f>
        <v>Klikk på kartet for å angi målstedet</v>
      </c>
      <c r="AQ475" s="4" t="str">
        <f>IFERROR(__xludf.DUMMYFUNCTION("GOOGLETRANSLATE(B475,""en"",""fa"")"),"لطفاً برای تعیین مکان مورد نظر روی نقشه کلیک کنید")</f>
        <v>لطفاً برای تعیین مکان مورد نظر روی نقشه کلیک کنید</v>
      </c>
      <c r="AR475" s="4" t="str">
        <f>IFERROR(__xludf.DUMMYFUNCTION("GOOGLETRANSLATE(B475,""en"",""pl"")"),"Kliknij na mapie, aby ustawić lokalizację docelową")</f>
        <v>Kliknij na mapie, aby ustawić lokalizację docelową</v>
      </c>
      <c r="AS475" s="4" t="str">
        <f>IFERROR(__xludf.DUMMYFUNCTION("GOOGLETRANSLATE(B475,""en"",""sv"")"),"Klicka på kartan för att ange målplatsen")</f>
        <v>Klicka på kartan för att ange målplatsen</v>
      </c>
      <c r="AT475" s="4" t="str">
        <f>IFERROR(__xludf.DUMMYFUNCTION("GOOGLETRANSLATE(B475,""en"",""uk"")"),"Клацніть на карті, щоб установити цільове розташування")</f>
        <v>Клацніть на карті, щоб установити цільове розташування</v>
      </c>
      <c r="AU475" s="4" t="str">
        <f>IFERROR(__xludf.DUMMYFUNCTION("GOOGLETRANSLATE(B475,""en"",""zu"")"),"Sicela uchofoze kumephu ukuze usethe indawo eqondiwe")</f>
        <v>Sicela uchofoze kumephu ukuze usethe indawo eqondiwe</v>
      </c>
      <c r="AV475" s="4" t="str">
        <f>IFERROR(__xludf.DUMMYFUNCTION("GOOGLETRANSLATE(B475,""en"",""sr"")"),"Кликните на мапу да бисте поставили циљну локацију")</f>
        <v>Кликните на мапу да бисте поставили циљну локацију</v>
      </c>
    </row>
    <row r="476">
      <c r="A476" s="3" t="s">
        <v>922</v>
      </c>
      <c r="B476" s="3" t="s">
        <v>923</v>
      </c>
      <c r="C476" s="4" t="str">
        <f>IFERROR(__xludf.DUMMYFUNCTION("GOOGLETRANSLATE(B476,""en"",""ta"")"),"சேமிக்கப்பட்ட இடம்")</f>
        <v>சேமிக்கப்பட்ட இடம்</v>
      </c>
      <c r="D476" s="4" t="str">
        <f>IFERROR(__xludf.DUMMYFUNCTION("GOOGLETRANSLATE(B476,""en"",""hi"")"),"सहेजा गया स्थान")</f>
        <v>सहेजा गया स्थान</v>
      </c>
      <c r="E476" s="4" t="str">
        <f>IFERROR(__xludf.DUMMYFUNCTION("GOOGLETRANSLATE(B476,""en"",""id"")"),"Lokasi Tersimpan")</f>
        <v>Lokasi Tersimpan</v>
      </c>
      <c r="F476" s="4" t="str">
        <f>IFERROR(__xludf.DUMMYFUNCTION("GOOGLETRANSLATE(B476,""en"",""ms"")"),"Lokasi Disimpan")</f>
        <v>Lokasi Disimpan</v>
      </c>
      <c r="G476" s="4" t="str">
        <f>IFERROR(__xludf.DUMMYFUNCTION("GOOGLETRANSLATE(B476,""en"",""de"")"),"Gespeicherter Standort")</f>
        <v>Gespeicherter Standort</v>
      </c>
      <c r="H476" s="4" t="str">
        <f>IFERROR(__xludf.DUMMYFUNCTION("GOOGLETRANSLATE(B476,""en"",""es"")"),"Ubicación guardada")</f>
        <v>Ubicación guardada</v>
      </c>
      <c r="I476" s="4" t="str">
        <f>IFERROR(__xludf.DUMMYFUNCTION("GOOGLETRANSLATE(B476,""en"",""fr"")"),"Emplacement enregistré")</f>
        <v>Emplacement enregistré</v>
      </c>
      <c r="J476" s="4" t="str">
        <f>IFERROR(__xludf.DUMMYFUNCTION("GOOGLETRANSLATE(B476,""en"",""it"")"),"Posizione salvata")</f>
        <v>Posizione salvata</v>
      </c>
      <c r="K476" s="4" t="str">
        <f>IFERROR(__xludf.DUMMYFUNCTION("GOOGLETRANSLATE(B476,""en"",""pt"")"),"Localização salva")</f>
        <v>Localização salva</v>
      </c>
      <c r="L476" s="4" t="str">
        <f>IFERROR(__xludf.DUMMYFUNCTION("GOOGLETRANSLATE(B476,""en"",""ro"")"),"Locație salvată")</f>
        <v>Locație salvată</v>
      </c>
      <c r="M476" s="4" t="str">
        <f>IFERROR(__xludf.DUMMYFUNCTION("GOOGLETRANSLATE(B476,""en"",""vi"")"),"Vị trí đã lưu")</f>
        <v>Vị trí đã lưu</v>
      </c>
      <c r="N476" s="4" t="str">
        <f>IFERROR(__xludf.DUMMYFUNCTION("GOOGLETRANSLATE(B476,""en"",""ru"")"),"Сохраненное местоположение")</f>
        <v>Сохраненное местоположение</v>
      </c>
      <c r="O476" s="4" t="str">
        <f>IFERROR(__xludf.DUMMYFUNCTION("GOOGLETRANSLATE(B476,""en"",""tr"")"),"Kaydedilen Konum")</f>
        <v>Kaydedilen Konum</v>
      </c>
      <c r="P476" s="4" t="str">
        <f>IFERROR(__xludf.DUMMYFUNCTION("GOOGLETRANSLATE(B476,""en"",""ar"")"),"الموقع المحفوظ")</f>
        <v>الموقع المحفوظ</v>
      </c>
      <c r="Q476" s="4" t="str">
        <f>IFERROR(__xludf.DUMMYFUNCTION("GOOGLETRANSLATE(B476,""en"",""mr"")"),"सेव्ह केलेले स्थान")</f>
        <v>सेव्ह केलेले स्थान</v>
      </c>
      <c r="R476" s="4" t="str">
        <f>IFERROR(__xludf.DUMMYFUNCTION("GOOGLETRANSLATE(B476,""en"",""gu"")"),"સાચવેલ સ્થાન")</f>
        <v>સાચવેલ સ્થાન</v>
      </c>
      <c r="S476" s="4" t="str">
        <f>IFERROR(__xludf.DUMMYFUNCTION("GOOGLETRANSLATE(B476,""en"",""bn"")"),"সংরক্ষিত অবস্থান")</f>
        <v>সংরক্ষিত অবস্থান</v>
      </c>
      <c r="T476" s="4" t="str">
        <f>IFERROR(__xludf.DUMMYFUNCTION("GOOGLETRANSLATE(B476,""en"",""pa"")"),"ਸੁਰੱਖਿਅਤ ਟਿਕਾਣਾ")</f>
        <v>ਸੁਰੱਖਿਅਤ ਟਿਕਾਣਾ</v>
      </c>
      <c r="U476" s="4" t="str">
        <f>IFERROR(__xludf.DUMMYFUNCTION("GOOGLETRANSLATE(B476,""en"",""te"")"),"సేవ్ చేసిన స్థానం")</f>
        <v>సేవ్ చేసిన స్థానం</v>
      </c>
      <c r="V476" s="4" t="str">
        <f>IFERROR(__xludf.DUMMYFUNCTION("GOOGLETRANSLATE(B476,""en"",""kn"")"),"ಉಳಿಸಿದ ಸ್ಥಳ")</f>
        <v>ಉಳಿಸಿದ ಸ್ಥಳ</v>
      </c>
      <c r="W476" s="4" t="str">
        <f>IFERROR(__xludf.DUMMYFUNCTION("GOOGLETRANSLATE(B476,""en"",""ml"")"),"സംരക്ഷിച്ച ലൊക്കേഷൻ")</f>
        <v>സംരക്ഷിച്ച ലൊക്കേഷൻ</v>
      </c>
      <c r="X476" s="4" t="str">
        <f>IFERROR(__xludf.DUMMYFUNCTION("GOOGLETRANSLATE(B476,""en"",""th"")"),"ตำแหน่งที่ตั้งที่บันทึกไว้")</f>
        <v>ตำแหน่งที่ตั้งที่บันทึกไว้</v>
      </c>
      <c r="Y476" s="4" t="str">
        <f>IFERROR(__xludf.DUMMYFUNCTION("GOOGLETRANSLATE(B476,""en"",""ko"")"),"저장된 위치")</f>
        <v>저장된 위치</v>
      </c>
      <c r="Z476" s="4" t="str">
        <f>IFERROR(__xludf.DUMMYFUNCTION("GOOGLETRANSLATE(B476,""en"",""zh"")"),"已保存位置")</f>
        <v>已保存位置</v>
      </c>
      <c r="AA476" s="4" t="str">
        <f>IFERROR(__xludf.DUMMYFUNCTION("GOOGLETRANSLATE(B476,""en"",""zh-TW"")"),"已儲存位置")</f>
        <v>已儲存位置</v>
      </c>
      <c r="AB476" s="4" t="str">
        <f>IFERROR(__xludf.DUMMYFUNCTION("GOOGLETRANSLATE(B476,""en"",""ja"")"),"保存した場所")</f>
        <v>保存した場所</v>
      </c>
      <c r="AC476" s="4" t="str">
        <f>IFERROR(__xludf.DUMMYFUNCTION("GOOGLETRANSLATE(B476,""en"",""bg"")"),"Запазено местоположение")</f>
        <v>Запазено местоположение</v>
      </c>
      <c r="AD476" s="4" t="str">
        <f>IFERROR(__xludf.DUMMYFUNCTION("GOOGLETRANSLATE(B476,""en"",""cs"")"),"Uložená poloha")</f>
        <v>Uložená poloha</v>
      </c>
      <c r="AE476" s="4" t="str">
        <f>IFERROR(__xludf.DUMMYFUNCTION("GOOGLETRANSLATE(B476,""en"",""da"")"),"Gemt placering")</f>
        <v>Gemt placering</v>
      </c>
      <c r="AF476" s="4" t="str">
        <f>IFERROR(__xludf.DUMMYFUNCTION("GOOGLETRANSLATE(B476,""en"",""el"")"),"Αποθηκευμένη Τοποθεσία")</f>
        <v>Αποθηκευμένη Τοποθεσία</v>
      </c>
      <c r="AG476" s="4" t="str">
        <f>IFERROR(__xludf.DUMMYFUNCTION("GOOGLETRANSLATE(B476,""en"",""et"")"),"Salvestatud asukoht")</f>
        <v>Salvestatud asukoht</v>
      </c>
      <c r="AH476" s="4" t="str">
        <f>IFERROR(__xludf.DUMMYFUNCTION("GOOGLETRANSLATE(B476,""en"",""fi"")"),"Tallennettu sijainti")</f>
        <v>Tallennettu sijainti</v>
      </c>
      <c r="AI476" s="4" t="str">
        <f>IFERROR(__xludf.DUMMYFUNCTION("GOOGLETRANSLATE(B476,""en"",""hr"")"),"Spremljena lokacija")</f>
        <v>Spremljena lokacija</v>
      </c>
      <c r="AJ476" s="4" t="str">
        <f>IFERROR(__xludf.DUMMYFUNCTION("GOOGLETRANSLATE(B476,""en"",""hu"")"),"Mentett hely")</f>
        <v>Mentett hely</v>
      </c>
      <c r="AK476" s="4" t="str">
        <f>IFERROR(__xludf.DUMMYFUNCTION("GOOGLETRANSLATE(B476,""en"",""hy"")"),"Պահված գտնվելու վայրը")</f>
        <v>Պահված գտնվելու վայրը</v>
      </c>
      <c r="AL476" s="4" t="str">
        <f>IFERROR(__xludf.DUMMYFUNCTION("GOOGLETRANSLATE(B476,""en"",""ca"")"),"Ubicació desada")</f>
        <v>Ubicació desada</v>
      </c>
      <c r="AM476" s="4" t="str">
        <f>IFERROR(__xludf.DUMMYFUNCTION("GOOGLETRANSLATE(B476,""en"",""nl"")"),"Opgeslagen locatie")</f>
        <v>Opgeslagen locatie</v>
      </c>
      <c r="AN476" s="4" t="str">
        <f>IFERROR(__xludf.DUMMYFUNCTION("GOOGLETRANSLATE(B476,""en"",""he"")"),"מיקום שמור")</f>
        <v>מיקום שמור</v>
      </c>
      <c r="AO476" s="4" t="str">
        <f>IFERROR(__xludf.DUMMYFUNCTION("GOOGLETRANSLATE(B476,""en"",""is"")"),"Vistað staðsetning")</f>
        <v>Vistað staðsetning</v>
      </c>
      <c r="AP476" s="4" t="str">
        <f>IFERROR(__xludf.DUMMYFUNCTION("GOOGLETRANSLATE(B476,""en"",""no"")"),"Lagret plassering")</f>
        <v>Lagret plassering</v>
      </c>
      <c r="AQ476" s="4" t="str">
        <f>IFERROR(__xludf.DUMMYFUNCTION("GOOGLETRANSLATE(B476,""en"",""fa"")"),"مکان ذخیره شده")</f>
        <v>مکان ذخیره شده</v>
      </c>
      <c r="AR476" s="4" t="str">
        <f>IFERROR(__xludf.DUMMYFUNCTION("GOOGLETRANSLATE(B476,""en"",""pl"")"),"Zapisana lokalizacja")</f>
        <v>Zapisana lokalizacja</v>
      </c>
      <c r="AS476" s="4" t="str">
        <f>IFERROR(__xludf.DUMMYFUNCTION("GOOGLETRANSLATE(B476,""en"",""sv"")"),"Sparad plats")</f>
        <v>Sparad plats</v>
      </c>
      <c r="AT476" s="4" t="str">
        <f>IFERROR(__xludf.DUMMYFUNCTION("GOOGLETRANSLATE(B476,""en"",""uk"")"),"Збережене місцезнаходження")</f>
        <v>Збережене місцезнаходження</v>
      </c>
      <c r="AU476" s="4" t="str">
        <f>IFERROR(__xludf.DUMMYFUNCTION("GOOGLETRANSLATE(B476,""en"",""zu"")"),"Indawo Elondoloziwe")</f>
        <v>Indawo Elondoloziwe</v>
      </c>
      <c r="AV476" s="4" t="str">
        <f>IFERROR(__xludf.DUMMYFUNCTION("GOOGLETRANSLATE(B476,""en"",""sr"")"),"Сачувана локација")</f>
        <v>Сачувана локација</v>
      </c>
    </row>
    <row r="477">
      <c r="A477" s="3" t="s">
        <v>924</v>
      </c>
      <c r="B477" s="3" t="s">
        <v>925</v>
      </c>
      <c r="C477" s="4" t="str">
        <f>IFERROR(__xludf.DUMMYFUNCTION("GOOGLETRANSLATE(B477,""en"",""ta"")"),"{{latitude}} , {{longitude}}")</f>
        <v>{{latitude}} , {{longitude}}</v>
      </c>
      <c r="D477" s="4" t="str">
        <f>IFERROR(__xludf.DUMMYFUNCTION("GOOGLETRANSLATE(B477,""en"",""hi"")"),"{{अक्षांश देशांतर}}")</f>
        <v>{{अक्षांश देशांतर}}</v>
      </c>
      <c r="E477" s="4" t="str">
        <f>IFERROR(__xludf.DUMMYFUNCTION("GOOGLETRANSLATE(B477,""en"",""id"")"),"{{lintang}}, {{bujur}}")</f>
        <v>{{lintang}}, {{bujur}}</v>
      </c>
      <c r="F477" s="4" t="str">
        <f>IFERROR(__xludf.DUMMYFUNCTION("GOOGLETRANSLATE(B477,""en"",""ms"")"),"{{latitud}} , {{longitud}}")</f>
        <v>{{latitud}} , {{longitud}}</v>
      </c>
      <c r="G477" s="4" t="str">
        <f>IFERROR(__xludf.DUMMYFUNCTION("GOOGLETRANSLATE(B477,""en"",""de"")"),"{{Breitengrad}} , {{Längengrad}}")</f>
        <v>{{Breitengrad}} , {{Längengrad}}</v>
      </c>
      <c r="H477" s="4" t="str">
        <f>IFERROR(__xludf.DUMMYFUNCTION("GOOGLETRANSLATE(B477,""en"",""es"")"),"{{latitud}}, {{longitud}}")</f>
        <v>{{latitud}}, {{longitud}}</v>
      </c>
      <c r="I477" s="4" t="str">
        <f>IFERROR(__xludf.DUMMYFUNCTION("GOOGLETRANSLATE(B477,""en"",""fr"")"),"{{latitude}} , {{longitude}}")</f>
        <v>{{latitude}} , {{longitude}}</v>
      </c>
      <c r="J477" s="4" t="str">
        <f>IFERROR(__xludf.DUMMYFUNCTION("GOOGLETRANSLATE(B477,""en"",""it"")"),"{{latitudine}}, {{longitudine}}")</f>
        <v>{{latitudine}}, {{longitudine}}</v>
      </c>
      <c r="K477" s="4" t="str">
        <f>IFERROR(__xludf.DUMMYFUNCTION("GOOGLETRANSLATE(B477,""en"",""pt"")"),"{{latitude}} , {{longitude}}")</f>
        <v>{{latitude}} , {{longitude}}</v>
      </c>
      <c r="L477" s="4" t="str">
        <f>IFERROR(__xludf.DUMMYFUNCTION("GOOGLETRANSLATE(B477,""en"",""ro"")"),"{{latitudine}} , {{longitudine}}")</f>
        <v>{{latitudine}} , {{longitudine}}</v>
      </c>
      <c r="M477" s="4" t="str">
        <f>IFERROR(__xludf.DUMMYFUNCTION("GOOGLETRANSLATE(B477,""en"",""vi"")"),"{{vĩ độ}}, {{kinh độ}}")</f>
        <v>{{vĩ độ}}, {{kinh độ}}</v>
      </c>
      <c r="N477" s="4" t="str">
        <f>IFERROR(__xludf.DUMMYFUNCTION("GOOGLETRANSLATE(B477,""en"",""ru"")"),"{{широта}}, {{долгота}}")</f>
        <v>{{широта}}, {{долгота}}</v>
      </c>
      <c r="O477" s="4" t="str">
        <f>IFERROR(__xludf.DUMMYFUNCTION("GOOGLETRANSLATE(B477,""en"",""tr"")"),"{{enlem}}, {{boylam}}")</f>
        <v>{{enlem}}, {{boylam}}</v>
      </c>
      <c r="P477" s="4" t="str">
        <f>IFERROR(__xludf.DUMMYFUNCTION("GOOGLETRANSLATE(B477,""en"",""ar"")"),"{{خط العرض}}، {{خط الطول}}")</f>
        <v>{{خط العرض}}، {{خط الطول}}</v>
      </c>
      <c r="Q477" s="4" t="str">
        <f>IFERROR(__xludf.DUMMYFUNCTION("GOOGLETRANSLATE(B477,""en"",""mr"")"),"{{अक्षांश}} , {{रेखांश}}")</f>
        <v>{{अक्षांश}} , {{रेखांश}}</v>
      </c>
      <c r="R477" s="4" t="str">
        <f>IFERROR(__xludf.DUMMYFUNCTION("GOOGLETRANSLATE(B477,""en"",""gu"")"),"{{અક્ષાંશ}} , {{રેખાંશ}}")</f>
        <v>{{અક્ષાંશ}} , {{રેખાંશ}}</v>
      </c>
      <c r="S477" s="4" t="str">
        <f>IFERROR(__xludf.DUMMYFUNCTION("GOOGLETRANSLATE(B477,""en"",""bn"")"),"{{অক্ষাংশ}} , {{দ্রাঘিমাংশ}}")</f>
        <v>{{অক্ষাংশ}} , {{দ্রাঘিমাংশ}}</v>
      </c>
      <c r="T477" s="4" t="str">
        <f>IFERROR(__xludf.DUMMYFUNCTION("GOOGLETRANSLATE(B477,""en"",""pa"")"),"{{ਅਕਸ਼ਾਂਸ਼}} , {{ਲੰਬਕਾਰ}}")</f>
        <v>{{ਅਕਸ਼ਾਂਸ਼}} , {{ਲੰਬਕਾਰ}}</v>
      </c>
      <c r="U477" s="4" t="str">
        <f>IFERROR(__xludf.DUMMYFUNCTION("GOOGLETRANSLATE(B477,""en"",""te"")"),"{{latitude}} , {{రేఖాంశం}}")</f>
        <v>{{latitude}} , {{రేఖాంశం}}</v>
      </c>
      <c r="V477" s="4" t="str">
        <f>IFERROR(__xludf.DUMMYFUNCTION("GOOGLETRANSLATE(B477,""en"",""kn"")"),"{{latitude}} , {{ರೇಖಾಂಶ}}")</f>
        <v>{{latitude}} , {{ರೇಖಾಂಶ}}</v>
      </c>
      <c r="W477" s="4" t="str">
        <f>IFERROR(__xludf.DUMMYFUNCTION("GOOGLETRANSLATE(B477,""en"",""ml"")"),"{{latitude}} , {{രേഖാംശം}}")</f>
        <v>{{latitude}} , {{രേഖാംശം}}</v>
      </c>
      <c r="X477" s="4" t="str">
        <f>IFERROR(__xludf.DUMMYFUNCTION("GOOGLETRANSLATE(B477,""en"",""th"")"),"{{ละติจูด}} , {{ลองจิจูด}}")</f>
        <v>{{ละติจูด}} , {{ลองจิจูด}}</v>
      </c>
      <c r="Y477" s="4" t="str">
        <f>IFERROR(__xludf.DUMMYFUNCTION("GOOGLETRANSLATE(B477,""en"",""ko"")"),"{{위도}}, {{경도}}")</f>
        <v>{{위도}}, {{경도}}</v>
      </c>
      <c r="Z477" s="4" t="str">
        <f>IFERROR(__xludf.DUMMYFUNCTION("GOOGLETRANSLATE(B477,""en"",""zh"")"),"{{纬度}}, {{经度}}")</f>
        <v>{{纬度}}, {{经度}}</v>
      </c>
      <c r="AA477" s="4" t="str">
        <f>IFERROR(__xludf.DUMMYFUNCTION("GOOGLETRANSLATE(B477,""en"",""zh-TW"")"),"{{緯度}}, {{經度}}")</f>
        <v>{{緯度}}, {{經度}}</v>
      </c>
      <c r="AB477" s="4" t="str">
        <f>IFERROR(__xludf.DUMMYFUNCTION("GOOGLETRANSLATE(B477,""en"",""ja"")"),"{{緯度}}, {{経度}}")</f>
        <v>{{緯度}}, {{経度}}</v>
      </c>
      <c r="AC477" s="4" t="str">
        <f>IFERROR(__xludf.DUMMYFUNCTION("GOOGLETRANSLATE(B477,""en"",""bg"")"),"{{широчина}} , {{дължина}}")</f>
        <v>{{широчина}} , {{дължина}}</v>
      </c>
      <c r="AD477" s="4" t="str">
        <f>IFERROR(__xludf.DUMMYFUNCTION("GOOGLETRANSLATE(B477,""en"",""cs"")"),"{{latitude}}, {{longitude}}")</f>
        <v>{{latitude}}, {{longitude}}</v>
      </c>
      <c r="AE477" s="4" t="str">
        <f>IFERROR(__xludf.DUMMYFUNCTION("GOOGLETRANSLATE(B477,""en"",""da"")"),"{{latitude}} , {{længdegrad}}")</f>
        <v>{{latitude}} , {{længdegrad}}</v>
      </c>
      <c r="AF477" s="4" t="str">
        <f>IFERROR(__xludf.DUMMYFUNCTION("GOOGLETRANSLATE(B477,""en"",""el"")"),"{{latitude}} , {{longitude}}")</f>
        <v>{{latitude}} , {{longitude}}</v>
      </c>
      <c r="AG477" s="4" t="str">
        <f>IFERROR(__xludf.DUMMYFUNCTION("GOOGLETRANSLATE(B477,""en"",""et"")"),"{{laiuskraad}}, {{pikkuskraad}}")</f>
        <v>{{laiuskraad}}, {{pikkuskraad}}</v>
      </c>
      <c r="AH477" s="4" t="str">
        <f>IFERROR(__xludf.DUMMYFUNCTION("GOOGLETRANSLATE(B477,""en"",""fi"")"),"{{leveysaste}} , {{pituusaste}}")</f>
        <v>{{leveysaste}} , {{pituusaste}}</v>
      </c>
      <c r="AI477" s="4" t="str">
        <f>IFERROR(__xludf.DUMMYFUNCTION("GOOGLETRANSLATE(B477,""en"",""hr"")"),"{{geografska širina}} , {{geografska dužina}}")</f>
        <v>{{geografska širina}} , {{geografska dužina}}</v>
      </c>
      <c r="AJ477" s="4" t="str">
        <f>IFERROR(__xludf.DUMMYFUNCTION("GOOGLETRANSLATE(B477,""en"",""hu"")"),"{{szélesség}} , {{hosszúság}}")</f>
        <v>{{szélesség}} , {{hosszúság}}</v>
      </c>
      <c r="AK477" s="4" t="str">
        <f>IFERROR(__xludf.DUMMYFUNCTION("GOOGLETRANSLATE(B477,""en"",""hy"")"),"{{լայնություն}} , {{երկայնություն}}")</f>
        <v>{{լայնություն}} , {{երկայնություն}}</v>
      </c>
      <c r="AL477" s="4" t="str">
        <f>IFERROR(__xludf.DUMMYFUNCTION("GOOGLETRANSLATE(B477,""en"",""ca"")"),"{{latitud}}, {{longitud}}")</f>
        <v>{{latitud}}, {{longitud}}</v>
      </c>
      <c r="AM477" s="4" t="str">
        <f>IFERROR(__xludf.DUMMYFUNCTION("GOOGLETRANSLATE(B477,""en"",""nl"")"),"{{breedtegraad}}, {{lengtegraad}}")</f>
        <v>{{breedtegraad}}, {{lengtegraad}}</v>
      </c>
      <c r="AN477" s="4" t="str">
        <f>IFERROR(__xludf.DUMMYFUNCTION("GOOGLETRANSLATE(B477,""en"",""he"")"),"{{רוחב}} , {{אורך}}")</f>
        <v>{{רוחב}} , {{אורך}}</v>
      </c>
      <c r="AO477" s="4" t="str">
        <f>IFERROR(__xludf.DUMMYFUNCTION("GOOGLETRANSLATE(B477,""en"",""is"")"),"{{breiddargráðu}} , {{lengdargráða}}")</f>
        <v>{{breiddargráðu}} , {{lengdargráða}}</v>
      </c>
      <c r="AP477" s="4" t="str">
        <f>IFERROR(__xludf.DUMMYFUNCTION("GOOGLETRANSLATE(B477,""en"",""no"")"),"{{breddegrad}} , {{lengdegrad}}")</f>
        <v>{{breddegrad}} , {{lengdegrad}}</v>
      </c>
      <c r="AQ477" s="4" t="str">
        <f>IFERROR(__xludf.DUMMYFUNCTION("GOOGLETRANSLATE(B477,""en"",""fa"")"),"{{طول جغرافیایی}}، {{طول جغرافیایی}}")</f>
        <v>{{طول جغرافیایی}}، {{طول جغرافیایی}}</v>
      </c>
      <c r="AR477" s="4" t="str">
        <f>IFERROR(__xludf.DUMMYFUNCTION("GOOGLETRANSLATE(B477,""en"",""pl"")"),"{{szerokość geograficzna}} , {{długość geograficzna}}")</f>
        <v>{{szerokość geograficzna}} , {{długość geograficzna}}</v>
      </c>
      <c r="AS477" s="4" t="str">
        <f>IFERROR(__xludf.DUMMYFUNCTION("GOOGLETRANSLATE(B477,""en"",""sv"")"),"{{latitud}} , {{longitud}}")</f>
        <v>{{latitud}} , {{longitud}}</v>
      </c>
      <c r="AT477" s="4" t="str">
        <f>IFERROR(__xludf.DUMMYFUNCTION("GOOGLETRANSLATE(B477,""en"",""uk"")"),"{{широта}} , {{довгота}}")</f>
        <v>{{широта}} , {{довгота}}</v>
      </c>
      <c r="AU477" s="4" t="str">
        <f>IFERROR(__xludf.DUMMYFUNCTION("GOOGLETRANSLATE(B477,""en"",""zu"")"),"{{latitude}} , {{longitude}}")</f>
        <v>{{latitude}} , {{longitude}}</v>
      </c>
      <c r="AV477" s="4" t="str">
        <f>IFERROR(__xludf.DUMMYFUNCTION("GOOGLETRANSLATE(B477,""en"",""sr"")"),"{{латитуде}} , {{лонгитуде}}")</f>
        <v>{{латитуде}} , {{лонгитуде}}</v>
      </c>
    </row>
    <row r="478">
      <c r="A478" s="3" t="s">
        <v>926</v>
      </c>
      <c r="B478" s="3" t="s">
        <v>927</v>
      </c>
      <c r="C478" s="4" t="str">
        <f>IFERROR(__xludf.DUMMYFUNCTION("GOOGLETRANSLATE(B478,""en"",""ta"")"),"இருப்பிடத்தைச் சேமிக்கவும்")</f>
        <v>இருப்பிடத்தைச் சேமிக்கவும்</v>
      </c>
      <c r="D478" s="4" t="str">
        <f>IFERROR(__xludf.DUMMYFUNCTION("GOOGLETRANSLATE(B478,""en"",""hi"")"),"स्थान सहेजें")</f>
        <v>स्थान सहेजें</v>
      </c>
      <c r="E478" s="4" t="str">
        <f>IFERROR(__xludf.DUMMYFUNCTION("GOOGLETRANSLATE(B478,""en"",""id"")"),"Simpan Lokasi")</f>
        <v>Simpan Lokasi</v>
      </c>
      <c r="F478" s="4" t="str">
        <f>IFERROR(__xludf.DUMMYFUNCTION("GOOGLETRANSLATE(B478,""en"",""ms"")"),"Simpan Lokasi")</f>
        <v>Simpan Lokasi</v>
      </c>
      <c r="G478" s="4" t="str">
        <f>IFERROR(__xludf.DUMMYFUNCTION("GOOGLETRANSLATE(B478,""en"",""de"")"),"Standort speichern")</f>
        <v>Standort speichern</v>
      </c>
      <c r="H478" s="4" t="str">
        <f>IFERROR(__xludf.DUMMYFUNCTION("GOOGLETRANSLATE(B478,""en"",""es"")"),"Guardar ubicación")</f>
        <v>Guardar ubicación</v>
      </c>
      <c r="I478" s="4" t="str">
        <f>IFERROR(__xludf.DUMMYFUNCTION("GOOGLETRANSLATE(B478,""en"",""fr"")"),"Enregistrer l'emplacement")</f>
        <v>Enregistrer l'emplacement</v>
      </c>
      <c r="J478" s="4" t="str">
        <f>IFERROR(__xludf.DUMMYFUNCTION("GOOGLETRANSLATE(B478,""en"",""it"")"),"Salva posizione")</f>
        <v>Salva posizione</v>
      </c>
      <c r="K478" s="4" t="str">
        <f>IFERROR(__xludf.DUMMYFUNCTION("GOOGLETRANSLATE(B478,""en"",""pt"")"),"Salvar localização")</f>
        <v>Salvar localização</v>
      </c>
      <c r="L478" s="4" t="str">
        <f>IFERROR(__xludf.DUMMYFUNCTION("GOOGLETRANSLATE(B478,""en"",""ro"")"),"Salvați locația")</f>
        <v>Salvați locația</v>
      </c>
      <c r="M478" s="4" t="str">
        <f>IFERROR(__xludf.DUMMYFUNCTION("GOOGLETRANSLATE(B478,""en"",""vi"")"),"Lưu Vị Trí")</f>
        <v>Lưu Vị Trí</v>
      </c>
      <c r="N478" s="4" t="str">
        <f>IFERROR(__xludf.DUMMYFUNCTION("GOOGLETRANSLATE(B478,""en"",""ru"")"),"Сохранить местоположение")</f>
        <v>Сохранить местоположение</v>
      </c>
      <c r="O478" s="4" t="str">
        <f>IFERROR(__xludf.DUMMYFUNCTION("GOOGLETRANSLATE(B478,""en"",""tr"")"),"Konumu Kaydet")</f>
        <v>Konumu Kaydet</v>
      </c>
      <c r="P478" s="4" t="str">
        <f>IFERROR(__xludf.DUMMYFUNCTION("GOOGLETRANSLATE(B478,""en"",""ar"")"),"حفظ الموقع")</f>
        <v>حفظ الموقع</v>
      </c>
      <c r="Q478" s="4" t="str">
        <f>IFERROR(__xludf.DUMMYFUNCTION("GOOGLETRANSLATE(B478,""en"",""mr"")"),"स्थान जतन करा")</f>
        <v>स्थान जतन करा</v>
      </c>
      <c r="R478" s="4" t="str">
        <f>IFERROR(__xludf.DUMMYFUNCTION("GOOGLETRANSLATE(B478,""en"",""gu"")"),"સ્થાન સાચવો")</f>
        <v>સ્થાન સાચવો</v>
      </c>
      <c r="S478" s="4" t="str">
        <f>IFERROR(__xludf.DUMMYFUNCTION("GOOGLETRANSLATE(B478,""en"",""bn"")"),"অবস্থান সংরক্ষণ করুন")</f>
        <v>অবস্থান সংরক্ষণ করুন</v>
      </c>
      <c r="T478" s="4" t="str">
        <f>IFERROR(__xludf.DUMMYFUNCTION("GOOGLETRANSLATE(B478,""en"",""pa"")"),"ਟਿਕਾਣਾ ਸੁਰੱਖਿਅਤ ਕਰੋ")</f>
        <v>ਟਿਕਾਣਾ ਸੁਰੱਖਿਅਤ ਕਰੋ</v>
      </c>
      <c r="U478" s="4" t="str">
        <f>IFERROR(__xludf.DUMMYFUNCTION("GOOGLETRANSLATE(B478,""en"",""te"")"),"స్థానాన్ని సేవ్ చేయండి")</f>
        <v>స్థానాన్ని సేవ్ చేయండి</v>
      </c>
      <c r="V478" s="4" t="str">
        <f>IFERROR(__xludf.DUMMYFUNCTION("GOOGLETRANSLATE(B478,""en"",""kn"")"),"ಸ್ಥಳವನ್ನು ಉಳಿಸಿ")</f>
        <v>ಸ್ಥಳವನ್ನು ಉಳಿಸಿ</v>
      </c>
      <c r="W478" s="4" t="str">
        <f>IFERROR(__xludf.DUMMYFUNCTION("GOOGLETRANSLATE(B478,""en"",""ml"")"),"ലൊക്കേഷൻ സംരക്ഷിക്കുക")</f>
        <v>ലൊക്കേഷൻ സംരക്ഷിക്കുക</v>
      </c>
      <c r="X478" s="4" t="str">
        <f>IFERROR(__xludf.DUMMYFUNCTION("GOOGLETRANSLATE(B478,""en"",""th"")"),"บันทึกตำแหน่ง")</f>
        <v>บันทึกตำแหน่ง</v>
      </c>
      <c r="Y478" s="4" t="str">
        <f>IFERROR(__xludf.DUMMYFUNCTION("GOOGLETRANSLATE(B478,""en"",""ko"")"),"위치 저장")</f>
        <v>위치 저장</v>
      </c>
      <c r="Z478" s="4" t="str">
        <f>IFERROR(__xludf.DUMMYFUNCTION("GOOGLETRANSLATE(B478,""en"",""zh"")"),"保存位置")</f>
        <v>保存位置</v>
      </c>
      <c r="AA478" s="4" t="str">
        <f>IFERROR(__xludf.DUMMYFUNCTION("GOOGLETRANSLATE(B478,""en"",""zh-TW"")"),"儲存位置")</f>
        <v>儲存位置</v>
      </c>
      <c r="AB478" s="4" t="str">
        <f>IFERROR(__xludf.DUMMYFUNCTION("GOOGLETRANSLATE(B478,""en"",""ja"")"),"場所を保存")</f>
        <v>場所を保存</v>
      </c>
      <c r="AC478" s="4" t="str">
        <f>IFERROR(__xludf.DUMMYFUNCTION("GOOGLETRANSLATE(B478,""en"",""bg"")"),"Запазване на местоположението")</f>
        <v>Запазване на местоположението</v>
      </c>
      <c r="AD478" s="4" t="str">
        <f>IFERROR(__xludf.DUMMYFUNCTION("GOOGLETRANSLATE(B478,""en"",""cs"")"),"Uložit polohu")</f>
        <v>Uložit polohu</v>
      </c>
      <c r="AE478" s="4" t="str">
        <f>IFERROR(__xludf.DUMMYFUNCTION("GOOGLETRANSLATE(B478,""en"",""da"")"),"Gem placering")</f>
        <v>Gem placering</v>
      </c>
      <c r="AF478" s="4" t="str">
        <f>IFERROR(__xludf.DUMMYFUNCTION("GOOGLETRANSLATE(B478,""en"",""el"")"),"Αποθήκευση τοποθεσίας")</f>
        <v>Αποθήκευση τοποθεσίας</v>
      </c>
      <c r="AG478" s="4" t="str">
        <f>IFERROR(__xludf.DUMMYFUNCTION("GOOGLETRANSLATE(B478,""en"",""et"")"),"Salvesta asukoht")</f>
        <v>Salvesta asukoht</v>
      </c>
      <c r="AH478" s="4" t="str">
        <f>IFERROR(__xludf.DUMMYFUNCTION("GOOGLETRANSLATE(B478,""en"",""fi"")"),"Tallenna sijainti")</f>
        <v>Tallenna sijainti</v>
      </c>
      <c r="AI478" s="4" t="str">
        <f>IFERROR(__xludf.DUMMYFUNCTION("GOOGLETRANSLATE(B478,""en"",""hr"")"),"Spremi lokaciju")</f>
        <v>Spremi lokaciju</v>
      </c>
      <c r="AJ478" s="4" t="str">
        <f>IFERROR(__xludf.DUMMYFUNCTION("GOOGLETRANSLATE(B478,""en"",""hu"")"),"Hely mentése")</f>
        <v>Hely mentése</v>
      </c>
      <c r="AK478" s="4" t="str">
        <f>IFERROR(__xludf.DUMMYFUNCTION("GOOGLETRANSLATE(B478,""en"",""hy"")"),"Պահպանել գտնվելու վայրը")</f>
        <v>Պահպանել գտնվելու վայրը</v>
      </c>
      <c r="AL478" s="4" t="str">
        <f>IFERROR(__xludf.DUMMYFUNCTION("GOOGLETRANSLATE(B478,""en"",""ca"")"),"Desa la ubicació")</f>
        <v>Desa la ubicació</v>
      </c>
      <c r="AM478" s="4" t="str">
        <f>IFERROR(__xludf.DUMMYFUNCTION("GOOGLETRANSLATE(B478,""en"",""nl"")"),"Locatie opslaan")</f>
        <v>Locatie opslaan</v>
      </c>
      <c r="AN478" s="4" t="str">
        <f>IFERROR(__xludf.DUMMYFUNCTION("GOOGLETRANSLATE(B478,""en"",""he"")"),"שמור מיקום")</f>
        <v>שמור מיקום</v>
      </c>
      <c r="AO478" s="4" t="str">
        <f>IFERROR(__xludf.DUMMYFUNCTION("GOOGLETRANSLATE(B478,""en"",""is"")"),"Vista staðsetningu")</f>
        <v>Vista staðsetningu</v>
      </c>
      <c r="AP478" s="4" t="str">
        <f>IFERROR(__xludf.DUMMYFUNCTION("GOOGLETRANSLATE(B478,""en"",""no"")"),"Lagre plassering")</f>
        <v>Lagre plassering</v>
      </c>
      <c r="AQ478" s="4" t="str">
        <f>IFERROR(__xludf.DUMMYFUNCTION("GOOGLETRANSLATE(B478,""en"",""fa"")"),"ذخیره مکان")</f>
        <v>ذخیره مکان</v>
      </c>
      <c r="AR478" s="4" t="str">
        <f>IFERROR(__xludf.DUMMYFUNCTION("GOOGLETRANSLATE(B478,""en"",""pl"")"),"Zapisz lokalizację")</f>
        <v>Zapisz lokalizację</v>
      </c>
      <c r="AS478" s="4" t="str">
        <f>IFERROR(__xludf.DUMMYFUNCTION("GOOGLETRANSLATE(B478,""en"",""sv"")"),"Spara plats")</f>
        <v>Spara plats</v>
      </c>
      <c r="AT478" s="4" t="str">
        <f>IFERROR(__xludf.DUMMYFUNCTION("GOOGLETRANSLATE(B478,""en"",""uk"")"),"Зберегти місцезнаходження")</f>
        <v>Зберегти місцезнаходження</v>
      </c>
      <c r="AU478" s="4" t="str">
        <f>IFERROR(__xludf.DUMMYFUNCTION("GOOGLETRANSLATE(B478,""en"",""zu"")"),"Londoloza Indawo")</f>
        <v>Londoloza Indawo</v>
      </c>
      <c r="AV478" s="4" t="str">
        <f>IFERROR(__xludf.DUMMYFUNCTION("GOOGLETRANSLATE(B478,""en"",""sr"")"),"Сачувај локацију")</f>
        <v>Сачувај локацију</v>
      </c>
    </row>
    <row r="479">
      <c r="A479" s="3" t="s">
        <v>928</v>
      </c>
      <c r="B479" s="3" t="s">
        <v>929</v>
      </c>
      <c r="C479" s="4" t="str">
        <f>IFERROR(__xludf.DUMMYFUNCTION("GOOGLETRANSLATE(B479,""en"",""ta"")"),"இருப்பிட பெயரை உள்ளிடவும்")</f>
        <v>இருப்பிட பெயரை உள்ளிடவும்</v>
      </c>
      <c r="D479" s="4" t="str">
        <f>IFERROR(__xludf.DUMMYFUNCTION("GOOGLETRANSLATE(B479,""en"",""hi"")"),"स्थान का नाम दर्ज करें")</f>
        <v>स्थान का नाम दर्ज करें</v>
      </c>
      <c r="E479" s="4" t="str">
        <f>IFERROR(__xludf.DUMMYFUNCTION("GOOGLETRANSLATE(B479,""en"",""id"")"),"Masukkan nama lokasi")</f>
        <v>Masukkan nama lokasi</v>
      </c>
      <c r="F479" s="4" t="str">
        <f>IFERROR(__xludf.DUMMYFUNCTION("GOOGLETRANSLATE(B479,""en"",""ms"")"),"Masukkan nama lokasi")</f>
        <v>Masukkan nama lokasi</v>
      </c>
      <c r="G479" s="4" t="str">
        <f>IFERROR(__xludf.DUMMYFUNCTION("GOOGLETRANSLATE(B479,""en"",""de"")"),"Geben Sie den Ortsnamen ein")</f>
        <v>Geben Sie den Ortsnamen ein</v>
      </c>
      <c r="H479" s="4" t="str">
        <f>IFERROR(__xludf.DUMMYFUNCTION("GOOGLETRANSLATE(B479,""en"",""es"")"),"Introduzca el nombre de la ubicación")</f>
        <v>Introduzca el nombre de la ubicación</v>
      </c>
      <c r="I479" s="4" t="str">
        <f>IFERROR(__xludf.DUMMYFUNCTION("GOOGLETRANSLATE(B479,""en"",""fr"")"),"Entrez le nom de l'emplacement")</f>
        <v>Entrez le nom de l'emplacement</v>
      </c>
      <c r="J479" s="4" t="str">
        <f>IFERROR(__xludf.DUMMYFUNCTION("GOOGLETRANSLATE(B479,""en"",""it"")"),"Inserisci il nome della posizione")</f>
        <v>Inserisci il nome della posizione</v>
      </c>
      <c r="K479" s="4" t="str">
        <f>IFERROR(__xludf.DUMMYFUNCTION("GOOGLETRANSLATE(B479,""en"",""pt"")"),"Digite o nome do local")</f>
        <v>Digite o nome do local</v>
      </c>
      <c r="L479" s="4" t="str">
        <f>IFERROR(__xludf.DUMMYFUNCTION("GOOGLETRANSLATE(B479,""en"",""ro"")"),"Introduceți numele locației")</f>
        <v>Introduceți numele locației</v>
      </c>
      <c r="M479" s="4" t="str">
        <f>IFERROR(__xludf.DUMMYFUNCTION("GOOGLETRANSLATE(B479,""en"",""vi"")"),"Nhập tên vị trí")</f>
        <v>Nhập tên vị trí</v>
      </c>
      <c r="N479" s="4" t="str">
        <f>IFERROR(__xludf.DUMMYFUNCTION("GOOGLETRANSLATE(B479,""en"",""ru"")"),"Введите название местоположения")</f>
        <v>Введите название местоположения</v>
      </c>
      <c r="O479" s="4" t="str">
        <f>IFERROR(__xludf.DUMMYFUNCTION("GOOGLETRANSLATE(B479,""en"",""tr"")"),"Konum adını girin")</f>
        <v>Konum adını girin</v>
      </c>
      <c r="P479" s="4" t="str">
        <f>IFERROR(__xludf.DUMMYFUNCTION("GOOGLETRANSLATE(B479,""en"",""ar"")"),"أدخل اسم الموقع")</f>
        <v>أدخل اسم الموقع</v>
      </c>
      <c r="Q479" s="4" t="str">
        <f>IFERROR(__xludf.DUMMYFUNCTION("GOOGLETRANSLATE(B479,""en"",""mr"")"),"स्थानाचे नाव प्रविष्ट करा")</f>
        <v>स्थानाचे नाव प्रविष्ट करा</v>
      </c>
      <c r="R479" s="4" t="str">
        <f>IFERROR(__xludf.DUMMYFUNCTION("GOOGLETRANSLATE(B479,""en"",""gu"")"),"સ્થાનનું નામ દાખલ કરો")</f>
        <v>સ્થાનનું નામ દાખલ કરો</v>
      </c>
      <c r="S479" s="4" t="str">
        <f>IFERROR(__xludf.DUMMYFUNCTION("GOOGLETRANSLATE(B479,""en"",""bn"")"),"অবস্থানের নাম লিখুন")</f>
        <v>অবস্থানের নাম লিখুন</v>
      </c>
      <c r="T479" s="4" t="str">
        <f>IFERROR(__xludf.DUMMYFUNCTION("GOOGLETRANSLATE(B479,""en"",""pa"")"),"ਸਥਾਨ ਦਾ ਨਾਮ ਦਰਜ ਕਰੋ")</f>
        <v>ਸਥਾਨ ਦਾ ਨਾਮ ਦਰਜ ਕਰੋ</v>
      </c>
      <c r="U479" s="4" t="str">
        <f>IFERROR(__xludf.DUMMYFUNCTION("GOOGLETRANSLATE(B479,""en"",""te"")"),"స్థానం పేరును నమోదు చేయండి")</f>
        <v>స్థానం పేరును నమోదు చేయండి</v>
      </c>
      <c r="V479" s="4" t="str">
        <f>IFERROR(__xludf.DUMMYFUNCTION("GOOGLETRANSLATE(B479,""en"",""kn"")"),"ಸ್ಥಳದ ಹೆಸರನ್ನು ನಮೂದಿಸಿ")</f>
        <v>ಸ್ಥಳದ ಹೆಸರನ್ನು ನಮೂದಿಸಿ</v>
      </c>
      <c r="W479" s="4" t="str">
        <f>IFERROR(__xludf.DUMMYFUNCTION("GOOGLETRANSLATE(B479,""en"",""ml"")"),"ലൊക്കേഷൻ പേര് നൽകുക")</f>
        <v>ലൊക്കേഷൻ പേര് നൽകുക</v>
      </c>
      <c r="X479" s="4" t="str">
        <f>IFERROR(__xludf.DUMMYFUNCTION("GOOGLETRANSLATE(B479,""en"",""th"")"),"กรอกชื่อสถานที่")</f>
        <v>กรอกชื่อสถานที่</v>
      </c>
      <c r="Y479" s="4" t="str">
        <f>IFERROR(__xludf.DUMMYFUNCTION("GOOGLETRANSLATE(B479,""en"",""ko"")"),"위치 이름을 입력하세요")</f>
        <v>위치 이름을 입력하세요</v>
      </c>
      <c r="Z479" s="4" t="str">
        <f>IFERROR(__xludf.DUMMYFUNCTION("GOOGLETRANSLATE(B479,""en"",""zh"")"),"输入地点名称")</f>
        <v>输入地点名称</v>
      </c>
      <c r="AA479" s="4" t="str">
        <f>IFERROR(__xludf.DUMMYFUNCTION("GOOGLETRANSLATE(B479,""en"",""zh-TW"")"),"輸入地點名稱")</f>
        <v>輸入地點名稱</v>
      </c>
      <c r="AB479" s="4" t="str">
        <f>IFERROR(__xludf.DUMMYFUNCTION("GOOGLETRANSLATE(B479,""en"",""ja"")"),"場所名を入力してください")</f>
        <v>場所名を入力してください</v>
      </c>
      <c r="AC479" s="4" t="str">
        <f>IFERROR(__xludf.DUMMYFUNCTION("GOOGLETRANSLATE(B479,""en"",""bg"")"),"Въведете име на местоположение")</f>
        <v>Въведете име на местоположение</v>
      </c>
      <c r="AD479" s="4" t="str">
        <f>IFERROR(__xludf.DUMMYFUNCTION("GOOGLETRANSLATE(B479,""en"",""cs"")"),"Zadejte název místa")</f>
        <v>Zadejte název místa</v>
      </c>
      <c r="AE479" s="4" t="str">
        <f>IFERROR(__xludf.DUMMYFUNCTION("GOOGLETRANSLATE(B479,""en"",""da"")"),"Indtast lokationsnavn")</f>
        <v>Indtast lokationsnavn</v>
      </c>
      <c r="AF479" s="4" t="str">
        <f>IFERROR(__xludf.DUMMYFUNCTION("GOOGLETRANSLATE(B479,""en"",""el"")"),"Εισαγάγετε το όνομα τοποθεσίας")</f>
        <v>Εισαγάγετε το όνομα τοποθεσίας</v>
      </c>
      <c r="AG479" s="4" t="str">
        <f>IFERROR(__xludf.DUMMYFUNCTION("GOOGLETRANSLATE(B479,""en"",""et"")"),"Sisestage asukoha nimi")</f>
        <v>Sisestage asukoha nimi</v>
      </c>
      <c r="AH479" s="4" t="str">
        <f>IFERROR(__xludf.DUMMYFUNCTION("GOOGLETRANSLATE(B479,""en"",""fi"")"),"Anna sijainnin nimi")</f>
        <v>Anna sijainnin nimi</v>
      </c>
      <c r="AI479" s="4" t="str">
        <f>IFERROR(__xludf.DUMMYFUNCTION("GOOGLETRANSLATE(B479,""en"",""hr"")"),"Unesite naziv lokacije")</f>
        <v>Unesite naziv lokacije</v>
      </c>
      <c r="AJ479" s="4" t="str">
        <f>IFERROR(__xludf.DUMMYFUNCTION("GOOGLETRANSLATE(B479,""en"",""hu"")"),"Írja be a hely nevét")</f>
        <v>Írja be a hely nevét</v>
      </c>
      <c r="AK479" s="4" t="str">
        <f>IFERROR(__xludf.DUMMYFUNCTION("GOOGLETRANSLATE(B479,""en"",""hy"")"),"Մուտքագրեք գտնվելու վայրը")</f>
        <v>Մուտքագրեք գտնվելու վայրը</v>
      </c>
      <c r="AL479" s="4" t="str">
        <f>IFERROR(__xludf.DUMMYFUNCTION("GOOGLETRANSLATE(B479,""en"",""ca"")"),"Introduïu el nom de la ubicació")</f>
        <v>Introduïu el nom de la ubicació</v>
      </c>
      <c r="AM479" s="4" t="str">
        <f>IFERROR(__xludf.DUMMYFUNCTION("GOOGLETRANSLATE(B479,""en"",""nl"")"),"Voer locatienaam in")</f>
        <v>Voer locatienaam in</v>
      </c>
      <c r="AN479" s="4" t="str">
        <f>IFERROR(__xludf.DUMMYFUNCTION("GOOGLETRANSLATE(B479,""en"",""he"")"),"הזן שם מיקום")</f>
        <v>הזן שם מיקום</v>
      </c>
      <c r="AO479" s="4" t="str">
        <f>IFERROR(__xludf.DUMMYFUNCTION("GOOGLETRANSLATE(B479,""en"",""is"")"),"Sláðu inn nafn staðsetningar")</f>
        <v>Sláðu inn nafn staðsetningar</v>
      </c>
      <c r="AP479" s="4" t="str">
        <f>IFERROR(__xludf.DUMMYFUNCTION("GOOGLETRANSLATE(B479,""en"",""no"")"),"Skriv inn stedsnavn")</f>
        <v>Skriv inn stedsnavn</v>
      </c>
      <c r="AQ479" s="4" t="str">
        <f>IFERROR(__xludf.DUMMYFUNCTION("GOOGLETRANSLATE(B479,""en"",""fa"")"),"نام مکان را وارد کنید")</f>
        <v>نام مکان را وارد کنید</v>
      </c>
      <c r="AR479" s="4" t="str">
        <f>IFERROR(__xludf.DUMMYFUNCTION("GOOGLETRANSLATE(B479,""en"",""pl"")"),"Wprowadź nazwę lokalizacji")</f>
        <v>Wprowadź nazwę lokalizacji</v>
      </c>
      <c r="AS479" s="4" t="str">
        <f>IFERROR(__xludf.DUMMYFUNCTION("GOOGLETRANSLATE(B479,""en"",""sv"")"),"Ange platsnamn")</f>
        <v>Ange platsnamn</v>
      </c>
      <c r="AT479" s="4" t="str">
        <f>IFERROR(__xludf.DUMMYFUNCTION("GOOGLETRANSLATE(B479,""en"",""uk"")"),"Введіть назву місця")</f>
        <v>Введіть назву місця</v>
      </c>
      <c r="AU479" s="4" t="str">
        <f>IFERROR(__xludf.DUMMYFUNCTION("GOOGLETRANSLATE(B479,""en"",""zu"")"),"Faka igama lendawo")</f>
        <v>Faka igama lendawo</v>
      </c>
      <c r="AV479" s="4" t="str">
        <f>IFERROR(__xludf.DUMMYFUNCTION("GOOGLETRANSLATE(B479,""en"",""sr"")"),"Унесите назив локације")</f>
        <v>Унесите назив локације</v>
      </c>
    </row>
    <row r="480">
      <c r="A480" s="3" t="s">
        <v>930</v>
      </c>
      <c r="B480" s="3" t="s">
        <v>357</v>
      </c>
      <c r="C480" s="4" t="str">
        <f>IFERROR(__xludf.DUMMYFUNCTION("GOOGLETRANSLATE(B480,""en"",""ta"")"),"ரத்து செய்")</f>
        <v>ரத்து செய்</v>
      </c>
      <c r="D480" s="4" t="str">
        <f>IFERROR(__xludf.DUMMYFUNCTION("GOOGLETRANSLATE(B480,""en"",""hi"")"),"रद्द करना")</f>
        <v>रद्द करना</v>
      </c>
      <c r="E480" s="4" t="str">
        <f>IFERROR(__xludf.DUMMYFUNCTION("GOOGLETRANSLATE(B480,""en"",""id"")"),"Membatalkan")</f>
        <v>Membatalkan</v>
      </c>
      <c r="F480" s="4" t="str">
        <f>IFERROR(__xludf.DUMMYFUNCTION("GOOGLETRANSLATE(B480,""en"",""ms"")"),"Batal")</f>
        <v>Batal</v>
      </c>
      <c r="G480" s="4" t="str">
        <f>IFERROR(__xludf.DUMMYFUNCTION("GOOGLETRANSLATE(B480,""en"",""de"")"),"Stornieren")</f>
        <v>Stornieren</v>
      </c>
      <c r="H480" s="4" t="str">
        <f>IFERROR(__xludf.DUMMYFUNCTION("GOOGLETRANSLATE(B480,""en"",""es"")"),"Cancelar")</f>
        <v>Cancelar</v>
      </c>
      <c r="I480" s="4" t="str">
        <f>IFERROR(__xludf.DUMMYFUNCTION("GOOGLETRANSLATE(B480,""en"",""fr"")"),"Annuler")</f>
        <v>Annuler</v>
      </c>
      <c r="J480" s="4" t="str">
        <f>IFERROR(__xludf.DUMMYFUNCTION("GOOGLETRANSLATE(B480,""en"",""it"")"),"Cancellare")</f>
        <v>Cancellare</v>
      </c>
      <c r="K480" s="4" t="str">
        <f>IFERROR(__xludf.DUMMYFUNCTION("GOOGLETRANSLATE(B480,""en"",""pt"")"),"Cancelar")</f>
        <v>Cancelar</v>
      </c>
      <c r="L480" s="4" t="str">
        <f>IFERROR(__xludf.DUMMYFUNCTION("GOOGLETRANSLATE(B480,""en"",""ro"")"),"Anula")</f>
        <v>Anula</v>
      </c>
      <c r="M480" s="4" t="str">
        <f>IFERROR(__xludf.DUMMYFUNCTION("GOOGLETRANSLATE(B480,""en"",""vi"")"),"Hủy bỏ")</f>
        <v>Hủy bỏ</v>
      </c>
      <c r="N480" s="4" t="str">
        <f>IFERROR(__xludf.DUMMYFUNCTION("GOOGLETRANSLATE(B480,""en"",""ru"")"),"Отмена")</f>
        <v>Отмена</v>
      </c>
      <c r="O480" s="4" t="str">
        <f>IFERROR(__xludf.DUMMYFUNCTION("GOOGLETRANSLATE(B480,""en"",""tr"")"),"İptal etmek")</f>
        <v>İptal etmek</v>
      </c>
      <c r="P480" s="4" t="str">
        <f>IFERROR(__xludf.DUMMYFUNCTION("GOOGLETRANSLATE(B480,""en"",""ar"")"),"يلغي")</f>
        <v>يلغي</v>
      </c>
      <c r="Q480" s="4" t="str">
        <f>IFERROR(__xludf.DUMMYFUNCTION("GOOGLETRANSLATE(B480,""en"",""mr"")"),"रद्द करा")</f>
        <v>रद्द करा</v>
      </c>
      <c r="R480" s="4" t="str">
        <f>IFERROR(__xludf.DUMMYFUNCTION("GOOGLETRANSLATE(B480,""en"",""gu"")"),"રદ કરો")</f>
        <v>રદ કરો</v>
      </c>
      <c r="S480" s="4" t="str">
        <f>IFERROR(__xludf.DUMMYFUNCTION("GOOGLETRANSLATE(B480,""en"",""bn"")"),"বাতিল করুন")</f>
        <v>বাতিল করুন</v>
      </c>
      <c r="T480" s="4" t="str">
        <f>IFERROR(__xludf.DUMMYFUNCTION("GOOGLETRANSLATE(B480,""en"",""pa"")"),"ਰੱਦ ਕਰੋ")</f>
        <v>ਰੱਦ ਕਰੋ</v>
      </c>
      <c r="U480" s="4" t="str">
        <f>IFERROR(__xludf.DUMMYFUNCTION("GOOGLETRANSLATE(B480,""en"",""te"")"),"రద్దు చేయి")</f>
        <v>రద్దు చేయి</v>
      </c>
      <c r="V480" s="4" t="str">
        <f>IFERROR(__xludf.DUMMYFUNCTION("GOOGLETRANSLATE(B480,""en"",""kn"")"),"ರದ್ದುಮಾಡು")</f>
        <v>ರದ್ದುಮಾಡು</v>
      </c>
      <c r="W480" s="4" t="str">
        <f>IFERROR(__xludf.DUMMYFUNCTION("GOOGLETRANSLATE(B480,""en"",""ml"")"),"റദ്ദാക്കുക")</f>
        <v>റദ്ദാക്കുക</v>
      </c>
      <c r="X480" s="4" t="str">
        <f>IFERROR(__xludf.DUMMYFUNCTION("GOOGLETRANSLATE(B480,""en"",""th"")"),"ยกเลิก")</f>
        <v>ยกเลิก</v>
      </c>
      <c r="Y480" s="4" t="str">
        <f>IFERROR(__xludf.DUMMYFUNCTION("GOOGLETRANSLATE(B480,""en"",""ko"")"),"취소")</f>
        <v>취소</v>
      </c>
      <c r="Z480" s="4" t="str">
        <f>IFERROR(__xludf.DUMMYFUNCTION("GOOGLETRANSLATE(B480,""en"",""zh"")"),"取消")</f>
        <v>取消</v>
      </c>
      <c r="AA480" s="4" t="str">
        <f>IFERROR(__xludf.DUMMYFUNCTION("GOOGLETRANSLATE(B480,""en"",""zh-TW"")"),"取消")</f>
        <v>取消</v>
      </c>
      <c r="AB480" s="4" t="str">
        <f>IFERROR(__xludf.DUMMYFUNCTION("GOOGLETRANSLATE(B480,""en"",""ja"")"),"キャンセル")</f>
        <v>キャンセル</v>
      </c>
      <c r="AC480" s="4" t="str">
        <f>IFERROR(__xludf.DUMMYFUNCTION("GOOGLETRANSLATE(B480,""en"",""bg"")"),"Отказ")</f>
        <v>Отказ</v>
      </c>
      <c r="AD480" s="4" t="str">
        <f>IFERROR(__xludf.DUMMYFUNCTION("GOOGLETRANSLATE(B480,""en"",""cs"")"),"Zrušit")</f>
        <v>Zrušit</v>
      </c>
      <c r="AE480" s="4" t="str">
        <f>IFERROR(__xludf.DUMMYFUNCTION("GOOGLETRANSLATE(B480,""en"",""da"")"),"Ophæve")</f>
        <v>Ophæve</v>
      </c>
      <c r="AF480" s="4" t="str">
        <f>IFERROR(__xludf.DUMMYFUNCTION("GOOGLETRANSLATE(B480,""en"",""el"")"),"Ματαίωση")</f>
        <v>Ματαίωση</v>
      </c>
      <c r="AG480" s="4" t="str">
        <f>IFERROR(__xludf.DUMMYFUNCTION("GOOGLETRANSLATE(B480,""en"",""et"")"),"Tühista")</f>
        <v>Tühista</v>
      </c>
      <c r="AH480" s="4" t="str">
        <f>IFERROR(__xludf.DUMMYFUNCTION("GOOGLETRANSLATE(B480,""en"",""fi"")"),"Peruuttaa")</f>
        <v>Peruuttaa</v>
      </c>
      <c r="AI480" s="4" t="str">
        <f>IFERROR(__xludf.DUMMYFUNCTION("GOOGLETRANSLATE(B480,""en"",""hr"")"),"Otkazati")</f>
        <v>Otkazati</v>
      </c>
      <c r="AJ480" s="4" t="str">
        <f>IFERROR(__xludf.DUMMYFUNCTION("GOOGLETRANSLATE(B480,""en"",""hu"")"),"Mégsem")</f>
        <v>Mégsem</v>
      </c>
      <c r="AK480" s="4" t="str">
        <f>IFERROR(__xludf.DUMMYFUNCTION("GOOGLETRANSLATE(B480,""en"",""hy"")"),"Չեղարկել")</f>
        <v>Չեղարկել</v>
      </c>
      <c r="AL480" s="4" t="str">
        <f>IFERROR(__xludf.DUMMYFUNCTION("GOOGLETRANSLATE(B480,""en"",""ca"")"),"Cancel·la")</f>
        <v>Cancel·la</v>
      </c>
      <c r="AM480" s="4" t="str">
        <f>IFERROR(__xludf.DUMMYFUNCTION("GOOGLETRANSLATE(B480,""en"",""nl"")"),"Annuleren")</f>
        <v>Annuleren</v>
      </c>
      <c r="AN480" s="4" t="str">
        <f>IFERROR(__xludf.DUMMYFUNCTION("GOOGLETRANSLATE(B480,""en"",""he"")"),"לְבַטֵל")</f>
        <v>לְבַטֵל</v>
      </c>
      <c r="AO480" s="4" t="str">
        <f>IFERROR(__xludf.DUMMYFUNCTION("GOOGLETRANSLATE(B480,""en"",""is"")"),"Hætta við")</f>
        <v>Hætta við</v>
      </c>
      <c r="AP480" s="4" t="str">
        <f>IFERROR(__xludf.DUMMYFUNCTION("GOOGLETRANSLATE(B480,""en"",""no"")"),"Kansellere")</f>
        <v>Kansellere</v>
      </c>
      <c r="AQ480" s="4" t="str">
        <f>IFERROR(__xludf.DUMMYFUNCTION("GOOGLETRANSLATE(B480,""en"",""fa"")"),"لغو کنید")</f>
        <v>لغو کنید</v>
      </c>
      <c r="AR480" s="4" t="str">
        <f>IFERROR(__xludf.DUMMYFUNCTION("GOOGLETRANSLATE(B480,""en"",""pl"")"),"Anulować")</f>
        <v>Anulować</v>
      </c>
      <c r="AS480" s="4" t="str">
        <f>IFERROR(__xludf.DUMMYFUNCTION("GOOGLETRANSLATE(B480,""en"",""sv"")"),"Avboka")</f>
        <v>Avboka</v>
      </c>
      <c r="AT480" s="4" t="str">
        <f>IFERROR(__xludf.DUMMYFUNCTION("GOOGLETRANSLATE(B480,""en"",""uk"")"),"Скасувати")</f>
        <v>Скасувати</v>
      </c>
      <c r="AU480" s="4" t="str">
        <f>IFERROR(__xludf.DUMMYFUNCTION("GOOGLETRANSLATE(B480,""en"",""zu"")"),"Khansela")</f>
        <v>Khansela</v>
      </c>
      <c r="AV480" s="4" t="str">
        <f>IFERROR(__xludf.DUMMYFUNCTION("GOOGLETRANSLATE(B480,""en"",""sr"")"),"Откажи")</f>
        <v>Откажи</v>
      </c>
    </row>
    <row r="481">
      <c r="A481" s="3" t="s">
        <v>931</v>
      </c>
      <c r="B481" s="3" t="s">
        <v>79</v>
      </c>
      <c r="C481" s="4" t="str">
        <f>IFERROR(__xludf.DUMMYFUNCTION("GOOGLETRANSLATE(B481,""en"",""ta"")"),"சேமிக்கவும்")</f>
        <v>சேமிக்கவும்</v>
      </c>
      <c r="D481" s="4" t="str">
        <f>IFERROR(__xludf.DUMMYFUNCTION("GOOGLETRANSLATE(B481,""en"",""hi"")"),"बचाना")</f>
        <v>बचाना</v>
      </c>
      <c r="E481" s="4" t="str">
        <f>IFERROR(__xludf.DUMMYFUNCTION("GOOGLETRANSLATE(B481,""en"",""id"")"),"Menyimpan")</f>
        <v>Menyimpan</v>
      </c>
      <c r="F481" s="4" t="str">
        <f>IFERROR(__xludf.DUMMYFUNCTION("GOOGLETRANSLATE(B481,""en"",""ms"")"),"Jimat")</f>
        <v>Jimat</v>
      </c>
      <c r="G481" s="4" t="str">
        <f>IFERROR(__xludf.DUMMYFUNCTION("GOOGLETRANSLATE(B481,""en"",""de"")"),"Speichern")</f>
        <v>Speichern</v>
      </c>
      <c r="H481" s="4" t="str">
        <f>IFERROR(__xludf.DUMMYFUNCTION("GOOGLETRANSLATE(B481,""en"",""es"")"),"Ahorrar")</f>
        <v>Ahorrar</v>
      </c>
      <c r="I481" s="4" t="str">
        <f>IFERROR(__xludf.DUMMYFUNCTION("GOOGLETRANSLATE(B481,""en"",""fr"")"),"Sauvegarder")</f>
        <v>Sauvegarder</v>
      </c>
      <c r="J481" s="4" t="str">
        <f>IFERROR(__xludf.DUMMYFUNCTION("GOOGLETRANSLATE(B481,""en"",""it"")"),"Salva")</f>
        <v>Salva</v>
      </c>
      <c r="K481" s="4" t="str">
        <f>IFERROR(__xludf.DUMMYFUNCTION("GOOGLETRANSLATE(B481,""en"",""pt"")"),"Salvar")</f>
        <v>Salvar</v>
      </c>
      <c r="L481" s="4" t="str">
        <f>IFERROR(__xludf.DUMMYFUNCTION("GOOGLETRANSLATE(B481,""en"",""ro"")"),"Salva")</f>
        <v>Salva</v>
      </c>
      <c r="M481" s="4" t="str">
        <f>IFERROR(__xludf.DUMMYFUNCTION("GOOGLETRANSLATE(B481,""en"",""vi"")"),"Cứu")</f>
        <v>Cứu</v>
      </c>
      <c r="N481" s="4" t="str">
        <f>IFERROR(__xludf.DUMMYFUNCTION("GOOGLETRANSLATE(B481,""en"",""ru"")"),"Сохранять")</f>
        <v>Сохранять</v>
      </c>
      <c r="O481" s="4" t="str">
        <f>IFERROR(__xludf.DUMMYFUNCTION("GOOGLETRANSLATE(B481,""en"",""tr"")"),"Kaydetmek")</f>
        <v>Kaydetmek</v>
      </c>
      <c r="P481" s="4" t="str">
        <f>IFERROR(__xludf.DUMMYFUNCTION("GOOGLETRANSLATE(B481,""en"",""ar"")"),"يحفظ")</f>
        <v>يحفظ</v>
      </c>
      <c r="Q481" s="4" t="str">
        <f>IFERROR(__xludf.DUMMYFUNCTION("GOOGLETRANSLATE(B481,""en"",""mr"")"),"जतन करा")</f>
        <v>जतन करा</v>
      </c>
      <c r="R481" s="4" t="str">
        <f>IFERROR(__xludf.DUMMYFUNCTION("GOOGLETRANSLATE(B481,""en"",""gu"")"),"સાચવો")</f>
        <v>સાચવો</v>
      </c>
      <c r="S481" s="4" t="str">
        <f>IFERROR(__xludf.DUMMYFUNCTION("GOOGLETRANSLATE(B481,""en"",""bn"")"),"সংরক্ষণ করুন")</f>
        <v>সংরক্ষণ করুন</v>
      </c>
      <c r="T481" s="4" t="str">
        <f>IFERROR(__xludf.DUMMYFUNCTION("GOOGLETRANSLATE(B481,""en"",""pa"")"),"ਸੇਵ ਕਰੋ")</f>
        <v>ਸੇਵ ਕਰੋ</v>
      </c>
      <c r="U481" s="4" t="str">
        <f>IFERROR(__xludf.DUMMYFUNCTION("GOOGLETRANSLATE(B481,""en"",""te"")"),"సేవ్ చేయండి")</f>
        <v>సేవ్ చేయండి</v>
      </c>
      <c r="V481" s="4" t="str">
        <f>IFERROR(__xludf.DUMMYFUNCTION("GOOGLETRANSLATE(B481,""en"",""kn"")"),"ಉಳಿಸಿ")</f>
        <v>ಉಳಿಸಿ</v>
      </c>
      <c r="W481" s="4" t="str">
        <f>IFERROR(__xludf.DUMMYFUNCTION("GOOGLETRANSLATE(B481,""en"",""ml"")"),"സംരക്ഷിക്കുക")</f>
        <v>സംരക്ഷിക്കുക</v>
      </c>
      <c r="X481" s="4" t="str">
        <f>IFERROR(__xludf.DUMMYFUNCTION("GOOGLETRANSLATE(B481,""en"",""th"")"),"บันทึก")</f>
        <v>บันทึก</v>
      </c>
      <c r="Y481" s="4" t="str">
        <f>IFERROR(__xludf.DUMMYFUNCTION("GOOGLETRANSLATE(B481,""en"",""ko"")"),"구하다")</f>
        <v>구하다</v>
      </c>
      <c r="Z481" s="4" t="str">
        <f>IFERROR(__xludf.DUMMYFUNCTION("GOOGLETRANSLATE(B481,""en"",""zh"")"),"节省")</f>
        <v>节省</v>
      </c>
      <c r="AA481" s="4" t="str">
        <f>IFERROR(__xludf.DUMMYFUNCTION("GOOGLETRANSLATE(B481,""en"",""zh-TW"")"),"節省")</f>
        <v>節省</v>
      </c>
      <c r="AB481" s="4" t="str">
        <f>IFERROR(__xludf.DUMMYFUNCTION("GOOGLETRANSLATE(B481,""en"",""ja"")"),"保存")</f>
        <v>保存</v>
      </c>
      <c r="AC481" s="4" t="str">
        <f>IFERROR(__xludf.DUMMYFUNCTION("GOOGLETRANSLATE(B481,""en"",""bg"")"),"Запазване")</f>
        <v>Запазване</v>
      </c>
      <c r="AD481" s="4" t="str">
        <f>IFERROR(__xludf.DUMMYFUNCTION("GOOGLETRANSLATE(B481,""en"",""cs"")"),"Uložit")</f>
        <v>Uložit</v>
      </c>
      <c r="AE481" s="4" t="str">
        <f>IFERROR(__xludf.DUMMYFUNCTION("GOOGLETRANSLATE(B481,""en"",""da"")"),"Spare")</f>
        <v>Spare</v>
      </c>
      <c r="AF481" s="4" t="str">
        <f>IFERROR(__xludf.DUMMYFUNCTION("GOOGLETRANSLATE(B481,""en"",""el"")"),"Εκτός")</f>
        <v>Εκτός</v>
      </c>
      <c r="AG481" s="4" t="str">
        <f>IFERROR(__xludf.DUMMYFUNCTION("GOOGLETRANSLATE(B481,""en"",""et"")"),"Salvesta")</f>
        <v>Salvesta</v>
      </c>
      <c r="AH481" s="4" t="str">
        <f>IFERROR(__xludf.DUMMYFUNCTION("GOOGLETRANSLATE(B481,""en"",""fi"")"),"Tallentaa")</f>
        <v>Tallentaa</v>
      </c>
      <c r="AI481" s="4" t="str">
        <f>IFERROR(__xludf.DUMMYFUNCTION("GOOGLETRANSLATE(B481,""en"",""hr"")"),"Uštedjeti")</f>
        <v>Uštedjeti</v>
      </c>
      <c r="AJ481" s="4" t="str">
        <f>IFERROR(__xludf.DUMMYFUNCTION("GOOGLETRANSLATE(B481,""en"",""hu"")"),"Megtakarítás")</f>
        <v>Megtakarítás</v>
      </c>
      <c r="AK481" s="4" t="str">
        <f>IFERROR(__xludf.DUMMYFUNCTION("GOOGLETRANSLATE(B481,""en"",""hy"")"),"Պահպանել")</f>
        <v>Պահպանել</v>
      </c>
      <c r="AL481" s="4" t="str">
        <f>IFERROR(__xludf.DUMMYFUNCTION("GOOGLETRANSLATE(B481,""en"",""ca"")"),"Desa")</f>
        <v>Desa</v>
      </c>
      <c r="AM481" s="4" t="str">
        <f>IFERROR(__xludf.DUMMYFUNCTION("GOOGLETRANSLATE(B481,""en"",""nl"")"),"Redden")</f>
        <v>Redden</v>
      </c>
      <c r="AN481" s="4" t="str">
        <f>IFERROR(__xludf.DUMMYFUNCTION("GOOGLETRANSLATE(B481,""en"",""he"")"),"לְהַצִיל")</f>
        <v>לְהַצִיל</v>
      </c>
      <c r="AO481" s="4" t="str">
        <f>IFERROR(__xludf.DUMMYFUNCTION("GOOGLETRANSLATE(B481,""en"",""is"")"),"Vista")</f>
        <v>Vista</v>
      </c>
      <c r="AP481" s="4" t="str">
        <f>IFERROR(__xludf.DUMMYFUNCTION("GOOGLETRANSLATE(B481,""en"",""no"")"),"Spare")</f>
        <v>Spare</v>
      </c>
      <c r="AQ481" s="4" t="str">
        <f>IFERROR(__xludf.DUMMYFUNCTION("GOOGLETRANSLATE(B481,""en"",""fa"")"),"ذخیره کنید")</f>
        <v>ذخیره کنید</v>
      </c>
      <c r="AR481" s="4" t="str">
        <f>IFERROR(__xludf.DUMMYFUNCTION("GOOGLETRANSLATE(B481,""en"",""pl"")"),"Ratować")</f>
        <v>Ratować</v>
      </c>
      <c r="AS481" s="4" t="str">
        <f>IFERROR(__xludf.DUMMYFUNCTION("GOOGLETRANSLATE(B481,""en"",""sv"")"),"Spara")</f>
        <v>Spara</v>
      </c>
      <c r="AT481" s="4" t="str">
        <f>IFERROR(__xludf.DUMMYFUNCTION("GOOGLETRANSLATE(B481,""en"",""uk"")"),"зберегти")</f>
        <v>зберегти</v>
      </c>
      <c r="AU481" s="4" t="str">
        <f>IFERROR(__xludf.DUMMYFUNCTION("GOOGLETRANSLATE(B481,""en"",""zu"")"),"Londoloza")</f>
        <v>Londoloza</v>
      </c>
      <c r="AV481" s="4" t="str">
        <f>IFERROR(__xludf.DUMMYFUNCTION("GOOGLETRANSLATE(B481,""en"",""sr"")"),"Сачувај")</f>
        <v>Сачувај</v>
      </c>
    </row>
    <row r="482">
      <c r="A482" s="3" t="s">
        <v>932</v>
      </c>
      <c r="B482" s="3" t="s">
        <v>927</v>
      </c>
      <c r="C482" s="4" t="str">
        <f>IFERROR(__xludf.DUMMYFUNCTION("GOOGLETRANSLATE(B482,""en"",""ta"")"),"இருப்பிடத்தைச் சேமிக்கவும்")</f>
        <v>இருப்பிடத்தைச் சேமிக்கவும்</v>
      </c>
      <c r="D482" s="4" t="str">
        <f>IFERROR(__xludf.DUMMYFUNCTION("GOOGLETRANSLATE(B482,""en"",""hi"")"),"स्थान सहेजें")</f>
        <v>स्थान सहेजें</v>
      </c>
      <c r="E482" s="4" t="str">
        <f>IFERROR(__xludf.DUMMYFUNCTION("GOOGLETRANSLATE(B482,""en"",""id"")"),"Simpan Lokasi")</f>
        <v>Simpan Lokasi</v>
      </c>
      <c r="F482" s="4" t="str">
        <f>IFERROR(__xludf.DUMMYFUNCTION("GOOGLETRANSLATE(B482,""en"",""ms"")"),"Simpan Lokasi")</f>
        <v>Simpan Lokasi</v>
      </c>
      <c r="G482" s="4" t="str">
        <f>IFERROR(__xludf.DUMMYFUNCTION("GOOGLETRANSLATE(B482,""en"",""de"")"),"Standort speichern")</f>
        <v>Standort speichern</v>
      </c>
      <c r="H482" s="4" t="str">
        <f>IFERROR(__xludf.DUMMYFUNCTION("GOOGLETRANSLATE(B482,""en"",""es"")"),"Guardar ubicación")</f>
        <v>Guardar ubicación</v>
      </c>
      <c r="I482" s="4" t="str">
        <f>IFERROR(__xludf.DUMMYFUNCTION("GOOGLETRANSLATE(B482,""en"",""fr"")"),"Enregistrer l'emplacement")</f>
        <v>Enregistrer l'emplacement</v>
      </c>
      <c r="J482" s="4" t="str">
        <f>IFERROR(__xludf.DUMMYFUNCTION("GOOGLETRANSLATE(B482,""en"",""it"")"),"Salva posizione")</f>
        <v>Salva posizione</v>
      </c>
      <c r="K482" s="4" t="str">
        <f>IFERROR(__xludf.DUMMYFUNCTION("GOOGLETRANSLATE(B482,""en"",""pt"")"),"Salvar localização")</f>
        <v>Salvar localização</v>
      </c>
      <c r="L482" s="4" t="str">
        <f>IFERROR(__xludf.DUMMYFUNCTION("GOOGLETRANSLATE(B482,""en"",""ro"")"),"Salvați locația")</f>
        <v>Salvați locația</v>
      </c>
      <c r="M482" s="4" t="str">
        <f>IFERROR(__xludf.DUMMYFUNCTION("GOOGLETRANSLATE(B482,""en"",""vi"")"),"Lưu Vị Trí")</f>
        <v>Lưu Vị Trí</v>
      </c>
      <c r="N482" s="4" t="str">
        <f>IFERROR(__xludf.DUMMYFUNCTION("GOOGLETRANSLATE(B482,""en"",""ru"")"),"Сохранить местоположение")</f>
        <v>Сохранить местоположение</v>
      </c>
      <c r="O482" s="4" t="str">
        <f>IFERROR(__xludf.DUMMYFUNCTION("GOOGLETRANSLATE(B482,""en"",""tr"")"),"Konumu Kaydet")</f>
        <v>Konumu Kaydet</v>
      </c>
      <c r="P482" s="4" t="str">
        <f>IFERROR(__xludf.DUMMYFUNCTION("GOOGLETRANSLATE(B482,""en"",""ar"")"),"حفظ الموقع")</f>
        <v>حفظ الموقع</v>
      </c>
      <c r="Q482" s="4" t="str">
        <f>IFERROR(__xludf.DUMMYFUNCTION("GOOGLETRANSLATE(B482,""en"",""mr"")"),"स्थान जतन करा")</f>
        <v>स्थान जतन करा</v>
      </c>
      <c r="R482" s="4" t="str">
        <f>IFERROR(__xludf.DUMMYFUNCTION("GOOGLETRANSLATE(B482,""en"",""gu"")"),"સ્થાન સાચવો")</f>
        <v>સ્થાન સાચવો</v>
      </c>
      <c r="S482" s="4" t="str">
        <f>IFERROR(__xludf.DUMMYFUNCTION("GOOGLETRANSLATE(B482,""en"",""bn"")"),"অবস্থান সংরক্ষণ করুন")</f>
        <v>অবস্থান সংরক্ষণ করুন</v>
      </c>
      <c r="T482" s="4" t="str">
        <f>IFERROR(__xludf.DUMMYFUNCTION("GOOGLETRANSLATE(B482,""en"",""pa"")"),"ਟਿਕਾਣਾ ਸੁਰੱਖਿਅਤ ਕਰੋ")</f>
        <v>ਟਿਕਾਣਾ ਸੁਰੱਖਿਅਤ ਕਰੋ</v>
      </c>
      <c r="U482" s="4" t="str">
        <f>IFERROR(__xludf.DUMMYFUNCTION("GOOGLETRANSLATE(B482,""en"",""te"")"),"స్థానాన్ని సేవ్ చేయండి")</f>
        <v>స్థానాన్ని సేవ్ చేయండి</v>
      </c>
      <c r="V482" s="4" t="str">
        <f>IFERROR(__xludf.DUMMYFUNCTION("GOOGLETRANSLATE(B482,""en"",""kn"")"),"ಸ್ಥಳವನ್ನು ಉಳಿಸಿ")</f>
        <v>ಸ್ಥಳವನ್ನು ಉಳಿಸಿ</v>
      </c>
      <c r="W482" s="4" t="str">
        <f>IFERROR(__xludf.DUMMYFUNCTION("GOOGLETRANSLATE(B482,""en"",""ml"")"),"ലൊക്കേഷൻ സംരക്ഷിക്കുക")</f>
        <v>ലൊക്കേഷൻ സംരക്ഷിക്കുക</v>
      </c>
      <c r="X482" s="4" t="str">
        <f>IFERROR(__xludf.DUMMYFUNCTION("GOOGLETRANSLATE(B482,""en"",""th"")"),"บันทึกตำแหน่ง")</f>
        <v>บันทึกตำแหน่ง</v>
      </c>
      <c r="Y482" s="4" t="str">
        <f>IFERROR(__xludf.DUMMYFUNCTION("GOOGLETRANSLATE(B482,""en"",""ko"")"),"위치 저장")</f>
        <v>위치 저장</v>
      </c>
      <c r="Z482" s="4" t="str">
        <f>IFERROR(__xludf.DUMMYFUNCTION("GOOGLETRANSLATE(B482,""en"",""zh"")"),"保存位置")</f>
        <v>保存位置</v>
      </c>
      <c r="AA482" s="4" t="str">
        <f>IFERROR(__xludf.DUMMYFUNCTION("GOOGLETRANSLATE(B482,""en"",""zh-TW"")"),"儲存位置")</f>
        <v>儲存位置</v>
      </c>
      <c r="AB482" s="4" t="str">
        <f>IFERROR(__xludf.DUMMYFUNCTION("GOOGLETRANSLATE(B482,""en"",""ja"")"),"場所を保存")</f>
        <v>場所を保存</v>
      </c>
      <c r="AC482" s="4" t="str">
        <f>IFERROR(__xludf.DUMMYFUNCTION("GOOGLETRANSLATE(B482,""en"",""bg"")"),"Запазване на местоположението")</f>
        <v>Запазване на местоположението</v>
      </c>
      <c r="AD482" s="4" t="str">
        <f>IFERROR(__xludf.DUMMYFUNCTION("GOOGLETRANSLATE(B482,""en"",""cs"")"),"Uložit polohu")</f>
        <v>Uložit polohu</v>
      </c>
      <c r="AE482" s="4" t="str">
        <f>IFERROR(__xludf.DUMMYFUNCTION("GOOGLETRANSLATE(B482,""en"",""da"")"),"Gem placering")</f>
        <v>Gem placering</v>
      </c>
      <c r="AF482" s="4" t="str">
        <f>IFERROR(__xludf.DUMMYFUNCTION("GOOGLETRANSLATE(B482,""en"",""el"")"),"Αποθήκευση τοποθεσίας")</f>
        <v>Αποθήκευση τοποθεσίας</v>
      </c>
      <c r="AG482" s="4" t="str">
        <f>IFERROR(__xludf.DUMMYFUNCTION("GOOGLETRANSLATE(B482,""en"",""et"")"),"Salvesta asukoht")</f>
        <v>Salvesta asukoht</v>
      </c>
      <c r="AH482" s="4" t="str">
        <f>IFERROR(__xludf.DUMMYFUNCTION("GOOGLETRANSLATE(B482,""en"",""fi"")"),"Tallenna sijainti")</f>
        <v>Tallenna sijainti</v>
      </c>
      <c r="AI482" s="4" t="str">
        <f>IFERROR(__xludf.DUMMYFUNCTION("GOOGLETRANSLATE(B482,""en"",""hr"")"),"Spremi lokaciju")</f>
        <v>Spremi lokaciju</v>
      </c>
      <c r="AJ482" s="4" t="str">
        <f>IFERROR(__xludf.DUMMYFUNCTION("GOOGLETRANSLATE(B482,""en"",""hu"")"),"Hely mentése")</f>
        <v>Hely mentése</v>
      </c>
      <c r="AK482" s="4" t="str">
        <f>IFERROR(__xludf.DUMMYFUNCTION("GOOGLETRANSLATE(B482,""en"",""hy"")"),"Պահպանել գտնվելու վայրը")</f>
        <v>Պահպանել գտնվելու վայրը</v>
      </c>
      <c r="AL482" s="4" t="str">
        <f>IFERROR(__xludf.DUMMYFUNCTION("GOOGLETRANSLATE(B482,""en"",""ca"")"),"Desa la ubicació")</f>
        <v>Desa la ubicació</v>
      </c>
      <c r="AM482" s="4" t="str">
        <f>IFERROR(__xludf.DUMMYFUNCTION("GOOGLETRANSLATE(B482,""en"",""nl"")"),"Locatie opslaan")</f>
        <v>Locatie opslaan</v>
      </c>
      <c r="AN482" s="4" t="str">
        <f>IFERROR(__xludf.DUMMYFUNCTION("GOOGLETRANSLATE(B482,""en"",""he"")"),"שמור מיקום")</f>
        <v>שמור מיקום</v>
      </c>
      <c r="AO482" s="4" t="str">
        <f>IFERROR(__xludf.DUMMYFUNCTION("GOOGLETRANSLATE(B482,""en"",""is"")"),"Vista staðsetningu")</f>
        <v>Vista staðsetningu</v>
      </c>
      <c r="AP482" s="4" t="str">
        <f>IFERROR(__xludf.DUMMYFUNCTION("GOOGLETRANSLATE(B482,""en"",""no"")"),"Lagre plassering")</f>
        <v>Lagre plassering</v>
      </c>
      <c r="AQ482" s="4" t="str">
        <f>IFERROR(__xludf.DUMMYFUNCTION("GOOGLETRANSLATE(B482,""en"",""fa"")"),"ذخیره مکان")</f>
        <v>ذخیره مکان</v>
      </c>
      <c r="AR482" s="4" t="str">
        <f>IFERROR(__xludf.DUMMYFUNCTION("GOOGLETRANSLATE(B482,""en"",""pl"")"),"Zapisz lokalizację")</f>
        <v>Zapisz lokalizację</v>
      </c>
      <c r="AS482" s="4" t="str">
        <f>IFERROR(__xludf.DUMMYFUNCTION("GOOGLETRANSLATE(B482,""en"",""sv"")"),"Spara plats")</f>
        <v>Spara plats</v>
      </c>
      <c r="AT482" s="4" t="str">
        <f>IFERROR(__xludf.DUMMYFUNCTION("GOOGLETRANSLATE(B482,""en"",""uk"")"),"Зберегти місцезнаходження")</f>
        <v>Зберегти місцезнаходження</v>
      </c>
      <c r="AU482" s="4" t="str">
        <f>IFERROR(__xludf.DUMMYFUNCTION("GOOGLETRANSLATE(B482,""en"",""zu"")"),"Londoloza Indawo")</f>
        <v>Londoloza Indawo</v>
      </c>
      <c r="AV482" s="4" t="str">
        <f>IFERROR(__xludf.DUMMYFUNCTION("GOOGLETRANSLATE(B482,""en"",""sr"")"),"Сачувај локацију")</f>
        <v>Сачувај локацију</v>
      </c>
    </row>
    <row r="483">
      <c r="A483" s="3" t="s">
        <v>933</v>
      </c>
      <c r="B483" s="3" t="s">
        <v>929</v>
      </c>
      <c r="C483" s="4" t="str">
        <f>IFERROR(__xludf.DUMMYFUNCTION("GOOGLETRANSLATE(B483,""en"",""ta"")"),"இருப்பிட பெயரை உள்ளிடவும்")</f>
        <v>இருப்பிட பெயரை உள்ளிடவும்</v>
      </c>
      <c r="D483" s="4" t="str">
        <f>IFERROR(__xludf.DUMMYFUNCTION("GOOGLETRANSLATE(B483,""en"",""hi"")"),"स्थान का नाम दर्ज करें")</f>
        <v>स्थान का नाम दर्ज करें</v>
      </c>
      <c r="E483" s="4" t="str">
        <f>IFERROR(__xludf.DUMMYFUNCTION("GOOGLETRANSLATE(B483,""en"",""id"")"),"Masukkan nama lokasi")</f>
        <v>Masukkan nama lokasi</v>
      </c>
      <c r="F483" s="4" t="str">
        <f>IFERROR(__xludf.DUMMYFUNCTION("GOOGLETRANSLATE(B483,""en"",""ms"")"),"Masukkan nama lokasi")</f>
        <v>Masukkan nama lokasi</v>
      </c>
      <c r="G483" s="4" t="str">
        <f>IFERROR(__xludf.DUMMYFUNCTION("GOOGLETRANSLATE(B483,""en"",""de"")"),"Geben Sie den Ortsnamen ein")</f>
        <v>Geben Sie den Ortsnamen ein</v>
      </c>
      <c r="H483" s="4" t="str">
        <f>IFERROR(__xludf.DUMMYFUNCTION("GOOGLETRANSLATE(B483,""en"",""es"")"),"Introduzca el nombre de la ubicación")</f>
        <v>Introduzca el nombre de la ubicación</v>
      </c>
      <c r="I483" s="4" t="str">
        <f>IFERROR(__xludf.DUMMYFUNCTION("GOOGLETRANSLATE(B483,""en"",""fr"")"),"Entrez le nom de l'emplacement")</f>
        <v>Entrez le nom de l'emplacement</v>
      </c>
      <c r="J483" s="4" t="str">
        <f>IFERROR(__xludf.DUMMYFUNCTION("GOOGLETRANSLATE(B483,""en"",""it"")"),"Inserisci il nome della posizione")</f>
        <v>Inserisci il nome della posizione</v>
      </c>
      <c r="K483" s="4" t="str">
        <f>IFERROR(__xludf.DUMMYFUNCTION("GOOGLETRANSLATE(B483,""en"",""pt"")"),"Digite o nome do local")</f>
        <v>Digite o nome do local</v>
      </c>
      <c r="L483" s="4" t="str">
        <f>IFERROR(__xludf.DUMMYFUNCTION("GOOGLETRANSLATE(B483,""en"",""ro"")"),"Introduceți numele locației")</f>
        <v>Introduceți numele locației</v>
      </c>
      <c r="M483" s="4" t="str">
        <f>IFERROR(__xludf.DUMMYFUNCTION("GOOGLETRANSLATE(B483,""en"",""vi"")"),"Nhập tên vị trí")</f>
        <v>Nhập tên vị trí</v>
      </c>
      <c r="N483" s="4" t="str">
        <f>IFERROR(__xludf.DUMMYFUNCTION("GOOGLETRANSLATE(B483,""en"",""ru"")"),"Введите название местоположения")</f>
        <v>Введите название местоположения</v>
      </c>
      <c r="O483" s="4" t="str">
        <f>IFERROR(__xludf.DUMMYFUNCTION("GOOGLETRANSLATE(B483,""en"",""tr"")"),"Konum adını girin")</f>
        <v>Konum adını girin</v>
      </c>
      <c r="P483" s="4" t="str">
        <f>IFERROR(__xludf.DUMMYFUNCTION("GOOGLETRANSLATE(B483,""en"",""ar"")"),"أدخل اسم الموقع")</f>
        <v>أدخل اسم الموقع</v>
      </c>
      <c r="Q483" s="4" t="str">
        <f>IFERROR(__xludf.DUMMYFUNCTION("GOOGLETRANSLATE(B483,""en"",""mr"")"),"स्थानाचे नाव प्रविष्ट करा")</f>
        <v>स्थानाचे नाव प्रविष्ट करा</v>
      </c>
      <c r="R483" s="4" t="str">
        <f>IFERROR(__xludf.DUMMYFUNCTION("GOOGLETRANSLATE(B483,""en"",""gu"")"),"સ્થાનનું નામ દાખલ કરો")</f>
        <v>સ્થાનનું નામ દાખલ કરો</v>
      </c>
      <c r="S483" s="4" t="str">
        <f>IFERROR(__xludf.DUMMYFUNCTION("GOOGLETRANSLATE(B483,""en"",""bn"")"),"অবস্থানের নাম লিখুন")</f>
        <v>অবস্থানের নাম লিখুন</v>
      </c>
      <c r="T483" s="4" t="str">
        <f>IFERROR(__xludf.DUMMYFUNCTION("GOOGLETRANSLATE(B483,""en"",""pa"")"),"ਸਥਾਨ ਦਾ ਨਾਮ ਦਰਜ ਕਰੋ")</f>
        <v>ਸਥਾਨ ਦਾ ਨਾਮ ਦਰਜ ਕਰੋ</v>
      </c>
      <c r="U483" s="4" t="str">
        <f>IFERROR(__xludf.DUMMYFUNCTION("GOOGLETRANSLATE(B483,""en"",""te"")"),"స్థానం పేరును నమోదు చేయండి")</f>
        <v>స్థానం పేరును నమోదు చేయండి</v>
      </c>
      <c r="V483" s="4" t="str">
        <f>IFERROR(__xludf.DUMMYFUNCTION("GOOGLETRANSLATE(B483,""en"",""kn"")"),"ಸ್ಥಳದ ಹೆಸರನ್ನು ನಮೂದಿಸಿ")</f>
        <v>ಸ್ಥಳದ ಹೆಸರನ್ನು ನಮೂದಿಸಿ</v>
      </c>
      <c r="W483" s="4" t="str">
        <f>IFERROR(__xludf.DUMMYFUNCTION("GOOGLETRANSLATE(B483,""en"",""ml"")"),"ലൊക്കേഷൻ പേര് നൽകുക")</f>
        <v>ലൊക്കേഷൻ പേര് നൽകുക</v>
      </c>
      <c r="X483" s="4" t="str">
        <f>IFERROR(__xludf.DUMMYFUNCTION("GOOGLETRANSLATE(B483,""en"",""th"")"),"กรอกชื่อสถานที่")</f>
        <v>กรอกชื่อสถานที่</v>
      </c>
      <c r="Y483" s="4" t="str">
        <f>IFERROR(__xludf.DUMMYFUNCTION("GOOGLETRANSLATE(B483,""en"",""ko"")"),"위치 이름을 입력하세요")</f>
        <v>위치 이름을 입력하세요</v>
      </c>
      <c r="Z483" s="4" t="str">
        <f>IFERROR(__xludf.DUMMYFUNCTION("GOOGLETRANSLATE(B483,""en"",""zh"")"),"输入地点名称")</f>
        <v>输入地点名称</v>
      </c>
      <c r="AA483" s="4" t="str">
        <f>IFERROR(__xludf.DUMMYFUNCTION("GOOGLETRANSLATE(B483,""en"",""zh-TW"")"),"輸入地點名稱")</f>
        <v>輸入地點名稱</v>
      </c>
      <c r="AB483" s="4" t="str">
        <f>IFERROR(__xludf.DUMMYFUNCTION("GOOGLETRANSLATE(B483,""en"",""ja"")"),"場所名を入力してください")</f>
        <v>場所名を入力してください</v>
      </c>
      <c r="AC483" s="4" t="str">
        <f>IFERROR(__xludf.DUMMYFUNCTION("GOOGLETRANSLATE(B483,""en"",""bg"")"),"Въведете име на местоположение")</f>
        <v>Въведете име на местоположение</v>
      </c>
      <c r="AD483" s="4" t="str">
        <f>IFERROR(__xludf.DUMMYFUNCTION("GOOGLETRANSLATE(B483,""en"",""cs"")"),"Zadejte název místa")</f>
        <v>Zadejte název místa</v>
      </c>
      <c r="AE483" s="4" t="str">
        <f>IFERROR(__xludf.DUMMYFUNCTION("GOOGLETRANSLATE(B483,""en"",""da"")"),"Indtast lokationsnavn")</f>
        <v>Indtast lokationsnavn</v>
      </c>
      <c r="AF483" s="4" t="str">
        <f>IFERROR(__xludf.DUMMYFUNCTION("GOOGLETRANSLATE(B483,""en"",""el"")"),"Εισαγάγετε το όνομα τοποθεσίας")</f>
        <v>Εισαγάγετε το όνομα τοποθεσίας</v>
      </c>
      <c r="AG483" s="4" t="str">
        <f>IFERROR(__xludf.DUMMYFUNCTION("GOOGLETRANSLATE(B483,""en"",""et"")"),"Sisestage asukoha nimi")</f>
        <v>Sisestage asukoha nimi</v>
      </c>
      <c r="AH483" s="4" t="str">
        <f>IFERROR(__xludf.DUMMYFUNCTION("GOOGLETRANSLATE(B483,""en"",""fi"")"),"Anna sijainnin nimi")</f>
        <v>Anna sijainnin nimi</v>
      </c>
      <c r="AI483" s="4" t="str">
        <f>IFERROR(__xludf.DUMMYFUNCTION("GOOGLETRANSLATE(B483,""en"",""hr"")"),"Unesite naziv lokacije")</f>
        <v>Unesite naziv lokacije</v>
      </c>
      <c r="AJ483" s="4" t="str">
        <f>IFERROR(__xludf.DUMMYFUNCTION("GOOGLETRANSLATE(B483,""en"",""hu"")"),"Írja be a hely nevét")</f>
        <v>Írja be a hely nevét</v>
      </c>
      <c r="AK483" s="4" t="str">
        <f>IFERROR(__xludf.DUMMYFUNCTION("GOOGLETRANSLATE(B483,""en"",""hy"")"),"Մուտքագրեք գտնվելու վայրը")</f>
        <v>Մուտքագրեք գտնվելու վայրը</v>
      </c>
      <c r="AL483" s="4" t="str">
        <f>IFERROR(__xludf.DUMMYFUNCTION("GOOGLETRANSLATE(B483,""en"",""ca"")"),"Introduïu el nom de la ubicació")</f>
        <v>Introduïu el nom de la ubicació</v>
      </c>
      <c r="AM483" s="4" t="str">
        <f>IFERROR(__xludf.DUMMYFUNCTION("GOOGLETRANSLATE(B483,""en"",""nl"")"),"Voer locatienaam in")</f>
        <v>Voer locatienaam in</v>
      </c>
      <c r="AN483" s="4" t="str">
        <f>IFERROR(__xludf.DUMMYFUNCTION("GOOGLETRANSLATE(B483,""en"",""he"")"),"הזן שם מיקום")</f>
        <v>הזן שם מיקום</v>
      </c>
      <c r="AO483" s="4" t="str">
        <f>IFERROR(__xludf.DUMMYFUNCTION("GOOGLETRANSLATE(B483,""en"",""is"")"),"Sláðu inn nafn staðsetningar")</f>
        <v>Sláðu inn nafn staðsetningar</v>
      </c>
      <c r="AP483" s="4" t="str">
        <f>IFERROR(__xludf.DUMMYFUNCTION("GOOGLETRANSLATE(B483,""en"",""no"")"),"Skriv inn stedsnavn")</f>
        <v>Skriv inn stedsnavn</v>
      </c>
      <c r="AQ483" s="4" t="str">
        <f>IFERROR(__xludf.DUMMYFUNCTION("GOOGLETRANSLATE(B483,""en"",""fa"")"),"نام مکان را وارد کنید")</f>
        <v>نام مکان را وارد کنید</v>
      </c>
      <c r="AR483" s="4" t="str">
        <f>IFERROR(__xludf.DUMMYFUNCTION("GOOGLETRANSLATE(B483,""en"",""pl"")"),"Wprowadź nazwę lokalizacji")</f>
        <v>Wprowadź nazwę lokalizacji</v>
      </c>
      <c r="AS483" s="4" t="str">
        <f>IFERROR(__xludf.DUMMYFUNCTION("GOOGLETRANSLATE(B483,""en"",""sv"")"),"Ange platsnamn")</f>
        <v>Ange platsnamn</v>
      </c>
      <c r="AT483" s="4" t="str">
        <f>IFERROR(__xludf.DUMMYFUNCTION("GOOGLETRANSLATE(B483,""en"",""uk"")"),"Введіть назву місця")</f>
        <v>Введіть назву місця</v>
      </c>
      <c r="AU483" s="4" t="str">
        <f>IFERROR(__xludf.DUMMYFUNCTION("GOOGLETRANSLATE(B483,""en"",""zu"")"),"Faka igama lendawo")</f>
        <v>Faka igama lendawo</v>
      </c>
      <c r="AV483" s="4" t="str">
        <f>IFERROR(__xludf.DUMMYFUNCTION("GOOGLETRANSLATE(B483,""en"",""sr"")"),"Унесите назив локације")</f>
        <v>Унесите назив локације</v>
      </c>
    </row>
    <row r="484">
      <c r="A484" s="3" t="s">
        <v>934</v>
      </c>
      <c r="B484" s="3" t="s">
        <v>357</v>
      </c>
      <c r="C484" s="4" t="str">
        <f>IFERROR(__xludf.DUMMYFUNCTION("GOOGLETRANSLATE(B484,""en"",""ta"")"),"ரத்து செய்")</f>
        <v>ரத்து செய்</v>
      </c>
      <c r="D484" s="4" t="str">
        <f>IFERROR(__xludf.DUMMYFUNCTION("GOOGLETRANSLATE(B484,""en"",""hi"")"),"रद्द करना")</f>
        <v>रद्द करना</v>
      </c>
      <c r="E484" s="4" t="str">
        <f>IFERROR(__xludf.DUMMYFUNCTION("GOOGLETRANSLATE(B484,""en"",""id"")"),"Membatalkan")</f>
        <v>Membatalkan</v>
      </c>
      <c r="F484" s="4" t="str">
        <f>IFERROR(__xludf.DUMMYFUNCTION("GOOGLETRANSLATE(B484,""en"",""ms"")"),"Batal")</f>
        <v>Batal</v>
      </c>
      <c r="G484" s="4" t="str">
        <f>IFERROR(__xludf.DUMMYFUNCTION("GOOGLETRANSLATE(B484,""en"",""de"")"),"Stornieren")</f>
        <v>Stornieren</v>
      </c>
      <c r="H484" s="4" t="str">
        <f>IFERROR(__xludf.DUMMYFUNCTION("GOOGLETRANSLATE(B484,""en"",""es"")"),"Cancelar")</f>
        <v>Cancelar</v>
      </c>
      <c r="I484" s="4" t="str">
        <f>IFERROR(__xludf.DUMMYFUNCTION("GOOGLETRANSLATE(B484,""en"",""fr"")"),"Annuler")</f>
        <v>Annuler</v>
      </c>
      <c r="J484" s="4" t="str">
        <f>IFERROR(__xludf.DUMMYFUNCTION("GOOGLETRANSLATE(B484,""en"",""it"")"),"Cancellare")</f>
        <v>Cancellare</v>
      </c>
      <c r="K484" s="4" t="str">
        <f>IFERROR(__xludf.DUMMYFUNCTION("GOOGLETRANSLATE(B484,""en"",""pt"")"),"Cancelar")</f>
        <v>Cancelar</v>
      </c>
      <c r="L484" s="4" t="str">
        <f>IFERROR(__xludf.DUMMYFUNCTION("GOOGLETRANSLATE(B484,""en"",""ro"")"),"Anula")</f>
        <v>Anula</v>
      </c>
      <c r="M484" s="4" t="str">
        <f>IFERROR(__xludf.DUMMYFUNCTION("GOOGLETRANSLATE(B484,""en"",""vi"")"),"Hủy bỏ")</f>
        <v>Hủy bỏ</v>
      </c>
      <c r="N484" s="4" t="str">
        <f>IFERROR(__xludf.DUMMYFUNCTION("GOOGLETRANSLATE(B484,""en"",""ru"")"),"Отмена")</f>
        <v>Отмена</v>
      </c>
      <c r="O484" s="4" t="str">
        <f>IFERROR(__xludf.DUMMYFUNCTION("GOOGLETRANSLATE(B484,""en"",""tr"")"),"İptal etmek")</f>
        <v>İptal etmek</v>
      </c>
      <c r="P484" s="4" t="str">
        <f>IFERROR(__xludf.DUMMYFUNCTION("GOOGLETRANSLATE(B484,""en"",""ar"")"),"يلغي")</f>
        <v>يلغي</v>
      </c>
      <c r="Q484" s="4" t="str">
        <f>IFERROR(__xludf.DUMMYFUNCTION("GOOGLETRANSLATE(B484,""en"",""mr"")"),"रद्द करा")</f>
        <v>रद्द करा</v>
      </c>
      <c r="R484" s="4" t="str">
        <f>IFERROR(__xludf.DUMMYFUNCTION("GOOGLETRANSLATE(B484,""en"",""gu"")"),"રદ કરો")</f>
        <v>રદ કરો</v>
      </c>
      <c r="S484" s="4" t="str">
        <f>IFERROR(__xludf.DUMMYFUNCTION("GOOGLETRANSLATE(B484,""en"",""bn"")"),"বাতিল করুন")</f>
        <v>বাতিল করুন</v>
      </c>
      <c r="T484" s="4" t="str">
        <f>IFERROR(__xludf.DUMMYFUNCTION("GOOGLETRANSLATE(B484,""en"",""pa"")"),"ਰੱਦ ਕਰੋ")</f>
        <v>ਰੱਦ ਕਰੋ</v>
      </c>
      <c r="U484" s="4" t="str">
        <f>IFERROR(__xludf.DUMMYFUNCTION("GOOGLETRANSLATE(B484,""en"",""te"")"),"రద్దు చేయి")</f>
        <v>రద్దు చేయి</v>
      </c>
      <c r="V484" s="4" t="str">
        <f>IFERROR(__xludf.DUMMYFUNCTION("GOOGLETRANSLATE(B484,""en"",""kn"")"),"ರದ್ದುಮಾಡು")</f>
        <v>ರದ್ದುಮಾಡು</v>
      </c>
      <c r="W484" s="4" t="str">
        <f>IFERROR(__xludf.DUMMYFUNCTION("GOOGLETRANSLATE(B484,""en"",""ml"")"),"റദ്ദാക്കുക")</f>
        <v>റദ്ദാക്കുക</v>
      </c>
      <c r="X484" s="4" t="str">
        <f>IFERROR(__xludf.DUMMYFUNCTION("GOOGLETRANSLATE(B484,""en"",""th"")"),"ยกเลิก")</f>
        <v>ยกเลิก</v>
      </c>
      <c r="Y484" s="4" t="str">
        <f>IFERROR(__xludf.DUMMYFUNCTION("GOOGLETRANSLATE(B484,""en"",""ko"")"),"취소")</f>
        <v>취소</v>
      </c>
      <c r="Z484" s="4" t="str">
        <f>IFERROR(__xludf.DUMMYFUNCTION("GOOGLETRANSLATE(B484,""en"",""zh"")"),"取消")</f>
        <v>取消</v>
      </c>
      <c r="AA484" s="4" t="str">
        <f>IFERROR(__xludf.DUMMYFUNCTION("GOOGLETRANSLATE(B484,""en"",""zh-TW"")"),"取消")</f>
        <v>取消</v>
      </c>
      <c r="AB484" s="4" t="str">
        <f>IFERROR(__xludf.DUMMYFUNCTION("GOOGLETRANSLATE(B484,""en"",""ja"")"),"キャンセル")</f>
        <v>キャンセル</v>
      </c>
      <c r="AC484" s="4" t="str">
        <f>IFERROR(__xludf.DUMMYFUNCTION("GOOGLETRANSLATE(B484,""en"",""bg"")"),"Отказ")</f>
        <v>Отказ</v>
      </c>
      <c r="AD484" s="4" t="str">
        <f>IFERROR(__xludf.DUMMYFUNCTION("GOOGLETRANSLATE(B484,""en"",""cs"")"),"Zrušit")</f>
        <v>Zrušit</v>
      </c>
      <c r="AE484" s="4" t="str">
        <f>IFERROR(__xludf.DUMMYFUNCTION("GOOGLETRANSLATE(B484,""en"",""da"")"),"Ophæve")</f>
        <v>Ophæve</v>
      </c>
      <c r="AF484" s="4" t="str">
        <f>IFERROR(__xludf.DUMMYFUNCTION("GOOGLETRANSLATE(B484,""en"",""el"")"),"Ματαίωση")</f>
        <v>Ματαίωση</v>
      </c>
      <c r="AG484" s="4" t="str">
        <f>IFERROR(__xludf.DUMMYFUNCTION("GOOGLETRANSLATE(B484,""en"",""et"")"),"Tühista")</f>
        <v>Tühista</v>
      </c>
      <c r="AH484" s="4" t="str">
        <f>IFERROR(__xludf.DUMMYFUNCTION("GOOGLETRANSLATE(B484,""en"",""fi"")"),"Peruuttaa")</f>
        <v>Peruuttaa</v>
      </c>
      <c r="AI484" s="4" t="str">
        <f>IFERROR(__xludf.DUMMYFUNCTION("GOOGLETRANSLATE(B484,""en"",""hr"")"),"Otkazati")</f>
        <v>Otkazati</v>
      </c>
      <c r="AJ484" s="4" t="str">
        <f>IFERROR(__xludf.DUMMYFUNCTION("GOOGLETRANSLATE(B484,""en"",""hu"")"),"Mégsem")</f>
        <v>Mégsem</v>
      </c>
      <c r="AK484" s="4" t="str">
        <f>IFERROR(__xludf.DUMMYFUNCTION("GOOGLETRANSLATE(B484,""en"",""hy"")"),"Չեղարկել")</f>
        <v>Չեղարկել</v>
      </c>
      <c r="AL484" s="4" t="str">
        <f>IFERROR(__xludf.DUMMYFUNCTION("GOOGLETRANSLATE(B484,""en"",""ca"")"),"Cancel·la")</f>
        <v>Cancel·la</v>
      </c>
      <c r="AM484" s="4" t="str">
        <f>IFERROR(__xludf.DUMMYFUNCTION("GOOGLETRANSLATE(B484,""en"",""nl"")"),"Annuleren")</f>
        <v>Annuleren</v>
      </c>
      <c r="AN484" s="4" t="str">
        <f>IFERROR(__xludf.DUMMYFUNCTION("GOOGLETRANSLATE(B484,""en"",""he"")"),"לְבַטֵל")</f>
        <v>לְבַטֵל</v>
      </c>
      <c r="AO484" s="4" t="str">
        <f>IFERROR(__xludf.DUMMYFUNCTION("GOOGLETRANSLATE(B484,""en"",""is"")"),"Hætta við")</f>
        <v>Hætta við</v>
      </c>
      <c r="AP484" s="4" t="str">
        <f>IFERROR(__xludf.DUMMYFUNCTION("GOOGLETRANSLATE(B484,""en"",""no"")"),"Kansellere")</f>
        <v>Kansellere</v>
      </c>
      <c r="AQ484" s="4" t="str">
        <f>IFERROR(__xludf.DUMMYFUNCTION("GOOGLETRANSLATE(B484,""en"",""fa"")"),"لغو کنید")</f>
        <v>لغو کنید</v>
      </c>
      <c r="AR484" s="4" t="str">
        <f>IFERROR(__xludf.DUMMYFUNCTION("GOOGLETRANSLATE(B484,""en"",""pl"")"),"Anulować")</f>
        <v>Anulować</v>
      </c>
      <c r="AS484" s="4" t="str">
        <f>IFERROR(__xludf.DUMMYFUNCTION("GOOGLETRANSLATE(B484,""en"",""sv"")"),"Avboka")</f>
        <v>Avboka</v>
      </c>
      <c r="AT484" s="4" t="str">
        <f>IFERROR(__xludf.DUMMYFUNCTION("GOOGLETRANSLATE(B484,""en"",""uk"")"),"Скасувати")</f>
        <v>Скасувати</v>
      </c>
      <c r="AU484" s="4" t="str">
        <f>IFERROR(__xludf.DUMMYFUNCTION("GOOGLETRANSLATE(B484,""en"",""zu"")"),"Khansela")</f>
        <v>Khansela</v>
      </c>
      <c r="AV484" s="4" t="str">
        <f>IFERROR(__xludf.DUMMYFUNCTION("GOOGLETRANSLATE(B484,""en"",""sr"")"),"Откажи")</f>
        <v>Откажи</v>
      </c>
    </row>
    <row r="485">
      <c r="A485" s="3" t="s">
        <v>935</v>
      </c>
      <c r="B485" s="3" t="s">
        <v>79</v>
      </c>
      <c r="C485" s="4" t="str">
        <f>IFERROR(__xludf.DUMMYFUNCTION("GOOGLETRANSLATE(B485,""en"",""ta"")"),"சேமிக்கவும்")</f>
        <v>சேமிக்கவும்</v>
      </c>
      <c r="D485" s="4" t="str">
        <f>IFERROR(__xludf.DUMMYFUNCTION("GOOGLETRANSLATE(B485,""en"",""hi"")"),"बचाना")</f>
        <v>बचाना</v>
      </c>
      <c r="E485" s="4" t="str">
        <f>IFERROR(__xludf.DUMMYFUNCTION("GOOGLETRANSLATE(B485,""en"",""id"")"),"Menyimpan")</f>
        <v>Menyimpan</v>
      </c>
      <c r="F485" s="4" t="str">
        <f>IFERROR(__xludf.DUMMYFUNCTION("GOOGLETRANSLATE(B485,""en"",""ms"")"),"Jimat")</f>
        <v>Jimat</v>
      </c>
      <c r="G485" s="4" t="str">
        <f>IFERROR(__xludf.DUMMYFUNCTION("GOOGLETRANSLATE(B485,""en"",""de"")"),"Speichern")</f>
        <v>Speichern</v>
      </c>
      <c r="H485" s="4" t="str">
        <f>IFERROR(__xludf.DUMMYFUNCTION("GOOGLETRANSLATE(B485,""en"",""es"")"),"Ahorrar")</f>
        <v>Ahorrar</v>
      </c>
      <c r="I485" s="4" t="str">
        <f>IFERROR(__xludf.DUMMYFUNCTION("GOOGLETRANSLATE(B485,""en"",""fr"")"),"Sauvegarder")</f>
        <v>Sauvegarder</v>
      </c>
      <c r="J485" s="4" t="str">
        <f>IFERROR(__xludf.DUMMYFUNCTION("GOOGLETRANSLATE(B485,""en"",""it"")"),"Salva")</f>
        <v>Salva</v>
      </c>
      <c r="K485" s="4" t="str">
        <f>IFERROR(__xludf.DUMMYFUNCTION("GOOGLETRANSLATE(B485,""en"",""pt"")"),"Salvar")</f>
        <v>Salvar</v>
      </c>
      <c r="L485" s="4" t="str">
        <f>IFERROR(__xludf.DUMMYFUNCTION("GOOGLETRANSLATE(B485,""en"",""ro"")"),"Salva")</f>
        <v>Salva</v>
      </c>
      <c r="M485" s="4" t="str">
        <f>IFERROR(__xludf.DUMMYFUNCTION("GOOGLETRANSLATE(B485,""en"",""vi"")"),"Cứu")</f>
        <v>Cứu</v>
      </c>
      <c r="N485" s="4" t="str">
        <f>IFERROR(__xludf.DUMMYFUNCTION("GOOGLETRANSLATE(B485,""en"",""ru"")"),"Сохранять")</f>
        <v>Сохранять</v>
      </c>
      <c r="O485" s="4" t="str">
        <f>IFERROR(__xludf.DUMMYFUNCTION("GOOGLETRANSLATE(B485,""en"",""tr"")"),"Kaydetmek")</f>
        <v>Kaydetmek</v>
      </c>
      <c r="P485" s="4" t="str">
        <f>IFERROR(__xludf.DUMMYFUNCTION("GOOGLETRANSLATE(B485,""en"",""ar"")"),"يحفظ")</f>
        <v>يحفظ</v>
      </c>
      <c r="Q485" s="4" t="str">
        <f>IFERROR(__xludf.DUMMYFUNCTION("GOOGLETRANSLATE(B485,""en"",""mr"")"),"जतन करा")</f>
        <v>जतन करा</v>
      </c>
      <c r="R485" s="4" t="str">
        <f>IFERROR(__xludf.DUMMYFUNCTION("GOOGLETRANSLATE(B485,""en"",""gu"")"),"સાચવો")</f>
        <v>સાચવો</v>
      </c>
      <c r="S485" s="4" t="str">
        <f>IFERROR(__xludf.DUMMYFUNCTION("GOOGLETRANSLATE(B485,""en"",""bn"")"),"সংরক্ষণ করুন")</f>
        <v>সংরক্ষণ করুন</v>
      </c>
      <c r="T485" s="4" t="str">
        <f>IFERROR(__xludf.DUMMYFUNCTION("GOOGLETRANSLATE(B485,""en"",""pa"")"),"ਸੇਵ ਕਰੋ")</f>
        <v>ਸੇਵ ਕਰੋ</v>
      </c>
      <c r="U485" s="4" t="str">
        <f>IFERROR(__xludf.DUMMYFUNCTION("GOOGLETRANSLATE(B485,""en"",""te"")"),"సేవ్ చేయండి")</f>
        <v>సేవ్ చేయండి</v>
      </c>
      <c r="V485" s="4" t="str">
        <f>IFERROR(__xludf.DUMMYFUNCTION("GOOGLETRANSLATE(B485,""en"",""kn"")"),"ಉಳಿಸಿ")</f>
        <v>ಉಳಿಸಿ</v>
      </c>
      <c r="W485" s="4" t="str">
        <f>IFERROR(__xludf.DUMMYFUNCTION("GOOGLETRANSLATE(B485,""en"",""ml"")"),"സംരക്ഷിക്കുക")</f>
        <v>സംരക്ഷിക്കുക</v>
      </c>
      <c r="X485" s="4" t="str">
        <f>IFERROR(__xludf.DUMMYFUNCTION("GOOGLETRANSLATE(B485,""en"",""th"")"),"บันทึก")</f>
        <v>บันทึก</v>
      </c>
      <c r="Y485" s="4" t="str">
        <f>IFERROR(__xludf.DUMMYFUNCTION("GOOGLETRANSLATE(B485,""en"",""ko"")"),"구하다")</f>
        <v>구하다</v>
      </c>
      <c r="Z485" s="4" t="str">
        <f>IFERROR(__xludf.DUMMYFUNCTION("GOOGLETRANSLATE(B485,""en"",""zh"")"),"节省")</f>
        <v>节省</v>
      </c>
      <c r="AA485" s="4" t="str">
        <f>IFERROR(__xludf.DUMMYFUNCTION("GOOGLETRANSLATE(B485,""en"",""zh-TW"")"),"節省")</f>
        <v>節省</v>
      </c>
      <c r="AB485" s="4" t="str">
        <f>IFERROR(__xludf.DUMMYFUNCTION("GOOGLETRANSLATE(B485,""en"",""ja"")"),"保存")</f>
        <v>保存</v>
      </c>
      <c r="AC485" s="4" t="str">
        <f>IFERROR(__xludf.DUMMYFUNCTION("GOOGLETRANSLATE(B485,""en"",""bg"")"),"Запазване")</f>
        <v>Запазване</v>
      </c>
      <c r="AD485" s="4" t="str">
        <f>IFERROR(__xludf.DUMMYFUNCTION("GOOGLETRANSLATE(B485,""en"",""cs"")"),"Uložit")</f>
        <v>Uložit</v>
      </c>
      <c r="AE485" s="4" t="str">
        <f>IFERROR(__xludf.DUMMYFUNCTION("GOOGLETRANSLATE(B485,""en"",""da"")"),"Spare")</f>
        <v>Spare</v>
      </c>
      <c r="AF485" s="4" t="str">
        <f>IFERROR(__xludf.DUMMYFUNCTION("GOOGLETRANSLATE(B485,""en"",""el"")"),"Εκτός")</f>
        <v>Εκτός</v>
      </c>
      <c r="AG485" s="4" t="str">
        <f>IFERROR(__xludf.DUMMYFUNCTION("GOOGLETRANSLATE(B485,""en"",""et"")"),"Salvesta")</f>
        <v>Salvesta</v>
      </c>
      <c r="AH485" s="4" t="str">
        <f>IFERROR(__xludf.DUMMYFUNCTION("GOOGLETRANSLATE(B485,""en"",""fi"")"),"Tallentaa")</f>
        <v>Tallentaa</v>
      </c>
      <c r="AI485" s="4" t="str">
        <f>IFERROR(__xludf.DUMMYFUNCTION("GOOGLETRANSLATE(B485,""en"",""hr"")"),"Uštedjeti")</f>
        <v>Uštedjeti</v>
      </c>
      <c r="AJ485" s="4" t="str">
        <f>IFERROR(__xludf.DUMMYFUNCTION("GOOGLETRANSLATE(B485,""en"",""hu"")"),"Megtakarítás")</f>
        <v>Megtakarítás</v>
      </c>
      <c r="AK485" s="4" t="str">
        <f>IFERROR(__xludf.DUMMYFUNCTION("GOOGLETRANSLATE(B485,""en"",""hy"")"),"Պահպանել")</f>
        <v>Պահպանել</v>
      </c>
      <c r="AL485" s="4" t="str">
        <f>IFERROR(__xludf.DUMMYFUNCTION("GOOGLETRANSLATE(B485,""en"",""ca"")"),"Desa")</f>
        <v>Desa</v>
      </c>
      <c r="AM485" s="4" t="str">
        <f>IFERROR(__xludf.DUMMYFUNCTION("GOOGLETRANSLATE(B485,""en"",""nl"")"),"Redden")</f>
        <v>Redden</v>
      </c>
      <c r="AN485" s="4" t="str">
        <f>IFERROR(__xludf.DUMMYFUNCTION("GOOGLETRANSLATE(B485,""en"",""he"")"),"לְהַצִיל")</f>
        <v>לְהַצִיל</v>
      </c>
      <c r="AO485" s="4" t="str">
        <f>IFERROR(__xludf.DUMMYFUNCTION("GOOGLETRANSLATE(B485,""en"",""is"")"),"Vista")</f>
        <v>Vista</v>
      </c>
      <c r="AP485" s="4" t="str">
        <f>IFERROR(__xludf.DUMMYFUNCTION("GOOGLETRANSLATE(B485,""en"",""no"")"),"Spare")</f>
        <v>Spare</v>
      </c>
      <c r="AQ485" s="4" t="str">
        <f>IFERROR(__xludf.DUMMYFUNCTION("GOOGLETRANSLATE(B485,""en"",""fa"")"),"ذخیره کنید")</f>
        <v>ذخیره کنید</v>
      </c>
      <c r="AR485" s="4" t="str">
        <f>IFERROR(__xludf.DUMMYFUNCTION("GOOGLETRANSLATE(B485,""en"",""pl"")"),"Ratować")</f>
        <v>Ratować</v>
      </c>
      <c r="AS485" s="4" t="str">
        <f>IFERROR(__xludf.DUMMYFUNCTION("GOOGLETRANSLATE(B485,""en"",""sv"")"),"Spara")</f>
        <v>Spara</v>
      </c>
      <c r="AT485" s="4" t="str">
        <f>IFERROR(__xludf.DUMMYFUNCTION("GOOGLETRANSLATE(B485,""en"",""uk"")"),"зберегти")</f>
        <v>зберегти</v>
      </c>
      <c r="AU485" s="4" t="str">
        <f>IFERROR(__xludf.DUMMYFUNCTION("GOOGLETRANSLATE(B485,""en"",""zu"")"),"Londoloza")</f>
        <v>Londoloza</v>
      </c>
      <c r="AV485" s="4" t="str">
        <f>IFERROR(__xludf.DUMMYFUNCTION("GOOGLETRANSLATE(B485,""en"",""sr"")"),"Сачувај")</f>
        <v>Сачувај</v>
      </c>
    </row>
    <row r="486">
      <c r="A486" s="3" t="s">
        <v>936</v>
      </c>
      <c r="B486" s="3" t="s">
        <v>881</v>
      </c>
      <c r="C486" s="4" t="str">
        <f>IFERROR(__xludf.DUMMYFUNCTION("GOOGLETRANSLATE(B486,""en"",""ta"")"),"காந்தப்புலம்")</f>
        <v>காந்தப்புலம்</v>
      </c>
      <c r="D486" s="4" t="str">
        <f>IFERROR(__xludf.DUMMYFUNCTION("GOOGLETRANSLATE(B486,""en"",""hi"")"),"चुंबकीय क्षेत्र")</f>
        <v>चुंबकीय क्षेत्र</v>
      </c>
      <c r="E486" s="4" t="str">
        <f>IFERROR(__xludf.DUMMYFUNCTION("GOOGLETRANSLATE(B486,""en"",""id"")"),"Medan Magnet")</f>
        <v>Medan Magnet</v>
      </c>
      <c r="F486" s="4" t="str">
        <f>IFERROR(__xludf.DUMMYFUNCTION("GOOGLETRANSLATE(B486,""en"",""ms"")"),"Medan Magnet")</f>
        <v>Medan Magnet</v>
      </c>
      <c r="G486" s="4" t="str">
        <f>IFERROR(__xludf.DUMMYFUNCTION("GOOGLETRANSLATE(B486,""en"",""de"")"),"Magnetfeld")</f>
        <v>Magnetfeld</v>
      </c>
      <c r="H486" s="4" t="str">
        <f>IFERROR(__xludf.DUMMYFUNCTION("GOOGLETRANSLATE(B486,""en"",""es"")"),"Campo magnético")</f>
        <v>Campo magnético</v>
      </c>
      <c r="I486" s="4" t="str">
        <f>IFERROR(__xludf.DUMMYFUNCTION("GOOGLETRANSLATE(B486,""en"",""fr"")"),"Champ magnétique")</f>
        <v>Champ magnétique</v>
      </c>
      <c r="J486" s="4" t="str">
        <f>IFERROR(__xludf.DUMMYFUNCTION("GOOGLETRANSLATE(B486,""en"",""it"")"),"Campo magnetico")</f>
        <v>Campo magnetico</v>
      </c>
      <c r="K486" s="4" t="str">
        <f>IFERROR(__xludf.DUMMYFUNCTION("GOOGLETRANSLATE(B486,""en"",""pt"")"),"Campo magnético")</f>
        <v>Campo magnético</v>
      </c>
      <c r="L486" s="4" t="str">
        <f>IFERROR(__xludf.DUMMYFUNCTION("GOOGLETRANSLATE(B486,""en"",""ro"")"),"Câmp magnetic")</f>
        <v>Câmp magnetic</v>
      </c>
      <c r="M486" s="4" t="str">
        <f>IFERROR(__xludf.DUMMYFUNCTION("GOOGLETRANSLATE(B486,""en"",""vi"")"),"Từ trường")</f>
        <v>Từ trường</v>
      </c>
      <c r="N486" s="4" t="str">
        <f>IFERROR(__xludf.DUMMYFUNCTION("GOOGLETRANSLATE(B486,""en"",""ru"")"),"Магнитное Поле")</f>
        <v>Магнитное Поле</v>
      </c>
      <c r="O486" s="4" t="str">
        <f>IFERROR(__xludf.DUMMYFUNCTION("GOOGLETRANSLATE(B486,""en"",""tr"")"),"Manyetik alan")</f>
        <v>Manyetik alan</v>
      </c>
      <c r="P486" s="4" t="str">
        <f>IFERROR(__xludf.DUMMYFUNCTION("GOOGLETRANSLATE(B486,""en"",""ar"")"),"المجال المغنطيسي")</f>
        <v>المجال المغنطيسي</v>
      </c>
      <c r="Q486" s="4" t="str">
        <f>IFERROR(__xludf.DUMMYFUNCTION("GOOGLETRANSLATE(B486,""en"",""mr"")"),"चुंबकीय क्षेत्र")</f>
        <v>चुंबकीय क्षेत्र</v>
      </c>
      <c r="R486" s="4" t="str">
        <f>IFERROR(__xludf.DUMMYFUNCTION("GOOGLETRANSLATE(B486,""en"",""gu"")"),"ચુંબકીય ક્ષેત્ર")</f>
        <v>ચુંબકીય ક્ષેત્ર</v>
      </c>
      <c r="S486" s="4" t="str">
        <f>IFERROR(__xludf.DUMMYFUNCTION("GOOGLETRANSLATE(B486,""en"",""bn"")"),"চৌম্বক ক্ষেত্র")</f>
        <v>চৌম্বক ক্ষেত্র</v>
      </c>
      <c r="T486" s="4" t="str">
        <f>IFERROR(__xludf.DUMMYFUNCTION("GOOGLETRANSLATE(B486,""en"",""pa"")"),"ਚੁੰਬਕੀ ਖੇਤਰ")</f>
        <v>ਚੁੰਬਕੀ ਖੇਤਰ</v>
      </c>
      <c r="U486" s="4" t="str">
        <f>IFERROR(__xludf.DUMMYFUNCTION("GOOGLETRANSLATE(B486,""en"",""te"")"),"అయస్కాంత క్షేత్రం")</f>
        <v>అయస్కాంత క్షేత్రం</v>
      </c>
      <c r="V486" s="4" t="str">
        <f>IFERROR(__xludf.DUMMYFUNCTION("GOOGLETRANSLATE(B486,""en"",""kn"")"),"ಮ್ಯಾಗ್ನೆಟಿಕ್ ಫೀಲ್ಡ್")</f>
        <v>ಮ್ಯಾಗ್ನೆಟಿಕ್ ಫೀಲ್ಡ್</v>
      </c>
      <c r="W486" s="4" t="str">
        <f>IFERROR(__xludf.DUMMYFUNCTION("GOOGLETRANSLATE(B486,""en"",""ml"")"),"കാന്തിക മണ്ഡലം")</f>
        <v>കാന്തിക മണ്ഡലം</v>
      </c>
      <c r="X486" s="4" t="str">
        <f>IFERROR(__xludf.DUMMYFUNCTION("GOOGLETRANSLATE(B486,""en"",""th"")"),"สนามแม่เหล็ก")</f>
        <v>สนามแม่เหล็ก</v>
      </c>
      <c r="Y486" s="4" t="str">
        <f>IFERROR(__xludf.DUMMYFUNCTION("GOOGLETRANSLATE(B486,""en"",""ko"")"),"자기장")</f>
        <v>자기장</v>
      </c>
      <c r="Z486" s="4" t="str">
        <f>IFERROR(__xludf.DUMMYFUNCTION("GOOGLETRANSLATE(B486,""en"",""zh"")"),"磁场")</f>
        <v>磁场</v>
      </c>
      <c r="AA486" s="4" t="str">
        <f>IFERROR(__xludf.DUMMYFUNCTION("GOOGLETRANSLATE(B486,""en"",""zh-TW"")"),"磁場")</f>
        <v>磁場</v>
      </c>
      <c r="AB486" s="4" t="str">
        <f>IFERROR(__xludf.DUMMYFUNCTION("GOOGLETRANSLATE(B486,""en"",""ja"")"),"磁場")</f>
        <v>磁場</v>
      </c>
      <c r="AC486" s="4" t="str">
        <f>IFERROR(__xludf.DUMMYFUNCTION("GOOGLETRANSLATE(B486,""en"",""bg"")"),"Магнитно поле")</f>
        <v>Магнитно поле</v>
      </c>
      <c r="AD486" s="4" t="str">
        <f>IFERROR(__xludf.DUMMYFUNCTION("GOOGLETRANSLATE(B486,""en"",""cs"")"),"Magnetické pole")</f>
        <v>Magnetické pole</v>
      </c>
      <c r="AE486" s="4" t="str">
        <f>IFERROR(__xludf.DUMMYFUNCTION("GOOGLETRANSLATE(B486,""en"",""da"")"),"Magnetfelt")</f>
        <v>Magnetfelt</v>
      </c>
      <c r="AF486" s="4" t="str">
        <f>IFERROR(__xludf.DUMMYFUNCTION("GOOGLETRANSLATE(B486,""en"",""el"")"),"Μαγνητικό Πεδίο")</f>
        <v>Μαγνητικό Πεδίο</v>
      </c>
      <c r="AG486" s="4" t="str">
        <f>IFERROR(__xludf.DUMMYFUNCTION("GOOGLETRANSLATE(B486,""en"",""et"")"),"Magnetväli")</f>
        <v>Magnetväli</v>
      </c>
      <c r="AH486" s="4" t="str">
        <f>IFERROR(__xludf.DUMMYFUNCTION("GOOGLETRANSLATE(B486,""en"",""fi"")"),"Magneettikenttä")</f>
        <v>Magneettikenttä</v>
      </c>
      <c r="AI486" s="4" t="str">
        <f>IFERROR(__xludf.DUMMYFUNCTION("GOOGLETRANSLATE(B486,""en"",""hr"")"),"Magnetsko polje")</f>
        <v>Magnetsko polje</v>
      </c>
      <c r="AJ486" s="4" t="str">
        <f>IFERROR(__xludf.DUMMYFUNCTION("GOOGLETRANSLATE(B486,""en"",""hu"")"),"Mágneses mező")</f>
        <v>Mágneses mező</v>
      </c>
      <c r="AK486" s="4" t="str">
        <f>IFERROR(__xludf.DUMMYFUNCTION("GOOGLETRANSLATE(B486,""en"",""hy"")"),"Մագնիսական դաշտ")</f>
        <v>Մագնիսական դաշտ</v>
      </c>
      <c r="AL486" s="4" t="str">
        <f>IFERROR(__xludf.DUMMYFUNCTION("GOOGLETRANSLATE(B486,""en"",""ca"")"),"Camp magnètic")</f>
        <v>Camp magnètic</v>
      </c>
      <c r="AM486" s="4" t="str">
        <f>IFERROR(__xludf.DUMMYFUNCTION("GOOGLETRANSLATE(B486,""en"",""nl"")"),"Magnetisch veld")</f>
        <v>Magnetisch veld</v>
      </c>
      <c r="AN486" s="4" t="str">
        <f>IFERROR(__xludf.DUMMYFUNCTION("GOOGLETRANSLATE(B486,""en"",""he"")"),"שדה מגנטי")</f>
        <v>שדה מגנטי</v>
      </c>
      <c r="AO486" s="4" t="str">
        <f>IFERROR(__xludf.DUMMYFUNCTION("GOOGLETRANSLATE(B486,""en"",""is"")"),"Segulsvið")</f>
        <v>Segulsvið</v>
      </c>
      <c r="AP486" s="4" t="str">
        <f>IFERROR(__xludf.DUMMYFUNCTION("GOOGLETRANSLATE(B486,""en"",""no"")"),"Magnetfelt")</f>
        <v>Magnetfelt</v>
      </c>
      <c r="AQ486" s="4" t="str">
        <f>IFERROR(__xludf.DUMMYFUNCTION("GOOGLETRANSLATE(B486,""en"",""fa"")"),"میدان مغناطیسی")</f>
        <v>میدان مغناطیسی</v>
      </c>
      <c r="AR486" s="4" t="str">
        <f>IFERROR(__xludf.DUMMYFUNCTION("GOOGLETRANSLATE(B486,""en"",""pl"")"),"Pole magnetyczne")</f>
        <v>Pole magnetyczne</v>
      </c>
      <c r="AS486" s="4" t="str">
        <f>IFERROR(__xludf.DUMMYFUNCTION("GOOGLETRANSLATE(B486,""en"",""sv"")"),"Magnetfält")</f>
        <v>Magnetfält</v>
      </c>
      <c r="AT486" s="4" t="str">
        <f>IFERROR(__xludf.DUMMYFUNCTION("GOOGLETRANSLATE(B486,""en"",""uk"")"),"Магнітне поле")</f>
        <v>Магнітне поле</v>
      </c>
      <c r="AU486" s="4" t="str">
        <f>IFERROR(__xludf.DUMMYFUNCTION("GOOGLETRANSLATE(B486,""en"",""zu"")"),"Inkambu Yezibuthe")</f>
        <v>Inkambu Yezibuthe</v>
      </c>
      <c r="AV486" s="4" t="str">
        <f>IFERROR(__xludf.DUMMYFUNCTION("GOOGLETRANSLATE(B486,""en"",""sr"")"),"Магнетно поље")</f>
        <v>Магнетно поље</v>
      </c>
    </row>
    <row r="487">
      <c r="A487" s="3" t="s">
        <v>937</v>
      </c>
      <c r="B487" s="3" t="s">
        <v>938</v>
      </c>
      <c r="C487" s="4" t="str">
        <f>IFERROR(__xludf.DUMMYFUNCTION("GOOGLETRANSLATE(B487,""en"",""ta"")"),"எனது திசைகாட்டி திசையை பாருங்கள்!")</f>
        <v>எனது திசைகாட்டி திசையை பாருங்கள்!</v>
      </c>
      <c r="D487" s="4" t="str">
        <f>IFERROR(__xludf.DUMMYFUNCTION("GOOGLETRANSLATE(B487,""en"",""hi"")"),"मेरी कम्पास दिशा की जाँच करें!")</f>
        <v>मेरी कम्पास दिशा की जाँच करें!</v>
      </c>
      <c r="E487" s="4" t="str">
        <f>IFERROR(__xludf.DUMMYFUNCTION("GOOGLETRANSLATE(B487,""en"",""id"")"),"Lihat arah kompas saya!")</f>
        <v>Lihat arah kompas saya!</v>
      </c>
      <c r="F487" s="4" t="str">
        <f>IFERROR(__xludf.DUMMYFUNCTION("GOOGLETRANSLATE(B487,""en"",""ms"")"),"Lihat arah kompas saya!")</f>
        <v>Lihat arah kompas saya!</v>
      </c>
      <c r="G487" s="4" t="str">
        <f>IFERROR(__xludf.DUMMYFUNCTION("GOOGLETRANSLATE(B487,""en"",""de"")"),"Schauen Sie sich meine Kompassrichtung an!")</f>
        <v>Schauen Sie sich meine Kompassrichtung an!</v>
      </c>
      <c r="H487" s="4" t="str">
        <f>IFERROR(__xludf.DUMMYFUNCTION("GOOGLETRANSLATE(B487,""en"",""es"")"),"¡Mira la dirección de mi brújula!")</f>
        <v>¡Mira la dirección de mi brújula!</v>
      </c>
      <c r="I487" s="4" t="str">
        <f>IFERROR(__xludf.DUMMYFUNCTION("GOOGLETRANSLATE(B487,""en"",""fr"")"),"Regardez la direction de ma boussole !")</f>
        <v>Regardez la direction de ma boussole !</v>
      </c>
      <c r="J487" s="4" t="str">
        <f>IFERROR(__xludf.DUMMYFUNCTION("GOOGLETRANSLATE(B487,""en"",""it"")"),"Guarda la direzione della mia bussola!")</f>
        <v>Guarda la direzione della mia bussola!</v>
      </c>
      <c r="K487" s="4" t="str">
        <f>IFERROR(__xludf.DUMMYFUNCTION("GOOGLETRANSLATE(B487,""en"",""pt"")"),"Veja a direção da minha bússola!")</f>
        <v>Veja a direção da minha bússola!</v>
      </c>
      <c r="L487" s="4" t="str">
        <f>IFERROR(__xludf.DUMMYFUNCTION("GOOGLETRANSLATE(B487,""en"",""ro"")"),"Verificați direcția busolei mele!")</f>
        <v>Verificați direcția busolei mele!</v>
      </c>
      <c r="M487" s="4" t="str">
        <f>IFERROR(__xludf.DUMMYFUNCTION("GOOGLETRANSLATE(B487,""en"",""vi"")"),"Hãy xem hướng la bàn của tôi!")</f>
        <v>Hãy xem hướng la bàn của tôi!</v>
      </c>
      <c r="N487" s="4" t="str">
        <f>IFERROR(__xludf.DUMMYFUNCTION("GOOGLETRANSLATE(B487,""en"",""ru"")"),"Проверьте направление моего компаса!")</f>
        <v>Проверьте направление моего компаса!</v>
      </c>
      <c r="O487" s="4" t="str">
        <f>IFERROR(__xludf.DUMMYFUNCTION("GOOGLETRANSLATE(B487,""en"",""tr"")"),"Pusula yönüme bak!")</f>
        <v>Pusula yönüme bak!</v>
      </c>
      <c r="P487" s="4" t="str">
        <f>IFERROR(__xludf.DUMMYFUNCTION("GOOGLETRANSLATE(B487,""en"",""ar"")"),"تحقق من اتجاه البوصلة الخاصة بي!")</f>
        <v>تحقق من اتجاه البوصلة الخاصة بي!</v>
      </c>
      <c r="Q487" s="4" t="str">
        <f>IFERROR(__xludf.DUMMYFUNCTION("GOOGLETRANSLATE(B487,""en"",""mr"")"),"माझी होकायंत्र दिशा पहा!")</f>
        <v>माझी होकायंत्र दिशा पहा!</v>
      </c>
      <c r="R487" s="4" t="str">
        <f>IFERROR(__xludf.DUMMYFUNCTION("GOOGLETRANSLATE(B487,""en"",""gu"")"),"મારી હોકાયંત્ર દિશા તપાસો!")</f>
        <v>મારી હોકાયંત્ર દિશા તપાસો!</v>
      </c>
      <c r="S487" s="4" t="str">
        <f>IFERROR(__xludf.DUMMYFUNCTION("GOOGLETRANSLATE(B487,""en"",""bn"")"),"আমার কম্পাস দিক দেখুন!")</f>
        <v>আমার কম্পাস দিক দেখুন!</v>
      </c>
      <c r="T487" s="4" t="str">
        <f>IFERROR(__xludf.DUMMYFUNCTION("GOOGLETRANSLATE(B487,""en"",""pa"")"),"ਮੇਰੀ ਕੰਪਾਸ ਦਿਸ਼ਾ ਦੀ ਜਾਂਚ ਕਰੋ!")</f>
        <v>ਮੇਰੀ ਕੰਪਾਸ ਦਿਸ਼ਾ ਦੀ ਜਾਂਚ ਕਰੋ!</v>
      </c>
      <c r="U487" s="4" t="str">
        <f>IFERROR(__xludf.DUMMYFUNCTION("GOOGLETRANSLATE(B487,""en"",""te"")"),"నా దిక్సూచి దిశను తనిఖీ చేయండి!")</f>
        <v>నా దిక్సూచి దిశను తనిఖీ చేయండి!</v>
      </c>
      <c r="V487" s="4" t="str">
        <f>IFERROR(__xludf.DUMMYFUNCTION("GOOGLETRANSLATE(B487,""en"",""kn"")"),"ನನ್ನ ದಿಕ್ಸೂಚಿ ದಿಕ್ಕನ್ನು ಪರಿಶೀಲಿಸಿ!")</f>
        <v>ನನ್ನ ದಿಕ್ಸೂಚಿ ದಿಕ್ಕನ್ನು ಪರಿಶೀಲಿಸಿ!</v>
      </c>
      <c r="W487" s="4" t="str">
        <f>IFERROR(__xludf.DUMMYFUNCTION("GOOGLETRANSLATE(B487,""en"",""ml"")"),"എൻ്റെ കോമ്പസ് ദിശ പരിശോധിക്കുക!")</f>
        <v>എൻ്റെ കോമ്പസ് ദിശ പരിശോധിക്കുക!</v>
      </c>
      <c r="X487" s="4" t="str">
        <f>IFERROR(__xludf.DUMMYFUNCTION("GOOGLETRANSLATE(B487,""en"",""th"")"),"ตรวจสอบทิศทางเข็มทิศของฉัน!")</f>
        <v>ตรวจสอบทิศทางเข็มทิศของฉัน!</v>
      </c>
      <c r="Y487" s="4" t="str">
        <f>IFERROR(__xludf.DUMMYFUNCTION("GOOGLETRANSLATE(B487,""en"",""ko"")"),"내 나침반 방향을 확인해 보세요!")</f>
        <v>내 나침반 방향을 확인해 보세요!</v>
      </c>
      <c r="Z487" s="4" t="str">
        <f>IFERROR(__xludf.DUMMYFUNCTION("GOOGLETRANSLATE(B487,""en"",""zh"")"),"看看我的指南针方向！")</f>
        <v>看看我的指南针方向！</v>
      </c>
      <c r="AA487" s="4" t="str">
        <f>IFERROR(__xludf.DUMMYFUNCTION("GOOGLETRANSLATE(B487,""en"",""zh-TW"")"),"看看我的指南針方向！")</f>
        <v>看看我的指南針方向！</v>
      </c>
      <c r="AB487" s="4" t="str">
        <f>IFERROR(__xludf.DUMMYFUNCTION("GOOGLETRANSLATE(B487,""en"",""ja"")"),"私のコンパスの方向を確認してください！")</f>
        <v>私のコンパスの方向を確認してください！</v>
      </c>
      <c r="AC487" s="4" t="str">
        <f>IFERROR(__xludf.DUMMYFUNCTION("GOOGLETRANSLATE(B487,""en"",""bg"")"),"Вижте посоката ми по компаса!")</f>
        <v>Вижте посоката ми по компаса!</v>
      </c>
      <c r="AD487" s="4" t="str">
        <f>IFERROR(__xludf.DUMMYFUNCTION("GOOGLETRANSLATE(B487,""en"",""cs"")"),"Podívejte se na můj směr kompasu!")</f>
        <v>Podívejte se na můj směr kompasu!</v>
      </c>
      <c r="AE487" s="4" t="str">
        <f>IFERROR(__xludf.DUMMYFUNCTION("GOOGLETRANSLATE(B487,""en"",""da"")"),"Tjek min kompasretning!")</f>
        <v>Tjek min kompasretning!</v>
      </c>
      <c r="AF487" s="4" t="str">
        <f>IFERROR(__xludf.DUMMYFUNCTION("GOOGLETRANSLATE(B487,""en"",""el"")"),"Ελέγξτε την κατεύθυνση της πυξίδας μου!")</f>
        <v>Ελέγξτε την κατεύθυνση της πυξίδας μου!</v>
      </c>
      <c r="AG487" s="4" t="str">
        <f>IFERROR(__xludf.DUMMYFUNCTION("GOOGLETRANSLATE(B487,""en"",""et"")"),"Vaadake minu kompassi suunda!")</f>
        <v>Vaadake minu kompassi suunda!</v>
      </c>
      <c r="AH487" s="4" t="str">
        <f>IFERROR(__xludf.DUMMYFUNCTION("GOOGLETRANSLATE(B487,""en"",""fi"")"),"Katso kompassin suunta!")</f>
        <v>Katso kompassin suunta!</v>
      </c>
      <c r="AI487" s="4" t="str">
        <f>IFERROR(__xludf.DUMMYFUNCTION("GOOGLETRANSLATE(B487,""en"",""hr"")"),"Provjerite smjer mog kompasa!")</f>
        <v>Provjerite smjer mog kompasa!</v>
      </c>
      <c r="AJ487" s="4" t="str">
        <f>IFERROR(__xludf.DUMMYFUNCTION("GOOGLETRANSLATE(B487,""en"",""hu"")"),"Nézd meg az iránytűm irányát!")</f>
        <v>Nézd meg az iránytűm irányát!</v>
      </c>
      <c r="AK487" s="4" t="str">
        <f>IFERROR(__xludf.DUMMYFUNCTION("GOOGLETRANSLATE(B487,""en"",""hy"")"),"Ստուգեք իմ կողմնացույցի ուղղությունը:")</f>
        <v>Ստուգեք իմ կողմնացույցի ուղղությունը:</v>
      </c>
      <c r="AL487" s="4" t="str">
        <f>IFERROR(__xludf.DUMMYFUNCTION("GOOGLETRANSLATE(B487,""en"",""ca"")"),"Fes una ullada a la direcció de la meva brúixola!")</f>
        <v>Fes una ullada a la direcció de la meva brúixola!</v>
      </c>
      <c r="AM487" s="4" t="str">
        <f>IFERROR(__xludf.DUMMYFUNCTION("GOOGLETRANSLATE(B487,""en"",""nl"")"),"Kijk eens naar mijn kompasrichting!")</f>
        <v>Kijk eens naar mijn kompasrichting!</v>
      </c>
      <c r="AN487" s="4" t="str">
        <f>IFERROR(__xludf.DUMMYFUNCTION("GOOGLETRANSLATE(B487,""en"",""he"")"),"בדוק את כיוון המצפן שלי!")</f>
        <v>בדוק את כיוון המצפן שלי!</v>
      </c>
      <c r="AO487" s="4" t="str">
        <f>IFERROR(__xludf.DUMMYFUNCTION("GOOGLETRANSLATE(B487,""en"",""is"")"),"Skoðaðu áttavitastefnuna mína!")</f>
        <v>Skoðaðu áttavitastefnuna mína!</v>
      </c>
      <c r="AP487" s="4" t="str">
        <f>IFERROR(__xludf.DUMMYFUNCTION("GOOGLETRANSLATE(B487,""en"",""no"")"),"Sjekk kompassretningen min!")</f>
        <v>Sjekk kompassretningen min!</v>
      </c>
      <c r="AQ487" s="4" t="str">
        <f>IFERROR(__xludf.DUMMYFUNCTION("GOOGLETRANSLATE(B487,""en"",""fa"")"),"جهت قطب نمای من را بررسی کنید!")</f>
        <v>جهت قطب نمای من را بررسی کنید!</v>
      </c>
      <c r="AR487" s="4" t="str">
        <f>IFERROR(__xludf.DUMMYFUNCTION("GOOGLETRANSLATE(B487,""en"",""pl"")"),"Spójrz na mój kierunek kompasu!")</f>
        <v>Spójrz na mój kierunek kompasu!</v>
      </c>
      <c r="AS487" s="4" t="str">
        <f>IFERROR(__xludf.DUMMYFUNCTION("GOOGLETRANSLATE(B487,""en"",""sv"")"),"Kolla in min kompassriktning!")</f>
        <v>Kolla in min kompassriktning!</v>
      </c>
      <c r="AT487" s="4" t="str">
        <f>IFERROR(__xludf.DUMMYFUNCTION("GOOGLETRANSLATE(B487,""en"",""uk"")"),"Перевірте мій напрямок за компасом!")</f>
        <v>Перевірте мій напрямок за компасом!</v>
      </c>
      <c r="AU487" s="4" t="str">
        <f>IFERROR(__xludf.DUMMYFUNCTION("GOOGLETRANSLATE(B487,""en"",""zu"")"),"Bheka isiqondiso sekhampasi yami!")</f>
        <v>Bheka isiqondiso sekhampasi yami!</v>
      </c>
      <c r="AV487" s="4" t="str">
        <f>IFERROR(__xludf.DUMMYFUNCTION("GOOGLETRANSLATE(B487,""en"",""sr"")"),"Погледајте правац мог компаса!")</f>
        <v>Погледајте правац мог компаса!</v>
      </c>
    </row>
    <row r="488">
      <c r="A488" s="3" t="s">
        <v>939</v>
      </c>
      <c r="B488" s="3" t="s">
        <v>940</v>
      </c>
      <c r="C488" s="4" t="str">
        <f>IFERROR(__xludf.DUMMYFUNCTION("GOOGLETRANSLATE(B488,""en"",""ta"")"),"எனது திசை")</f>
        <v>எனது திசை</v>
      </c>
      <c r="D488" s="4" t="str">
        <f>IFERROR(__xludf.DUMMYFUNCTION("GOOGLETRANSLATE(B488,""en"",""hi"")"),"मेरा निर्देश")</f>
        <v>मेरा निर्देश</v>
      </c>
      <c r="E488" s="4" t="str">
        <f>IFERROR(__xludf.DUMMYFUNCTION("GOOGLETRANSLATE(B488,""en"",""id"")"),"Arah Saya")</f>
        <v>Arah Saya</v>
      </c>
      <c r="F488" s="4" t="str">
        <f>IFERROR(__xludf.DUMMYFUNCTION("GOOGLETRANSLATE(B488,""en"",""ms"")"),"Arah Saya")</f>
        <v>Arah Saya</v>
      </c>
      <c r="G488" s="4" t="str">
        <f>IFERROR(__xludf.DUMMYFUNCTION("GOOGLETRANSLATE(B488,""en"",""de"")"),"Meine Richtung")</f>
        <v>Meine Richtung</v>
      </c>
      <c r="H488" s="4" t="str">
        <f>IFERROR(__xludf.DUMMYFUNCTION("GOOGLETRANSLATE(B488,""en"",""es"")"),"Mi dirección")</f>
        <v>Mi dirección</v>
      </c>
      <c r="I488" s="4" t="str">
        <f>IFERROR(__xludf.DUMMYFUNCTION("GOOGLETRANSLATE(B488,""en"",""fr"")"),"Ma direction")</f>
        <v>Ma direction</v>
      </c>
      <c r="J488" s="4" t="str">
        <f>IFERROR(__xludf.DUMMYFUNCTION("GOOGLETRANSLATE(B488,""en"",""it"")"),"La mia direzione")</f>
        <v>La mia direzione</v>
      </c>
      <c r="K488" s="4" t="str">
        <f>IFERROR(__xludf.DUMMYFUNCTION("GOOGLETRANSLATE(B488,""en"",""pt"")"),"Minha direção")</f>
        <v>Minha direção</v>
      </c>
      <c r="L488" s="4" t="str">
        <f>IFERROR(__xludf.DUMMYFUNCTION("GOOGLETRANSLATE(B488,""en"",""ro"")"),"Direcția mea")</f>
        <v>Direcția mea</v>
      </c>
      <c r="M488" s="4" t="str">
        <f>IFERROR(__xludf.DUMMYFUNCTION("GOOGLETRANSLATE(B488,""en"",""vi"")"),"Hướng đi của tôi")</f>
        <v>Hướng đi của tôi</v>
      </c>
      <c r="N488" s="4" t="str">
        <f>IFERROR(__xludf.DUMMYFUNCTION("GOOGLETRANSLATE(B488,""en"",""ru"")"),"Мое направление")</f>
        <v>Мое направление</v>
      </c>
      <c r="O488" s="4" t="str">
        <f>IFERROR(__xludf.DUMMYFUNCTION("GOOGLETRANSLATE(B488,""en"",""tr"")"),"Benim Yönüm")</f>
        <v>Benim Yönüm</v>
      </c>
      <c r="P488" s="4" t="str">
        <f>IFERROR(__xludf.DUMMYFUNCTION("GOOGLETRANSLATE(B488,""en"",""ar"")"),"اتجاهي")</f>
        <v>اتجاهي</v>
      </c>
      <c r="Q488" s="4" t="str">
        <f>IFERROR(__xludf.DUMMYFUNCTION("GOOGLETRANSLATE(B488,""en"",""mr"")"),"माझी दिशा")</f>
        <v>माझी दिशा</v>
      </c>
      <c r="R488" s="4" t="str">
        <f>IFERROR(__xludf.DUMMYFUNCTION("GOOGLETRANSLATE(B488,""en"",""gu"")"),"મારી દિશા")</f>
        <v>મારી દિશા</v>
      </c>
      <c r="S488" s="4" t="str">
        <f>IFERROR(__xludf.DUMMYFUNCTION("GOOGLETRANSLATE(B488,""en"",""bn"")"),"আমার দিকনির্দেশনা")</f>
        <v>আমার দিকনির্দেশনা</v>
      </c>
      <c r="T488" s="4" t="str">
        <f>IFERROR(__xludf.DUMMYFUNCTION("GOOGLETRANSLATE(B488,""en"",""pa"")"),"ਮੇਰੀ ਦਿਸ਼ਾ")</f>
        <v>ਮੇਰੀ ਦਿਸ਼ਾ</v>
      </c>
      <c r="U488" s="4" t="str">
        <f>IFERROR(__xludf.DUMMYFUNCTION("GOOGLETRANSLATE(B488,""en"",""te"")"),"నా డైరెక్షన్")</f>
        <v>నా డైరెక్షన్</v>
      </c>
      <c r="V488" s="4" t="str">
        <f>IFERROR(__xludf.DUMMYFUNCTION("GOOGLETRANSLATE(B488,""en"",""kn"")"),"ನನ್ನ ನಿರ್ದೇಶನ")</f>
        <v>ನನ್ನ ನಿರ್ದೇಶನ</v>
      </c>
      <c r="W488" s="4" t="str">
        <f>IFERROR(__xludf.DUMMYFUNCTION("GOOGLETRANSLATE(B488,""en"",""ml"")"),"എൻ്റെ ദിശ")</f>
        <v>എൻ്റെ ദിശ</v>
      </c>
      <c r="X488" s="4" t="str">
        <f>IFERROR(__xludf.DUMMYFUNCTION("GOOGLETRANSLATE(B488,""en"",""th"")"),"ทิศทางของฉัน")</f>
        <v>ทิศทางของฉัน</v>
      </c>
      <c r="Y488" s="4" t="str">
        <f>IFERROR(__xludf.DUMMYFUNCTION("GOOGLETRANSLATE(B488,""en"",""ko"")"),"내 방향")</f>
        <v>내 방향</v>
      </c>
      <c r="Z488" s="4" t="str">
        <f>IFERROR(__xludf.DUMMYFUNCTION("GOOGLETRANSLATE(B488,""en"",""zh"")"),"我的方向")</f>
        <v>我的方向</v>
      </c>
      <c r="AA488" s="4" t="str">
        <f>IFERROR(__xludf.DUMMYFUNCTION("GOOGLETRANSLATE(B488,""en"",""zh-TW"")"),"我的方向")</f>
        <v>我的方向</v>
      </c>
      <c r="AB488" s="4" t="str">
        <f>IFERROR(__xludf.DUMMYFUNCTION("GOOGLETRANSLATE(B488,""en"",""ja"")"),"私の方向性")</f>
        <v>私の方向性</v>
      </c>
      <c r="AC488" s="4" t="str">
        <f>IFERROR(__xludf.DUMMYFUNCTION("GOOGLETRANSLATE(B488,""en"",""bg"")"),"Моята посока")</f>
        <v>Моята посока</v>
      </c>
      <c r="AD488" s="4" t="str">
        <f>IFERROR(__xludf.DUMMYFUNCTION("GOOGLETRANSLATE(B488,""en"",""cs"")"),"Můj směr")</f>
        <v>Můj směr</v>
      </c>
      <c r="AE488" s="4" t="str">
        <f>IFERROR(__xludf.DUMMYFUNCTION("GOOGLETRANSLATE(B488,""en"",""da"")"),"Min retning")</f>
        <v>Min retning</v>
      </c>
      <c r="AF488" s="4" t="str">
        <f>IFERROR(__xludf.DUMMYFUNCTION("GOOGLETRANSLATE(B488,""en"",""el"")"),"Η Κατεύθυνσή μου")</f>
        <v>Η Κατεύθυνσή μου</v>
      </c>
      <c r="AG488" s="4" t="str">
        <f>IFERROR(__xludf.DUMMYFUNCTION("GOOGLETRANSLATE(B488,""en"",""et"")"),"Minu suund")</f>
        <v>Minu suund</v>
      </c>
      <c r="AH488" s="4" t="str">
        <f>IFERROR(__xludf.DUMMYFUNCTION("GOOGLETRANSLATE(B488,""en"",""fi"")"),"Minun suuntani")</f>
        <v>Minun suuntani</v>
      </c>
      <c r="AI488" s="4" t="str">
        <f>IFERROR(__xludf.DUMMYFUNCTION("GOOGLETRANSLATE(B488,""en"",""hr"")"),"Moj smjer")</f>
        <v>Moj smjer</v>
      </c>
      <c r="AJ488" s="4" t="str">
        <f>IFERROR(__xludf.DUMMYFUNCTION("GOOGLETRANSLATE(B488,""en"",""hu"")"),"Az én irányom")</f>
        <v>Az én irányom</v>
      </c>
      <c r="AK488" s="4" t="str">
        <f>IFERROR(__xludf.DUMMYFUNCTION("GOOGLETRANSLATE(B488,""en"",""hy"")"),"Իմ ուղղությունը")</f>
        <v>Իմ ուղղությունը</v>
      </c>
      <c r="AL488" s="4" t="str">
        <f>IFERROR(__xludf.DUMMYFUNCTION("GOOGLETRANSLATE(B488,""en"",""ca"")"),"La meva direcció")</f>
        <v>La meva direcció</v>
      </c>
      <c r="AM488" s="4" t="str">
        <f>IFERROR(__xludf.DUMMYFUNCTION("GOOGLETRANSLATE(B488,""en"",""nl"")"),"Mijn richting")</f>
        <v>Mijn richting</v>
      </c>
      <c r="AN488" s="4" t="str">
        <f>IFERROR(__xludf.DUMMYFUNCTION("GOOGLETRANSLATE(B488,""en"",""he"")"),"הכיוון שלי")</f>
        <v>הכיוון שלי</v>
      </c>
      <c r="AO488" s="4" t="str">
        <f>IFERROR(__xludf.DUMMYFUNCTION("GOOGLETRANSLATE(B488,""en"",""is"")"),"Mín stefna")</f>
        <v>Mín stefna</v>
      </c>
      <c r="AP488" s="4" t="str">
        <f>IFERROR(__xludf.DUMMYFUNCTION("GOOGLETRANSLATE(B488,""en"",""no"")"),"Min retning")</f>
        <v>Min retning</v>
      </c>
      <c r="AQ488" s="4" t="str">
        <f>IFERROR(__xludf.DUMMYFUNCTION("GOOGLETRANSLATE(B488,""en"",""fa"")"),"جهت من")</f>
        <v>جهت من</v>
      </c>
      <c r="AR488" s="4" t="str">
        <f>IFERROR(__xludf.DUMMYFUNCTION("GOOGLETRANSLATE(B488,""en"",""pl"")"),"Mój kierunek")</f>
        <v>Mój kierunek</v>
      </c>
      <c r="AS488" s="4" t="str">
        <f>IFERROR(__xludf.DUMMYFUNCTION("GOOGLETRANSLATE(B488,""en"",""sv"")"),"Min riktning")</f>
        <v>Min riktning</v>
      </c>
      <c r="AT488" s="4" t="str">
        <f>IFERROR(__xludf.DUMMYFUNCTION("GOOGLETRANSLATE(B488,""en"",""uk"")"),"Мій напрямок")</f>
        <v>Мій напрямок</v>
      </c>
      <c r="AU488" s="4" t="str">
        <f>IFERROR(__xludf.DUMMYFUNCTION("GOOGLETRANSLATE(B488,""en"",""zu"")"),"Indlela Yami")</f>
        <v>Indlela Yami</v>
      </c>
      <c r="AV488" s="4" t="str">
        <f>IFERROR(__xludf.DUMMYFUNCTION("GOOGLETRANSLATE(B488,""en"",""sr"")"),"Ми Дирецтион")</f>
        <v>Ми Дирецтион</v>
      </c>
    </row>
    <row r="489">
      <c r="A489" s="3" t="s">
        <v>941</v>
      </c>
      <c r="B489" s="3" t="s">
        <v>942</v>
      </c>
      <c r="C489" s="4" t="str">
        <f>IFERROR(__xludf.DUMMYFUNCTION("GOOGLETRANSLATE(B489,""en"",""ta"")"),"இலக்கு திசை")</f>
        <v>இலக்கு திசை</v>
      </c>
      <c r="D489" s="4" t="str">
        <f>IFERROR(__xludf.DUMMYFUNCTION("GOOGLETRANSLATE(B489,""en"",""hi"")"),"लक्ष्य दिशा")</f>
        <v>लक्ष्य दिशा</v>
      </c>
      <c r="E489" s="4" t="str">
        <f>IFERROR(__xludf.DUMMYFUNCTION("GOOGLETRANSLATE(B489,""en"",""id"")"),"Arah Sasaran")</f>
        <v>Arah Sasaran</v>
      </c>
      <c r="F489" s="4" t="str">
        <f>IFERROR(__xludf.DUMMYFUNCTION("GOOGLETRANSLATE(B489,""en"",""ms"")"),"Arah Sasaran")</f>
        <v>Arah Sasaran</v>
      </c>
      <c r="G489" s="4" t="str">
        <f>IFERROR(__xludf.DUMMYFUNCTION("GOOGLETRANSLATE(B489,""en"",""de"")"),"Zielrichtung")</f>
        <v>Zielrichtung</v>
      </c>
      <c r="H489" s="4" t="str">
        <f>IFERROR(__xludf.DUMMYFUNCTION("GOOGLETRANSLATE(B489,""en"",""es"")"),"Dirección del objetivo")</f>
        <v>Dirección del objetivo</v>
      </c>
      <c r="I489" s="4" t="str">
        <f>IFERROR(__xludf.DUMMYFUNCTION("GOOGLETRANSLATE(B489,""en"",""fr"")"),"Direction de la cible")</f>
        <v>Direction de la cible</v>
      </c>
      <c r="J489" s="4" t="str">
        <f>IFERROR(__xludf.DUMMYFUNCTION("GOOGLETRANSLATE(B489,""en"",""it"")"),"Direzione dell'obiettivo")</f>
        <v>Direzione dell'obiettivo</v>
      </c>
      <c r="K489" s="4" t="str">
        <f>IFERROR(__xludf.DUMMYFUNCTION("GOOGLETRANSLATE(B489,""en"",""pt"")"),"Direção do alvo")</f>
        <v>Direção do alvo</v>
      </c>
      <c r="L489" s="4" t="str">
        <f>IFERROR(__xludf.DUMMYFUNCTION("GOOGLETRANSLATE(B489,""en"",""ro"")"),"Direcția țintă")</f>
        <v>Direcția țintă</v>
      </c>
      <c r="M489" s="4" t="str">
        <f>IFERROR(__xludf.DUMMYFUNCTION("GOOGLETRANSLATE(B489,""en"",""vi"")"),"Hướng mục tiêu")</f>
        <v>Hướng mục tiêu</v>
      </c>
      <c r="N489" s="4" t="str">
        <f>IFERROR(__xludf.DUMMYFUNCTION("GOOGLETRANSLATE(B489,""en"",""ru"")"),"Направление цели")</f>
        <v>Направление цели</v>
      </c>
      <c r="O489" s="4" t="str">
        <f>IFERROR(__xludf.DUMMYFUNCTION("GOOGLETRANSLATE(B489,""en"",""tr"")"),"Hedef Yön")</f>
        <v>Hedef Yön</v>
      </c>
      <c r="P489" s="4" t="str">
        <f>IFERROR(__xludf.DUMMYFUNCTION("GOOGLETRANSLATE(B489,""en"",""ar"")"),"اتجاه الهدف")</f>
        <v>اتجاه الهدف</v>
      </c>
      <c r="Q489" s="4" t="str">
        <f>IFERROR(__xludf.DUMMYFUNCTION("GOOGLETRANSLATE(B489,""en"",""mr"")"),"लक्ष्य दिशा")</f>
        <v>लक्ष्य दिशा</v>
      </c>
      <c r="R489" s="4" t="str">
        <f>IFERROR(__xludf.DUMMYFUNCTION("GOOGLETRANSLATE(B489,""en"",""gu"")"),"લક્ષ્ય દિશા")</f>
        <v>લક્ષ્ય દિશા</v>
      </c>
      <c r="S489" s="4" t="str">
        <f>IFERROR(__xludf.DUMMYFUNCTION("GOOGLETRANSLATE(B489,""en"",""bn"")"),"টার্গেট ডিরেকশন")</f>
        <v>টার্গেট ডিরেকশন</v>
      </c>
      <c r="T489" s="4" t="str">
        <f>IFERROR(__xludf.DUMMYFUNCTION("GOOGLETRANSLATE(B489,""en"",""pa"")"),"ਟੀਚਾ ਦਿਸ਼ਾ")</f>
        <v>ਟੀਚਾ ਦਿਸ਼ਾ</v>
      </c>
      <c r="U489" s="4" t="str">
        <f>IFERROR(__xludf.DUMMYFUNCTION("GOOGLETRANSLATE(B489,""en"",""te"")"),"లక్ష్య దిశ")</f>
        <v>లక్ష్య దిశ</v>
      </c>
      <c r="V489" s="4" t="str">
        <f>IFERROR(__xludf.DUMMYFUNCTION("GOOGLETRANSLATE(B489,""en"",""kn"")"),"ಗುರಿ ನಿರ್ದೇಶನ")</f>
        <v>ಗುರಿ ನಿರ್ದೇಶನ</v>
      </c>
      <c r="W489" s="4" t="str">
        <f>IFERROR(__xludf.DUMMYFUNCTION("GOOGLETRANSLATE(B489,""en"",""ml"")"),"ലക്ഷ്യ ദിശ")</f>
        <v>ലക്ഷ്യ ദിശ</v>
      </c>
      <c r="X489" s="4" t="str">
        <f>IFERROR(__xludf.DUMMYFUNCTION("GOOGLETRANSLATE(B489,""en"",""th"")"),"ทิศทางเป้าหมาย")</f>
        <v>ทิศทางเป้าหมาย</v>
      </c>
      <c r="Y489" s="4" t="str">
        <f>IFERROR(__xludf.DUMMYFUNCTION("GOOGLETRANSLATE(B489,""en"",""ko"")"),"목표 방향")</f>
        <v>목표 방향</v>
      </c>
      <c r="Z489" s="4" t="str">
        <f>IFERROR(__xludf.DUMMYFUNCTION("GOOGLETRANSLATE(B489,""en"",""zh"")"),"目标方向")</f>
        <v>目标方向</v>
      </c>
      <c r="AA489" s="4" t="str">
        <f>IFERROR(__xludf.DUMMYFUNCTION("GOOGLETRANSLATE(B489,""en"",""zh-TW"")"),"目標方向")</f>
        <v>目標方向</v>
      </c>
      <c r="AB489" s="4" t="str">
        <f>IFERROR(__xludf.DUMMYFUNCTION("GOOGLETRANSLATE(B489,""en"",""ja"")"),"ターゲット方向")</f>
        <v>ターゲット方向</v>
      </c>
      <c r="AC489" s="4" t="str">
        <f>IFERROR(__xludf.DUMMYFUNCTION("GOOGLETRANSLATE(B489,""en"",""bg"")"),"Целева посока")</f>
        <v>Целева посока</v>
      </c>
      <c r="AD489" s="4" t="str">
        <f>IFERROR(__xludf.DUMMYFUNCTION("GOOGLETRANSLATE(B489,""en"",""cs"")"),"Cílový směr")</f>
        <v>Cílový směr</v>
      </c>
      <c r="AE489" s="4" t="str">
        <f>IFERROR(__xludf.DUMMYFUNCTION("GOOGLETRANSLATE(B489,""en"",""da"")"),"Målretning")</f>
        <v>Målretning</v>
      </c>
      <c r="AF489" s="4" t="str">
        <f>IFERROR(__xludf.DUMMYFUNCTION("GOOGLETRANSLATE(B489,""en"",""el"")"),"Κατεύθυνση Στόχου")</f>
        <v>Κατεύθυνση Στόχου</v>
      </c>
      <c r="AG489" s="4" t="str">
        <f>IFERROR(__xludf.DUMMYFUNCTION("GOOGLETRANSLATE(B489,""en"",""et"")"),"Sihtsuund")</f>
        <v>Sihtsuund</v>
      </c>
      <c r="AH489" s="4" t="str">
        <f>IFERROR(__xludf.DUMMYFUNCTION("GOOGLETRANSLATE(B489,""en"",""fi"")"),"Kohdesuunta")</f>
        <v>Kohdesuunta</v>
      </c>
      <c r="AI489" s="4" t="str">
        <f>IFERROR(__xludf.DUMMYFUNCTION("GOOGLETRANSLATE(B489,""en"",""hr"")"),"Ciljni smjer")</f>
        <v>Ciljni smjer</v>
      </c>
      <c r="AJ489" s="4" t="str">
        <f>IFERROR(__xludf.DUMMYFUNCTION("GOOGLETRANSLATE(B489,""en"",""hu"")"),"Cél Irány")</f>
        <v>Cél Irány</v>
      </c>
      <c r="AK489" s="4" t="str">
        <f>IFERROR(__xludf.DUMMYFUNCTION("GOOGLETRANSLATE(B489,""en"",""hy"")"),"Թիրախային ուղղություն")</f>
        <v>Թիրախային ուղղություն</v>
      </c>
      <c r="AL489" s="4" t="str">
        <f>IFERROR(__xludf.DUMMYFUNCTION("GOOGLETRANSLATE(B489,""en"",""ca"")"),"Direcció objectiu")</f>
        <v>Direcció objectiu</v>
      </c>
      <c r="AM489" s="4" t="str">
        <f>IFERROR(__xludf.DUMMYFUNCTION("GOOGLETRANSLATE(B489,""en"",""nl"")"),"Doelrichting")</f>
        <v>Doelrichting</v>
      </c>
      <c r="AN489" s="4" t="str">
        <f>IFERROR(__xludf.DUMMYFUNCTION("GOOGLETRANSLATE(B489,""en"",""he"")"),"כיוון יעד")</f>
        <v>כיוון יעד</v>
      </c>
      <c r="AO489" s="4" t="str">
        <f>IFERROR(__xludf.DUMMYFUNCTION("GOOGLETRANSLATE(B489,""en"",""is"")"),"Markmiðsstefna")</f>
        <v>Markmiðsstefna</v>
      </c>
      <c r="AP489" s="4" t="str">
        <f>IFERROR(__xludf.DUMMYFUNCTION("GOOGLETRANSLATE(B489,""en"",""no"")"),"Målretning")</f>
        <v>Målretning</v>
      </c>
      <c r="AQ489" s="4" t="str">
        <f>IFERROR(__xludf.DUMMYFUNCTION("GOOGLETRANSLATE(B489,""en"",""fa"")"),"جهت هدف")</f>
        <v>جهت هدف</v>
      </c>
      <c r="AR489" s="4" t="str">
        <f>IFERROR(__xludf.DUMMYFUNCTION("GOOGLETRANSLATE(B489,""en"",""pl"")"),"Kierunek docelowy")</f>
        <v>Kierunek docelowy</v>
      </c>
      <c r="AS489" s="4" t="str">
        <f>IFERROR(__xludf.DUMMYFUNCTION("GOOGLETRANSLATE(B489,""en"",""sv"")"),"Målriktning")</f>
        <v>Målriktning</v>
      </c>
      <c r="AT489" s="4" t="str">
        <f>IFERROR(__xludf.DUMMYFUNCTION("GOOGLETRANSLATE(B489,""en"",""uk"")"),"Цільовий напрямок")</f>
        <v>Цільовий напрямок</v>
      </c>
      <c r="AU489" s="4" t="str">
        <f>IFERROR(__xludf.DUMMYFUNCTION("GOOGLETRANSLATE(B489,""en"",""zu"")"),"Ukuqondisa okuqondisiwe")</f>
        <v>Ukuqondisa okuqondisiwe</v>
      </c>
      <c r="AV489" s="4" t="str">
        <f>IFERROR(__xludf.DUMMYFUNCTION("GOOGLETRANSLATE(B489,""en"",""sr"")"),"Таргет Дирецтион")</f>
        <v>Таргет Дирецтион</v>
      </c>
    </row>
    <row r="490">
      <c r="A490" s="3" t="s">
        <v>943</v>
      </c>
      <c r="B490" s="3" t="s">
        <v>944</v>
      </c>
      <c r="C490" s="4" t="str">
        <f>IFERROR(__xludf.DUMMYFUNCTION("GOOGLETRANSLATE(B490,""en"",""ta"")"),"NE")</f>
        <v>NE</v>
      </c>
      <c r="D490" s="4" t="str">
        <f>IFERROR(__xludf.DUMMYFUNCTION("GOOGLETRANSLATE(B490,""en"",""hi"")"),"पूर्वोत्तर")</f>
        <v>पूर्वोत्तर</v>
      </c>
      <c r="E490" s="4" t="str">
        <f>IFERROR(__xludf.DUMMYFUNCTION("GOOGLETRANSLATE(B490,""en"",""id"")"),"TAK ADA")</f>
        <v>TAK ADA</v>
      </c>
      <c r="F490" s="4" t="str">
        <f>IFERROR(__xludf.DUMMYFUNCTION("GOOGLETRANSLATE(B490,""en"",""ms"")"),"NE")</f>
        <v>NE</v>
      </c>
      <c r="G490" s="4" t="str">
        <f>IFERROR(__xludf.DUMMYFUNCTION("GOOGLETRANSLATE(B490,""en"",""de"")"),"NE")</f>
        <v>NE</v>
      </c>
      <c r="H490" s="4" t="str">
        <f>IFERROR(__xludf.DUMMYFUNCTION("GOOGLETRANSLATE(B490,""en"",""es"")"),"nordeste")</f>
        <v>nordeste</v>
      </c>
      <c r="I490" s="4" t="str">
        <f>IFERROR(__xludf.DUMMYFUNCTION("GOOGLETRANSLATE(B490,""en"",""fr"")"),"NE")</f>
        <v>NE</v>
      </c>
      <c r="J490" s="4" t="str">
        <f>IFERROR(__xludf.DUMMYFUNCTION("GOOGLETRANSLATE(B490,""en"",""it"")"),"NE")</f>
        <v>NE</v>
      </c>
      <c r="K490" s="4" t="str">
        <f>IFERROR(__xludf.DUMMYFUNCTION("GOOGLETRANSLATE(B490,""en"",""pt"")"),"NE")</f>
        <v>NE</v>
      </c>
      <c r="L490" s="4" t="str">
        <f>IFERROR(__xludf.DUMMYFUNCTION("GOOGLETRANSLATE(B490,""en"",""ro"")"),"NE")</f>
        <v>NE</v>
      </c>
      <c r="M490" s="4" t="str">
        <f>IFERROR(__xludf.DUMMYFUNCTION("GOOGLETRANSLATE(B490,""en"",""vi"")"),"Đông Bắc")</f>
        <v>Đông Bắc</v>
      </c>
      <c r="N490" s="4" t="str">
        <f>IFERROR(__xludf.DUMMYFUNCTION("GOOGLETRANSLATE(B490,""en"",""ru"")"),"СВ")</f>
        <v>СВ</v>
      </c>
      <c r="O490" s="4" t="str">
        <f>IFERROR(__xludf.DUMMYFUNCTION("GOOGLETRANSLATE(B490,""en"",""tr"")"),"Kuzeydoğu")</f>
        <v>Kuzeydoğu</v>
      </c>
      <c r="P490" s="4" t="str">
        <f>IFERROR(__xludf.DUMMYFUNCTION("GOOGLETRANSLATE(B490,""en"",""ar"")"),"شمال شرق")</f>
        <v>شمال شرق</v>
      </c>
      <c r="Q490" s="4" t="str">
        <f>IFERROR(__xludf.DUMMYFUNCTION("GOOGLETRANSLATE(B490,""en"",""mr"")"),"NE")</f>
        <v>NE</v>
      </c>
      <c r="R490" s="4" t="str">
        <f>IFERROR(__xludf.DUMMYFUNCTION("GOOGLETRANSLATE(B490,""en"",""gu"")"),"NE")</f>
        <v>NE</v>
      </c>
      <c r="S490" s="4" t="str">
        <f>IFERROR(__xludf.DUMMYFUNCTION("GOOGLETRANSLATE(B490,""en"",""bn"")"),"NE")</f>
        <v>NE</v>
      </c>
      <c r="T490" s="4" t="str">
        <f>IFERROR(__xludf.DUMMYFUNCTION("GOOGLETRANSLATE(B490,""en"",""pa"")"),"NE")</f>
        <v>NE</v>
      </c>
      <c r="U490" s="4" t="str">
        <f>IFERROR(__xludf.DUMMYFUNCTION("GOOGLETRANSLATE(B490,""en"",""te"")"),"NE")</f>
        <v>NE</v>
      </c>
      <c r="V490" s="4" t="str">
        <f>IFERROR(__xludf.DUMMYFUNCTION("GOOGLETRANSLATE(B490,""en"",""kn"")"),"NE")</f>
        <v>NE</v>
      </c>
      <c r="W490" s="4" t="str">
        <f>IFERROR(__xludf.DUMMYFUNCTION("GOOGLETRANSLATE(B490,""en"",""ml"")"),"NE")</f>
        <v>NE</v>
      </c>
      <c r="X490" s="4" t="str">
        <f>IFERROR(__xludf.DUMMYFUNCTION("GOOGLETRANSLATE(B490,""en"",""th"")"),"เน")</f>
        <v>เน</v>
      </c>
      <c r="Y490" s="4" t="str">
        <f>IFERROR(__xludf.DUMMYFUNCTION("GOOGLETRANSLATE(B490,""en"",""ko"")"),"북동")</f>
        <v>북동</v>
      </c>
      <c r="Z490" s="4" t="str">
        <f>IFERROR(__xludf.DUMMYFUNCTION("GOOGLETRANSLATE(B490,""en"",""zh"")"),"东北")</f>
        <v>东北</v>
      </c>
      <c r="AA490" s="4" t="str">
        <f>IFERROR(__xludf.DUMMYFUNCTION("GOOGLETRANSLATE(B490,""en"",""zh-TW"")"),"東北")</f>
        <v>東北</v>
      </c>
      <c r="AB490" s="4" t="str">
        <f>IFERROR(__xludf.DUMMYFUNCTION("GOOGLETRANSLATE(B490,""en"",""ja"")"),"北東")</f>
        <v>北東</v>
      </c>
      <c r="AC490" s="4" t="str">
        <f>IFERROR(__xludf.DUMMYFUNCTION("GOOGLETRANSLATE(B490,""en"",""bg"")"),"NE")</f>
        <v>NE</v>
      </c>
      <c r="AD490" s="4" t="str">
        <f>IFERROR(__xludf.DUMMYFUNCTION("GOOGLETRANSLATE(B490,""en"",""cs"")"),"NE")</f>
        <v>NE</v>
      </c>
      <c r="AE490" s="4" t="str">
        <f>IFERROR(__xludf.DUMMYFUNCTION("GOOGLETRANSLATE(B490,""en"",""da"")"),"NE")</f>
        <v>NE</v>
      </c>
      <c r="AF490" s="4" t="str">
        <f>IFERROR(__xludf.DUMMYFUNCTION("GOOGLETRANSLATE(B490,""en"",""el"")"),"ΒΑ")</f>
        <v>ΒΑ</v>
      </c>
      <c r="AG490" s="4" t="str">
        <f>IFERROR(__xludf.DUMMYFUNCTION("GOOGLETRANSLATE(B490,""en"",""et"")"),"NE")</f>
        <v>NE</v>
      </c>
      <c r="AH490" s="4" t="str">
        <f>IFERROR(__xludf.DUMMYFUNCTION("GOOGLETRANSLATE(B490,""en"",""fi"")"),"NE")</f>
        <v>NE</v>
      </c>
      <c r="AI490" s="4" t="str">
        <f>IFERROR(__xludf.DUMMYFUNCTION("GOOGLETRANSLATE(B490,""en"",""hr"")"),"NE")</f>
        <v>NE</v>
      </c>
      <c r="AJ490" s="4" t="str">
        <f>IFERROR(__xludf.DUMMYFUNCTION("GOOGLETRANSLATE(B490,""en"",""hu"")"),"NE")</f>
        <v>NE</v>
      </c>
      <c r="AK490" s="4" t="str">
        <f>IFERROR(__xludf.DUMMYFUNCTION("GOOGLETRANSLATE(B490,""en"",""hy"")"),"ՆԵ")</f>
        <v>ՆԵ</v>
      </c>
      <c r="AL490" s="4" t="str">
        <f>IFERROR(__xludf.DUMMYFUNCTION("GOOGLETRANSLATE(B490,""en"",""ca"")"),"NE")</f>
        <v>NE</v>
      </c>
      <c r="AM490" s="4" t="str">
        <f>IFERROR(__xludf.DUMMYFUNCTION("GOOGLETRANSLATE(B490,""en"",""nl"")"),"NO")</f>
        <v>NO</v>
      </c>
      <c r="AN490" s="4" t="str">
        <f>IFERROR(__xludf.DUMMYFUNCTION("GOOGLETRANSLATE(B490,""en"",""he"")"),"NE")</f>
        <v>NE</v>
      </c>
      <c r="AO490" s="4" t="str">
        <f>IFERROR(__xludf.DUMMYFUNCTION("GOOGLETRANSLATE(B490,""en"",""is"")"),"NE")</f>
        <v>NE</v>
      </c>
      <c r="AP490" s="4" t="str">
        <f>IFERROR(__xludf.DUMMYFUNCTION("GOOGLETRANSLATE(B490,""en"",""no"")"),"NE")</f>
        <v>NE</v>
      </c>
      <c r="AQ490" s="4" t="str">
        <f>IFERROR(__xludf.DUMMYFUNCTION("GOOGLETRANSLATE(B490,""en"",""fa"")"),"NE")</f>
        <v>NE</v>
      </c>
      <c r="AR490" s="4" t="str">
        <f>IFERROR(__xludf.DUMMYFUNCTION("GOOGLETRANSLATE(B490,""en"",""pl"")"),"NE")</f>
        <v>NE</v>
      </c>
      <c r="AS490" s="4" t="str">
        <f>IFERROR(__xludf.DUMMYFUNCTION("GOOGLETRANSLATE(B490,""en"",""sv"")"),"NE")</f>
        <v>NE</v>
      </c>
      <c r="AT490" s="4" t="str">
        <f>IFERROR(__xludf.DUMMYFUNCTION("GOOGLETRANSLATE(B490,""en"",""uk"")"),"NE")</f>
        <v>NE</v>
      </c>
      <c r="AU490" s="4" t="str">
        <f>IFERROR(__xludf.DUMMYFUNCTION("GOOGLETRANSLATE(B490,""en"",""zu"")"),"NE")</f>
        <v>NE</v>
      </c>
      <c r="AV490" s="4" t="str">
        <f>IFERROR(__xludf.DUMMYFUNCTION("GOOGLETRANSLATE(B490,""en"",""sr"")"),"НЕ")</f>
        <v>НЕ</v>
      </c>
    </row>
    <row r="491">
      <c r="A491" s="3" t="s">
        <v>945</v>
      </c>
      <c r="B491" s="3" t="s">
        <v>946</v>
      </c>
      <c r="C491" s="4" t="str">
        <f>IFERROR(__xludf.DUMMYFUNCTION("GOOGLETRANSLATE(B491,""en"",""ta"")"),"SE")</f>
        <v>SE</v>
      </c>
      <c r="D491" s="4" t="str">
        <f>IFERROR(__xludf.DUMMYFUNCTION("GOOGLETRANSLATE(B491,""en"",""hi"")"),"से")</f>
        <v>से</v>
      </c>
      <c r="E491" s="4" t="str">
        <f>IFERROR(__xludf.DUMMYFUNCTION("GOOGLETRANSLATE(B491,""en"",""id"")"),"Bahasa Inggris")</f>
        <v>Bahasa Inggris</v>
      </c>
      <c r="F491" s="4" t="str">
        <f>IFERROR(__xludf.DUMMYFUNCTION("GOOGLETRANSLATE(B491,""en"",""ms"")"),"SE")</f>
        <v>SE</v>
      </c>
      <c r="G491" s="4" t="str">
        <f>IFERROR(__xludf.DUMMYFUNCTION("GOOGLETRANSLATE(B491,""en"",""de"")"),"SE")</f>
        <v>SE</v>
      </c>
      <c r="H491" s="4" t="str">
        <f>IFERROR(__xludf.DUMMYFUNCTION("GOOGLETRANSLATE(B491,""en"",""es"")"),"SE")</f>
        <v>SE</v>
      </c>
      <c r="I491" s="4" t="str">
        <f>IFERROR(__xludf.DUMMYFUNCTION("GOOGLETRANSLATE(B491,""en"",""fr"")"),"SE")</f>
        <v>SE</v>
      </c>
      <c r="J491" s="4" t="str">
        <f>IFERROR(__xludf.DUMMYFUNCTION("GOOGLETRANSLATE(B491,""en"",""it"")"),"SE")</f>
        <v>SE</v>
      </c>
      <c r="K491" s="4" t="str">
        <f>IFERROR(__xludf.DUMMYFUNCTION("GOOGLETRANSLATE(B491,""en"",""pt"")"),"SE")</f>
        <v>SE</v>
      </c>
      <c r="L491" s="4" t="str">
        <f>IFERROR(__xludf.DUMMYFUNCTION("GOOGLETRANSLATE(B491,""en"",""ro"")"),"SE")</f>
        <v>SE</v>
      </c>
      <c r="M491" s="4" t="str">
        <f>IFERROR(__xludf.DUMMYFUNCTION("GOOGLETRANSLATE(B491,""en"",""vi"")"),"ĐN")</f>
        <v>ĐN</v>
      </c>
      <c r="N491" s="4" t="str">
        <f>IFERROR(__xludf.DUMMYFUNCTION("GOOGLETRANSLATE(B491,""en"",""ru"")"),"ЮВ")</f>
        <v>ЮВ</v>
      </c>
      <c r="O491" s="4" t="str">
        <f>IFERROR(__xludf.DUMMYFUNCTION("GOOGLETRANSLATE(B491,""en"",""tr"")"),"Güney Doğu")</f>
        <v>Güney Doğu</v>
      </c>
      <c r="P491" s="4" t="str">
        <f>IFERROR(__xludf.DUMMYFUNCTION("GOOGLETRANSLATE(B491,""en"",""ar"")"),"جنوب شرق")</f>
        <v>جنوب شرق</v>
      </c>
      <c r="Q491" s="4" t="str">
        <f>IFERROR(__xludf.DUMMYFUNCTION("GOOGLETRANSLATE(B491,""en"",""mr"")"),"एसई")</f>
        <v>एसई</v>
      </c>
      <c r="R491" s="4" t="str">
        <f>IFERROR(__xludf.DUMMYFUNCTION("GOOGLETRANSLATE(B491,""en"",""gu"")"),"SE")</f>
        <v>SE</v>
      </c>
      <c r="S491" s="4" t="str">
        <f>IFERROR(__xludf.DUMMYFUNCTION("GOOGLETRANSLATE(B491,""en"",""bn"")"),"এসই")</f>
        <v>এসই</v>
      </c>
      <c r="T491" s="4" t="str">
        <f>IFERROR(__xludf.DUMMYFUNCTION("GOOGLETRANSLATE(B491,""en"",""pa"")"),"ਐਸ.ਈ")</f>
        <v>ਐਸ.ਈ</v>
      </c>
      <c r="U491" s="4" t="str">
        <f>IFERROR(__xludf.DUMMYFUNCTION("GOOGLETRANSLATE(B491,""en"",""te"")"),"SE")</f>
        <v>SE</v>
      </c>
      <c r="V491" s="4" t="str">
        <f>IFERROR(__xludf.DUMMYFUNCTION("GOOGLETRANSLATE(B491,""en"",""kn"")"),"SE")</f>
        <v>SE</v>
      </c>
      <c r="W491" s="4" t="str">
        <f>IFERROR(__xludf.DUMMYFUNCTION("GOOGLETRANSLATE(B491,""en"",""ml"")"),"എസ്.ഇ")</f>
        <v>എസ്.ഇ</v>
      </c>
      <c r="X491" s="4" t="str">
        <f>IFERROR(__xludf.DUMMYFUNCTION("GOOGLETRANSLATE(B491,""en"",""th"")"),"เอสอี")</f>
        <v>เอสอี</v>
      </c>
      <c r="Y491" s="4" t="str">
        <f>IFERROR(__xludf.DUMMYFUNCTION("GOOGLETRANSLATE(B491,""en"",""ko"")"),"남동")</f>
        <v>남동</v>
      </c>
      <c r="Z491" s="4" t="str">
        <f>IFERROR(__xludf.DUMMYFUNCTION("GOOGLETRANSLATE(B491,""en"",""zh"")"),"东南")</f>
        <v>东南</v>
      </c>
      <c r="AA491" s="4" t="str">
        <f>IFERROR(__xludf.DUMMYFUNCTION("GOOGLETRANSLATE(B491,""en"",""zh-TW"")"),"東南")</f>
        <v>東南</v>
      </c>
      <c r="AB491" s="4" t="str">
        <f>IFERROR(__xludf.DUMMYFUNCTION("GOOGLETRANSLATE(B491,""en"",""ja"")"),"南東")</f>
        <v>南東</v>
      </c>
      <c r="AC491" s="4" t="str">
        <f>IFERROR(__xludf.DUMMYFUNCTION("GOOGLETRANSLATE(B491,""en"",""bg"")"),"SE")</f>
        <v>SE</v>
      </c>
      <c r="AD491" s="4" t="str">
        <f>IFERROR(__xludf.DUMMYFUNCTION("GOOGLETRANSLATE(B491,""en"",""cs"")"),"SE")</f>
        <v>SE</v>
      </c>
      <c r="AE491" s="4" t="str">
        <f>IFERROR(__xludf.DUMMYFUNCTION("GOOGLETRANSLATE(B491,""en"",""da"")"),"SE")</f>
        <v>SE</v>
      </c>
      <c r="AF491" s="4" t="str">
        <f>IFERROR(__xludf.DUMMYFUNCTION("GOOGLETRANSLATE(B491,""en"",""el"")"),"SE")</f>
        <v>SE</v>
      </c>
      <c r="AG491" s="4" t="str">
        <f>IFERROR(__xludf.DUMMYFUNCTION("GOOGLETRANSLATE(B491,""en"",""et"")"),"SE")</f>
        <v>SE</v>
      </c>
      <c r="AH491" s="4" t="str">
        <f>IFERROR(__xludf.DUMMYFUNCTION("GOOGLETRANSLATE(B491,""en"",""fi"")"),"SE")</f>
        <v>SE</v>
      </c>
      <c r="AI491" s="4" t="str">
        <f>IFERROR(__xludf.DUMMYFUNCTION("GOOGLETRANSLATE(B491,""en"",""hr"")"),"SE")</f>
        <v>SE</v>
      </c>
      <c r="AJ491" s="4" t="str">
        <f>IFERROR(__xludf.DUMMYFUNCTION("GOOGLETRANSLATE(B491,""en"",""hu"")"),"SE")</f>
        <v>SE</v>
      </c>
      <c r="AK491" s="4" t="str">
        <f>IFERROR(__xludf.DUMMYFUNCTION("GOOGLETRANSLATE(B491,""en"",""hy"")"),"ՍԵ")</f>
        <v>ՍԵ</v>
      </c>
      <c r="AL491" s="4" t="str">
        <f>IFERROR(__xludf.DUMMYFUNCTION("GOOGLETRANSLATE(B491,""en"",""ca"")"),"SE")</f>
        <v>SE</v>
      </c>
      <c r="AM491" s="4" t="str">
        <f>IFERROR(__xludf.DUMMYFUNCTION("GOOGLETRANSLATE(B491,""en"",""nl"")"),"ZO")</f>
        <v>ZO</v>
      </c>
      <c r="AN491" s="4" t="str">
        <f>IFERROR(__xludf.DUMMYFUNCTION("GOOGLETRANSLATE(B491,""en"",""he"")"),"SE")</f>
        <v>SE</v>
      </c>
      <c r="AO491" s="4" t="str">
        <f>IFERROR(__xludf.DUMMYFUNCTION("GOOGLETRANSLATE(B491,""en"",""is"")"),"SE")</f>
        <v>SE</v>
      </c>
      <c r="AP491" s="4" t="str">
        <f>IFERROR(__xludf.DUMMYFUNCTION("GOOGLETRANSLATE(B491,""en"",""no"")"),"SE")</f>
        <v>SE</v>
      </c>
      <c r="AQ491" s="4" t="str">
        <f>IFERROR(__xludf.DUMMYFUNCTION("GOOGLETRANSLATE(B491,""en"",""fa"")"),"SE")</f>
        <v>SE</v>
      </c>
      <c r="AR491" s="4" t="str">
        <f>IFERROR(__xludf.DUMMYFUNCTION("GOOGLETRANSLATE(B491,""en"",""pl"")"),"Południowy-Wschód")</f>
        <v>Południowy-Wschód</v>
      </c>
      <c r="AS491" s="4" t="str">
        <f>IFERROR(__xludf.DUMMYFUNCTION("GOOGLETRANSLATE(B491,""en"",""sv"")"),"SE")</f>
        <v>SE</v>
      </c>
      <c r="AT491" s="4" t="str">
        <f>IFERROR(__xludf.DUMMYFUNCTION("GOOGLETRANSLATE(B491,""en"",""uk"")"),"SE")</f>
        <v>SE</v>
      </c>
      <c r="AU491" s="4" t="str">
        <f>IFERROR(__xludf.DUMMYFUNCTION("GOOGLETRANSLATE(B491,""en"",""zu"")"),"SE")</f>
        <v>SE</v>
      </c>
      <c r="AV491" s="4" t="str">
        <f>IFERROR(__xludf.DUMMYFUNCTION("GOOGLETRANSLATE(B491,""en"",""sr"")"),"СЕ")</f>
        <v>СЕ</v>
      </c>
    </row>
    <row r="492">
      <c r="A492" s="3" t="s">
        <v>947</v>
      </c>
      <c r="B492" s="3" t="s">
        <v>948</v>
      </c>
      <c r="C492" s="4" t="str">
        <f>IFERROR(__xludf.DUMMYFUNCTION("GOOGLETRANSLATE(B492,""en"",""ta"")"),"SW")</f>
        <v>SW</v>
      </c>
      <c r="D492" s="4" t="str">
        <f>IFERROR(__xludf.DUMMYFUNCTION("GOOGLETRANSLATE(B492,""en"",""hi"")"),"दक्षिण पश्चिम")</f>
        <v>दक्षिण पश्चिम</v>
      </c>
      <c r="E492" s="4" t="str">
        <f>IFERROR(__xludf.DUMMYFUNCTION("GOOGLETRANSLATE(B492,""en"",""id"")"),"Barat Daya")</f>
        <v>Barat Daya</v>
      </c>
      <c r="F492" s="4" t="str">
        <f>IFERROR(__xludf.DUMMYFUNCTION("GOOGLETRANSLATE(B492,""en"",""ms"")"),"SW")</f>
        <v>SW</v>
      </c>
      <c r="G492" s="4" t="str">
        <f>IFERROR(__xludf.DUMMYFUNCTION("GOOGLETRANSLATE(B492,""en"",""de"")"),"SW")</f>
        <v>SW</v>
      </c>
      <c r="H492" s="4" t="str">
        <f>IFERROR(__xludf.DUMMYFUNCTION("GOOGLETRANSLATE(B492,""en"",""es"")"),"SUDOESTE")</f>
        <v>SUDOESTE</v>
      </c>
      <c r="I492" s="4" t="str">
        <f>IFERROR(__xludf.DUMMYFUNCTION("GOOGLETRANSLATE(B492,""en"",""fr"")"),"Sud-Ouest")</f>
        <v>Sud-Ouest</v>
      </c>
      <c r="J492" s="4" t="str">
        <f>IFERROR(__xludf.DUMMYFUNCTION("GOOGLETRANSLATE(B492,""en"",""it"")"),"SO")</f>
        <v>SO</v>
      </c>
      <c r="K492" s="4" t="str">
        <f>IFERROR(__xludf.DUMMYFUNCTION("GOOGLETRANSLATE(B492,""en"",""pt"")"),"SO")</f>
        <v>SO</v>
      </c>
      <c r="L492" s="4" t="str">
        <f>IFERROR(__xludf.DUMMYFUNCTION("GOOGLETRANSLATE(B492,""en"",""ro"")"),"SW")</f>
        <v>SW</v>
      </c>
      <c r="M492" s="4" t="str">
        <f>IFERROR(__xludf.DUMMYFUNCTION("GOOGLETRANSLATE(B492,""en"",""vi"")"),"Tây Nam")</f>
        <v>Tây Nam</v>
      </c>
      <c r="N492" s="4" t="str">
        <f>IFERROR(__xludf.DUMMYFUNCTION("GOOGLETRANSLATE(B492,""en"",""ru"")"),"ЮЗ")</f>
        <v>ЮЗ</v>
      </c>
      <c r="O492" s="4" t="str">
        <f>IFERROR(__xludf.DUMMYFUNCTION("GOOGLETRANSLATE(B492,""en"",""tr"")"),"GB")</f>
        <v>GB</v>
      </c>
      <c r="P492" s="4" t="str">
        <f>IFERROR(__xludf.DUMMYFUNCTION("GOOGLETRANSLATE(B492,""en"",""ar"")"),"جنوب غرب")</f>
        <v>جنوب غرب</v>
      </c>
      <c r="Q492" s="4" t="str">
        <f>IFERROR(__xludf.DUMMYFUNCTION("GOOGLETRANSLATE(B492,""en"",""mr"")"),"SW")</f>
        <v>SW</v>
      </c>
      <c r="R492" s="4" t="str">
        <f>IFERROR(__xludf.DUMMYFUNCTION("GOOGLETRANSLATE(B492,""en"",""gu"")"),"SW")</f>
        <v>SW</v>
      </c>
      <c r="S492" s="4" t="str">
        <f>IFERROR(__xludf.DUMMYFUNCTION("GOOGLETRANSLATE(B492,""en"",""bn"")"),"SW")</f>
        <v>SW</v>
      </c>
      <c r="T492" s="4" t="str">
        <f>IFERROR(__xludf.DUMMYFUNCTION("GOOGLETRANSLATE(B492,""en"",""pa"")"),"SW")</f>
        <v>SW</v>
      </c>
      <c r="U492" s="4" t="str">
        <f>IFERROR(__xludf.DUMMYFUNCTION("GOOGLETRANSLATE(B492,""en"",""te"")"),"SW")</f>
        <v>SW</v>
      </c>
      <c r="V492" s="4" t="str">
        <f>IFERROR(__xludf.DUMMYFUNCTION("GOOGLETRANSLATE(B492,""en"",""kn"")"),"SW")</f>
        <v>SW</v>
      </c>
      <c r="W492" s="4" t="str">
        <f>IFERROR(__xludf.DUMMYFUNCTION("GOOGLETRANSLATE(B492,""en"",""ml"")"),"SW")</f>
        <v>SW</v>
      </c>
      <c r="X492" s="4" t="str">
        <f>IFERROR(__xludf.DUMMYFUNCTION("GOOGLETRANSLATE(B492,""en"",""th"")"),"สว.")</f>
        <v>สว.</v>
      </c>
      <c r="Y492" s="4" t="str">
        <f>IFERROR(__xludf.DUMMYFUNCTION("GOOGLETRANSLATE(B492,""en"",""ko"")"),"남서")</f>
        <v>남서</v>
      </c>
      <c r="Z492" s="4" t="str">
        <f>IFERROR(__xludf.DUMMYFUNCTION("GOOGLETRANSLATE(B492,""en"",""zh"")"),"西南")</f>
        <v>西南</v>
      </c>
      <c r="AA492" s="4" t="str">
        <f>IFERROR(__xludf.DUMMYFUNCTION("GOOGLETRANSLATE(B492,""en"",""zh-TW"")"),"西南")</f>
        <v>西南</v>
      </c>
      <c r="AB492" s="4" t="str">
        <f>IFERROR(__xludf.DUMMYFUNCTION("GOOGLETRANSLATE(B492,""en"",""ja"")"),"南西")</f>
        <v>南西</v>
      </c>
      <c r="AC492" s="4" t="str">
        <f>IFERROR(__xludf.DUMMYFUNCTION("GOOGLETRANSLATE(B492,""en"",""bg"")"),"SW")</f>
        <v>SW</v>
      </c>
      <c r="AD492" s="4" t="str">
        <f>IFERROR(__xludf.DUMMYFUNCTION("GOOGLETRANSLATE(B492,""en"",""cs"")"),"SW")</f>
        <v>SW</v>
      </c>
      <c r="AE492" s="4" t="str">
        <f>IFERROR(__xludf.DUMMYFUNCTION("GOOGLETRANSLATE(B492,""en"",""da"")"),"SW")</f>
        <v>SW</v>
      </c>
      <c r="AF492" s="4" t="str">
        <f>IFERROR(__xludf.DUMMYFUNCTION("GOOGLETRANSLATE(B492,""en"",""el"")"),"ΝΔ")</f>
        <v>ΝΔ</v>
      </c>
      <c r="AG492" s="4" t="str">
        <f>IFERROR(__xludf.DUMMYFUNCTION("GOOGLETRANSLATE(B492,""en"",""et"")"),"SW")</f>
        <v>SW</v>
      </c>
      <c r="AH492" s="4" t="str">
        <f>IFERROR(__xludf.DUMMYFUNCTION("GOOGLETRANSLATE(B492,""en"",""fi"")"),"SW")</f>
        <v>SW</v>
      </c>
      <c r="AI492" s="4" t="str">
        <f>IFERROR(__xludf.DUMMYFUNCTION("GOOGLETRANSLATE(B492,""en"",""hr"")"),"SW")</f>
        <v>SW</v>
      </c>
      <c r="AJ492" s="4" t="str">
        <f>IFERROR(__xludf.DUMMYFUNCTION("GOOGLETRANSLATE(B492,""en"",""hu"")"),"SW")</f>
        <v>SW</v>
      </c>
      <c r="AK492" s="4" t="str">
        <f>IFERROR(__xludf.DUMMYFUNCTION("GOOGLETRANSLATE(B492,""en"",""hy"")"),"SW")</f>
        <v>SW</v>
      </c>
      <c r="AL492" s="4" t="str">
        <f>IFERROR(__xludf.DUMMYFUNCTION("GOOGLETRANSLATE(B492,""en"",""ca"")"),"SW")</f>
        <v>SW</v>
      </c>
      <c r="AM492" s="4" t="str">
        <f>IFERROR(__xludf.DUMMYFUNCTION("GOOGLETRANSLATE(B492,""en"",""nl"")"),"ZW")</f>
        <v>ZW</v>
      </c>
      <c r="AN492" s="4" t="str">
        <f>IFERROR(__xludf.DUMMYFUNCTION("GOOGLETRANSLATE(B492,""en"",""he"")"),"SW")</f>
        <v>SW</v>
      </c>
      <c r="AO492" s="4" t="str">
        <f>IFERROR(__xludf.DUMMYFUNCTION("GOOGLETRANSLATE(B492,""en"",""is"")"),"SV")</f>
        <v>SV</v>
      </c>
      <c r="AP492" s="4" t="str">
        <f>IFERROR(__xludf.DUMMYFUNCTION("GOOGLETRANSLATE(B492,""en"",""no"")"),"SW")</f>
        <v>SW</v>
      </c>
      <c r="AQ492" s="4" t="str">
        <f>IFERROR(__xludf.DUMMYFUNCTION("GOOGLETRANSLATE(B492,""en"",""fa"")"),"SW")</f>
        <v>SW</v>
      </c>
      <c r="AR492" s="4" t="str">
        <f>IFERROR(__xludf.DUMMYFUNCTION("GOOGLETRANSLATE(B492,""en"",""pl"")"),"Południowy zachód")</f>
        <v>Południowy zachód</v>
      </c>
      <c r="AS492" s="4" t="str">
        <f>IFERROR(__xludf.DUMMYFUNCTION("GOOGLETRANSLATE(B492,""en"",""sv"")"),"SW")</f>
        <v>SW</v>
      </c>
      <c r="AT492" s="4" t="str">
        <f>IFERROR(__xludf.DUMMYFUNCTION("GOOGLETRANSLATE(B492,""en"",""uk"")"),"SW")</f>
        <v>SW</v>
      </c>
      <c r="AU492" s="4" t="str">
        <f>IFERROR(__xludf.DUMMYFUNCTION("GOOGLETRANSLATE(B492,""en"",""zu"")"),"SW")</f>
        <v>SW</v>
      </c>
      <c r="AV492" s="4" t="str">
        <f>IFERROR(__xludf.DUMMYFUNCTION("GOOGLETRANSLATE(B492,""en"",""sr"")"),"СВ")</f>
        <v>СВ</v>
      </c>
    </row>
    <row r="493">
      <c r="A493" s="3" t="s">
        <v>949</v>
      </c>
      <c r="B493" s="3" t="s">
        <v>950</v>
      </c>
      <c r="C493" s="4" t="str">
        <f>IFERROR(__xludf.DUMMYFUNCTION("GOOGLETRANSLATE(B493,""en"",""ta"")"),"NW")</f>
        <v>NW</v>
      </c>
      <c r="D493" s="4" t="str">
        <f>IFERROR(__xludf.DUMMYFUNCTION("GOOGLETRANSLATE(B493,""en"",""hi"")"),"उत्तरपश्चिम")</f>
        <v>उत्तरपश्चिम</v>
      </c>
      <c r="E493" s="4" t="str">
        <f>IFERROR(__xludf.DUMMYFUNCTION("GOOGLETRANSLATE(B493,""en"",""id"")"),"Barat Laut")</f>
        <v>Barat Laut</v>
      </c>
      <c r="F493" s="4" t="str">
        <f>IFERROR(__xludf.DUMMYFUNCTION("GOOGLETRANSLATE(B493,""en"",""ms"")"),"NW")</f>
        <v>NW</v>
      </c>
      <c r="G493" s="4" t="str">
        <f>IFERROR(__xludf.DUMMYFUNCTION("GOOGLETRANSLATE(B493,""en"",""de"")"),"NW")</f>
        <v>NW</v>
      </c>
      <c r="H493" s="4" t="str">
        <f>IFERROR(__xludf.DUMMYFUNCTION("GOOGLETRANSLATE(B493,""en"",""es"")"),"noroeste")</f>
        <v>noroeste</v>
      </c>
      <c r="I493" s="4" t="str">
        <f>IFERROR(__xludf.DUMMYFUNCTION("GOOGLETRANSLATE(B493,""en"",""fr"")"),"NO")</f>
        <v>NO</v>
      </c>
      <c r="J493" s="4" t="str">
        <f>IFERROR(__xludf.DUMMYFUNCTION("GOOGLETRANSLATE(B493,""en"",""it"")"),"Nord-ovest")</f>
        <v>Nord-ovest</v>
      </c>
      <c r="K493" s="4" t="str">
        <f>IFERROR(__xludf.DUMMYFUNCTION("GOOGLETRANSLATE(B493,""en"",""pt"")"),"NO")</f>
        <v>NO</v>
      </c>
      <c r="L493" s="4" t="str">
        <f>IFERROR(__xludf.DUMMYFUNCTION("GOOGLETRANSLATE(B493,""en"",""ro"")"),"NV")</f>
        <v>NV</v>
      </c>
      <c r="M493" s="4" t="str">
        <f>IFERROR(__xludf.DUMMYFUNCTION("GOOGLETRANSLATE(B493,""en"",""vi"")"),"Tây Bắc")</f>
        <v>Tây Bắc</v>
      </c>
      <c r="N493" s="4" t="str">
        <f>IFERROR(__xludf.DUMMYFUNCTION("GOOGLETRANSLATE(B493,""en"",""ru"")"),"СЗ")</f>
        <v>СЗ</v>
      </c>
      <c r="O493" s="4" t="str">
        <f>IFERROR(__xludf.DUMMYFUNCTION("GOOGLETRANSLATE(B493,""en"",""tr"")"),"Kuzeybatı")</f>
        <v>Kuzeybatı</v>
      </c>
      <c r="P493" s="4" t="str">
        <f>IFERROR(__xludf.DUMMYFUNCTION("GOOGLETRANSLATE(B493,""en"",""ar"")"),"شمال غرب")</f>
        <v>شمال غرب</v>
      </c>
      <c r="Q493" s="4" t="str">
        <f>IFERROR(__xludf.DUMMYFUNCTION("GOOGLETRANSLATE(B493,""en"",""mr"")"),"NW")</f>
        <v>NW</v>
      </c>
      <c r="R493" s="4" t="str">
        <f>IFERROR(__xludf.DUMMYFUNCTION("GOOGLETRANSLATE(B493,""en"",""gu"")"),"NW")</f>
        <v>NW</v>
      </c>
      <c r="S493" s="4" t="str">
        <f>IFERROR(__xludf.DUMMYFUNCTION("GOOGLETRANSLATE(B493,""en"",""bn"")"),"NW")</f>
        <v>NW</v>
      </c>
      <c r="T493" s="4" t="str">
        <f>IFERROR(__xludf.DUMMYFUNCTION("GOOGLETRANSLATE(B493,""en"",""pa"")"),"NW")</f>
        <v>NW</v>
      </c>
      <c r="U493" s="4" t="str">
        <f>IFERROR(__xludf.DUMMYFUNCTION("GOOGLETRANSLATE(B493,""en"",""te"")"),"NW")</f>
        <v>NW</v>
      </c>
      <c r="V493" s="4" t="str">
        <f>IFERROR(__xludf.DUMMYFUNCTION("GOOGLETRANSLATE(B493,""en"",""kn"")"),"NW")</f>
        <v>NW</v>
      </c>
      <c r="W493" s="4" t="str">
        <f>IFERROR(__xludf.DUMMYFUNCTION("GOOGLETRANSLATE(B493,""en"",""ml"")"),"NW")</f>
        <v>NW</v>
      </c>
      <c r="X493" s="4" t="str">
        <f>IFERROR(__xludf.DUMMYFUNCTION("GOOGLETRANSLATE(B493,""en"",""th"")"),"ตะวันตกเฉียงเหนือ")</f>
        <v>ตะวันตกเฉียงเหนือ</v>
      </c>
      <c r="Y493" s="4" t="str">
        <f>IFERROR(__xludf.DUMMYFUNCTION("GOOGLETRANSLATE(B493,""en"",""ko"")"),"북서쪽")</f>
        <v>북서쪽</v>
      </c>
      <c r="Z493" s="4" t="str">
        <f>IFERROR(__xludf.DUMMYFUNCTION("GOOGLETRANSLATE(B493,""en"",""zh"")"),"西北")</f>
        <v>西北</v>
      </c>
      <c r="AA493" s="4" t="str">
        <f>IFERROR(__xludf.DUMMYFUNCTION("GOOGLETRANSLATE(B493,""en"",""zh-TW"")"),"西北")</f>
        <v>西北</v>
      </c>
      <c r="AB493" s="4" t="str">
        <f>IFERROR(__xludf.DUMMYFUNCTION("GOOGLETRANSLATE(B493,""en"",""ja"")"),"北西")</f>
        <v>北西</v>
      </c>
      <c r="AC493" s="4" t="str">
        <f>IFERROR(__xludf.DUMMYFUNCTION("GOOGLETRANSLATE(B493,""en"",""bg"")"),"NW")</f>
        <v>NW</v>
      </c>
      <c r="AD493" s="4" t="str">
        <f>IFERROR(__xludf.DUMMYFUNCTION("GOOGLETRANSLATE(B493,""en"",""cs"")"),"SZ")</f>
        <v>SZ</v>
      </c>
      <c r="AE493" s="4" t="str">
        <f>IFERROR(__xludf.DUMMYFUNCTION("GOOGLETRANSLATE(B493,""en"",""da"")"),"NW")</f>
        <v>NW</v>
      </c>
      <c r="AF493" s="4" t="str">
        <f>IFERROR(__xludf.DUMMYFUNCTION("GOOGLETRANSLATE(B493,""en"",""el"")"),"ΒΔ")</f>
        <v>ΒΔ</v>
      </c>
      <c r="AG493" s="4" t="str">
        <f>IFERROR(__xludf.DUMMYFUNCTION("GOOGLETRANSLATE(B493,""en"",""et"")"),"NW")</f>
        <v>NW</v>
      </c>
      <c r="AH493" s="4" t="str">
        <f>IFERROR(__xludf.DUMMYFUNCTION("GOOGLETRANSLATE(B493,""en"",""fi"")"),"NW")</f>
        <v>NW</v>
      </c>
      <c r="AI493" s="4" t="str">
        <f>IFERROR(__xludf.DUMMYFUNCTION("GOOGLETRANSLATE(B493,""en"",""hr"")"),"NW")</f>
        <v>NW</v>
      </c>
      <c r="AJ493" s="4" t="str">
        <f>IFERROR(__xludf.DUMMYFUNCTION("GOOGLETRANSLATE(B493,""en"",""hu"")"),"NW")</f>
        <v>NW</v>
      </c>
      <c r="AK493" s="4" t="str">
        <f>IFERROR(__xludf.DUMMYFUNCTION("GOOGLETRANSLATE(B493,""en"",""hy"")"),"NW")</f>
        <v>NW</v>
      </c>
      <c r="AL493" s="4" t="str">
        <f>IFERROR(__xludf.DUMMYFUNCTION("GOOGLETRANSLATE(B493,""en"",""ca"")"),"NO")</f>
        <v>NO</v>
      </c>
      <c r="AM493" s="4" t="str">
        <f>IFERROR(__xludf.DUMMYFUNCTION("GOOGLETRANSLATE(B493,""en"",""nl"")"),"NW")</f>
        <v>NW</v>
      </c>
      <c r="AN493" s="4" t="str">
        <f>IFERROR(__xludf.DUMMYFUNCTION("GOOGLETRANSLATE(B493,""en"",""he"")"),"NW")</f>
        <v>NW</v>
      </c>
      <c r="AO493" s="4" t="str">
        <f>IFERROR(__xludf.DUMMYFUNCTION("GOOGLETRANSLATE(B493,""en"",""is"")"),"NW")</f>
        <v>NW</v>
      </c>
      <c r="AP493" s="4" t="str">
        <f>IFERROR(__xludf.DUMMYFUNCTION("GOOGLETRANSLATE(B493,""en"",""no"")"),"NW")</f>
        <v>NW</v>
      </c>
      <c r="AQ493" s="4" t="str">
        <f>IFERROR(__xludf.DUMMYFUNCTION("GOOGLETRANSLATE(B493,""en"",""fa"")"),"شمال غربی")</f>
        <v>شمال غربی</v>
      </c>
      <c r="AR493" s="4" t="str">
        <f>IFERROR(__xludf.DUMMYFUNCTION("GOOGLETRANSLATE(B493,""en"",""pl"")"),"Północny Zachód")</f>
        <v>Północny Zachód</v>
      </c>
      <c r="AS493" s="4" t="str">
        <f>IFERROR(__xludf.DUMMYFUNCTION("GOOGLETRANSLATE(B493,""en"",""sv"")"),"NW")</f>
        <v>NW</v>
      </c>
      <c r="AT493" s="4" t="str">
        <f>IFERROR(__xludf.DUMMYFUNCTION("GOOGLETRANSLATE(B493,""en"",""uk"")"),"NW")</f>
        <v>NW</v>
      </c>
      <c r="AU493" s="4" t="str">
        <f>IFERROR(__xludf.DUMMYFUNCTION("GOOGLETRANSLATE(B493,""en"",""zu"")"),"NW")</f>
        <v>NW</v>
      </c>
      <c r="AV493" s="4" t="str">
        <f>IFERROR(__xludf.DUMMYFUNCTION("GOOGLETRANSLATE(B493,""en"",""sr"")"),"НВ")</f>
        <v>НВ</v>
      </c>
    </row>
    <row r="494">
      <c r="A494" s="3" t="s">
        <v>951</v>
      </c>
      <c r="B494" s="3" t="s">
        <v>952</v>
      </c>
      <c r="C494" s="4" t="str">
        <f>IFERROR(__xludf.DUMMYFUNCTION("GOOGLETRANSLATE(B494,""en"",""ta"")"),"இலக்கைத் தேர்ந்தெடுக்கவும்")</f>
        <v>இலக்கைத் தேர்ந்தெடுக்கவும்</v>
      </c>
      <c r="D494" s="4" t="str">
        <f>IFERROR(__xludf.DUMMYFUNCTION("GOOGLETRANSLATE(B494,""en"",""hi"")"),"लक्ष्य चुनें")</f>
        <v>लक्ष्य चुनें</v>
      </c>
      <c r="E494" s="4" t="str">
        <f>IFERROR(__xludf.DUMMYFUNCTION("GOOGLETRANSLATE(B494,""en"",""id"")"),"Pilih Target")</f>
        <v>Pilih Target</v>
      </c>
      <c r="F494" s="4" t="str">
        <f>IFERROR(__xludf.DUMMYFUNCTION("GOOGLETRANSLATE(B494,""en"",""ms"")"),"Pilih Sasaran")</f>
        <v>Pilih Sasaran</v>
      </c>
      <c r="G494" s="4" t="str">
        <f>IFERROR(__xludf.DUMMYFUNCTION("GOOGLETRANSLATE(B494,""en"",""de"")"),"Ziel auswählen")</f>
        <v>Ziel auswählen</v>
      </c>
      <c r="H494" s="4" t="str">
        <f>IFERROR(__xludf.DUMMYFUNCTION("GOOGLETRANSLATE(B494,""en"",""es"")"),"Elija el objetivo")</f>
        <v>Elija el objetivo</v>
      </c>
      <c r="I494" s="4" t="str">
        <f>IFERROR(__xludf.DUMMYFUNCTION("GOOGLETRANSLATE(B494,""en"",""fr"")"),"Choisissez la cible")</f>
        <v>Choisissez la cible</v>
      </c>
      <c r="J494" s="4" t="str">
        <f>IFERROR(__xludf.DUMMYFUNCTION("GOOGLETRANSLATE(B494,""en"",""it"")"),"Scegli il bersaglio")</f>
        <v>Scegli il bersaglio</v>
      </c>
      <c r="K494" s="4" t="str">
        <f>IFERROR(__xludf.DUMMYFUNCTION("GOOGLETRANSLATE(B494,""en"",""pt"")"),"Escolha o alvo")</f>
        <v>Escolha o alvo</v>
      </c>
      <c r="L494" s="4" t="str">
        <f>IFERROR(__xludf.DUMMYFUNCTION("GOOGLETRANSLATE(B494,""en"",""ro"")"),"Alegeți țintă")</f>
        <v>Alegeți țintă</v>
      </c>
      <c r="M494" s="4" t="str">
        <f>IFERROR(__xludf.DUMMYFUNCTION("GOOGLETRANSLATE(B494,""en"",""vi"")"),"Chọn mục tiêu")</f>
        <v>Chọn mục tiêu</v>
      </c>
      <c r="N494" s="4" t="str">
        <f>IFERROR(__xludf.DUMMYFUNCTION("GOOGLETRANSLATE(B494,""en"",""ru"")"),"Выберите цель")</f>
        <v>Выберите цель</v>
      </c>
      <c r="O494" s="4" t="str">
        <f>IFERROR(__xludf.DUMMYFUNCTION("GOOGLETRANSLATE(B494,""en"",""tr"")"),"Hedefi Seçin")</f>
        <v>Hedefi Seçin</v>
      </c>
      <c r="P494" s="4" t="str">
        <f>IFERROR(__xludf.DUMMYFUNCTION("GOOGLETRANSLATE(B494,""en"",""ar"")"),"اختر الهدف")</f>
        <v>اختر الهدف</v>
      </c>
      <c r="Q494" s="4" t="str">
        <f>IFERROR(__xludf.DUMMYFUNCTION("GOOGLETRANSLATE(B494,""en"",""mr"")"),"लक्ष्य निवडा")</f>
        <v>लक्ष्य निवडा</v>
      </c>
      <c r="R494" s="4" t="str">
        <f>IFERROR(__xludf.DUMMYFUNCTION("GOOGLETRANSLATE(B494,""en"",""gu"")"),"લક્ષ્ય પસંદ કરો")</f>
        <v>લક્ષ્ય પસંદ કરો</v>
      </c>
      <c r="S494" s="4" t="str">
        <f>IFERROR(__xludf.DUMMYFUNCTION("GOOGLETRANSLATE(B494,""en"",""bn"")"),"লক্ষ্য নির্বাচন করুন")</f>
        <v>লক্ষ্য নির্বাচন করুন</v>
      </c>
      <c r="T494" s="4" t="str">
        <f>IFERROR(__xludf.DUMMYFUNCTION("GOOGLETRANSLATE(B494,""en"",""pa"")"),"ਟੀਚਾ ਚੁਣੋ")</f>
        <v>ਟੀਚਾ ਚੁਣੋ</v>
      </c>
      <c r="U494" s="4" t="str">
        <f>IFERROR(__xludf.DUMMYFUNCTION("GOOGLETRANSLATE(B494,""en"",""te"")"),"లక్ష్యాన్ని ఎంచుకోండి")</f>
        <v>లక్ష్యాన్ని ఎంచుకోండి</v>
      </c>
      <c r="V494" s="4" t="str">
        <f>IFERROR(__xludf.DUMMYFUNCTION("GOOGLETRANSLATE(B494,""en"",""kn"")"),"ಗುರಿಯನ್ನು ಆರಿಸಿ")</f>
        <v>ಗುರಿಯನ್ನು ಆರಿಸಿ</v>
      </c>
      <c r="W494" s="4" t="str">
        <f>IFERROR(__xludf.DUMMYFUNCTION("GOOGLETRANSLATE(B494,""en"",""ml"")"),"ലക്ഷ്യം തിരഞ്ഞെടുക്കുക")</f>
        <v>ലക്ഷ്യം തിരഞ്ഞെടുക്കുക</v>
      </c>
      <c r="X494" s="4" t="str">
        <f>IFERROR(__xludf.DUMMYFUNCTION("GOOGLETRANSLATE(B494,""en"",""th"")"),"เลือกเป้าหมาย")</f>
        <v>เลือกเป้าหมาย</v>
      </c>
      <c r="Y494" s="4" t="str">
        <f>IFERROR(__xludf.DUMMYFUNCTION("GOOGLETRANSLATE(B494,""en"",""ko"")"),"타겟을 선택하세요")</f>
        <v>타겟을 선택하세요</v>
      </c>
      <c r="Z494" s="4" t="str">
        <f>IFERROR(__xludf.DUMMYFUNCTION("GOOGLETRANSLATE(B494,""en"",""zh"")"),"选择目标")</f>
        <v>选择目标</v>
      </c>
      <c r="AA494" s="4" t="str">
        <f>IFERROR(__xludf.DUMMYFUNCTION("GOOGLETRANSLATE(B494,""en"",""zh-TW"")"),"選擇目標")</f>
        <v>選擇目標</v>
      </c>
      <c r="AB494" s="4" t="str">
        <f>IFERROR(__xludf.DUMMYFUNCTION("GOOGLETRANSLATE(B494,""en"",""ja"")"),"ターゲットを選択")</f>
        <v>ターゲットを選択</v>
      </c>
      <c r="AC494" s="4" t="str">
        <f>IFERROR(__xludf.DUMMYFUNCTION("GOOGLETRANSLATE(B494,""en"",""bg"")"),"Изберете Target")</f>
        <v>Изберете Target</v>
      </c>
      <c r="AD494" s="4" t="str">
        <f>IFERROR(__xludf.DUMMYFUNCTION("GOOGLETRANSLATE(B494,""en"",""cs"")"),"Vyberte Cíl")</f>
        <v>Vyberte Cíl</v>
      </c>
      <c r="AE494" s="4" t="str">
        <f>IFERROR(__xludf.DUMMYFUNCTION("GOOGLETRANSLATE(B494,""en"",""da"")"),"Vælg Mål")</f>
        <v>Vælg Mål</v>
      </c>
      <c r="AF494" s="4" t="str">
        <f>IFERROR(__xludf.DUMMYFUNCTION("GOOGLETRANSLATE(B494,""en"",""el"")"),"Επιλέξτε Στόχος")</f>
        <v>Επιλέξτε Στόχος</v>
      </c>
      <c r="AG494" s="4" t="str">
        <f>IFERROR(__xludf.DUMMYFUNCTION("GOOGLETRANSLATE(B494,""en"",""et"")"),"Valige Sihtmärk")</f>
        <v>Valige Sihtmärk</v>
      </c>
      <c r="AH494" s="4" t="str">
        <f>IFERROR(__xludf.DUMMYFUNCTION("GOOGLETRANSLATE(B494,""en"",""fi"")"),"Valitse Kohde")</f>
        <v>Valitse Kohde</v>
      </c>
      <c r="AI494" s="4" t="str">
        <f>IFERROR(__xludf.DUMMYFUNCTION("GOOGLETRANSLATE(B494,""en"",""hr"")"),"Odaberite cilj")</f>
        <v>Odaberite cilj</v>
      </c>
      <c r="AJ494" s="4" t="str">
        <f>IFERROR(__xludf.DUMMYFUNCTION("GOOGLETRANSLATE(B494,""en"",""hu"")"),"Válassza a Target lehetőséget")</f>
        <v>Válassza a Target lehetőséget</v>
      </c>
      <c r="AK494" s="4" t="str">
        <f>IFERROR(__xludf.DUMMYFUNCTION("GOOGLETRANSLATE(B494,""en"",""hy"")"),"Ընտրեք թիրախ")</f>
        <v>Ընտրեք թիրախ</v>
      </c>
      <c r="AL494" s="4" t="str">
        <f>IFERROR(__xludf.DUMMYFUNCTION("GOOGLETRANSLATE(B494,""en"",""ca"")"),"Trieu Destí")</f>
        <v>Trieu Destí</v>
      </c>
      <c r="AM494" s="4" t="str">
        <f>IFERROR(__xludf.DUMMYFUNCTION("GOOGLETRANSLATE(B494,""en"",""nl"")"),"Kies doel")</f>
        <v>Kies doel</v>
      </c>
      <c r="AN494" s="4" t="str">
        <f>IFERROR(__xludf.DUMMYFUNCTION("GOOGLETRANSLATE(B494,""en"",""he"")"),"בחר יעד")</f>
        <v>בחר יעד</v>
      </c>
      <c r="AO494" s="4" t="str">
        <f>IFERROR(__xludf.DUMMYFUNCTION("GOOGLETRANSLATE(B494,""en"",""is"")"),"Veldu Target")</f>
        <v>Veldu Target</v>
      </c>
      <c r="AP494" s="4" t="str">
        <f>IFERROR(__xludf.DUMMYFUNCTION("GOOGLETRANSLATE(B494,""en"",""no"")"),"Velg Mål")</f>
        <v>Velg Mål</v>
      </c>
      <c r="AQ494" s="4" t="str">
        <f>IFERROR(__xludf.DUMMYFUNCTION("GOOGLETRANSLATE(B494,""en"",""fa"")"),"هدف را انتخاب کنید")</f>
        <v>هدف را انتخاب کنید</v>
      </c>
      <c r="AR494" s="4" t="str">
        <f>IFERROR(__xludf.DUMMYFUNCTION("GOOGLETRANSLATE(B494,""en"",""pl"")"),"Wybierz cel")</f>
        <v>Wybierz cel</v>
      </c>
      <c r="AS494" s="4" t="str">
        <f>IFERROR(__xludf.DUMMYFUNCTION("GOOGLETRANSLATE(B494,""en"",""sv"")"),"Välj Mål")</f>
        <v>Välj Mål</v>
      </c>
      <c r="AT494" s="4" t="str">
        <f>IFERROR(__xludf.DUMMYFUNCTION("GOOGLETRANSLATE(B494,""en"",""uk"")"),"Виберіть Ціль")</f>
        <v>Виберіть Ціль</v>
      </c>
      <c r="AU494" s="4" t="str">
        <f>IFERROR(__xludf.DUMMYFUNCTION("GOOGLETRANSLATE(B494,""en"",""zu"")"),"Khetha Ithagethi")</f>
        <v>Khetha Ithagethi</v>
      </c>
      <c r="AV494" s="4" t="str">
        <f>IFERROR(__xludf.DUMMYFUNCTION("GOOGLETRANSLATE(B494,""en"",""sr"")"),"Изаберите Таргет")</f>
        <v>Изаберите Таргет</v>
      </c>
    </row>
    <row r="495">
      <c r="A495" s="3" t="s">
        <v>953</v>
      </c>
      <c r="B495" s="3" t="s">
        <v>954</v>
      </c>
      <c r="C495" s="4" t="str">
        <f>IFERROR(__xludf.DUMMYFUNCTION("GOOGLETRANSLATE(B495,""en"",""ta"")"),"வரைபடத்திலிருந்து")</f>
        <v>வரைபடத்திலிருந்து</v>
      </c>
      <c r="D495" s="4" t="str">
        <f>IFERROR(__xludf.DUMMYFUNCTION("GOOGLETRANSLATE(B495,""en"",""hi"")"),"मानचित्र से")</f>
        <v>मानचित्र से</v>
      </c>
      <c r="E495" s="4" t="str">
        <f>IFERROR(__xludf.DUMMYFUNCTION("GOOGLETRANSLATE(B495,""en"",""id"")"),"Dari Peta")</f>
        <v>Dari Peta</v>
      </c>
      <c r="F495" s="4" t="str">
        <f>IFERROR(__xludf.DUMMYFUNCTION("GOOGLETRANSLATE(B495,""en"",""ms"")"),"Daripada Peta")</f>
        <v>Daripada Peta</v>
      </c>
      <c r="G495" s="4" t="str">
        <f>IFERROR(__xludf.DUMMYFUNCTION("GOOGLETRANSLATE(B495,""en"",""de"")"),"Von der Karte")</f>
        <v>Von der Karte</v>
      </c>
      <c r="H495" s="4" t="str">
        <f>IFERROR(__xludf.DUMMYFUNCTION("GOOGLETRANSLATE(B495,""en"",""es"")"),"Del mapa")</f>
        <v>Del mapa</v>
      </c>
      <c r="I495" s="4" t="str">
        <f>IFERROR(__xludf.DUMMYFUNCTION("GOOGLETRANSLATE(B495,""en"",""fr"")"),"À partir de la carte")</f>
        <v>À partir de la carte</v>
      </c>
      <c r="J495" s="4" t="str">
        <f>IFERROR(__xludf.DUMMYFUNCTION("GOOGLETRANSLATE(B495,""en"",""it"")"),"Dalla mappa")</f>
        <v>Dalla mappa</v>
      </c>
      <c r="K495" s="4" t="str">
        <f>IFERROR(__xludf.DUMMYFUNCTION("GOOGLETRANSLATE(B495,""en"",""pt"")"),"Do mapa")</f>
        <v>Do mapa</v>
      </c>
      <c r="L495" s="4" t="str">
        <f>IFERROR(__xludf.DUMMYFUNCTION("GOOGLETRANSLATE(B495,""en"",""ro"")"),"Din Hartă")</f>
        <v>Din Hartă</v>
      </c>
      <c r="M495" s="4" t="str">
        <f>IFERROR(__xludf.DUMMYFUNCTION("GOOGLETRANSLATE(B495,""en"",""vi"")"),"Từ Bản đồ")</f>
        <v>Từ Bản đồ</v>
      </c>
      <c r="N495" s="4" t="str">
        <f>IFERROR(__xludf.DUMMYFUNCTION("GOOGLETRANSLATE(B495,""en"",""ru"")"),"С карты")</f>
        <v>С карты</v>
      </c>
      <c r="O495" s="4" t="str">
        <f>IFERROR(__xludf.DUMMYFUNCTION("GOOGLETRANSLATE(B495,""en"",""tr"")"),"Haritadan")</f>
        <v>Haritadan</v>
      </c>
      <c r="P495" s="4" t="str">
        <f>IFERROR(__xludf.DUMMYFUNCTION("GOOGLETRANSLATE(B495,""en"",""ar"")"),"من الخريطة")</f>
        <v>من الخريطة</v>
      </c>
      <c r="Q495" s="4" t="str">
        <f>IFERROR(__xludf.DUMMYFUNCTION("GOOGLETRANSLATE(B495,""en"",""mr"")"),"नकाशावरून")</f>
        <v>नकाशावरून</v>
      </c>
      <c r="R495" s="4" t="str">
        <f>IFERROR(__xludf.DUMMYFUNCTION("GOOGLETRANSLATE(B495,""en"",""gu"")"),"નકશા પરથી")</f>
        <v>નકશા પરથી</v>
      </c>
      <c r="S495" s="4" t="str">
        <f>IFERROR(__xludf.DUMMYFUNCTION("GOOGLETRANSLATE(B495,""en"",""bn"")"),"মানচিত্র থেকে")</f>
        <v>মানচিত্র থেকে</v>
      </c>
      <c r="T495" s="4" t="str">
        <f>IFERROR(__xludf.DUMMYFUNCTION("GOOGLETRANSLATE(B495,""en"",""pa"")"),"ਨਕਸ਼ੇ ਤੋਂ")</f>
        <v>ਨਕਸ਼ੇ ਤੋਂ</v>
      </c>
      <c r="U495" s="4" t="str">
        <f>IFERROR(__xludf.DUMMYFUNCTION("GOOGLETRANSLATE(B495,""en"",""te"")"),"మ్యాప్ నుండి")</f>
        <v>మ్యాప్ నుండి</v>
      </c>
      <c r="V495" s="4" t="str">
        <f>IFERROR(__xludf.DUMMYFUNCTION("GOOGLETRANSLATE(B495,""en"",""kn"")"),"ನಕ್ಷೆಯಿಂದ")</f>
        <v>ನಕ್ಷೆಯಿಂದ</v>
      </c>
      <c r="W495" s="4" t="str">
        <f>IFERROR(__xludf.DUMMYFUNCTION("GOOGLETRANSLATE(B495,""en"",""ml"")"),"മാപ്പിൽ നിന്ന്")</f>
        <v>മാപ്പിൽ നിന്ന്</v>
      </c>
      <c r="X495" s="4" t="str">
        <f>IFERROR(__xludf.DUMMYFUNCTION("GOOGLETRANSLATE(B495,""en"",""th"")"),"จากแผนที่")</f>
        <v>จากแผนที่</v>
      </c>
      <c r="Y495" s="4" t="str">
        <f>IFERROR(__xludf.DUMMYFUNCTION("GOOGLETRANSLATE(B495,""en"",""ko"")"),"지도에서")</f>
        <v>지도에서</v>
      </c>
      <c r="Z495" s="4" t="str">
        <f>IFERROR(__xludf.DUMMYFUNCTION("GOOGLETRANSLATE(B495,""en"",""zh"")"),"从地图")</f>
        <v>从地图</v>
      </c>
      <c r="AA495" s="4" t="str">
        <f>IFERROR(__xludf.DUMMYFUNCTION("GOOGLETRANSLATE(B495,""en"",""zh-TW"")"),"從地圖")</f>
        <v>從地圖</v>
      </c>
      <c r="AB495" s="4" t="str">
        <f>IFERROR(__xludf.DUMMYFUNCTION("GOOGLETRANSLATE(B495,""en"",""ja"")"),"地図から")</f>
        <v>地図から</v>
      </c>
      <c r="AC495" s="4" t="str">
        <f>IFERROR(__xludf.DUMMYFUNCTION("GOOGLETRANSLATE(B495,""en"",""bg"")"),"От Карта")</f>
        <v>От Карта</v>
      </c>
      <c r="AD495" s="4" t="str">
        <f>IFERROR(__xludf.DUMMYFUNCTION("GOOGLETRANSLATE(B495,""en"",""cs"")"),"Z mapy")</f>
        <v>Z mapy</v>
      </c>
      <c r="AE495" s="4" t="str">
        <f>IFERROR(__xludf.DUMMYFUNCTION("GOOGLETRANSLATE(B495,""en"",""da"")"),"Fra kort")</f>
        <v>Fra kort</v>
      </c>
      <c r="AF495" s="4" t="str">
        <f>IFERROR(__xludf.DUMMYFUNCTION("GOOGLETRANSLATE(B495,""en"",""el"")"),"Από τον χάρτη")</f>
        <v>Από τον χάρτη</v>
      </c>
      <c r="AG495" s="4" t="str">
        <f>IFERROR(__xludf.DUMMYFUNCTION("GOOGLETRANSLATE(B495,""en"",""et"")"),"Kaardilt")</f>
        <v>Kaardilt</v>
      </c>
      <c r="AH495" s="4" t="str">
        <f>IFERROR(__xludf.DUMMYFUNCTION("GOOGLETRANSLATE(B495,""en"",""fi"")"),"Kartasta")</f>
        <v>Kartasta</v>
      </c>
      <c r="AI495" s="4" t="str">
        <f>IFERROR(__xludf.DUMMYFUNCTION("GOOGLETRANSLATE(B495,""en"",""hr"")"),"Iz karte")</f>
        <v>Iz karte</v>
      </c>
      <c r="AJ495" s="4" t="str">
        <f>IFERROR(__xludf.DUMMYFUNCTION("GOOGLETRANSLATE(B495,""en"",""hu"")"),"A térképről")</f>
        <v>A térképről</v>
      </c>
      <c r="AK495" s="4" t="str">
        <f>IFERROR(__xludf.DUMMYFUNCTION("GOOGLETRANSLATE(B495,""en"",""hy"")"),"Քարտեզից")</f>
        <v>Քարտեզից</v>
      </c>
      <c r="AL495" s="4" t="str">
        <f>IFERROR(__xludf.DUMMYFUNCTION("GOOGLETRANSLATE(B495,""en"",""ca"")"),"Des del mapa")</f>
        <v>Des del mapa</v>
      </c>
      <c r="AM495" s="4" t="str">
        <f>IFERROR(__xludf.DUMMYFUNCTION("GOOGLETRANSLATE(B495,""en"",""nl"")"),"Van kaart")</f>
        <v>Van kaart</v>
      </c>
      <c r="AN495" s="4" t="str">
        <f>IFERROR(__xludf.DUMMYFUNCTION("GOOGLETRANSLATE(B495,""en"",""he"")"),"מתוך מפה")</f>
        <v>מתוך מפה</v>
      </c>
      <c r="AO495" s="4" t="str">
        <f>IFERROR(__xludf.DUMMYFUNCTION("GOOGLETRANSLATE(B495,""en"",""is"")"),"Af Korti")</f>
        <v>Af Korti</v>
      </c>
      <c r="AP495" s="4" t="str">
        <f>IFERROR(__xludf.DUMMYFUNCTION("GOOGLETRANSLATE(B495,""en"",""no"")"),"Fra kart")</f>
        <v>Fra kart</v>
      </c>
      <c r="AQ495" s="4" t="str">
        <f>IFERROR(__xludf.DUMMYFUNCTION("GOOGLETRANSLATE(B495,""en"",""fa"")"),"از نقشه")</f>
        <v>از نقشه</v>
      </c>
      <c r="AR495" s="4" t="str">
        <f>IFERROR(__xludf.DUMMYFUNCTION("GOOGLETRANSLATE(B495,""en"",""pl"")"),"Z mapy")</f>
        <v>Z mapy</v>
      </c>
      <c r="AS495" s="4" t="str">
        <f>IFERROR(__xludf.DUMMYFUNCTION("GOOGLETRANSLATE(B495,""en"",""sv"")"),"Från Karta")</f>
        <v>Från Karta</v>
      </c>
      <c r="AT495" s="4" t="str">
        <f>IFERROR(__xludf.DUMMYFUNCTION("GOOGLETRANSLATE(B495,""en"",""uk"")"),"З карти")</f>
        <v>З карти</v>
      </c>
      <c r="AU495" s="4" t="str">
        <f>IFERROR(__xludf.DUMMYFUNCTION("GOOGLETRANSLATE(B495,""en"",""zu"")"),"Kusuka kumephu")</f>
        <v>Kusuka kumephu</v>
      </c>
      <c r="AV495" s="4" t="str">
        <f>IFERROR(__xludf.DUMMYFUNCTION("GOOGLETRANSLATE(B495,""en"",""sr"")"),"Фром Мап")</f>
        <v>Фром Мап</v>
      </c>
    </row>
    <row r="496">
      <c r="A496" s="3" t="s">
        <v>955</v>
      </c>
      <c r="B496" s="3" t="s">
        <v>956</v>
      </c>
      <c r="C496" s="4" t="str">
        <f>IFERROR(__xludf.DUMMYFUNCTION("GOOGLETRANSLATE(B496,""en"",""ta"")"),"சேமிக்கப்பட்ட இடத்திலிருந்து")</f>
        <v>சேமிக்கப்பட்ட இடத்திலிருந்து</v>
      </c>
      <c r="D496" s="4" t="str">
        <f>IFERROR(__xludf.DUMMYFUNCTION("GOOGLETRANSLATE(B496,""en"",""hi"")"),"सहेजे गए स्थान से")</f>
        <v>सहेजे गए स्थान से</v>
      </c>
      <c r="E496" s="4" t="str">
        <f>IFERROR(__xludf.DUMMYFUNCTION("GOOGLETRANSLATE(B496,""en"",""id"")"),"Dari Lokasi Tersimpan")</f>
        <v>Dari Lokasi Tersimpan</v>
      </c>
      <c r="F496" s="4" t="str">
        <f>IFERROR(__xludf.DUMMYFUNCTION("GOOGLETRANSLATE(B496,""en"",""ms"")"),"Daripada Lokasi Tersimpan")</f>
        <v>Daripada Lokasi Tersimpan</v>
      </c>
      <c r="G496" s="4" t="str">
        <f>IFERROR(__xludf.DUMMYFUNCTION("GOOGLETRANSLATE(B496,""en"",""de"")"),"Von gespeichertem Standort")</f>
        <v>Von gespeichertem Standort</v>
      </c>
      <c r="H496" s="4" t="str">
        <f>IFERROR(__xludf.DUMMYFUNCTION("GOOGLETRANSLATE(B496,""en"",""es"")"),"Desde una ubicación guardada")</f>
        <v>Desde una ubicación guardada</v>
      </c>
      <c r="I496" s="4" t="str">
        <f>IFERROR(__xludf.DUMMYFUNCTION("GOOGLETRANSLATE(B496,""en"",""fr"")"),"Depuis l'emplacement enregistré")</f>
        <v>Depuis l'emplacement enregistré</v>
      </c>
      <c r="J496" s="4" t="str">
        <f>IFERROR(__xludf.DUMMYFUNCTION("GOOGLETRANSLATE(B496,""en"",""it"")"),"Da posizione salvata")</f>
        <v>Da posizione salvata</v>
      </c>
      <c r="K496" s="4" t="str">
        <f>IFERROR(__xludf.DUMMYFUNCTION("GOOGLETRANSLATE(B496,""en"",""pt"")"),"Do local salvo")</f>
        <v>Do local salvo</v>
      </c>
      <c r="L496" s="4" t="str">
        <f>IFERROR(__xludf.DUMMYFUNCTION("GOOGLETRANSLATE(B496,""en"",""ro"")"),"Din locația salvată")</f>
        <v>Din locația salvată</v>
      </c>
      <c r="M496" s="4" t="str">
        <f>IFERROR(__xludf.DUMMYFUNCTION("GOOGLETRANSLATE(B496,""en"",""vi"")"),"Từ vị trí đã lưu")</f>
        <v>Từ vị trí đã lưu</v>
      </c>
      <c r="N496" s="4" t="str">
        <f>IFERROR(__xludf.DUMMYFUNCTION("GOOGLETRANSLATE(B496,""en"",""ru"")"),"Из сохраненного местоположения")</f>
        <v>Из сохраненного местоположения</v>
      </c>
      <c r="O496" s="4" t="str">
        <f>IFERROR(__xludf.DUMMYFUNCTION("GOOGLETRANSLATE(B496,""en"",""tr"")"),"Kaydedilen Konumdan")</f>
        <v>Kaydedilen Konumdan</v>
      </c>
      <c r="P496" s="4" t="str">
        <f>IFERROR(__xludf.DUMMYFUNCTION("GOOGLETRANSLATE(B496,""en"",""ar"")"),"من الموقع المحفوظ")</f>
        <v>من الموقع المحفوظ</v>
      </c>
      <c r="Q496" s="4" t="str">
        <f>IFERROR(__xludf.DUMMYFUNCTION("GOOGLETRANSLATE(B496,""en"",""mr"")"),"जतन केलेल्या स्थानावरून")</f>
        <v>जतन केलेल्या स्थानावरून</v>
      </c>
      <c r="R496" s="4" t="str">
        <f>IFERROR(__xludf.DUMMYFUNCTION("GOOGLETRANSLATE(B496,""en"",""gu"")"),"સાચવેલા સ્થાન પરથી")</f>
        <v>સાચવેલા સ્થાન પરથી</v>
      </c>
      <c r="S496" s="4" t="str">
        <f>IFERROR(__xludf.DUMMYFUNCTION("GOOGLETRANSLATE(B496,""en"",""bn"")"),"সংরক্ষিত অবস্থান থেকে")</f>
        <v>সংরক্ষিত অবস্থান থেকে</v>
      </c>
      <c r="T496" s="4" t="str">
        <f>IFERROR(__xludf.DUMMYFUNCTION("GOOGLETRANSLATE(B496,""en"",""pa"")"),"ਸੁਰੱਖਿਅਤ ਕੀਤੇ ਸਥਾਨ ਤੋਂ")</f>
        <v>ਸੁਰੱਖਿਅਤ ਕੀਤੇ ਸਥਾਨ ਤੋਂ</v>
      </c>
      <c r="U496" s="4" t="str">
        <f>IFERROR(__xludf.DUMMYFUNCTION("GOOGLETRANSLATE(B496,""en"",""te"")"),"సేవ్ చేయబడిన స్థానం నుండి")</f>
        <v>సేవ్ చేయబడిన స్థానం నుండి</v>
      </c>
      <c r="V496" s="4" t="str">
        <f>IFERROR(__xludf.DUMMYFUNCTION("GOOGLETRANSLATE(B496,""en"",""kn"")"),"ಉಳಿಸಿದ ಸ್ಥಳದಿಂದ")</f>
        <v>ಉಳಿಸಿದ ಸ್ಥಳದಿಂದ</v>
      </c>
      <c r="W496" s="4" t="str">
        <f>IFERROR(__xludf.DUMMYFUNCTION("GOOGLETRANSLATE(B496,""en"",""ml"")"),"സംരക്ഷിച്ച ലൊക്കേഷനിൽ നിന്ന്")</f>
        <v>സംരക്ഷിച്ച ലൊക്കേഷനിൽ നിന്ന്</v>
      </c>
      <c r="X496" s="4" t="str">
        <f>IFERROR(__xludf.DUMMYFUNCTION("GOOGLETRANSLATE(B496,""en"",""th"")"),"จากตำแหน่งที่บันทึกไว้")</f>
        <v>จากตำแหน่งที่บันทึกไว้</v>
      </c>
      <c r="Y496" s="4" t="str">
        <f>IFERROR(__xludf.DUMMYFUNCTION("GOOGLETRANSLATE(B496,""en"",""ko"")"),"저장된 위치에서")</f>
        <v>저장된 위치에서</v>
      </c>
      <c r="Z496" s="4" t="str">
        <f>IFERROR(__xludf.DUMMYFUNCTION("GOOGLETRANSLATE(B496,""en"",""zh"")"),"从已保存的位置")</f>
        <v>从已保存的位置</v>
      </c>
      <c r="AA496" s="4" t="str">
        <f>IFERROR(__xludf.DUMMYFUNCTION("GOOGLETRANSLATE(B496,""en"",""zh-TW"")"),"從已儲存的位置")</f>
        <v>從已儲存的位置</v>
      </c>
      <c r="AB496" s="4" t="str">
        <f>IFERROR(__xludf.DUMMYFUNCTION("GOOGLETRANSLATE(B496,""en"",""ja"")"),"保存した場所から")</f>
        <v>保存した場所から</v>
      </c>
      <c r="AC496" s="4" t="str">
        <f>IFERROR(__xludf.DUMMYFUNCTION("GOOGLETRANSLATE(B496,""en"",""bg"")"),"От запазено местоположение")</f>
        <v>От запазено местоположение</v>
      </c>
      <c r="AD496" s="4" t="str">
        <f>IFERROR(__xludf.DUMMYFUNCTION("GOOGLETRANSLATE(B496,""en"",""cs"")"),"Z uloženého umístění")</f>
        <v>Z uloženého umístění</v>
      </c>
      <c r="AE496" s="4" t="str">
        <f>IFERROR(__xludf.DUMMYFUNCTION("GOOGLETRANSLATE(B496,""en"",""da"")"),"Fra Gemt placering")</f>
        <v>Fra Gemt placering</v>
      </c>
      <c r="AF496" s="4" t="str">
        <f>IFERROR(__xludf.DUMMYFUNCTION("GOOGLETRANSLATE(B496,""en"",""el"")"),"Από την Αποθηκευμένη Τοποθεσία")</f>
        <v>Από την Αποθηκευμένη Τοποθεσία</v>
      </c>
      <c r="AG496" s="4" t="str">
        <f>IFERROR(__xludf.DUMMYFUNCTION("GOOGLETRANSLATE(B496,""en"",""et"")"),"Salvestatud asukohast")</f>
        <v>Salvestatud asukohast</v>
      </c>
      <c r="AH496" s="4" t="str">
        <f>IFERROR(__xludf.DUMMYFUNCTION("GOOGLETRANSLATE(B496,""en"",""fi"")"),"Tallennetusta sijainnista")</f>
        <v>Tallennetusta sijainnista</v>
      </c>
      <c r="AI496" s="4" t="str">
        <f>IFERROR(__xludf.DUMMYFUNCTION("GOOGLETRANSLATE(B496,""en"",""hr"")"),"Iz spremljene lokacije")</f>
        <v>Iz spremljene lokacije</v>
      </c>
      <c r="AJ496" s="4" t="str">
        <f>IFERROR(__xludf.DUMMYFUNCTION("GOOGLETRANSLATE(B496,""en"",""hu"")"),"Mentett helyről")</f>
        <v>Mentett helyről</v>
      </c>
      <c r="AK496" s="4" t="str">
        <f>IFERROR(__xludf.DUMMYFUNCTION("GOOGLETRANSLATE(B496,""en"",""hy"")"),"Պահված գտնվելու վայրից")</f>
        <v>Պահված գտնվելու վայրից</v>
      </c>
      <c r="AL496" s="4" t="str">
        <f>IFERROR(__xludf.DUMMYFUNCTION("GOOGLETRANSLATE(B496,""en"",""ca"")"),"Des de la ubicació desada")</f>
        <v>Des de la ubicació desada</v>
      </c>
      <c r="AM496" s="4" t="str">
        <f>IFERROR(__xludf.DUMMYFUNCTION("GOOGLETRANSLATE(B496,""en"",""nl"")"),"Van opgeslagen locatie")</f>
        <v>Van opgeslagen locatie</v>
      </c>
      <c r="AN496" s="4" t="str">
        <f>IFERROR(__xludf.DUMMYFUNCTION("GOOGLETRANSLATE(B496,""en"",""he"")"),"מתוך מיקום שמור")</f>
        <v>מתוך מיקום שמור</v>
      </c>
      <c r="AO496" s="4" t="str">
        <f>IFERROR(__xludf.DUMMYFUNCTION("GOOGLETRANSLATE(B496,""en"",""is"")"),"Frá Vistaðri staðsetningu")</f>
        <v>Frá Vistaðri staðsetningu</v>
      </c>
      <c r="AP496" s="4" t="str">
        <f>IFERROR(__xludf.DUMMYFUNCTION("GOOGLETRANSLATE(B496,""en"",""no"")"),"Fra Lagret plassering")</f>
        <v>Fra Lagret plassering</v>
      </c>
      <c r="AQ496" s="4" t="str">
        <f>IFERROR(__xludf.DUMMYFUNCTION("GOOGLETRANSLATE(B496,""en"",""fa"")"),"از مکان ذخیره شده")</f>
        <v>از مکان ذخیره شده</v>
      </c>
      <c r="AR496" s="4" t="str">
        <f>IFERROR(__xludf.DUMMYFUNCTION("GOOGLETRANSLATE(B496,""en"",""pl"")"),"Z zapisanej lokalizacji")</f>
        <v>Z zapisanej lokalizacji</v>
      </c>
      <c r="AS496" s="4" t="str">
        <f>IFERROR(__xludf.DUMMYFUNCTION("GOOGLETRANSLATE(B496,""en"",""sv"")"),"Från Sparad plats")</f>
        <v>Från Sparad plats</v>
      </c>
      <c r="AT496" s="4" t="str">
        <f>IFERROR(__xludf.DUMMYFUNCTION("GOOGLETRANSLATE(B496,""en"",""uk"")"),"Із збереженого місцезнаходження")</f>
        <v>Із збереженого місцезнаходження</v>
      </c>
      <c r="AU496" s="4" t="str">
        <f>IFERROR(__xludf.DUMMYFUNCTION("GOOGLETRANSLATE(B496,""en"",""zu"")"),"Kusuka Endaweni Elondoloziwe")</f>
        <v>Kusuka Endaweni Elondoloziwe</v>
      </c>
      <c r="AV496" s="4" t="str">
        <f>IFERROR(__xludf.DUMMYFUNCTION("GOOGLETRANSLATE(B496,""en"",""sr"")"),"Са сачуване локације")</f>
        <v>Са сачуване локације</v>
      </c>
    </row>
    <row r="497">
      <c r="A497" s="3" t="s">
        <v>957</v>
      </c>
      <c r="B497" s="3" t="s">
        <v>958</v>
      </c>
      <c r="C497" s="4" t="str">
        <f>IFERROR(__xludf.DUMMYFUNCTION("GOOGLETRANSLATE(B497,""en"",""ta"")"),"உள்ளீட்டிலிருந்து")</f>
        <v>உள்ளீட்டிலிருந்து</v>
      </c>
      <c r="D497" s="4" t="str">
        <f>IFERROR(__xludf.DUMMYFUNCTION("GOOGLETRANSLATE(B497,""en"",""hi"")"),"इनपुट से")</f>
        <v>इनपुट से</v>
      </c>
      <c r="E497" s="4" t="str">
        <f>IFERROR(__xludf.DUMMYFUNCTION("GOOGLETRANSLATE(B497,""en"",""id"")"),"Dari Masukan")</f>
        <v>Dari Masukan</v>
      </c>
      <c r="F497" s="4" t="str">
        <f>IFERROR(__xludf.DUMMYFUNCTION("GOOGLETRANSLATE(B497,""en"",""ms"")"),"Daripada Input")</f>
        <v>Daripada Input</v>
      </c>
      <c r="G497" s="4" t="str">
        <f>IFERROR(__xludf.DUMMYFUNCTION("GOOGLETRANSLATE(B497,""en"",""de"")"),"Von Eingabe")</f>
        <v>Von Eingabe</v>
      </c>
      <c r="H497" s="4" t="str">
        <f>IFERROR(__xludf.DUMMYFUNCTION("GOOGLETRANSLATE(B497,""en"",""es"")"),"Desde la entrada")</f>
        <v>Desde la entrada</v>
      </c>
      <c r="I497" s="4" t="str">
        <f>IFERROR(__xludf.DUMMYFUNCTION("GOOGLETRANSLATE(B497,""en"",""fr"")"),"À partir de l'entrée")</f>
        <v>À partir de l'entrée</v>
      </c>
      <c r="J497" s="4" t="str">
        <f>IFERROR(__xludf.DUMMYFUNCTION("GOOGLETRANSLATE(B497,""en"",""it"")"),"Da Input")</f>
        <v>Da Input</v>
      </c>
      <c r="K497" s="4" t="str">
        <f>IFERROR(__xludf.DUMMYFUNCTION("GOOGLETRANSLATE(B497,""en"",""pt"")"),"Da entrada")</f>
        <v>Da entrada</v>
      </c>
      <c r="L497" s="4" t="str">
        <f>IFERROR(__xludf.DUMMYFUNCTION("GOOGLETRANSLATE(B497,""en"",""ro"")"),"Din Intrare")</f>
        <v>Din Intrare</v>
      </c>
      <c r="M497" s="4" t="str">
        <f>IFERROR(__xludf.DUMMYFUNCTION("GOOGLETRANSLATE(B497,""en"",""vi"")"),"Từ đầu vào")</f>
        <v>Từ đầu vào</v>
      </c>
      <c r="N497" s="4" t="str">
        <f>IFERROR(__xludf.DUMMYFUNCTION("GOOGLETRANSLATE(B497,""en"",""ru"")"),"Из входных данных")</f>
        <v>Из входных данных</v>
      </c>
      <c r="O497" s="4" t="str">
        <f>IFERROR(__xludf.DUMMYFUNCTION("GOOGLETRANSLATE(B497,""en"",""tr"")"),"Girişten")</f>
        <v>Girişten</v>
      </c>
      <c r="P497" s="4" t="str">
        <f>IFERROR(__xludf.DUMMYFUNCTION("GOOGLETRANSLATE(B497,""en"",""ar"")"),"من الإدخال")</f>
        <v>من الإدخال</v>
      </c>
      <c r="Q497" s="4" t="str">
        <f>IFERROR(__xludf.DUMMYFUNCTION("GOOGLETRANSLATE(B497,""en"",""mr"")"),"इनपुटवरून")</f>
        <v>इनपुटवरून</v>
      </c>
      <c r="R497" s="4" t="str">
        <f>IFERROR(__xludf.DUMMYFUNCTION("GOOGLETRANSLATE(B497,""en"",""gu"")"),"ઇનપુટમાંથી")</f>
        <v>ઇનપુટમાંથી</v>
      </c>
      <c r="S497" s="4" t="str">
        <f>IFERROR(__xludf.DUMMYFUNCTION("GOOGLETRANSLATE(B497,""en"",""bn"")"),"ইনপুট থেকে")</f>
        <v>ইনপুট থেকে</v>
      </c>
      <c r="T497" s="4" t="str">
        <f>IFERROR(__xludf.DUMMYFUNCTION("GOOGLETRANSLATE(B497,""en"",""pa"")"),"ਇਨਪੁਟ ਤੋਂ")</f>
        <v>ਇਨਪੁਟ ਤੋਂ</v>
      </c>
      <c r="U497" s="4" t="str">
        <f>IFERROR(__xludf.DUMMYFUNCTION("GOOGLETRANSLATE(B497,""en"",""te"")"),"ఇన్‌పుట్ నుండి")</f>
        <v>ఇన్‌పుట్ నుండి</v>
      </c>
      <c r="V497" s="4" t="str">
        <f>IFERROR(__xludf.DUMMYFUNCTION("GOOGLETRANSLATE(B497,""en"",""kn"")"),"ಇನ್‌ಪುಟ್‌ನಿಂದ")</f>
        <v>ಇನ್‌ಪುಟ್‌ನಿಂದ</v>
      </c>
      <c r="W497" s="4" t="str">
        <f>IFERROR(__xludf.DUMMYFUNCTION("GOOGLETRANSLATE(B497,""en"",""ml"")"),"ഇൻപുട്ടിൽ നിന്ന്")</f>
        <v>ഇൻപുട്ടിൽ നിന്ന്</v>
      </c>
      <c r="X497" s="4" t="str">
        <f>IFERROR(__xludf.DUMMYFUNCTION("GOOGLETRANSLATE(B497,""en"",""th"")"),"จากอินพุต")</f>
        <v>จากอินพุต</v>
      </c>
      <c r="Y497" s="4" t="str">
        <f>IFERROR(__xludf.DUMMYFUNCTION("GOOGLETRANSLATE(B497,""en"",""ko"")"),"입력에서")</f>
        <v>입력에서</v>
      </c>
      <c r="Z497" s="4" t="str">
        <f>IFERROR(__xludf.DUMMYFUNCTION("GOOGLETRANSLATE(B497,""en"",""zh"")"),"从输入")</f>
        <v>从输入</v>
      </c>
      <c r="AA497" s="4" t="str">
        <f>IFERROR(__xludf.DUMMYFUNCTION("GOOGLETRANSLATE(B497,""en"",""zh-TW"")"),"從輸入")</f>
        <v>從輸入</v>
      </c>
      <c r="AB497" s="4" t="str">
        <f>IFERROR(__xludf.DUMMYFUNCTION("GOOGLETRANSLATE(B497,""en"",""ja"")"),"入力から")</f>
        <v>入力から</v>
      </c>
      <c r="AC497" s="4" t="str">
        <f>IFERROR(__xludf.DUMMYFUNCTION("GOOGLETRANSLATE(B497,""en"",""bg"")"),"От вход")</f>
        <v>От вход</v>
      </c>
      <c r="AD497" s="4" t="str">
        <f>IFERROR(__xludf.DUMMYFUNCTION("GOOGLETRANSLATE(B497,""en"",""cs"")"),"Ze vstupu")</f>
        <v>Ze vstupu</v>
      </c>
      <c r="AE497" s="4" t="str">
        <f>IFERROR(__xludf.DUMMYFUNCTION("GOOGLETRANSLATE(B497,""en"",""da"")"),"Fra input")</f>
        <v>Fra input</v>
      </c>
      <c r="AF497" s="4" t="str">
        <f>IFERROR(__xludf.DUMMYFUNCTION("GOOGLETRANSLATE(B497,""en"",""el"")"),"Από Εισαγωγή")</f>
        <v>Από Εισαγωγή</v>
      </c>
      <c r="AG497" s="4" t="str">
        <f>IFERROR(__xludf.DUMMYFUNCTION("GOOGLETRANSLATE(B497,""en"",""et"")"),"Sisendist")</f>
        <v>Sisendist</v>
      </c>
      <c r="AH497" s="4" t="str">
        <f>IFERROR(__xludf.DUMMYFUNCTION("GOOGLETRANSLATE(B497,""en"",""fi"")"),"Syöttöstä")</f>
        <v>Syöttöstä</v>
      </c>
      <c r="AI497" s="4" t="str">
        <f>IFERROR(__xludf.DUMMYFUNCTION("GOOGLETRANSLATE(B497,""en"",""hr"")"),"Od ulaza")</f>
        <v>Od ulaza</v>
      </c>
      <c r="AJ497" s="4" t="str">
        <f>IFERROR(__xludf.DUMMYFUNCTION("GOOGLETRANSLATE(B497,""en"",""hu"")"),"Bemenetből")</f>
        <v>Bemenetből</v>
      </c>
      <c r="AK497" s="4" t="str">
        <f>IFERROR(__xludf.DUMMYFUNCTION("GOOGLETRANSLATE(B497,""en"",""hy"")"),"Ներածումից")</f>
        <v>Ներածումից</v>
      </c>
      <c r="AL497" s="4" t="str">
        <f>IFERROR(__xludf.DUMMYFUNCTION("GOOGLETRANSLATE(B497,""en"",""ca"")"),"Des d'entrada")</f>
        <v>Des d'entrada</v>
      </c>
      <c r="AM497" s="4" t="str">
        <f>IFERROR(__xludf.DUMMYFUNCTION("GOOGLETRANSLATE(B497,""en"",""nl"")"),"Van invoer")</f>
        <v>Van invoer</v>
      </c>
      <c r="AN497" s="4" t="str">
        <f>IFERROR(__xludf.DUMMYFUNCTION("GOOGLETRANSLATE(B497,""en"",""he"")"),"מתוך קלט")</f>
        <v>מתוך קלט</v>
      </c>
      <c r="AO497" s="4" t="str">
        <f>IFERROR(__xludf.DUMMYFUNCTION("GOOGLETRANSLATE(B497,""en"",""is"")"),"Frá Input")</f>
        <v>Frá Input</v>
      </c>
      <c r="AP497" s="4" t="str">
        <f>IFERROR(__xludf.DUMMYFUNCTION("GOOGLETRANSLATE(B497,""en"",""no"")"),"Fra Input")</f>
        <v>Fra Input</v>
      </c>
      <c r="AQ497" s="4" t="str">
        <f>IFERROR(__xludf.DUMMYFUNCTION("GOOGLETRANSLATE(B497,""en"",""fa"")"),"از ورودی")</f>
        <v>از ورودی</v>
      </c>
      <c r="AR497" s="4" t="str">
        <f>IFERROR(__xludf.DUMMYFUNCTION("GOOGLETRANSLATE(B497,""en"",""pl"")"),"Z wejścia")</f>
        <v>Z wejścia</v>
      </c>
      <c r="AS497" s="4" t="str">
        <f>IFERROR(__xludf.DUMMYFUNCTION("GOOGLETRANSLATE(B497,""en"",""sv"")"),"Från Ingång")</f>
        <v>Från Ingång</v>
      </c>
      <c r="AT497" s="4" t="str">
        <f>IFERROR(__xludf.DUMMYFUNCTION("GOOGLETRANSLATE(B497,""en"",""uk"")"),"З введення")</f>
        <v>З введення</v>
      </c>
      <c r="AU497" s="4" t="str">
        <f>IFERROR(__xludf.DUMMYFUNCTION("GOOGLETRANSLATE(B497,""en"",""zu"")"),"Kusuka Kokufakayo")</f>
        <v>Kusuka Kokufakayo</v>
      </c>
      <c r="AV497" s="4" t="str">
        <f>IFERROR(__xludf.DUMMYFUNCTION("GOOGLETRANSLATE(B497,""en"",""sr"")"),"Фром Инпут")</f>
        <v>Фром Инпут</v>
      </c>
    </row>
    <row r="498">
      <c r="A498" s="3" t="s">
        <v>959</v>
      </c>
      <c r="B498" s="3" t="s">
        <v>495</v>
      </c>
      <c r="C498" s="4" t="str">
        <f>IFERROR(__xludf.DUMMYFUNCTION("GOOGLETRANSLATE(B498,""en"",""ta"")"),"தூரம்")</f>
        <v>தூரம்</v>
      </c>
      <c r="D498" s="4" t="str">
        <f>IFERROR(__xludf.DUMMYFUNCTION("GOOGLETRANSLATE(B498,""en"",""hi"")"),"दूरी")</f>
        <v>दूरी</v>
      </c>
      <c r="E498" s="4" t="str">
        <f>IFERROR(__xludf.DUMMYFUNCTION("GOOGLETRANSLATE(B498,""en"",""id"")"),"Jarak")</f>
        <v>Jarak</v>
      </c>
      <c r="F498" s="4" t="str">
        <f>IFERROR(__xludf.DUMMYFUNCTION("GOOGLETRANSLATE(B498,""en"",""ms"")"),"Jarak")</f>
        <v>Jarak</v>
      </c>
      <c r="G498" s="4" t="str">
        <f>IFERROR(__xludf.DUMMYFUNCTION("GOOGLETRANSLATE(B498,""en"",""de"")"),"Distanz")</f>
        <v>Distanz</v>
      </c>
      <c r="H498" s="4" t="str">
        <f>IFERROR(__xludf.DUMMYFUNCTION("GOOGLETRANSLATE(B498,""en"",""es"")"),"Distancia")</f>
        <v>Distancia</v>
      </c>
      <c r="I498" s="4" t="str">
        <f>IFERROR(__xludf.DUMMYFUNCTION("GOOGLETRANSLATE(B498,""en"",""fr"")"),"Distance")</f>
        <v>Distance</v>
      </c>
      <c r="J498" s="4" t="str">
        <f>IFERROR(__xludf.DUMMYFUNCTION("GOOGLETRANSLATE(B498,""en"",""it"")"),"Distanza")</f>
        <v>Distanza</v>
      </c>
      <c r="K498" s="4" t="str">
        <f>IFERROR(__xludf.DUMMYFUNCTION("GOOGLETRANSLATE(B498,""en"",""pt"")"),"Distância")</f>
        <v>Distância</v>
      </c>
      <c r="L498" s="4" t="str">
        <f>IFERROR(__xludf.DUMMYFUNCTION("GOOGLETRANSLATE(B498,""en"",""ro"")"),"Distanţă")</f>
        <v>Distanţă</v>
      </c>
      <c r="M498" s="4" t="str">
        <f>IFERROR(__xludf.DUMMYFUNCTION("GOOGLETRANSLATE(B498,""en"",""vi"")"),"Khoảng cách")</f>
        <v>Khoảng cách</v>
      </c>
      <c r="N498" s="4" t="str">
        <f>IFERROR(__xludf.DUMMYFUNCTION("GOOGLETRANSLATE(B498,""en"",""ru"")"),"Расстояние")</f>
        <v>Расстояние</v>
      </c>
      <c r="O498" s="4" t="str">
        <f>IFERROR(__xludf.DUMMYFUNCTION("GOOGLETRANSLATE(B498,""en"",""tr"")"),"Mesafe")</f>
        <v>Mesafe</v>
      </c>
      <c r="P498" s="4" t="str">
        <f>IFERROR(__xludf.DUMMYFUNCTION("GOOGLETRANSLATE(B498,""en"",""ar"")"),"مسافة")</f>
        <v>مسافة</v>
      </c>
      <c r="Q498" s="4" t="str">
        <f>IFERROR(__xludf.DUMMYFUNCTION("GOOGLETRANSLATE(B498,""en"",""mr"")"),"अंतर")</f>
        <v>अंतर</v>
      </c>
      <c r="R498" s="4" t="str">
        <f>IFERROR(__xludf.DUMMYFUNCTION("GOOGLETRANSLATE(B498,""en"",""gu"")"),"અંતર")</f>
        <v>અંતર</v>
      </c>
      <c r="S498" s="4" t="str">
        <f>IFERROR(__xludf.DUMMYFUNCTION("GOOGLETRANSLATE(B498,""en"",""bn"")"),"দূরত্ব")</f>
        <v>দূরত্ব</v>
      </c>
      <c r="T498" s="4" t="str">
        <f>IFERROR(__xludf.DUMMYFUNCTION("GOOGLETRANSLATE(B498,""en"",""pa"")"),"ਦੂਰੀ")</f>
        <v>ਦੂਰੀ</v>
      </c>
      <c r="U498" s="4" t="str">
        <f>IFERROR(__xludf.DUMMYFUNCTION("GOOGLETRANSLATE(B498,""en"",""te"")"),"దూరం")</f>
        <v>దూరం</v>
      </c>
      <c r="V498" s="4" t="str">
        <f>IFERROR(__xludf.DUMMYFUNCTION("GOOGLETRANSLATE(B498,""en"",""kn"")"),"ದೂರ")</f>
        <v>ದೂರ</v>
      </c>
      <c r="W498" s="4" t="str">
        <f>IFERROR(__xludf.DUMMYFUNCTION("GOOGLETRANSLATE(B498,""en"",""ml"")"),"ദൂരം")</f>
        <v>ദൂരം</v>
      </c>
      <c r="X498" s="4" t="str">
        <f>IFERROR(__xludf.DUMMYFUNCTION("GOOGLETRANSLATE(B498,""en"",""th"")"),"ระยะทาง")</f>
        <v>ระยะทาง</v>
      </c>
      <c r="Y498" s="4" t="str">
        <f>IFERROR(__xludf.DUMMYFUNCTION("GOOGLETRANSLATE(B498,""en"",""ko"")"),"거리")</f>
        <v>거리</v>
      </c>
      <c r="Z498" s="4" t="str">
        <f>IFERROR(__xludf.DUMMYFUNCTION("GOOGLETRANSLATE(B498,""en"",""zh"")"),"距离")</f>
        <v>距离</v>
      </c>
      <c r="AA498" s="4" t="str">
        <f>IFERROR(__xludf.DUMMYFUNCTION("GOOGLETRANSLATE(B498,""en"",""zh-TW"")"),"距離")</f>
        <v>距離</v>
      </c>
      <c r="AB498" s="4" t="str">
        <f>IFERROR(__xludf.DUMMYFUNCTION("GOOGLETRANSLATE(B498,""en"",""ja"")"),"距離")</f>
        <v>距離</v>
      </c>
      <c r="AC498" s="4" t="str">
        <f>IFERROR(__xludf.DUMMYFUNCTION("GOOGLETRANSLATE(B498,""en"",""bg"")"),"Разстояние")</f>
        <v>Разстояние</v>
      </c>
      <c r="AD498" s="4" t="str">
        <f>IFERROR(__xludf.DUMMYFUNCTION("GOOGLETRANSLATE(B498,""en"",""cs"")"),"Vzdálenost")</f>
        <v>Vzdálenost</v>
      </c>
      <c r="AE498" s="4" t="str">
        <f>IFERROR(__xludf.DUMMYFUNCTION("GOOGLETRANSLATE(B498,""en"",""da"")"),"Afstand")</f>
        <v>Afstand</v>
      </c>
      <c r="AF498" s="4" t="str">
        <f>IFERROR(__xludf.DUMMYFUNCTION("GOOGLETRANSLATE(B498,""en"",""el"")"),"Απόσταση")</f>
        <v>Απόσταση</v>
      </c>
      <c r="AG498" s="4" t="str">
        <f>IFERROR(__xludf.DUMMYFUNCTION("GOOGLETRANSLATE(B498,""en"",""et"")"),"Kaugus")</f>
        <v>Kaugus</v>
      </c>
      <c r="AH498" s="4" t="str">
        <f>IFERROR(__xludf.DUMMYFUNCTION("GOOGLETRANSLATE(B498,""en"",""fi"")"),"Etäisyys")</f>
        <v>Etäisyys</v>
      </c>
      <c r="AI498" s="4" t="str">
        <f>IFERROR(__xludf.DUMMYFUNCTION("GOOGLETRANSLATE(B498,""en"",""hr"")"),"Udaljenost")</f>
        <v>Udaljenost</v>
      </c>
      <c r="AJ498" s="4" t="str">
        <f>IFERROR(__xludf.DUMMYFUNCTION("GOOGLETRANSLATE(B498,""en"",""hu"")"),"Távolság")</f>
        <v>Távolság</v>
      </c>
      <c r="AK498" s="4" t="str">
        <f>IFERROR(__xludf.DUMMYFUNCTION("GOOGLETRANSLATE(B498,""en"",""hy"")"),"Հեռավորությունը")</f>
        <v>Հեռավորությունը</v>
      </c>
      <c r="AL498" s="4" t="str">
        <f>IFERROR(__xludf.DUMMYFUNCTION("GOOGLETRANSLATE(B498,""en"",""ca"")"),"Distància")</f>
        <v>Distància</v>
      </c>
      <c r="AM498" s="4" t="str">
        <f>IFERROR(__xludf.DUMMYFUNCTION("GOOGLETRANSLATE(B498,""en"",""nl"")"),"Afstand")</f>
        <v>Afstand</v>
      </c>
      <c r="AN498" s="4" t="str">
        <f>IFERROR(__xludf.DUMMYFUNCTION("GOOGLETRANSLATE(B498,""en"",""he"")"),"מֶרְחָק")</f>
        <v>מֶרְחָק</v>
      </c>
      <c r="AO498" s="4" t="str">
        <f>IFERROR(__xludf.DUMMYFUNCTION("GOOGLETRANSLATE(B498,""en"",""is"")"),"Fjarlægð")</f>
        <v>Fjarlægð</v>
      </c>
      <c r="AP498" s="4" t="str">
        <f>IFERROR(__xludf.DUMMYFUNCTION("GOOGLETRANSLATE(B498,""en"",""no"")"),"Avstand")</f>
        <v>Avstand</v>
      </c>
      <c r="AQ498" s="4" t="str">
        <f>IFERROR(__xludf.DUMMYFUNCTION("GOOGLETRANSLATE(B498,""en"",""fa"")"),"فاصله")</f>
        <v>فاصله</v>
      </c>
      <c r="AR498" s="4" t="str">
        <f>IFERROR(__xludf.DUMMYFUNCTION("GOOGLETRANSLATE(B498,""en"",""pl"")"),"Dystans")</f>
        <v>Dystans</v>
      </c>
      <c r="AS498" s="4" t="str">
        <f>IFERROR(__xludf.DUMMYFUNCTION("GOOGLETRANSLATE(B498,""en"",""sv"")"),"Avstånd")</f>
        <v>Avstånd</v>
      </c>
      <c r="AT498" s="4" t="str">
        <f>IFERROR(__xludf.DUMMYFUNCTION("GOOGLETRANSLATE(B498,""en"",""uk"")"),"Відстань")</f>
        <v>Відстань</v>
      </c>
      <c r="AU498" s="4" t="str">
        <f>IFERROR(__xludf.DUMMYFUNCTION("GOOGLETRANSLATE(B498,""en"",""zu"")"),"Ibanga")</f>
        <v>Ibanga</v>
      </c>
      <c r="AV498" s="4" t="str">
        <f>IFERROR(__xludf.DUMMYFUNCTION("GOOGLETRANSLATE(B498,""en"",""sr"")"),"Удаљеност")</f>
        <v>Удаљеност</v>
      </c>
    </row>
    <row r="499">
      <c r="A499" s="3" t="s">
        <v>960</v>
      </c>
      <c r="B499" s="3" t="s">
        <v>492</v>
      </c>
      <c r="C499" s="4" t="str">
        <f>IFERROR(__xludf.DUMMYFUNCTION("GOOGLETRANSLATE(B499,""en"",""ta"")"),"உயரம்")</f>
        <v>உயரம்</v>
      </c>
      <c r="D499" s="4" t="str">
        <f>IFERROR(__xludf.DUMMYFUNCTION("GOOGLETRANSLATE(B499,""en"",""hi"")"),"ऊंचाई")</f>
        <v>ऊंचाई</v>
      </c>
      <c r="E499" s="4" t="str">
        <f>IFERROR(__xludf.DUMMYFUNCTION("GOOGLETRANSLATE(B499,""en"",""id"")"),"Ketinggian")</f>
        <v>Ketinggian</v>
      </c>
      <c r="F499" s="4" t="str">
        <f>IFERROR(__xludf.DUMMYFUNCTION("GOOGLETRANSLATE(B499,""en"",""ms"")"),"Ketinggian")</f>
        <v>Ketinggian</v>
      </c>
      <c r="G499" s="4" t="str">
        <f>IFERROR(__xludf.DUMMYFUNCTION("GOOGLETRANSLATE(B499,""en"",""de"")"),"Höhe")</f>
        <v>Höhe</v>
      </c>
      <c r="H499" s="4" t="str">
        <f>IFERROR(__xludf.DUMMYFUNCTION("GOOGLETRANSLATE(B499,""en"",""es"")"),"Altitud")</f>
        <v>Altitud</v>
      </c>
      <c r="I499" s="4" t="str">
        <f>IFERROR(__xludf.DUMMYFUNCTION("GOOGLETRANSLATE(B499,""en"",""fr"")"),"Altitude")</f>
        <v>Altitude</v>
      </c>
      <c r="J499" s="4" t="str">
        <f>IFERROR(__xludf.DUMMYFUNCTION("GOOGLETRANSLATE(B499,""en"",""it"")"),"Altitudine")</f>
        <v>Altitudine</v>
      </c>
      <c r="K499" s="4" t="str">
        <f>IFERROR(__xludf.DUMMYFUNCTION("GOOGLETRANSLATE(B499,""en"",""pt"")"),"Altitude")</f>
        <v>Altitude</v>
      </c>
      <c r="L499" s="4" t="str">
        <f>IFERROR(__xludf.DUMMYFUNCTION("GOOGLETRANSLATE(B499,""en"",""ro"")"),"Altitudine")</f>
        <v>Altitudine</v>
      </c>
      <c r="M499" s="4" t="str">
        <f>IFERROR(__xludf.DUMMYFUNCTION("GOOGLETRANSLATE(B499,""en"",""vi"")"),"Độ cao")</f>
        <v>Độ cao</v>
      </c>
      <c r="N499" s="4" t="str">
        <f>IFERROR(__xludf.DUMMYFUNCTION("GOOGLETRANSLATE(B499,""en"",""ru"")"),"Высота")</f>
        <v>Высота</v>
      </c>
      <c r="O499" s="4" t="str">
        <f>IFERROR(__xludf.DUMMYFUNCTION("GOOGLETRANSLATE(B499,""en"",""tr"")"),"Yükseklik")</f>
        <v>Yükseklik</v>
      </c>
      <c r="P499" s="4" t="str">
        <f>IFERROR(__xludf.DUMMYFUNCTION("GOOGLETRANSLATE(B499,""en"",""ar"")"),"ارتفاع")</f>
        <v>ارتفاع</v>
      </c>
      <c r="Q499" s="4" t="str">
        <f>IFERROR(__xludf.DUMMYFUNCTION("GOOGLETRANSLATE(B499,""en"",""mr"")"),"उंची")</f>
        <v>उंची</v>
      </c>
      <c r="R499" s="4" t="str">
        <f>IFERROR(__xludf.DUMMYFUNCTION("GOOGLETRANSLATE(B499,""en"",""gu"")"),"ઊંચાઈ")</f>
        <v>ઊંચાઈ</v>
      </c>
      <c r="S499" s="4" t="str">
        <f>IFERROR(__xludf.DUMMYFUNCTION("GOOGLETRANSLATE(B499,""en"",""bn"")"),"উচ্চতা")</f>
        <v>উচ্চতা</v>
      </c>
      <c r="T499" s="4" t="str">
        <f>IFERROR(__xludf.DUMMYFUNCTION("GOOGLETRANSLATE(B499,""en"",""pa"")"),"ਉਚਾਈ")</f>
        <v>ਉਚਾਈ</v>
      </c>
      <c r="U499" s="4" t="str">
        <f>IFERROR(__xludf.DUMMYFUNCTION("GOOGLETRANSLATE(B499,""en"",""te"")"),"ఎత్తు")</f>
        <v>ఎత్తు</v>
      </c>
      <c r="V499" s="4" t="str">
        <f>IFERROR(__xludf.DUMMYFUNCTION("GOOGLETRANSLATE(B499,""en"",""kn"")"),"ಎತ್ತರ")</f>
        <v>ಎತ್ತರ</v>
      </c>
      <c r="W499" s="4" t="str">
        <f>IFERROR(__xludf.DUMMYFUNCTION("GOOGLETRANSLATE(B499,""en"",""ml"")"),"ഉയരം")</f>
        <v>ഉയരം</v>
      </c>
      <c r="X499" s="4" t="str">
        <f>IFERROR(__xludf.DUMMYFUNCTION("GOOGLETRANSLATE(B499,""en"",""th"")"),"ระดับความสูง")</f>
        <v>ระดับความสูง</v>
      </c>
      <c r="Y499" s="4" t="str">
        <f>IFERROR(__xludf.DUMMYFUNCTION("GOOGLETRANSLATE(B499,""en"",""ko"")"),"고도")</f>
        <v>고도</v>
      </c>
      <c r="Z499" s="4" t="str">
        <f>IFERROR(__xludf.DUMMYFUNCTION("GOOGLETRANSLATE(B499,""en"",""zh"")"),"高度")</f>
        <v>高度</v>
      </c>
      <c r="AA499" s="4" t="str">
        <f>IFERROR(__xludf.DUMMYFUNCTION("GOOGLETRANSLATE(B499,""en"",""zh-TW"")"),"高度")</f>
        <v>高度</v>
      </c>
      <c r="AB499" s="4" t="str">
        <f>IFERROR(__xludf.DUMMYFUNCTION("GOOGLETRANSLATE(B499,""en"",""ja"")"),"高度")</f>
        <v>高度</v>
      </c>
      <c r="AC499" s="4" t="str">
        <f>IFERROR(__xludf.DUMMYFUNCTION("GOOGLETRANSLATE(B499,""en"",""bg"")"),"Надморска височина")</f>
        <v>Надморска височина</v>
      </c>
      <c r="AD499" s="4" t="str">
        <f>IFERROR(__xludf.DUMMYFUNCTION("GOOGLETRANSLATE(B499,""en"",""cs"")"),"Nadmořská výška")</f>
        <v>Nadmořská výška</v>
      </c>
      <c r="AE499" s="4" t="str">
        <f>IFERROR(__xludf.DUMMYFUNCTION("GOOGLETRANSLATE(B499,""en"",""da"")"),"Højde")</f>
        <v>Højde</v>
      </c>
      <c r="AF499" s="4" t="str">
        <f>IFERROR(__xludf.DUMMYFUNCTION("GOOGLETRANSLATE(B499,""en"",""el"")"),"Υψόμετρο")</f>
        <v>Υψόμετρο</v>
      </c>
      <c r="AG499" s="4" t="str">
        <f>IFERROR(__xludf.DUMMYFUNCTION("GOOGLETRANSLATE(B499,""en"",""et"")"),"Kõrgus merepinnast")</f>
        <v>Kõrgus merepinnast</v>
      </c>
      <c r="AH499" s="4" t="str">
        <f>IFERROR(__xludf.DUMMYFUNCTION("GOOGLETRANSLATE(B499,""en"",""fi"")"),"Korkeus")</f>
        <v>Korkeus</v>
      </c>
      <c r="AI499" s="4" t="str">
        <f>IFERROR(__xludf.DUMMYFUNCTION("GOOGLETRANSLATE(B499,""en"",""hr"")"),"Nadmorska visina")</f>
        <v>Nadmorska visina</v>
      </c>
      <c r="AJ499" s="4" t="str">
        <f>IFERROR(__xludf.DUMMYFUNCTION("GOOGLETRANSLATE(B499,""en"",""hu"")"),"Magasság")</f>
        <v>Magasság</v>
      </c>
      <c r="AK499" s="4" t="str">
        <f>IFERROR(__xludf.DUMMYFUNCTION("GOOGLETRANSLATE(B499,""en"",""hy"")"),"Բարձրություն")</f>
        <v>Բարձրություն</v>
      </c>
      <c r="AL499" s="4" t="str">
        <f>IFERROR(__xludf.DUMMYFUNCTION("GOOGLETRANSLATE(B499,""en"",""ca"")"),"Altitud")</f>
        <v>Altitud</v>
      </c>
      <c r="AM499" s="4" t="str">
        <f>IFERROR(__xludf.DUMMYFUNCTION("GOOGLETRANSLATE(B499,""en"",""nl"")"),"Hoogte")</f>
        <v>Hoogte</v>
      </c>
      <c r="AN499" s="4" t="str">
        <f>IFERROR(__xludf.DUMMYFUNCTION("GOOGLETRANSLATE(B499,""en"",""he"")"),"גוֹבַה")</f>
        <v>גוֹבַה</v>
      </c>
      <c r="AO499" s="4" t="str">
        <f>IFERROR(__xludf.DUMMYFUNCTION("GOOGLETRANSLATE(B499,""en"",""is"")"),"Hæð")</f>
        <v>Hæð</v>
      </c>
      <c r="AP499" s="4" t="str">
        <f>IFERROR(__xludf.DUMMYFUNCTION("GOOGLETRANSLATE(B499,""en"",""no"")"),"Høyde")</f>
        <v>Høyde</v>
      </c>
      <c r="AQ499" s="4" t="str">
        <f>IFERROR(__xludf.DUMMYFUNCTION("GOOGLETRANSLATE(B499,""en"",""fa"")"),"ارتفاع")</f>
        <v>ارتفاع</v>
      </c>
      <c r="AR499" s="4" t="str">
        <f>IFERROR(__xludf.DUMMYFUNCTION("GOOGLETRANSLATE(B499,""en"",""pl"")"),"Wysokość")</f>
        <v>Wysokość</v>
      </c>
      <c r="AS499" s="4" t="str">
        <f>IFERROR(__xludf.DUMMYFUNCTION("GOOGLETRANSLATE(B499,""en"",""sv"")"),"Höjd över havet")</f>
        <v>Höjd över havet</v>
      </c>
      <c r="AT499" s="4" t="str">
        <f>IFERROR(__xludf.DUMMYFUNCTION("GOOGLETRANSLATE(B499,""en"",""uk"")"),"Висота")</f>
        <v>Висота</v>
      </c>
      <c r="AU499" s="4" t="str">
        <f>IFERROR(__xludf.DUMMYFUNCTION("GOOGLETRANSLATE(B499,""en"",""zu"")"),"Ukuphakama")</f>
        <v>Ukuphakama</v>
      </c>
      <c r="AV499" s="4" t="str">
        <f>IFERROR(__xludf.DUMMYFUNCTION("GOOGLETRANSLATE(B499,""en"",""sr"")"),"Висина")</f>
        <v>Висина</v>
      </c>
    </row>
    <row r="500">
      <c r="A500" s="3" t="s">
        <v>961</v>
      </c>
      <c r="B500" s="3" t="s">
        <v>962</v>
      </c>
      <c r="C500" s="4" t="str">
        <f>IFERROR(__xludf.DUMMYFUNCTION("GOOGLETRANSLATE(B500,""en"",""ta"")"),"அடி")</f>
        <v>அடி</v>
      </c>
      <c r="D500" s="4" t="str">
        <f>IFERROR(__xludf.DUMMYFUNCTION("GOOGLETRANSLATE(B500,""en"",""hi"")"),"फुट")</f>
        <v>फुट</v>
      </c>
      <c r="E500" s="4" t="str">
        <f>IFERROR(__xludf.DUMMYFUNCTION("GOOGLETRANSLATE(B500,""en"",""id"")"),"kaki")</f>
        <v>kaki</v>
      </c>
      <c r="F500" s="4" t="str">
        <f>IFERROR(__xludf.DUMMYFUNCTION("GOOGLETRANSLATE(B500,""en"",""ms"")"),"kaki")</f>
        <v>kaki</v>
      </c>
      <c r="G500" s="4" t="str">
        <f>IFERROR(__xludf.DUMMYFUNCTION("GOOGLETRANSLATE(B500,""en"",""de"")"),"Fuß")</f>
        <v>Fuß</v>
      </c>
      <c r="H500" s="4" t="str">
        <f>IFERROR(__xludf.DUMMYFUNCTION("GOOGLETRANSLATE(B500,""en"",""es"")"),"pie")</f>
        <v>pie</v>
      </c>
      <c r="I500" s="4" t="str">
        <f>IFERROR(__xludf.DUMMYFUNCTION("GOOGLETRANSLATE(B500,""en"",""fr"")"),"pieds")</f>
        <v>pieds</v>
      </c>
      <c r="J500" s="4" t="str">
        <f>IFERROR(__xludf.DUMMYFUNCTION("GOOGLETRANSLATE(B500,""en"",""it"")"),"piedi")</f>
        <v>piedi</v>
      </c>
      <c r="K500" s="4" t="str">
        <f>IFERROR(__xludf.DUMMYFUNCTION("GOOGLETRANSLATE(B500,""en"",""pt"")"),"pés")</f>
        <v>pés</v>
      </c>
      <c r="L500" s="4" t="str">
        <f>IFERROR(__xludf.DUMMYFUNCTION("GOOGLETRANSLATE(B500,""en"",""ro"")"),"ft")</f>
        <v>ft</v>
      </c>
      <c r="M500" s="4" t="str">
        <f>IFERROR(__xludf.DUMMYFUNCTION("GOOGLETRANSLATE(B500,""en"",""vi"")"),"ft")</f>
        <v>ft</v>
      </c>
      <c r="N500" s="4" t="str">
        <f>IFERROR(__xludf.DUMMYFUNCTION("GOOGLETRANSLATE(B500,""en"",""ru"")"),"футы")</f>
        <v>футы</v>
      </c>
      <c r="O500" s="4" t="str">
        <f>IFERROR(__xludf.DUMMYFUNCTION("GOOGLETRANSLATE(B500,""en"",""tr"")"),"ft")</f>
        <v>ft</v>
      </c>
      <c r="P500" s="4" t="str">
        <f>IFERROR(__xludf.DUMMYFUNCTION("GOOGLETRANSLATE(B500,""en"",""ar"")"),"قدم")</f>
        <v>قدم</v>
      </c>
      <c r="Q500" s="4" t="str">
        <f>IFERROR(__xludf.DUMMYFUNCTION("GOOGLETRANSLATE(B500,""en"",""mr"")"),"फूट")</f>
        <v>फूट</v>
      </c>
      <c r="R500" s="4" t="str">
        <f>IFERROR(__xludf.DUMMYFUNCTION("GOOGLETRANSLATE(B500,""en"",""gu"")"),"ફૂટ")</f>
        <v>ફૂટ</v>
      </c>
      <c r="S500" s="4" t="str">
        <f>IFERROR(__xludf.DUMMYFUNCTION("GOOGLETRANSLATE(B500,""en"",""bn"")"),"ফুট")</f>
        <v>ফুট</v>
      </c>
      <c r="T500" s="4" t="str">
        <f>IFERROR(__xludf.DUMMYFUNCTION("GOOGLETRANSLATE(B500,""en"",""pa"")"),"ਫੁੱਟ")</f>
        <v>ਫੁੱਟ</v>
      </c>
      <c r="U500" s="4" t="str">
        <f>IFERROR(__xludf.DUMMYFUNCTION("GOOGLETRANSLATE(B500,""en"",""te"")"),"అడుగులు")</f>
        <v>అడుగులు</v>
      </c>
      <c r="V500" s="4" t="str">
        <f>IFERROR(__xludf.DUMMYFUNCTION("GOOGLETRANSLATE(B500,""en"",""kn"")"),"ಅಡಿ")</f>
        <v>ಅಡಿ</v>
      </c>
      <c r="W500" s="4" t="str">
        <f>IFERROR(__xludf.DUMMYFUNCTION("GOOGLETRANSLATE(B500,""en"",""ml"")"),"അടി")</f>
        <v>അടി</v>
      </c>
      <c r="X500" s="4" t="str">
        <f>IFERROR(__xludf.DUMMYFUNCTION("GOOGLETRANSLATE(B500,""en"",""th"")"),"ฟุต")</f>
        <v>ฟุต</v>
      </c>
      <c r="Y500" s="4" t="str">
        <f>IFERROR(__xludf.DUMMYFUNCTION("GOOGLETRANSLATE(B500,""en"",""ko"")"),"피트")</f>
        <v>피트</v>
      </c>
      <c r="Z500" s="4" t="str">
        <f>IFERROR(__xludf.DUMMYFUNCTION("GOOGLETRANSLATE(B500,""en"",""zh"")"),"英尺")</f>
        <v>英尺</v>
      </c>
      <c r="AA500" s="4" t="str">
        <f>IFERROR(__xludf.DUMMYFUNCTION("GOOGLETRANSLATE(B500,""en"",""zh-TW"")"),"英尺")</f>
        <v>英尺</v>
      </c>
      <c r="AB500" s="4" t="str">
        <f>IFERROR(__xludf.DUMMYFUNCTION("GOOGLETRANSLATE(B500,""en"",""ja"")"),"フィート")</f>
        <v>フィート</v>
      </c>
      <c r="AC500" s="4" t="str">
        <f>IFERROR(__xludf.DUMMYFUNCTION("GOOGLETRANSLATE(B500,""en"",""bg"")"),"фута")</f>
        <v>фута</v>
      </c>
      <c r="AD500" s="4" t="str">
        <f>IFERROR(__xludf.DUMMYFUNCTION("GOOGLETRANSLATE(B500,""en"",""cs"")"),"ft")</f>
        <v>ft</v>
      </c>
      <c r="AE500" s="4" t="str">
        <f>IFERROR(__xludf.DUMMYFUNCTION("GOOGLETRANSLATE(B500,""en"",""da"")"),"ft")</f>
        <v>ft</v>
      </c>
      <c r="AF500" s="4" t="str">
        <f>IFERROR(__xludf.DUMMYFUNCTION("GOOGLETRANSLATE(B500,""en"",""el"")"),"πόδια")</f>
        <v>πόδια</v>
      </c>
      <c r="AG500" s="4" t="str">
        <f>IFERROR(__xludf.DUMMYFUNCTION("GOOGLETRANSLATE(B500,""en"",""et"")"),"jalga")</f>
        <v>jalga</v>
      </c>
      <c r="AH500" s="4" t="str">
        <f>IFERROR(__xludf.DUMMYFUNCTION("GOOGLETRANSLATE(B500,""en"",""fi"")"),"ft")</f>
        <v>ft</v>
      </c>
      <c r="AI500" s="4" t="str">
        <f>IFERROR(__xludf.DUMMYFUNCTION("GOOGLETRANSLATE(B500,""en"",""hr"")"),"ft")</f>
        <v>ft</v>
      </c>
      <c r="AJ500" s="4" t="str">
        <f>IFERROR(__xludf.DUMMYFUNCTION("GOOGLETRANSLATE(B500,""en"",""hu"")"),"ft")</f>
        <v>ft</v>
      </c>
      <c r="AK500" s="4" t="str">
        <f>IFERROR(__xludf.DUMMYFUNCTION("GOOGLETRANSLATE(B500,""en"",""hy"")"),"ոտնաչափ")</f>
        <v>ոտնաչափ</v>
      </c>
      <c r="AL500" s="4" t="str">
        <f>IFERROR(__xludf.DUMMYFUNCTION("GOOGLETRANSLATE(B500,""en"",""ca"")"),"peus")</f>
        <v>peus</v>
      </c>
      <c r="AM500" s="4" t="str">
        <f>IFERROR(__xludf.DUMMYFUNCTION("GOOGLETRANSLATE(B500,""en"",""nl"")"),"voet")</f>
        <v>voet</v>
      </c>
      <c r="AN500" s="4" t="str">
        <f>IFERROR(__xludf.DUMMYFUNCTION("GOOGLETRANSLATE(B500,""en"",""he"")"),"ft")</f>
        <v>ft</v>
      </c>
      <c r="AO500" s="4" t="str">
        <f>IFERROR(__xludf.DUMMYFUNCTION("GOOGLETRANSLATE(B500,""en"",""is"")"),"ft")</f>
        <v>ft</v>
      </c>
      <c r="AP500" s="4" t="str">
        <f>IFERROR(__xludf.DUMMYFUNCTION("GOOGLETRANSLATE(B500,""en"",""no"")"),"ft")</f>
        <v>ft</v>
      </c>
      <c r="AQ500" s="4" t="str">
        <f>IFERROR(__xludf.DUMMYFUNCTION("GOOGLETRANSLATE(B500,""en"",""fa"")"),"فوت")</f>
        <v>فوت</v>
      </c>
      <c r="AR500" s="4" t="str">
        <f>IFERROR(__xludf.DUMMYFUNCTION("GOOGLETRANSLATE(B500,""en"",""pl"")"),"stopy")</f>
        <v>stopy</v>
      </c>
      <c r="AS500" s="4" t="str">
        <f>IFERROR(__xludf.DUMMYFUNCTION("GOOGLETRANSLATE(B500,""en"",""sv"")"),"ft")</f>
        <v>ft</v>
      </c>
      <c r="AT500" s="4" t="str">
        <f>IFERROR(__xludf.DUMMYFUNCTION("GOOGLETRANSLATE(B500,""en"",""uk"")"),"футів")</f>
        <v>футів</v>
      </c>
      <c r="AU500" s="4" t="str">
        <f>IFERROR(__xludf.DUMMYFUNCTION("GOOGLETRANSLATE(B500,""en"",""zu"")"),"ft")</f>
        <v>ft</v>
      </c>
      <c r="AV500" s="4" t="str">
        <f>IFERROR(__xludf.DUMMYFUNCTION("GOOGLETRANSLATE(B500,""en"",""sr"")"),"фт")</f>
        <v>фт</v>
      </c>
    </row>
    <row r="501">
      <c r="A501" s="3" t="s">
        <v>963</v>
      </c>
      <c r="B501" s="3" t="s">
        <v>964</v>
      </c>
      <c r="C501" s="4" t="str">
        <f>IFERROR(__xludf.DUMMYFUNCTION("GOOGLETRANSLATE(B501,""en"",""ta"")"),"7-நாள் முன்னறிவிப்பு")</f>
        <v>7-நாள் முன்னறிவிப்பு</v>
      </c>
      <c r="D501" s="4" t="str">
        <f>IFERROR(__xludf.DUMMYFUNCTION("GOOGLETRANSLATE(B501,""en"",""hi"")"),"7-दिन का पूर्वानुमान")</f>
        <v>7-दिन का पूर्वानुमान</v>
      </c>
      <c r="E501" s="4" t="str">
        <f>IFERROR(__xludf.DUMMYFUNCTION("GOOGLETRANSLATE(B501,""en"",""id"")"),"Prakiraan Cuaca 7 Hari")</f>
        <v>Prakiraan Cuaca 7 Hari</v>
      </c>
      <c r="F501" s="4" t="str">
        <f>IFERROR(__xludf.DUMMYFUNCTION("GOOGLETRANSLATE(B501,""en"",""ms"")"),"Ramalan 7 Hari")</f>
        <v>Ramalan 7 Hari</v>
      </c>
      <c r="G501" s="4" t="str">
        <f>IFERROR(__xludf.DUMMYFUNCTION("GOOGLETRANSLATE(B501,""en"",""de"")"),"7-Tage-Vorhersage")</f>
        <v>7-Tage-Vorhersage</v>
      </c>
      <c r="H501" s="4" t="str">
        <f>IFERROR(__xludf.DUMMYFUNCTION("GOOGLETRANSLATE(B501,""en"",""es"")"),"Pronóstico de 7 días")</f>
        <v>Pronóstico de 7 días</v>
      </c>
      <c r="I501" s="4" t="str">
        <f>IFERROR(__xludf.DUMMYFUNCTION("GOOGLETRANSLATE(B501,""en"",""fr"")"),"Prévisions à 7 jours")</f>
        <v>Prévisions à 7 jours</v>
      </c>
      <c r="J501" s="4" t="str">
        <f>IFERROR(__xludf.DUMMYFUNCTION("GOOGLETRANSLATE(B501,""en"",""it"")"),"Previsioni a 7 giorni")</f>
        <v>Previsioni a 7 giorni</v>
      </c>
      <c r="K501" s="4" t="str">
        <f>IFERROR(__xludf.DUMMYFUNCTION("GOOGLETRANSLATE(B501,""en"",""pt"")"),"Previsão para 7 dias")</f>
        <v>Previsão para 7 dias</v>
      </c>
      <c r="L501" s="4" t="str">
        <f>IFERROR(__xludf.DUMMYFUNCTION("GOOGLETRANSLATE(B501,""en"",""ro"")"),"Prognoza pe 7 zile")</f>
        <v>Prognoza pe 7 zile</v>
      </c>
      <c r="M501" s="4" t="str">
        <f>IFERROR(__xludf.DUMMYFUNCTION("GOOGLETRANSLATE(B501,""en"",""vi"")"),"Dự báo 7 ngày")</f>
        <v>Dự báo 7 ngày</v>
      </c>
      <c r="N501" s="4" t="str">
        <f>IFERROR(__xludf.DUMMYFUNCTION("GOOGLETRANSLATE(B501,""en"",""ru"")"),"7-дневный прогноз")</f>
        <v>7-дневный прогноз</v>
      </c>
      <c r="O501" s="4" t="str">
        <f>IFERROR(__xludf.DUMMYFUNCTION("GOOGLETRANSLATE(B501,""en"",""tr"")"),"7 Günlük Tahmin")</f>
        <v>7 Günlük Tahmin</v>
      </c>
      <c r="P501" s="4" t="str">
        <f>IFERROR(__xludf.DUMMYFUNCTION("GOOGLETRANSLATE(B501,""en"",""ar"")"),"توقعات الطقس لسبعة أيام")</f>
        <v>توقعات الطقس لسبعة أيام</v>
      </c>
      <c r="Q501" s="4" t="str">
        <f>IFERROR(__xludf.DUMMYFUNCTION("GOOGLETRANSLATE(B501,""en"",""mr"")"),"7-दिवसांचा अंदाज")</f>
        <v>7-दिवसांचा अंदाज</v>
      </c>
      <c r="R501" s="4" t="str">
        <f>IFERROR(__xludf.DUMMYFUNCTION("GOOGLETRANSLATE(B501,""en"",""gu"")"),"7-દિવસની આગાહી")</f>
        <v>7-દિવસની આગાહી</v>
      </c>
      <c r="S501" s="4" t="str">
        <f>IFERROR(__xludf.DUMMYFUNCTION("GOOGLETRANSLATE(B501,""en"",""bn"")"),"7-দিনের পূর্বাভাস")</f>
        <v>7-দিনের পূর্বাভাস</v>
      </c>
      <c r="T501" s="4" t="str">
        <f>IFERROR(__xludf.DUMMYFUNCTION("GOOGLETRANSLATE(B501,""en"",""pa"")"),"7-ਦਿਨ ਦੀ ਭਵਿੱਖਬਾਣੀ")</f>
        <v>7-ਦਿਨ ਦੀ ਭਵਿੱਖਬਾਣੀ</v>
      </c>
      <c r="U501" s="4" t="str">
        <f>IFERROR(__xludf.DUMMYFUNCTION("GOOGLETRANSLATE(B501,""en"",""te"")"),"7-రోజుల సూచన")</f>
        <v>7-రోజుల సూచన</v>
      </c>
      <c r="V501" s="4" t="str">
        <f>IFERROR(__xludf.DUMMYFUNCTION("GOOGLETRANSLATE(B501,""en"",""kn"")"),"7-ದಿನದ ಮುನ್ಸೂಚನೆ")</f>
        <v>7-ದಿನದ ಮುನ್ಸೂಚನೆ</v>
      </c>
      <c r="W501" s="4" t="str">
        <f>IFERROR(__xludf.DUMMYFUNCTION("GOOGLETRANSLATE(B501,""en"",""ml"")"),"7-ദിന പ്രവചനം")</f>
        <v>7-ദിന പ്രവചനം</v>
      </c>
      <c r="X501" s="4" t="str">
        <f>IFERROR(__xludf.DUMMYFUNCTION("GOOGLETRANSLATE(B501,""en"",""th"")"),"พยากรณ์อากาศ 7 วัน")</f>
        <v>พยากรณ์อากาศ 7 วัน</v>
      </c>
      <c r="Y501" s="4" t="str">
        <f>IFERROR(__xludf.DUMMYFUNCTION("GOOGLETRANSLATE(B501,""en"",""ko"")"),"7일 예보")</f>
        <v>7일 예보</v>
      </c>
      <c r="Z501" s="4" t="str">
        <f>IFERROR(__xludf.DUMMYFUNCTION("GOOGLETRANSLATE(B501,""en"",""zh"")"),"7天预报")</f>
        <v>7天预报</v>
      </c>
      <c r="AA501" s="4" t="str">
        <f>IFERROR(__xludf.DUMMYFUNCTION("GOOGLETRANSLATE(B501,""en"",""zh-TW"")"),"7天預報")</f>
        <v>7天預報</v>
      </c>
      <c r="AB501" s="4" t="str">
        <f>IFERROR(__xludf.DUMMYFUNCTION("GOOGLETRANSLATE(B501,""en"",""ja"")"),"7日間予報")</f>
        <v>7日間予報</v>
      </c>
      <c r="AC501" s="4" t="str">
        <f>IFERROR(__xludf.DUMMYFUNCTION("GOOGLETRANSLATE(B501,""en"",""bg"")"),"7-дневна прогноза")</f>
        <v>7-дневна прогноза</v>
      </c>
      <c r="AD501" s="4" t="str">
        <f>IFERROR(__xludf.DUMMYFUNCTION("GOOGLETRANSLATE(B501,""en"",""cs"")"),"7denní předpověď")</f>
        <v>7denní předpověď</v>
      </c>
      <c r="AE501" s="4" t="str">
        <f>IFERROR(__xludf.DUMMYFUNCTION("GOOGLETRANSLATE(B501,""en"",""da"")"),"7-dages vejrudsigt")</f>
        <v>7-dages vejrudsigt</v>
      </c>
      <c r="AF501" s="4" t="str">
        <f>IFERROR(__xludf.DUMMYFUNCTION("GOOGLETRANSLATE(B501,""en"",""el"")"),"Πρόβλεψη 7 ημερών")</f>
        <v>Πρόβλεψη 7 ημερών</v>
      </c>
      <c r="AG501" s="4" t="str">
        <f>IFERROR(__xludf.DUMMYFUNCTION("GOOGLETRANSLATE(B501,""en"",""et"")"),"7 päeva prognoos")</f>
        <v>7 päeva prognoos</v>
      </c>
      <c r="AH501" s="4" t="str">
        <f>IFERROR(__xludf.DUMMYFUNCTION("GOOGLETRANSLATE(B501,""en"",""fi"")"),"7 päivän ennuste")</f>
        <v>7 päivän ennuste</v>
      </c>
      <c r="AI501" s="4" t="str">
        <f>IFERROR(__xludf.DUMMYFUNCTION("GOOGLETRANSLATE(B501,""en"",""hr"")"),"7-dnevna prognoza")</f>
        <v>7-dnevna prognoza</v>
      </c>
      <c r="AJ501" s="4" t="str">
        <f>IFERROR(__xludf.DUMMYFUNCTION("GOOGLETRANSLATE(B501,""en"",""hu"")"),"7 napos előrejelzés")</f>
        <v>7 napos előrejelzés</v>
      </c>
      <c r="AK501" s="4" t="str">
        <f>IFERROR(__xludf.DUMMYFUNCTION("GOOGLETRANSLATE(B501,""en"",""hy"")"),"7-օրյա կանխատեսում")</f>
        <v>7-օրյա կանխատեսում</v>
      </c>
      <c r="AL501" s="4" t="str">
        <f>IFERROR(__xludf.DUMMYFUNCTION("GOOGLETRANSLATE(B501,""en"",""ca"")"),"Previsió de 7 dies")</f>
        <v>Previsió de 7 dies</v>
      </c>
      <c r="AM501" s="4" t="str">
        <f>IFERROR(__xludf.DUMMYFUNCTION("GOOGLETRANSLATE(B501,""en"",""nl"")"),"7-daagse voorspelling")</f>
        <v>7-daagse voorspelling</v>
      </c>
      <c r="AN501" s="4" t="str">
        <f>IFERROR(__xludf.DUMMYFUNCTION("GOOGLETRANSLATE(B501,""en"",""he"")"),"תחזית ל-7 ימים")</f>
        <v>תחזית ל-7 ימים</v>
      </c>
      <c r="AO501" s="4" t="str">
        <f>IFERROR(__xludf.DUMMYFUNCTION("GOOGLETRANSLATE(B501,""en"",""is"")"),"7 daga spá")</f>
        <v>7 daga spá</v>
      </c>
      <c r="AP501" s="4" t="str">
        <f>IFERROR(__xludf.DUMMYFUNCTION("GOOGLETRANSLATE(B501,""en"",""no"")"),"7-dagers værvarsel")</f>
        <v>7-dagers værvarsel</v>
      </c>
      <c r="AQ501" s="4" t="str">
        <f>IFERROR(__xludf.DUMMYFUNCTION("GOOGLETRANSLATE(B501,""en"",""fa"")"),"پیش بینی 7 روزه")</f>
        <v>پیش بینی 7 روزه</v>
      </c>
      <c r="AR501" s="4" t="str">
        <f>IFERROR(__xludf.DUMMYFUNCTION("GOOGLETRANSLATE(B501,""en"",""pl"")"),"Prognoza 7-dniowa")</f>
        <v>Prognoza 7-dniowa</v>
      </c>
      <c r="AS501" s="4" t="str">
        <f>IFERROR(__xludf.DUMMYFUNCTION("GOOGLETRANSLATE(B501,""en"",""sv"")"),"7-dagarsprognos")</f>
        <v>7-dagarsprognos</v>
      </c>
      <c r="AT501" s="4" t="str">
        <f>IFERROR(__xludf.DUMMYFUNCTION("GOOGLETRANSLATE(B501,""en"",""uk"")"),"7-денний прогноз")</f>
        <v>7-денний прогноз</v>
      </c>
      <c r="AU501" s="4" t="str">
        <f>IFERROR(__xludf.DUMMYFUNCTION("GOOGLETRANSLATE(B501,""en"",""zu"")"),"Isibikezelo Sezinsuku Eziyisi-7")</f>
        <v>Isibikezelo Sezinsuku Eziyisi-7</v>
      </c>
      <c r="AV501" s="4" t="str">
        <f>IFERROR(__xludf.DUMMYFUNCTION("GOOGLETRANSLATE(B501,""en"",""sr"")"),"7-дневна прогноза")</f>
        <v>7-дневна прогноза</v>
      </c>
    </row>
    <row r="502">
      <c r="A502" s="3" t="s">
        <v>965</v>
      </c>
      <c r="B502" s="3" t="s">
        <v>966</v>
      </c>
      <c r="C502" s="4" t="str">
        <f>IFERROR(__xludf.DUMMYFUNCTION("GOOGLETRANSLATE(B502,""en"",""ta"")"),"கடைசியாக புதுப்பிக்கப்பட்டது:")</f>
        <v>கடைசியாக புதுப்பிக்கப்பட்டது:</v>
      </c>
      <c r="D502" s="4" t="str">
        <f>IFERROR(__xludf.DUMMYFUNCTION("GOOGLETRANSLATE(B502,""en"",""hi"")"),"आखरी अपडेट:")</f>
        <v>आखरी अपडेट:</v>
      </c>
      <c r="E502" s="4" t="str">
        <f>IFERROR(__xludf.DUMMYFUNCTION("GOOGLETRANSLATE(B502,""en"",""id"")"),"Terakhir Diperbarui:")</f>
        <v>Terakhir Diperbarui:</v>
      </c>
      <c r="F502" s="4" t="str">
        <f>IFERROR(__xludf.DUMMYFUNCTION("GOOGLETRANSLATE(B502,""en"",""ms"")"),"Kemas Kini Terakhir:")</f>
        <v>Kemas Kini Terakhir:</v>
      </c>
      <c r="G502" s="4" t="str">
        <f>IFERROR(__xludf.DUMMYFUNCTION("GOOGLETRANSLATE(B502,""en"",""de"")"),"Zuletzt aktualisiert:")</f>
        <v>Zuletzt aktualisiert:</v>
      </c>
      <c r="H502" s="4" t="str">
        <f>IFERROR(__xludf.DUMMYFUNCTION("GOOGLETRANSLATE(B502,""en"",""es"")"),"Última actualización:")</f>
        <v>Última actualización:</v>
      </c>
      <c r="I502" s="4" t="str">
        <f>IFERROR(__xludf.DUMMYFUNCTION("GOOGLETRANSLATE(B502,""en"",""fr"")"),"Dernière mise à jour :")</f>
        <v>Dernière mise à jour :</v>
      </c>
      <c r="J502" s="4" t="str">
        <f>IFERROR(__xludf.DUMMYFUNCTION("GOOGLETRANSLATE(B502,""en"",""it"")"),"Ultimo aggiornamento:")</f>
        <v>Ultimo aggiornamento:</v>
      </c>
      <c r="K502" s="4" t="str">
        <f>IFERROR(__xludf.DUMMYFUNCTION("GOOGLETRANSLATE(B502,""en"",""pt"")"),"Última atualização:")</f>
        <v>Última atualização:</v>
      </c>
      <c r="L502" s="4" t="str">
        <f>IFERROR(__xludf.DUMMYFUNCTION("GOOGLETRANSLATE(B502,""en"",""ro"")"),"Ultima actualizare:")</f>
        <v>Ultima actualizare:</v>
      </c>
      <c r="M502" s="4" t="str">
        <f>IFERROR(__xludf.DUMMYFUNCTION("GOOGLETRANSLATE(B502,""en"",""vi"")"),"Cập nhật lần cuối:")</f>
        <v>Cập nhật lần cuối:</v>
      </c>
      <c r="N502" s="4" t="str">
        <f>IFERROR(__xludf.DUMMYFUNCTION("GOOGLETRANSLATE(B502,""en"",""ru"")"),"Последнее обновление:")</f>
        <v>Последнее обновление:</v>
      </c>
      <c r="O502" s="4" t="str">
        <f>IFERROR(__xludf.DUMMYFUNCTION("GOOGLETRANSLATE(B502,""en"",""tr"")"),"Son Güncelleme:")</f>
        <v>Son Güncelleme:</v>
      </c>
      <c r="P502" s="4" t="str">
        <f>IFERROR(__xludf.DUMMYFUNCTION("GOOGLETRANSLATE(B502,""en"",""ar"")"),"آخر تحديث:")</f>
        <v>آخر تحديث:</v>
      </c>
      <c r="Q502" s="4" t="str">
        <f>IFERROR(__xludf.DUMMYFUNCTION("GOOGLETRANSLATE(B502,""en"",""mr"")"),"शेवटचे अपडेट:")</f>
        <v>शेवटचे अपडेट:</v>
      </c>
      <c r="R502" s="4" t="str">
        <f>IFERROR(__xludf.DUMMYFUNCTION("GOOGLETRANSLATE(B502,""en"",""gu"")"),"છેલ્લું અપડેટ:")</f>
        <v>છેલ્લું અપડેટ:</v>
      </c>
      <c r="S502" s="4" t="str">
        <f>IFERROR(__xludf.DUMMYFUNCTION("GOOGLETRANSLATE(B502,""en"",""bn"")"),"সর্বশেষ আপডেট:")</f>
        <v>সর্বশেষ আপডেট:</v>
      </c>
      <c r="T502" s="4" t="str">
        <f>IFERROR(__xludf.DUMMYFUNCTION("GOOGLETRANSLATE(B502,""en"",""pa"")"),"ਆਖਰੀ ਅੱਪਡੇਟ:")</f>
        <v>ਆਖਰੀ ਅੱਪਡੇਟ:</v>
      </c>
      <c r="U502" s="4" t="str">
        <f>IFERROR(__xludf.DUMMYFUNCTION("GOOGLETRANSLATE(B502,""en"",""te"")"),"చివరిగా నవీకరించబడింది:")</f>
        <v>చివరిగా నవీకరించబడింది:</v>
      </c>
      <c r="V502" s="4" t="str">
        <f>IFERROR(__xludf.DUMMYFUNCTION("GOOGLETRANSLATE(B502,""en"",""kn"")"),"ಕೊನೆಯದಾಗಿ ನವೀಕರಿಸಲಾಗಿದೆ:")</f>
        <v>ಕೊನೆಯದಾಗಿ ನವೀಕರಿಸಲಾಗಿದೆ:</v>
      </c>
      <c r="W502" s="4" t="str">
        <f>IFERROR(__xludf.DUMMYFUNCTION("GOOGLETRANSLATE(B502,""en"",""ml"")"),"അവസാനം അപ്ഡേറ്റ് ചെയ്തത്:")</f>
        <v>അവസാനം അപ്ഡേറ്റ് ചെയ്തത്:</v>
      </c>
      <c r="X502" s="4" t="str">
        <f>IFERROR(__xludf.DUMMYFUNCTION("GOOGLETRANSLATE(B502,""en"",""th"")"),"ปรับปรุงล่าสุด :")</f>
        <v>ปรับปรุงล่าสุด :</v>
      </c>
      <c r="Y502" s="4" t="str">
        <f>IFERROR(__xludf.DUMMYFUNCTION("GOOGLETRANSLATE(B502,""en"",""ko"")"),"최종 업데이트:")</f>
        <v>최종 업데이트:</v>
      </c>
      <c r="Z502" s="4" t="str">
        <f>IFERROR(__xludf.DUMMYFUNCTION("GOOGLETRANSLATE(B502,""en"",""zh"")"),"最后更新：")</f>
        <v>最后更新：</v>
      </c>
      <c r="AA502" s="4" t="str">
        <f>IFERROR(__xludf.DUMMYFUNCTION("GOOGLETRANSLATE(B502,""en"",""zh-TW"")"),"最後更新：")</f>
        <v>最後更新：</v>
      </c>
      <c r="AB502" s="4" t="str">
        <f>IFERROR(__xludf.DUMMYFUNCTION("GOOGLETRANSLATE(B502,""en"",""ja"")"),"最終更新日:")</f>
        <v>最終更新日:</v>
      </c>
      <c r="AC502" s="4" t="str">
        <f>IFERROR(__xludf.DUMMYFUNCTION("GOOGLETRANSLATE(B502,""en"",""bg"")"),"Последна актуализация:")</f>
        <v>Последна актуализация:</v>
      </c>
      <c r="AD502" s="4" t="str">
        <f>IFERROR(__xludf.DUMMYFUNCTION("GOOGLETRANSLATE(B502,""en"",""cs"")"),"Poslední aktualizace:")</f>
        <v>Poslední aktualizace:</v>
      </c>
      <c r="AE502" s="4" t="str">
        <f>IFERROR(__xludf.DUMMYFUNCTION("GOOGLETRANSLATE(B502,""en"",""da"")"),"Sidst opdateret:")</f>
        <v>Sidst opdateret:</v>
      </c>
      <c r="AF502" s="4" t="str">
        <f>IFERROR(__xludf.DUMMYFUNCTION("GOOGLETRANSLATE(B502,""en"",""el"")"),"Τελευταία ενημέρωση:")</f>
        <v>Τελευταία ενημέρωση:</v>
      </c>
      <c r="AG502" s="4" t="str">
        <f>IFERROR(__xludf.DUMMYFUNCTION("GOOGLETRANSLATE(B502,""en"",""et"")"),"Viimati värskendatud:")</f>
        <v>Viimati värskendatud:</v>
      </c>
      <c r="AH502" s="4" t="str">
        <f>IFERROR(__xludf.DUMMYFUNCTION("GOOGLETRANSLATE(B502,""en"",""fi"")"),"Viimeksi päivitetty:")</f>
        <v>Viimeksi päivitetty:</v>
      </c>
      <c r="AI502" s="4" t="str">
        <f>IFERROR(__xludf.DUMMYFUNCTION("GOOGLETRANSLATE(B502,""en"",""hr"")"),"Zadnje ažuriranje:")</f>
        <v>Zadnje ažuriranje:</v>
      </c>
      <c r="AJ502" s="4" t="str">
        <f>IFERROR(__xludf.DUMMYFUNCTION("GOOGLETRANSLATE(B502,""en"",""hu"")"),"Utoljára frissítve:")</f>
        <v>Utoljára frissítve:</v>
      </c>
      <c r="AK502" s="4" t="str">
        <f>IFERROR(__xludf.DUMMYFUNCTION("GOOGLETRANSLATE(B502,""en"",""hy"")"),"Վերջին թարմացումը՝")</f>
        <v>Վերջին թարմացումը՝</v>
      </c>
      <c r="AL502" s="4" t="str">
        <f>IFERROR(__xludf.DUMMYFUNCTION("GOOGLETRANSLATE(B502,""en"",""ca"")"),"Última actualització:")</f>
        <v>Última actualització:</v>
      </c>
      <c r="AM502" s="4" t="str">
        <f>IFERROR(__xludf.DUMMYFUNCTION("GOOGLETRANSLATE(B502,""en"",""nl"")"),"Laatst bijgewerkt:")</f>
        <v>Laatst bijgewerkt:</v>
      </c>
      <c r="AN502" s="4" t="str">
        <f>IFERROR(__xludf.DUMMYFUNCTION("GOOGLETRANSLATE(B502,""en"",""he"")"),"עודכן לאחרונה:")</f>
        <v>עודכן לאחרונה:</v>
      </c>
      <c r="AO502" s="4" t="str">
        <f>IFERROR(__xludf.DUMMYFUNCTION("GOOGLETRANSLATE(B502,""en"",""is"")"),"Síðast uppfært:")</f>
        <v>Síðast uppfært:</v>
      </c>
      <c r="AP502" s="4" t="str">
        <f>IFERROR(__xludf.DUMMYFUNCTION("GOOGLETRANSLATE(B502,""en"",""no"")"),"Sist oppdatert:")</f>
        <v>Sist oppdatert:</v>
      </c>
      <c r="AQ502" s="4" t="str">
        <f>IFERROR(__xludf.DUMMYFUNCTION("GOOGLETRANSLATE(B502,""en"",""fa"")"),"آخرین به روز رسانی:")</f>
        <v>آخرین به روز رسانی:</v>
      </c>
      <c r="AR502" s="4" t="str">
        <f>IFERROR(__xludf.DUMMYFUNCTION("GOOGLETRANSLATE(B502,""en"",""pl"")"),"Ostatnia aktualizacja:")</f>
        <v>Ostatnia aktualizacja:</v>
      </c>
      <c r="AS502" s="4" t="str">
        <f>IFERROR(__xludf.DUMMYFUNCTION("GOOGLETRANSLATE(B502,""en"",""sv"")"),"Senast uppdaterad:")</f>
        <v>Senast uppdaterad:</v>
      </c>
      <c r="AT502" s="4" t="str">
        <f>IFERROR(__xludf.DUMMYFUNCTION("GOOGLETRANSLATE(B502,""en"",""uk"")"),"Останнє оновлення:")</f>
        <v>Останнє оновлення:</v>
      </c>
      <c r="AU502" s="4" t="str">
        <f>IFERROR(__xludf.DUMMYFUNCTION("GOOGLETRANSLATE(B502,""en"",""zu"")"),"Kugcine ukubuyekezwa:")</f>
        <v>Kugcine ukubuyekezwa:</v>
      </c>
      <c r="AV502" s="4" t="str">
        <f>IFERROR(__xludf.DUMMYFUNCTION("GOOGLETRANSLATE(B502,""en"",""sr"")"),"Последње ажурирано:")</f>
        <v>Последње ажурирано:</v>
      </c>
    </row>
    <row r="503">
      <c r="A503" s="3" t="s">
        <v>967</v>
      </c>
      <c r="B503" s="3" t="s">
        <v>968</v>
      </c>
      <c r="C503" s="4" t="str">
        <f>IFERROR(__xludf.DUMMYFUNCTION("GOOGLETRANSLATE(B503,""en"",""ta"")"),"புத்துணர்ச்சியளிக்கிறது...")</f>
        <v>புத்துணர்ச்சியளிக்கிறது...</v>
      </c>
      <c r="D503" s="4" t="str">
        <f>IFERROR(__xludf.DUMMYFUNCTION("GOOGLETRANSLATE(B503,""en"",""hi"")"),"ताज़ा...")</f>
        <v>ताज़ा...</v>
      </c>
      <c r="E503" s="4" t="str">
        <f>IFERROR(__xludf.DUMMYFUNCTION("GOOGLETRANSLATE(B503,""en"",""id"")"),"Menyegarkan...")</f>
        <v>Menyegarkan...</v>
      </c>
      <c r="F503" s="4" t="str">
        <f>IFERROR(__xludf.DUMMYFUNCTION("GOOGLETRANSLATE(B503,""en"",""ms"")"),"Menyegarkan...")</f>
        <v>Menyegarkan...</v>
      </c>
      <c r="G503" s="4" t="str">
        <f>IFERROR(__xludf.DUMMYFUNCTION("GOOGLETRANSLATE(B503,""en"",""de"")"),"Erfrischend...")</f>
        <v>Erfrischend...</v>
      </c>
      <c r="H503" s="4" t="str">
        <f>IFERROR(__xludf.DUMMYFUNCTION("GOOGLETRANSLATE(B503,""en"",""es"")"),"Refrescante...")</f>
        <v>Refrescante...</v>
      </c>
      <c r="I503" s="4" t="str">
        <f>IFERROR(__xludf.DUMMYFUNCTION("GOOGLETRANSLATE(B503,""en"",""fr"")"),"Rafraîchissant...")</f>
        <v>Rafraîchissant...</v>
      </c>
      <c r="J503" s="4" t="str">
        <f>IFERROR(__xludf.DUMMYFUNCTION("GOOGLETRANSLATE(B503,""en"",""it"")"),"Rinfrescante...")</f>
        <v>Rinfrescante...</v>
      </c>
      <c r="K503" s="4" t="str">
        <f>IFERROR(__xludf.DUMMYFUNCTION("GOOGLETRANSLATE(B503,""en"",""pt"")"),"Refrescante...")</f>
        <v>Refrescante...</v>
      </c>
      <c r="L503" s="4" t="str">
        <f>IFERROR(__xludf.DUMMYFUNCTION("GOOGLETRANSLATE(B503,""en"",""ro"")"),"Înviorare...")</f>
        <v>Înviorare...</v>
      </c>
      <c r="M503" s="4" t="str">
        <f>IFERROR(__xludf.DUMMYFUNCTION("GOOGLETRANSLATE(B503,""en"",""vi"")"),"Thật sảng khoái...")</f>
        <v>Thật sảng khoái...</v>
      </c>
      <c r="N503" s="4" t="str">
        <f>IFERROR(__xludf.DUMMYFUNCTION("GOOGLETRANSLATE(B503,""en"",""ru"")"),"Освежающий...")</f>
        <v>Освежающий...</v>
      </c>
      <c r="O503" s="4" t="str">
        <f>IFERROR(__xludf.DUMMYFUNCTION("GOOGLETRANSLATE(B503,""en"",""tr"")"),"Canlandırıcı...")</f>
        <v>Canlandırıcı...</v>
      </c>
      <c r="P503" s="4" t="str">
        <f>IFERROR(__xludf.DUMMYFUNCTION("GOOGLETRANSLATE(B503,""en"",""ar"")"),"منعش...")</f>
        <v>منعش...</v>
      </c>
      <c r="Q503" s="4" t="str">
        <f>IFERROR(__xludf.DUMMYFUNCTION("GOOGLETRANSLATE(B503,""en"",""mr"")"),"रिफ्रेश करत आहे...")</f>
        <v>रिफ्रेश करत आहे...</v>
      </c>
      <c r="R503" s="4" t="str">
        <f>IFERROR(__xludf.DUMMYFUNCTION("GOOGLETRANSLATE(B503,""en"",""gu"")"),"તાજું કરી રહ્યું છે...")</f>
        <v>તાજું કરી રહ્યું છે...</v>
      </c>
      <c r="S503" s="4" t="str">
        <f>IFERROR(__xludf.DUMMYFUNCTION("GOOGLETRANSLATE(B503,""en"",""bn"")"),"রিফ্রেশ হচ্ছে...")</f>
        <v>রিফ্রেশ হচ্ছে...</v>
      </c>
      <c r="T503" s="4" t="str">
        <f>IFERROR(__xludf.DUMMYFUNCTION("GOOGLETRANSLATE(B503,""en"",""pa"")"),"ਤਾਜ਼ਾ ਕੀਤਾ ਜਾ ਰਿਹਾ ਹੈ...")</f>
        <v>ਤਾਜ਼ਾ ਕੀਤਾ ਜਾ ਰਿਹਾ ਹੈ...</v>
      </c>
      <c r="U503" s="4" t="str">
        <f>IFERROR(__xludf.DUMMYFUNCTION("GOOGLETRANSLATE(B503,""en"",""te"")"),"రిఫ్రెష్ చేస్తోంది...")</f>
        <v>రిఫ్రెష్ చేస్తోంది...</v>
      </c>
      <c r="V503" s="4" t="str">
        <f>IFERROR(__xludf.DUMMYFUNCTION("GOOGLETRANSLATE(B503,""en"",""kn"")"),"ರಿಫ್ರೆಶ್ ಮಾಡಲಾಗುತ್ತಿದೆ...")</f>
        <v>ರಿಫ್ರೆಶ್ ಮಾಡಲಾಗುತ್ತಿದೆ...</v>
      </c>
      <c r="W503" s="4" t="str">
        <f>IFERROR(__xludf.DUMMYFUNCTION("GOOGLETRANSLATE(B503,""en"",""ml"")"),"പുതുക്കുന്നു...")</f>
        <v>പുതുക്കുന്നു...</v>
      </c>
      <c r="X503" s="4" t="str">
        <f>IFERROR(__xludf.DUMMYFUNCTION("GOOGLETRANSLATE(B503,""en"",""th"")"),"สดชื่น...")</f>
        <v>สดชื่น...</v>
      </c>
      <c r="Y503" s="4" t="str">
        <f>IFERROR(__xludf.DUMMYFUNCTION("GOOGLETRANSLATE(B503,""en"",""ko"")"),"상쾌한...")</f>
        <v>상쾌한...</v>
      </c>
      <c r="Z503" s="4" t="str">
        <f>IFERROR(__xludf.DUMMYFUNCTION("GOOGLETRANSLATE(B503,""en"",""zh"")"),"令人耳目一新……")</f>
        <v>令人耳目一新……</v>
      </c>
      <c r="AA503" s="4" t="str">
        <f>IFERROR(__xludf.DUMMYFUNCTION("GOOGLETRANSLATE(B503,""en"",""zh-TW"")"),"令人耳目一新…")</f>
        <v>令人耳目一新…</v>
      </c>
      <c r="AB503" s="4" t="str">
        <f>IFERROR(__xludf.DUMMYFUNCTION("GOOGLETRANSLATE(B503,""en"",""ja"")"),"爽やか…")</f>
        <v>爽やか…</v>
      </c>
      <c r="AC503" s="4" t="str">
        <f>IFERROR(__xludf.DUMMYFUNCTION("GOOGLETRANSLATE(B503,""en"",""bg"")"),"Опресняване...")</f>
        <v>Опресняване...</v>
      </c>
      <c r="AD503" s="4" t="str">
        <f>IFERROR(__xludf.DUMMYFUNCTION("GOOGLETRANSLATE(B503,""en"",""cs"")"),"Osvěžující...")</f>
        <v>Osvěžující...</v>
      </c>
      <c r="AE503" s="4" t="str">
        <f>IFERROR(__xludf.DUMMYFUNCTION("GOOGLETRANSLATE(B503,""en"",""da"")"),"Forfriskende...")</f>
        <v>Forfriskende...</v>
      </c>
      <c r="AF503" s="4" t="str">
        <f>IFERROR(__xludf.DUMMYFUNCTION("GOOGLETRANSLATE(B503,""en"",""el"")"),"Δροσιστικός...")</f>
        <v>Δροσιστικός...</v>
      </c>
      <c r="AG503" s="4" t="str">
        <f>IFERROR(__xludf.DUMMYFUNCTION("GOOGLETRANSLATE(B503,""en"",""et"")"),"Värskendamine...")</f>
        <v>Värskendamine...</v>
      </c>
      <c r="AH503" s="4" t="str">
        <f>IFERROR(__xludf.DUMMYFUNCTION("GOOGLETRANSLATE(B503,""en"",""fi"")"),"Virkistävä...")</f>
        <v>Virkistävä...</v>
      </c>
      <c r="AI503" s="4" t="str">
        <f>IFERROR(__xludf.DUMMYFUNCTION("GOOGLETRANSLATE(B503,""en"",""hr"")"),"Osvježavajući...")</f>
        <v>Osvježavajući...</v>
      </c>
      <c r="AJ503" s="4" t="str">
        <f>IFERROR(__xludf.DUMMYFUNCTION("GOOGLETRANSLATE(B503,""en"",""hu"")"),"Üdítő...")</f>
        <v>Üdítő...</v>
      </c>
      <c r="AK503" s="4" t="str">
        <f>IFERROR(__xludf.DUMMYFUNCTION("GOOGLETRANSLATE(B503,""en"",""hy"")"),"Թարմացվում է...")</f>
        <v>Թարմացվում է...</v>
      </c>
      <c r="AL503" s="4" t="str">
        <f>IFERROR(__xludf.DUMMYFUNCTION("GOOGLETRANSLATE(B503,""en"",""ca"")"),"Refrescant...")</f>
        <v>Refrescant...</v>
      </c>
      <c r="AM503" s="4" t="str">
        <f>IFERROR(__xludf.DUMMYFUNCTION("GOOGLETRANSLATE(B503,""en"",""nl"")"),"Verfrissend...")</f>
        <v>Verfrissend...</v>
      </c>
      <c r="AN503" s="4" t="str">
        <f>IFERROR(__xludf.DUMMYFUNCTION("GOOGLETRANSLATE(B503,""en"",""he"")"),"מְרַעֲנֵן...")</f>
        <v>מְרַעֲנֵן...</v>
      </c>
      <c r="AO503" s="4" t="str">
        <f>IFERROR(__xludf.DUMMYFUNCTION("GOOGLETRANSLATE(B503,""en"",""is"")"),"Hressandi...")</f>
        <v>Hressandi...</v>
      </c>
      <c r="AP503" s="4" t="str">
        <f>IFERROR(__xludf.DUMMYFUNCTION("GOOGLETRANSLATE(B503,""en"",""no"")"),"Oppdaterer...")</f>
        <v>Oppdaterer...</v>
      </c>
      <c r="AQ503" s="4" t="str">
        <f>IFERROR(__xludf.DUMMYFUNCTION("GOOGLETRANSLATE(B503,""en"",""fa"")"),"تازه کردن...")</f>
        <v>تازه کردن...</v>
      </c>
      <c r="AR503" s="4" t="str">
        <f>IFERROR(__xludf.DUMMYFUNCTION("GOOGLETRANSLATE(B503,""en"",""pl"")"),"Orzeźwiający...")</f>
        <v>Orzeźwiający...</v>
      </c>
      <c r="AS503" s="4" t="str">
        <f>IFERROR(__xludf.DUMMYFUNCTION("GOOGLETRANSLATE(B503,""en"",""sv"")"),"Uppfriskande...")</f>
        <v>Uppfriskande...</v>
      </c>
      <c r="AT503" s="4" t="str">
        <f>IFERROR(__xludf.DUMMYFUNCTION("GOOGLETRANSLATE(B503,""en"",""uk"")"),"Оновлення...")</f>
        <v>Оновлення...</v>
      </c>
      <c r="AU503" s="4" t="str">
        <f>IFERROR(__xludf.DUMMYFUNCTION("GOOGLETRANSLATE(B503,""en"",""zu"")"),"Iyavuselela...")</f>
        <v>Iyavuselela...</v>
      </c>
      <c r="AV503" s="4" t="str">
        <f>IFERROR(__xludf.DUMMYFUNCTION("GOOGLETRANSLATE(B503,""en"",""sr"")"),"Освежавање...")</f>
        <v>Освежавање...</v>
      </c>
    </row>
    <row r="504">
      <c r="A504" s="3" t="s">
        <v>969</v>
      </c>
      <c r="B504" s="3" t="s">
        <v>970</v>
      </c>
      <c r="C504" s="4" t="str">
        <f>IFERROR(__xludf.DUMMYFUNCTION("GOOGLETRANSLATE(B504,""en"",""ta"")"),"ஆதாரம்")</f>
        <v>ஆதாரம்</v>
      </c>
      <c r="D504" s="4" t="str">
        <f>IFERROR(__xludf.DUMMYFUNCTION("GOOGLETRANSLATE(B504,""en"",""hi"")"),"स्रोत")</f>
        <v>स्रोत</v>
      </c>
      <c r="E504" s="4" t="str">
        <f>IFERROR(__xludf.DUMMYFUNCTION("GOOGLETRANSLATE(B504,""en"",""id"")"),"Sumber")</f>
        <v>Sumber</v>
      </c>
      <c r="F504" s="4" t="str">
        <f>IFERROR(__xludf.DUMMYFUNCTION("GOOGLETRANSLATE(B504,""en"",""ms"")"),"Sumber")</f>
        <v>Sumber</v>
      </c>
      <c r="G504" s="4" t="str">
        <f>IFERROR(__xludf.DUMMYFUNCTION("GOOGLETRANSLATE(B504,""en"",""de"")"),"Quelle")</f>
        <v>Quelle</v>
      </c>
      <c r="H504" s="4" t="str">
        <f>IFERROR(__xludf.DUMMYFUNCTION("GOOGLETRANSLATE(B504,""en"",""es"")"),"Fuente")</f>
        <v>Fuente</v>
      </c>
      <c r="I504" s="4" t="str">
        <f>IFERROR(__xludf.DUMMYFUNCTION("GOOGLETRANSLATE(B504,""en"",""fr"")"),"Source")</f>
        <v>Source</v>
      </c>
      <c r="J504" s="4" t="str">
        <f>IFERROR(__xludf.DUMMYFUNCTION("GOOGLETRANSLATE(B504,""en"",""it"")"),"Fonte")</f>
        <v>Fonte</v>
      </c>
      <c r="K504" s="4" t="str">
        <f>IFERROR(__xludf.DUMMYFUNCTION("GOOGLETRANSLATE(B504,""en"",""pt"")"),"Fonte")</f>
        <v>Fonte</v>
      </c>
      <c r="L504" s="4" t="str">
        <f>IFERROR(__xludf.DUMMYFUNCTION("GOOGLETRANSLATE(B504,""en"",""ro"")"),"Sursă")</f>
        <v>Sursă</v>
      </c>
      <c r="M504" s="4" t="str">
        <f>IFERROR(__xludf.DUMMYFUNCTION("GOOGLETRANSLATE(B504,""en"",""vi"")"),"Nguồn")</f>
        <v>Nguồn</v>
      </c>
      <c r="N504" s="4" t="str">
        <f>IFERROR(__xludf.DUMMYFUNCTION("GOOGLETRANSLATE(B504,""en"",""ru"")"),"Источник")</f>
        <v>Источник</v>
      </c>
      <c r="O504" s="4" t="str">
        <f>IFERROR(__xludf.DUMMYFUNCTION("GOOGLETRANSLATE(B504,""en"",""tr"")"),"Kaynak")</f>
        <v>Kaynak</v>
      </c>
      <c r="P504" s="4" t="str">
        <f>IFERROR(__xludf.DUMMYFUNCTION("GOOGLETRANSLATE(B504,""en"",""ar"")"),"مصدر")</f>
        <v>مصدر</v>
      </c>
      <c r="Q504" s="4" t="str">
        <f>IFERROR(__xludf.DUMMYFUNCTION("GOOGLETRANSLATE(B504,""en"",""mr"")"),"स्त्रोत")</f>
        <v>स्त्रोत</v>
      </c>
      <c r="R504" s="4" t="str">
        <f>IFERROR(__xludf.DUMMYFUNCTION("GOOGLETRANSLATE(B504,""en"",""gu"")"),"સ્ત્રોત")</f>
        <v>સ્ત્રોત</v>
      </c>
      <c r="S504" s="4" t="str">
        <f>IFERROR(__xludf.DUMMYFUNCTION("GOOGLETRANSLATE(B504,""en"",""bn"")"),"উৎস")</f>
        <v>উৎস</v>
      </c>
      <c r="T504" s="4" t="str">
        <f>IFERROR(__xludf.DUMMYFUNCTION("GOOGLETRANSLATE(B504,""en"",""pa"")"),"ਸਰੋਤ")</f>
        <v>ਸਰੋਤ</v>
      </c>
      <c r="U504" s="4" t="str">
        <f>IFERROR(__xludf.DUMMYFUNCTION("GOOGLETRANSLATE(B504,""en"",""te"")"),"మూలం")</f>
        <v>మూలం</v>
      </c>
      <c r="V504" s="4" t="str">
        <f>IFERROR(__xludf.DUMMYFUNCTION("GOOGLETRANSLATE(B504,""en"",""kn"")"),"ಮೂಲ")</f>
        <v>ಮೂಲ</v>
      </c>
      <c r="W504" s="4" t="str">
        <f>IFERROR(__xludf.DUMMYFUNCTION("GOOGLETRANSLATE(B504,""en"",""ml"")"),"ഉറവിടം")</f>
        <v>ഉറവിടം</v>
      </c>
      <c r="X504" s="4" t="str">
        <f>IFERROR(__xludf.DUMMYFUNCTION("GOOGLETRANSLATE(B504,""en"",""th"")"),"แหล่งที่มา")</f>
        <v>แหล่งที่มา</v>
      </c>
      <c r="Y504" s="4" t="str">
        <f>IFERROR(__xludf.DUMMYFUNCTION("GOOGLETRANSLATE(B504,""en"",""ko"")"),"원천")</f>
        <v>원천</v>
      </c>
      <c r="Z504" s="4" t="str">
        <f>IFERROR(__xludf.DUMMYFUNCTION("GOOGLETRANSLATE(B504,""en"",""zh"")"),"来源")</f>
        <v>来源</v>
      </c>
      <c r="AA504" s="4" t="str">
        <f>IFERROR(__xludf.DUMMYFUNCTION("GOOGLETRANSLATE(B504,""en"",""zh-TW"")"),"來源")</f>
        <v>來源</v>
      </c>
      <c r="AB504" s="4" t="str">
        <f>IFERROR(__xludf.DUMMYFUNCTION("GOOGLETRANSLATE(B504,""en"",""ja"")"),"ソース")</f>
        <v>ソース</v>
      </c>
      <c r="AC504" s="4" t="str">
        <f>IFERROR(__xludf.DUMMYFUNCTION("GOOGLETRANSLATE(B504,""en"",""bg"")"),"Източник")</f>
        <v>Източник</v>
      </c>
      <c r="AD504" s="4" t="str">
        <f>IFERROR(__xludf.DUMMYFUNCTION("GOOGLETRANSLATE(B504,""en"",""cs"")"),"Zdroj")</f>
        <v>Zdroj</v>
      </c>
      <c r="AE504" s="4" t="str">
        <f>IFERROR(__xludf.DUMMYFUNCTION("GOOGLETRANSLATE(B504,""en"",""da"")"),"Kilde")</f>
        <v>Kilde</v>
      </c>
      <c r="AF504" s="4" t="str">
        <f>IFERROR(__xludf.DUMMYFUNCTION("GOOGLETRANSLATE(B504,""en"",""el"")"),"Πηγή")</f>
        <v>Πηγή</v>
      </c>
      <c r="AG504" s="4" t="str">
        <f>IFERROR(__xludf.DUMMYFUNCTION("GOOGLETRANSLATE(B504,""en"",""et"")"),"Allikas")</f>
        <v>Allikas</v>
      </c>
      <c r="AH504" s="4" t="str">
        <f>IFERROR(__xludf.DUMMYFUNCTION("GOOGLETRANSLATE(B504,""en"",""fi"")"),"Lähde")</f>
        <v>Lähde</v>
      </c>
      <c r="AI504" s="4" t="str">
        <f>IFERROR(__xludf.DUMMYFUNCTION("GOOGLETRANSLATE(B504,""en"",""hr"")"),"Izvor")</f>
        <v>Izvor</v>
      </c>
      <c r="AJ504" s="4" t="str">
        <f>IFERROR(__xludf.DUMMYFUNCTION("GOOGLETRANSLATE(B504,""en"",""hu"")"),"Forrás")</f>
        <v>Forrás</v>
      </c>
      <c r="AK504" s="4" t="str">
        <f>IFERROR(__xludf.DUMMYFUNCTION("GOOGLETRANSLATE(B504,""en"",""hy"")"),"Աղբյուր")</f>
        <v>Աղբյուր</v>
      </c>
      <c r="AL504" s="4" t="str">
        <f>IFERROR(__xludf.DUMMYFUNCTION("GOOGLETRANSLATE(B504,""en"",""ca"")"),"Font")</f>
        <v>Font</v>
      </c>
      <c r="AM504" s="4" t="str">
        <f>IFERROR(__xludf.DUMMYFUNCTION("GOOGLETRANSLATE(B504,""en"",""nl"")"),"Bron")</f>
        <v>Bron</v>
      </c>
      <c r="AN504" s="4" t="str">
        <f>IFERROR(__xludf.DUMMYFUNCTION("GOOGLETRANSLATE(B504,""en"",""he"")"),"מָקוֹר")</f>
        <v>מָקוֹר</v>
      </c>
      <c r="AO504" s="4" t="str">
        <f>IFERROR(__xludf.DUMMYFUNCTION("GOOGLETRANSLATE(B504,""en"",""is"")"),"Heimild")</f>
        <v>Heimild</v>
      </c>
      <c r="AP504" s="4" t="str">
        <f>IFERROR(__xludf.DUMMYFUNCTION("GOOGLETRANSLATE(B504,""en"",""no"")"),"Kilde")</f>
        <v>Kilde</v>
      </c>
      <c r="AQ504" s="4" t="str">
        <f>IFERROR(__xludf.DUMMYFUNCTION("GOOGLETRANSLATE(B504,""en"",""fa"")"),"منبع")</f>
        <v>منبع</v>
      </c>
      <c r="AR504" s="4" t="str">
        <f>IFERROR(__xludf.DUMMYFUNCTION("GOOGLETRANSLATE(B504,""en"",""pl"")"),"Źródło")</f>
        <v>Źródło</v>
      </c>
      <c r="AS504" s="4" t="str">
        <f>IFERROR(__xludf.DUMMYFUNCTION("GOOGLETRANSLATE(B504,""en"",""sv"")"),"Källa")</f>
        <v>Källa</v>
      </c>
      <c r="AT504" s="4" t="str">
        <f>IFERROR(__xludf.DUMMYFUNCTION("GOOGLETRANSLATE(B504,""en"",""uk"")"),"Джерело")</f>
        <v>Джерело</v>
      </c>
      <c r="AU504" s="4" t="str">
        <f>IFERROR(__xludf.DUMMYFUNCTION("GOOGLETRANSLATE(B504,""en"",""zu"")"),"Umthombo")</f>
        <v>Umthombo</v>
      </c>
      <c r="AV504" s="4" t="str">
        <f>IFERROR(__xludf.DUMMYFUNCTION("GOOGLETRANSLATE(B504,""en"",""sr"")"),"Извор")</f>
        <v>Извор</v>
      </c>
    </row>
    <row r="505">
      <c r="A505" s="3" t="s">
        <v>971</v>
      </c>
      <c r="B505" s="3" t="s">
        <v>972</v>
      </c>
      <c r="C505" s="4" t="str">
        <f>IFERROR(__xludf.DUMMYFUNCTION("GOOGLETRANSLATE(B505,""en"",""ta"")"),"குறைந்தபட்சம்:")</f>
        <v>குறைந்தபட்சம்:</v>
      </c>
      <c r="D505" s="4" t="str">
        <f>IFERROR(__xludf.DUMMYFUNCTION("GOOGLETRANSLATE(B505,""en"",""hi"")"),"न्यूनतम:")</f>
        <v>न्यूनतम:</v>
      </c>
      <c r="E505" s="4" t="str">
        <f>IFERROR(__xludf.DUMMYFUNCTION("GOOGLETRANSLATE(B505,""en"",""id"")"),"Min:")</f>
        <v>Min:</v>
      </c>
      <c r="F505" s="4" t="str">
        <f>IFERROR(__xludf.DUMMYFUNCTION("GOOGLETRANSLATE(B505,""en"",""ms"")"),"Min:")</f>
        <v>Min:</v>
      </c>
      <c r="G505" s="4" t="str">
        <f>IFERROR(__xludf.DUMMYFUNCTION("GOOGLETRANSLATE(B505,""en"",""de"")"),"Mindestens:")</f>
        <v>Mindestens:</v>
      </c>
      <c r="H505" s="4" t="str">
        <f>IFERROR(__xludf.DUMMYFUNCTION("GOOGLETRANSLATE(B505,""en"",""es"")"),"Mínimo:")</f>
        <v>Mínimo:</v>
      </c>
      <c r="I505" s="4" t="str">
        <f>IFERROR(__xludf.DUMMYFUNCTION("GOOGLETRANSLATE(B505,""en"",""fr"")"),"Min:")</f>
        <v>Min:</v>
      </c>
      <c r="J505" s="4" t="str">
        <f>IFERROR(__xludf.DUMMYFUNCTION("GOOGLETRANSLATE(B505,""en"",""it"")"),"Minimo:")</f>
        <v>Minimo:</v>
      </c>
      <c r="K505" s="4" t="str">
        <f>IFERROR(__xludf.DUMMYFUNCTION("GOOGLETRANSLATE(B505,""en"",""pt"")"),"Mín:")</f>
        <v>Mín:</v>
      </c>
      <c r="L505" s="4" t="str">
        <f>IFERROR(__xludf.DUMMYFUNCTION("GOOGLETRANSLATE(B505,""en"",""ro"")"),"Min:")</f>
        <v>Min:</v>
      </c>
      <c r="M505" s="4" t="str">
        <f>IFERROR(__xludf.DUMMYFUNCTION("GOOGLETRANSLATE(B505,""en"",""vi"")"),"Phút:")</f>
        <v>Phút:</v>
      </c>
      <c r="N505" s="4" t="str">
        <f>IFERROR(__xludf.DUMMYFUNCTION("GOOGLETRANSLATE(B505,""en"",""ru"")"),"Мин:")</f>
        <v>Мин:</v>
      </c>
      <c r="O505" s="4" t="str">
        <f>IFERROR(__xludf.DUMMYFUNCTION("GOOGLETRANSLATE(B505,""en"",""tr"")"),"En az:")</f>
        <v>En az:</v>
      </c>
      <c r="P505" s="4" t="str">
        <f>IFERROR(__xludf.DUMMYFUNCTION("GOOGLETRANSLATE(B505,""en"",""ar"")"),"الحد الأدنى:")</f>
        <v>الحد الأدنى:</v>
      </c>
      <c r="Q505" s="4" t="str">
        <f>IFERROR(__xludf.DUMMYFUNCTION("GOOGLETRANSLATE(B505,""en"",""mr"")"),"किमान:")</f>
        <v>किमान:</v>
      </c>
      <c r="R505" s="4" t="str">
        <f>IFERROR(__xludf.DUMMYFUNCTION("GOOGLETRANSLATE(B505,""en"",""gu"")"),"ન્યૂનતમ:")</f>
        <v>ન્યૂનતમ:</v>
      </c>
      <c r="S505" s="4" t="str">
        <f>IFERROR(__xludf.DUMMYFUNCTION("GOOGLETRANSLATE(B505,""en"",""bn"")"),"ন্যূনতম:")</f>
        <v>ন্যূনতম:</v>
      </c>
      <c r="T505" s="4" t="str">
        <f>IFERROR(__xludf.DUMMYFUNCTION("GOOGLETRANSLATE(B505,""en"",""pa"")"),"ਘੱਟੋ-ਘੱਟ:")</f>
        <v>ਘੱਟੋ-ਘੱਟ:</v>
      </c>
      <c r="U505" s="4" t="str">
        <f>IFERROR(__xludf.DUMMYFUNCTION("GOOGLETRANSLATE(B505,""en"",""te"")"),"కనిష్ట:")</f>
        <v>కనిష్ట:</v>
      </c>
      <c r="V505" s="4" t="str">
        <f>IFERROR(__xludf.DUMMYFUNCTION("GOOGLETRANSLATE(B505,""en"",""kn"")"),"ಕನಿಷ್ಠ:")</f>
        <v>ಕನಿಷ್ಠ:</v>
      </c>
      <c r="W505" s="4" t="str">
        <f>IFERROR(__xludf.DUMMYFUNCTION("GOOGLETRANSLATE(B505,""en"",""ml"")"),"മിനിമം:")</f>
        <v>മിനിമം:</v>
      </c>
      <c r="X505" s="4" t="str">
        <f>IFERROR(__xludf.DUMMYFUNCTION("GOOGLETRANSLATE(B505,""en"",""th"")"),"นาที:")</f>
        <v>นาที:</v>
      </c>
      <c r="Y505" s="4" t="str">
        <f>IFERROR(__xludf.DUMMYFUNCTION("GOOGLETRANSLATE(B505,""en"",""ko"")"),"최소:")</f>
        <v>최소:</v>
      </c>
      <c r="Z505" s="4" t="str">
        <f>IFERROR(__xludf.DUMMYFUNCTION("GOOGLETRANSLATE(B505,""en"",""zh"")"),"分钟：")</f>
        <v>分钟：</v>
      </c>
      <c r="AA505" s="4" t="str">
        <f>IFERROR(__xludf.DUMMYFUNCTION("GOOGLETRANSLATE(B505,""en"",""zh-TW"")"),"分鐘：")</f>
        <v>分鐘：</v>
      </c>
      <c r="AB505" s="4" t="str">
        <f>IFERROR(__xludf.DUMMYFUNCTION("GOOGLETRANSLATE(B505,""en"",""ja"")"),"分:")</f>
        <v>分:</v>
      </c>
      <c r="AC505" s="4" t="str">
        <f>IFERROR(__xludf.DUMMYFUNCTION("GOOGLETRANSLATE(B505,""en"",""bg"")"),"мин.:")</f>
        <v>мин.:</v>
      </c>
      <c r="AD505" s="4" t="str">
        <f>IFERROR(__xludf.DUMMYFUNCTION("GOOGLETRANSLATE(B505,""en"",""cs"")"),"min:")</f>
        <v>min:</v>
      </c>
      <c r="AE505" s="4" t="str">
        <f>IFERROR(__xludf.DUMMYFUNCTION("GOOGLETRANSLATE(B505,""en"",""da"")"),"Min.:")</f>
        <v>Min.:</v>
      </c>
      <c r="AF505" s="4" t="str">
        <f>IFERROR(__xludf.DUMMYFUNCTION("GOOGLETRANSLATE(B505,""en"",""el"")"),"Ελάχ.")</f>
        <v>Ελάχ.</v>
      </c>
      <c r="AG505" s="4" t="str">
        <f>IFERROR(__xludf.DUMMYFUNCTION("GOOGLETRANSLATE(B505,""en"",""et"")"),"Min:")</f>
        <v>Min:</v>
      </c>
      <c r="AH505" s="4" t="str">
        <f>IFERROR(__xludf.DUMMYFUNCTION("GOOGLETRANSLATE(B505,""en"",""fi"")"),"Min:")</f>
        <v>Min:</v>
      </c>
      <c r="AI505" s="4" t="str">
        <f>IFERROR(__xludf.DUMMYFUNCTION("GOOGLETRANSLATE(B505,""en"",""hr"")"),"Min.:")</f>
        <v>Min.:</v>
      </c>
      <c r="AJ505" s="4" t="str">
        <f>IFERROR(__xludf.DUMMYFUNCTION("GOOGLETRANSLATE(B505,""en"",""hu"")"),"Min.:")</f>
        <v>Min.:</v>
      </c>
      <c r="AK505" s="4" t="str">
        <f>IFERROR(__xludf.DUMMYFUNCTION("GOOGLETRANSLATE(B505,""en"",""hy"")"),"Min:")</f>
        <v>Min:</v>
      </c>
      <c r="AL505" s="4" t="str">
        <f>IFERROR(__xludf.DUMMYFUNCTION("GOOGLETRANSLATE(B505,""en"",""ca"")"),"Min:")</f>
        <v>Min:</v>
      </c>
      <c r="AM505" s="4" t="str">
        <f>IFERROR(__xludf.DUMMYFUNCTION("GOOGLETRANSLATE(B505,""en"",""nl"")"),"Min:")</f>
        <v>Min:</v>
      </c>
      <c r="AN505" s="4" t="str">
        <f>IFERROR(__xludf.DUMMYFUNCTION("GOOGLETRANSLATE(B505,""en"",""he"")"),"מינימום:")</f>
        <v>מינימום:</v>
      </c>
      <c r="AO505" s="4" t="str">
        <f>IFERROR(__xludf.DUMMYFUNCTION("GOOGLETRANSLATE(B505,""en"",""is"")"),"Min:")</f>
        <v>Min:</v>
      </c>
      <c r="AP505" s="4" t="str">
        <f>IFERROR(__xludf.DUMMYFUNCTION("GOOGLETRANSLATE(B505,""en"",""no"")"),"Min:")</f>
        <v>Min:</v>
      </c>
      <c r="AQ505" s="4" t="str">
        <f>IFERROR(__xludf.DUMMYFUNCTION("GOOGLETRANSLATE(B505,""en"",""fa"")"),"حداقل:")</f>
        <v>حداقل:</v>
      </c>
      <c r="AR505" s="4" t="str">
        <f>IFERROR(__xludf.DUMMYFUNCTION("GOOGLETRANSLATE(B505,""en"",""pl"")"),"Min:")</f>
        <v>Min:</v>
      </c>
      <c r="AS505" s="4" t="str">
        <f>IFERROR(__xludf.DUMMYFUNCTION("GOOGLETRANSLATE(B505,""en"",""sv"")"),"Min:")</f>
        <v>Min:</v>
      </c>
      <c r="AT505" s="4" t="str">
        <f>IFERROR(__xludf.DUMMYFUNCTION("GOOGLETRANSLATE(B505,""en"",""uk"")"),"Хв:")</f>
        <v>Хв:</v>
      </c>
      <c r="AU505" s="4" t="str">
        <f>IFERROR(__xludf.DUMMYFUNCTION("GOOGLETRANSLATE(B505,""en"",""zu"")"),"Ubuncane:")</f>
        <v>Ubuncane:</v>
      </c>
      <c r="AV505" s="4" t="str">
        <f>IFERROR(__xludf.DUMMYFUNCTION("GOOGLETRANSLATE(B505,""en"",""sr"")"),"Мин:")</f>
        <v>Мин:</v>
      </c>
    </row>
    <row r="506">
      <c r="A506" s="3" t="s">
        <v>973</v>
      </c>
      <c r="B506" s="3" t="s">
        <v>974</v>
      </c>
      <c r="C506" s="4" t="str">
        <f>IFERROR(__xludf.DUMMYFUNCTION("GOOGLETRANSLATE(B506,""en"",""ta"")"),"அதிகபட்சம்:")</f>
        <v>அதிகபட்சம்:</v>
      </c>
      <c r="D506" s="4" t="str">
        <f>IFERROR(__xludf.DUMMYFUNCTION("GOOGLETRANSLATE(B506,""en"",""hi"")"),"अधिकतम:")</f>
        <v>अधिकतम:</v>
      </c>
      <c r="E506" s="4" t="str">
        <f>IFERROR(__xludf.DUMMYFUNCTION("GOOGLETRANSLATE(B506,""en"",""id"")"),"Maks:")</f>
        <v>Maks:</v>
      </c>
      <c r="F506" s="4" t="str">
        <f>IFERROR(__xludf.DUMMYFUNCTION("GOOGLETRANSLATE(B506,""en"",""ms"")"),"Maks:")</f>
        <v>Maks:</v>
      </c>
      <c r="G506" s="4" t="str">
        <f>IFERROR(__xludf.DUMMYFUNCTION("GOOGLETRANSLATE(B506,""en"",""de"")"),"Max:")</f>
        <v>Max:</v>
      </c>
      <c r="H506" s="4" t="str">
        <f>IFERROR(__xludf.DUMMYFUNCTION("GOOGLETRANSLATE(B506,""en"",""es"")"),"Máx.:")</f>
        <v>Máx.:</v>
      </c>
      <c r="I506" s="4" t="str">
        <f>IFERROR(__xludf.DUMMYFUNCTION("GOOGLETRANSLATE(B506,""en"",""fr"")"),"Max:")</f>
        <v>Max:</v>
      </c>
      <c r="J506" s="4" t="str">
        <f>IFERROR(__xludf.DUMMYFUNCTION("GOOGLETRANSLATE(B506,""en"",""it"")"),"Massimo:")</f>
        <v>Massimo:</v>
      </c>
      <c r="K506" s="4" t="str">
        <f>IFERROR(__xludf.DUMMYFUNCTION("GOOGLETRANSLATE(B506,""en"",""pt"")"),"Máx.:")</f>
        <v>Máx.:</v>
      </c>
      <c r="L506" s="4" t="str">
        <f>IFERROR(__xludf.DUMMYFUNCTION("GOOGLETRANSLATE(B506,""en"",""ro"")"),"Max:")</f>
        <v>Max:</v>
      </c>
      <c r="M506" s="4" t="str">
        <f>IFERROR(__xludf.DUMMYFUNCTION("GOOGLETRANSLATE(B506,""en"",""vi"")"),"Tối đa:")</f>
        <v>Tối đa:</v>
      </c>
      <c r="N506" s="4" t="str">
        <f>IFERROR(__xludf.DUMMYFUNCTION("GOOGLETRANSLATE(B506,""en"",""ru"")"),"Макс:")</f>
        <v>Макс:</v>
      </c>
      <c r="O506" s="4" t="str">
        <f>IFERROR(__xludf.DUMMYFUNCTION("GOOGLETRANSLATE(B506,""en"",""tr"")"),"Maksimum:")</f>
        <v>Maksimum:</v>
      </c>
      <c r="P506" s="4" t="str">
        <f>IFERROR(__xludf.DUMMYFUNCTION("GOOGLETRANSLATE(B506,""en"",""ar"")"),"الأعلى:")</f>
        <v>الأعلى:</v>
      </c>
      <c r="Q506" s="4" t="str">
        <f>IFERROR(__xludf.DUMMYFUNCTION("GOOGLETRANSLATE(B506,""en"",""mr"")"),"कमाल:")</f>
        <v>कमाल:</v>
      </c>
      <c r="R506" s="4" t="str">
        <f>IFERROR(__xludf.DUMMYFUNCTION("GOOGLETRANSLATE(B506,""en"",""gu"")"),"મહત્તમ:")</f>
        <v>મહત્તમ:</v>
      </c>
      <c r="S506" s="4" t="str">
        <f>IFERROR(__xludf.DUMMYFUNCTION("GOOGLETRANSLATE(B506,""en"",""bn"")"),"সর্বোচ্চ:")</f>
        <v>সর্বোচ্চ:</v>
      </c>
      <c r="T506" s="4" t="str">
        <f>IFERROR(__xludf.DUMMYFUNCTION("GOOGLETRANSLATE(B506,""en"",""pa"")"),"ਅਧਿਕਤਮ:")</f>
        <v>ਅਧਿਕਤਮ:</v>
      </c>
      <c r="U506" s="4" t="str">
        <f>IFERROR(__xludf.DUMMYFUNCTION("GOOGLETRANSLATE(B506,""en"",""te"")"),"గరిష్టం:")</f>
        <v>గరిష్టం:</v>
      </c>
      <c r="V506" s="4" t="str">
        <f>IFERROR(__xludf.DUMMYFUNCTION("GOOGLETRANSLATE(B506,""en"",""kn"")"),"ಗರಿಷ್ಠ:")</f>
        <v>ಗರಿಷ್ಠ:</v>
      </c>
      <c r="W506" s="4" t="str">
        <f>IFERROR(__xludf.DUMMYFUNCTION("GOOGLETRANSLATE(B506,""en"",""ml"")"),"പരമാവധി:")</f>
        <v>പരമാവധി:</v>
      </c>
      <c r="X506" s="4" t="str">
        <f>IFERROR(__xludf.DUMMYFUNCTION("GOOGLETRANSLATE(B506,""en"",""th"")"),"แม็กซ์:")</f>
        <v>แม็กซ์:</v>
      </c>
      <c r="Y506" s="4" t="str">
        <f>IFERROR(__xludf.DUMMYFUNCTION("GOOGLETRANSLATE(B506,""en"",""ko"")"),"최대:")</f>
        <v>최대:</v>
      </c>
      <c r="Z506" s="4" t="str">
        <f>IFERROR(__xludf.DUMMYFUNCTION("GOOGLETRANSLATE(B506,""en"",""zh"")"),"最大限度：")</f>
        <v>最大限度：</v>
      </c>
      <c r="AA506" s="4" t="str">
        <f>IFERROR(__xludf.DUMMYFUNCTION("GOOGLETRANSLATE(B506,""en"",""zh-TW"")"),"最大限度：")</f>
        <v>最大限度：</v>
      </c>
      <c r="AB506" s="4" t="str">
        <f>IFERROR(__xludf.DUMMYFUNCTION("GOOGLETRANSLATE(B506,""en"",""ja"")"),"マックス:")</f>
        <v>マックス:</v>
      </c>
      <c r="AC506" s="4" t="str">
        <f>IFERROR(__xludf.DUMMYFUNCTION("GOOGLETRANSLATE(B506,""en"",""bg"")"),"Макс.")</f>
        <v>Макс.</v>
      </c>
      <c r="AD506" s="4" t="str">
        <f>IFERROR(__xludf.DUMMYFUNCTION("GOOGLETRANSLATE(B506,""en"",""cs"")"),"Max:")</f>
        <v>Max:</v>
      </c>
      <c r="AE506" s="4" t="str">
        <f>IFERROR(__xludf.DUMMYFUNCTION("GOOGLETRANSLATE(B506,""en"",""da"")"),"Maks.:")</f>
        <v>Maks.:</v>
      </c>
      <c r="AF506" s="4" t="str">
        <f>IFERROR(__xludf.DUMMYFUNCTION("GOOGLETRANSLATE(B506,""en"",""el"")"),"Μέγ.")</f>
        <v>Μέγ.</v>
      </c>
      <c r="AG506" s="4" t="str">
        <f>IFERROR(__xludf.DUMMYFUNCTION("GOOGLETRANSLATE(B506,""en"",""et"")"),"Max:")</f>
        <v>Max:</v>
      </c>
      <c r="AH506" s="4" t="str">
        <f>IFERROR(__xludf.DUMMYFUNCTION("GOOGLETRANSLATE(B506,""en"",""fi"")"),"Max:")</f>
        <v>Max:</v>
      </c>
      <c r="AI506" s="4" t="str">
        <f>IFERROR(__xludf.DUMMYFUNCTION("GOOGLETRANSLATE(B506,""en"",""hr"")"),"Max:")</f>
        <v>Max:</v>
      </c>
      <c r="AJ506" s="4" t="str">
        <f>IFERROR(__xludf.DUMMYFUNCTION("GOOGLETRANSLATE(B506,""en"",""hu"")"),"Max:")</f>
        <v>Max:</v>
      </c>
      <c r="AK506" s="4" t="str">
        <f>IFERROR(__xludf.DUMMYFUNCTION("GOOGLETRANSLATE(B506,""en"",""hy"")"),"Max:")</f>
        <v>Max:</v>
      </c>
      <c r="AL506" s="4" t="str">
        <f>IFERROR(__xludf.DUMMYFUNCTION("GOOGLETRANSLATE(B506,""en"",""ca"")"),"Màxim:")</f>
        <v>Màxim:</v>
      </c>
      <c r="AM506" s="4" t="str">
        <f>IFERROR(__xludf.DUMMYFUNCTION("GOOGLETRANSLATE(B506,""en"",""nl"")"),"Maximaal:")</f>
        <v>Maximaal:</v>
      </c>
      <c r="AN506" s="4" t="str">
        <f>IFERROR(__xludf.DUMMYFUNCTION("GOOGLETRANSLATE(B506,""en"",""he"")"),"מקסימום:")</f>
        <v>מקסימום:</v>
      </c>
      <c r="AO506" s="4" t="str">
        <f>IFERROR(__xludf.DUMMYFUNCTION("GOOGLETRANSLATE(B506,""en"",""is"")"),"Hámark:")</f>
        <v>Hámark:</v>
      </c>
      <c r="AP506" s="4" t="str">
        <f>IFERROR(__xludf.DUMMYFUNCTION("GOOGLETRANSLATE(B506,""en"",""no"")"),"Maks:")</f>
        <v>Maks:</v>
      </c>
      <c r="AQ506" s="4" t="str">
        <f>IFERROR(__xludf.DUMMYFUNCTION("GOOGLETRANSLATE(B506,""en"",""fa"")"),"حداکثر:")</f>
        <v>حداکثر:</v>
      </c>
      <c r="AR506" s="4" t="str">
        <f>IFERROR(__xludf.DUMMYFUNCTION("GOOGLETRANSLATE(B506,""en"",""pl"")"),"Maksymalnie:")</f>
        <v>Maksymalnie:</v>
      </c>
      <c r="AS506" s="4" t="str">
        <f>IFERROR(__xludf.DUMMYFUNCTION("GOOGLETRANSLATE(B506,""en"",""sv"")"),"Max:")</f>
        <v>Max:</v>
      </c>
      <c r="AT506" s="4" t="str">
        <f>IFERROR(__xludf.DUMMYFUNCTION("GOOGLETRANSLATE(B506,""en"",""uk"")"),"Макс.")</f>
        <v>Макс.</v>
      </c>
      <c r="AU506" s="4" t="str">
        <f>IFERROR(__xludf.DUMMYFUNCTION("GOOGLETRANSLATE(B506,""en"",""zu"")"),"Ubukhulu:")</f>
        <v>Ubukhulu:</v>
      </c>
      <c r="AV506" s="4" t="str">
        <f>IFERROR(__xludf.DUMMYFUNCTION("GOOGLETRANSLATE(B506,""en"",""sr"")"),"Макс:")</f>
        <v>Макс:</v>
      </c>
    </row>
    <row r="507">
      <c r="A507" s="3" t="s">
        <v>975</v>
      </c>
      <c r="B507" s="3" t="s">
        <v>976</v>
      </c>
      <c r="C507" s="4" t="str">
        <f>IFERROR(__xludf.DUMMYFUNCTION("GOOGLETRANSLATE(B507,""en"",""ta"")"),"மாசு தரவு வழங்கும் அருகிலுள்ள நிலையம்")</f>
        <v>மாசு தரவு வழங்கும் அருகிலுள்ள நிலையம்</v>
      </c>
      <c r="D507" s="4" t="str">
        <f>IFERROR(__xludf.DUMMYFUNCTION("GOOGLETRANSLATE(B507,""en"",""hi"")"),"निकटतम स्टेशन जो प्रदूषण संबंधी आंकड़े उपलब्ध कराता है")</f>
        <v>निकटतम स्टेशन जो प्रदूषण संबंधी आंकड़े उपलब्ध कराता है</v>
      </c>
      <c r="E507" s="4" t="str">
        <f>IFERROR(__xludf.DUMMYFUNCTION("GOOGLETRANSLATE(B507,""en"",""id"")"),"Stasiun terdekat yang menyediakan data polusi")</f>
        <v>Stasiun terdekat yang menyediakan data polusi</v>
      </c>
      <c r="F507" s="4" t="str">
        <f>IFERROR(__xludf.DUMMYFUNCTION("GOOGLETRANSLATE(B507,""en"",""ms"")"),"Stesen terdekat yang menyediakan data pencemaran")</f>
        <v>Stesen terdekat yang menyediakan data pencemaran</v>
      </c>
      <c r="G507" s="4" t="str">
        <f>IFERROR(__xludf.DUMMYFUNCTION("GOOGLETRANSLATE(B507,""en"",""de"")"),"Nächste Station, die Daten zur Verschmutzung liefert")</f>
        <v>Nächste Station, die Daten zur Verschmutzung liefert</v>
      </c>
      <c r="H507" s="4" t="str">
        <f>IFERROR(__xludf.DUMMYFUNCTION("GOOGLETRANSLATE(B507,""en"",""es"")"),"Estación más cercana que proporciona datos de contaminación")</f>
        <v>Estación más cercana que proporciona datos de contaminación</v>
      </c>
      <c r="I507" s="4" t="str">
        <f>IFERROR(__xludf.DUMMYFUNCTION("GOOGLETRANSLATE(B507,""en"",""fr"")"),"Station la plus proche qui fournit des données sur la pollution")</f>
        <v>Station la plus proche qui fournit des données sur la pollution</v>
      </c>
      <c r="J507" s="4" t="str">
        <f>IFERROR(__xludf.DUMMYFUNCTION("GOOGLETRANSLATE(B507,""en"",""it"")"),"Stazione più vicina che fornisce dati sull'inquinamento")</f>
        <v>Stazione più vicina che fornisce dati sull'inquinamento</v>
      </c>
      <c r="K507" s="4" t="str">
        <f>IFERROR(__xludf.DUMMYFUNCTION("GOOGLETRANSLATE(B507,""en"",""pt"")"),"Estação mais próxima que fornece dados de poluição")</f>
        <v>Estação mais próxima que fornece dados de poluição</v>
      </c>
      <c r="L507" s="4" t="str">
        <f>IFERROR(__xludf.DUMMYFUNCTION("GOOGLETRANSLATE(B507,""en"",""ro"")"),"Cea mai apropiată stație care furnizează date despre poluare")</f>
        <v>Cea mai apropiată stație care furnizează date despre poluare</v>
      </c>
      <c r="M507" s="4" t="str">
        <f>IFERROR(__xludf.DUMMYFUNCTION("GOOGLETRANSLATE(B507,""en"",""vi"")"),"Trạm gần nhất cung cấp dữ liệu ô nhiễm")</f>
        <v>Trạm gần nhất cung cấp dữ liệu ô nhiễm</v>
      </c>
      <c r="N507" s="4" t="str">
        <f>IFERROR(__xludf.DUMMYFUNCTION("GOOGLETRANSLATE(B507,""en"",""ru"")"),"Ближайшая станция, предоставляющая данные о загрязнении")</f>
        <v>Ближайшая станция, предоставляющая данные о загрязнении</v>
      </c>
      <c r="O507" s="4" t="str">
        <f>IFERROR(__xludf.DUMMYFUNCTION("GOOGLETRANSLATE(B507,""en"",""tr"")"),"Kirlilik verilerini sağlayan en yakın istasyon")</f>
        <v>Kirlilik verilerini sağlayan en yakın istasyon</v>
      </c>
      <c r="P507" s="4" t="str">
        <f>IFERROR(__xludf.DUMMYFUNCTION("GOOGLETRANSLATE(B507,""en"",""ar"")"),"أقرب محطة توفر بيانات التلوث")</f>
        <v>أقرب محطة توفر بيانات التلوث</v>
      </c>
      <c r="Q507" s="4" t="str">
        <f>IFERROR(__xludf.DUMMYFUNCTION("GOOGLETRANSLATE(B507,""en"",""mr"")"),"जवळचे स्टेशन जे प्रदूषण डेटा प्रदान करते")</f>
        <v>जवळचे स्टेशन जे प्रदूषण डेटा प्रदान करते</v>
      </c>
      <c r="R507" s="4" t="str">
        <f>IFERROR(__xludf.DUMMYFUNCTION("GOOGLETRANSLATE(B507,""en"",""gu"")"),"નજીકનું સ્ટેશન જે પ્રદૂષણ ડેટા પ્રદાન કરે છે")</f>
        <v>નજીકનું સ્ટેશન જે પ્રદૂષણ ડેટા પ્રદાન કરે છે</v>
      </c>
      <c r="S507" s="4" t="str">
        <f>IFERROR(__xludf.DUMMYFUNCTION("GOOGLETRANSLATE(B507,""en"",""bn"")"),"নিকটতম স্টেশন যা দূষণ তথ্য প্রদান করে")</f>
        <v>নিকটতম স্টেশন যা দূষণ তথ্য প্রদান করে</v>
      </c>
      <c r="T507" s="4" t="str">
        <f>IFERROR(__xludf.DUMMYFUNCTION("GOOGLETRANSLATE(B507,""en"",""pa"")"),"ਸਭ ਤੋਂ ਨਜ਼ਦੀਕੀ ਸਟੇਸ਼ਨ ਜੋ ਪ੍ਰਦੂਸ਼ਣ ਡੇਟਾ ਪ੍ਰਦਾਨ ਕਰਦਾ ਹੈ")</f>
        <v>ਸਭ ਤੋਂ ਨਜ਼ਦੀਕੀ ਸਟੇਸ਼ਨ ਜੋ ਪ੍ਰਦੂਸ਼ਣ ਡੇਟਾ ਪ੍ਰਦਾਨ ਕਰਦਾ ਹੈ</v>
      </c>
      <c r="U507" s="4" t="str">
        <f>IFERROR(__xludf.DUMMYFUNCTION("GOOGLETRANSLATE(B507,""en"",""te"")"),"పొల్యూషన్ డేటాను అందించే సమీప స్టేషన్")</f>
        <v>పొల్యూషన్ డేటాను అందించే సమీప స్టేషన్</v>
      </c>
      <c r="V507" s="4" t="str">
        <f>IFERROR(__xludf.DUMMYFUNCTION("GOOGLETRANSLATE(B507,""en"",""kn"")"),"ಮಾಲಿನ್ಯದ ಡೇಟಾವನ್ನು ಒದಗಿಸುವ ಹತ್ತಿರದ ನಿಲ್ದಾಣ")</f>
        <v>ಮಾಲಿನ್ಯದ ಡೇಟಾವನ್ನು ಒದಗಿಸುವ ಹತ್ತಿರದ ನಿಲ್ದಾಣ</v>
      </c>
      <c r="W507" s="4" t="str">
        <f>IFERROR(__xludf.DUMMYFUNCTION("GOOGLETRANSLATE(B507,""en"",""ml"")"),"മലിനീകരണ ഡാറ്റ നൽകുന്ന ഏറ്റവും അടുത്തുള്ള സ്റ്റേഷൻ")</f>
        <v>മലിനീകരണ ഡാറ്റ നൽകുന്ന ഏറ്റവും അടുത്തുള്ള സ്റ്റേഷൻ</v>
      </c>
      <c r="X507" s="4" t="str">
        <f>IFERROR(__xludf.DUMMYFUNCTION("GOOGLETRANSLATE(B507,""en"",""th"")"),"สถานีที่ใกล้ที่สุดซึ่งให้ข้อมูลมลพิษ")</f>
        <v>สถานีที่ใกล้ที่สุดซึ่งให้ข้อมูลมลพิษ</v>
      </c>
      <c r="Y507" s="4" t="str">
        <f>IFERROR(__xludf.DUMMYFUNCTION("GOOGLETRANSLATE(B507,""en"",""ko"")"),"오염 데이터를 제공하는 가장 가까운 역")</f>
        <v>오염 데이터를 제공하는 가장 가까운 역</v>
      </c>
      <c r="Z507" s="4" t="str">
        <f>IFERROR(__xludf.DUMMYFUNCTION("GOOGLETRANSLATE(B507,""en"",""zh"")"),"提供污染数据的最近站点")</f>
        <v>提供污染数据的最近站点</v>
      </c>
      <c r="AA507" s="4" t="str">
        <f>IFERROR(__xludf.DUMMYFUNCTION("GOOGLETRANSLATE(B507,""en"",""zh-TW"")"),"提供污染數據的最近站點")</f>
        <v>提供污染數據的最近站點</v>
      </c>
      <c r="AB507" s="4" t="str">
        <f>IFERROR(__xludf.DUMMYFUNCTION("GOOGLETRANSLATE(B507,""en"",""ja"")"),"汚染データを提供する最寄りのステーション")</f>
        <v>汚染データを提供する最寄りのステーション</v>
      </c>
      <c r="AC507" s="4" t="str">
        <f>IFERROR(__xludf.DUMMYFUNCTION("GOOGLETRANSLATE(B507,""en"",""bg"")"),"Най-близката станция, която предоставя данни за замърсяване")</f>
        <v>Най-близката станция, която предоставя данни за замърсяване</v>
      </c>
      <c r="AD507" s="4" t="str">
        <f>IFERROR(__xludf.DUMMYFUNCTION("GOOGLETRANSLATE(B507,""en"",""cs"")"),"Nejbližší stanice, která poskytuje údaje o znečištění")</f>
        <v>Nejbližší stanice, která poskytuje údaje o znečištění</v>
      </c>
      <c r="AE507" s="4" t="str">
        <f>IFERROR(__xludf.DUMMYFUNCTION("GOOGLETRANSLATE(B507,""en"",""da"")"),"Nærmeste station, som leverer forureningsdata")</f>
        <v>Nærmeste station, som leverer forureningsdata</v>
      </c>
      <c r="AF507" s="4" t="str">
        <f>IFERROR(__xludf.DUMMYFUNCTION("GOOGLETRANSLATE(B507,""en"",""el"")"),"Πλησιέστερος σταθμός που παρέχει δεδομένα ρύπανσης")</f>
        <v>Πλησιέστερος σταθμός που παρέχει δεδομένα ρύπανσης</v>
      </c>
      <c r="AG507" s="4" t="str">
        <f>IFERROR(__xludf.DUMMYFUNCTION("GOOGLETRANSLATE(B507,""en"",""et"")"),"Lähim jaam, mis annab andmeid reostuse kohta")</f>
        <v>Lähim jaam, mis annab andmeid reostuse kohta</v>
      </c>
      <c r="AH507" s="4" t="str">
        <f>IFERROR(__xludf.DUMMYFUNCTION("GOOGLETRANSLATE(B507,""en"",""fi"")"),"Lähin asema, joka tarjoaa saastetietoja")</f>
        <v>Lähin asema, joka tarjoaa saastetietoja</v>
      </c>
      <c r="AI507" s="4" t="str">
        <f>IFERROR(__xludf.DUMMYFUNCTION("GOOGLETRANSLATE(B507,""en"",""hr"")"),"Najbliža stanica koja daje podatke o onečišćenju")</f>
        <v>Najbliža stanica koja daje podatke o onečišćenju</v>
      </c>
      <c r="AJ507" s="4" t="str">
        <f>IFERROR(__xludf.DUMMYFUNCTION("GOOGLETRANSLATE(B507,""en"",""hu"")"),"A legközelebbi állomás, amely szennyezettségi adatokat szolgáltat")</f>
        <v>A legközelebbi állomás, amely szennyezettségi adatokat szolgáltat</v>
      </c>
      <c r="AK507" s="4" t="str">
        <f>IFERROR(__xludf.DUMMYFUNCTION("GOOGLETRANSLATE(B507,""en"",""hy"")"),"Մոտակա կայանը, որը տրամադրում է աղտոտվածության տվյալներ")</f>
        <v>Մոտակա կայանը, որը տրամադրում է աղտոտվածության տվյալներ</v>
      </c>
      <c r="AL507" s="4" t="str">
        <f>IFERROR(__xludf.DUMMYFUNCTION("GOOGLETRANSLATE(B507,""en"",""ca"")"),"Estació més propera que proporciona dades de contaminació")</f>
        <v>Estació més propera que proporciona dades de contaminació</v>
      </c>
      <c r="AM507" s="4" t="str">
        <f>IFERROR(__xludf.DUMMYFUNCTION("GOOGLETRANSLATE(B507,""en"",""nl"")"),"Dichtsbijzijnde station dat vervuilingsgegevens levert")</f>
        <v>Dichtsbijzijnde station dat vervuilingsgegevens levert</v>
      </c>
      <c r="AN507" s="4" t="str">
        <f>IFERROR(__xludf.DUMMYFUNCTION("GOOGLETRANSLATE(B507,""en"",""he"")"),"התחנה הקרובה ביותר המספקת נתוני זיהום")</f>
        <v>התחנה הקרובה ביותר המספקת נתוני זיהום</v>
      </c>
      <c r="AO507" s="4" t="str">
        <f>IFERROR(__xludf.DUMMYFUNCTION("GOOGLETRANSLATE(B507,""en"",""is"")"),"Næsta stöð sem veitir mengunargögn")</f>
        <v>Næsta stöð sem veitir mengunargögn</v>
      </c>
      <c r="AP507" s="4" t="str">
        <f>IFERROR(__xludf.DUMMYFUNCTION("GOOGLETRANSLATE(B507,""en"",""no"")"),"Nærmeste stasjon som gir forurensningsdata")</f>
        <v>Nærmeste stasjon som gir forurensningsdata</v>
      </c>
      <c r="AQ507" s="4" t="str">
        <f>IFERROR(__xludf.DUMMYFUNCTION("GOOGLETRANSLATE(B507,""en"",""fa"")"),"نزدیکترین ایستگاه که داده های آلودگی را ارائه می دهد")</f>
        <v>نزدیکترین ایستگاه که داده های آلودگی را ارائه می دهد</v>
      </c>
      <c r="AR507" s="4" t="str">
        <f>IFERROR(__xludf.DUMMYFUNCTION("GOOGLETRANSLATE(B507,""en"",""pl"")"),"Najbliższa stacja dostarczająca dane o zanieczyszczeniach")</f>
        <v>Najbliższa stacja dostarczająca dane o zanieczyszczeniach</v>
      </c>
      <c r="AS507" s="4" t="str">
        <f>IFERROR(__xludf.DUMMYFUNCTION("GOOGLETRANSLATE(B507,""en"",""sv"")"),"Närmaste station som tillhandahåller föroreningsdata")</f>
        <v>Närmaste station som tillhandahåller föroreningsdata</v>
      </c>
      <c r="AT507" s="4" t="str">
        <f>IFERROR(__xludf.DUMMYFUNCTION("GOOGLETRANSLATE(B507,""en"",""uk"")"),"Найближча станція, яка надає дані про забруднення")</f>
        <v>Найближча станція, яка надає дані про забруднення</v>
      </c>
      <c r="AU507" s="4" t="str">
        <f>IFERROR(__xludf.DUMMYFUNCTION("GOOGLETRANSLATE(B507,""en"",""zu"")"),"Isiteshi esiseduze esihlinzeka ngedatha yokungcola")</f>
        <v>Isiteshi esiseduze esihlinzeka ngedatha yokungcola</v>
      </c>
      <c r="AV507" s="4" t="str">
        <f>IFERROR(__xludf.DUMMYFUNCTION("GOOGLETRANSLATE(B507,""en"",""sr"")"),"Најближа станица која даје податке о загађењу")</f>
        <v>Најближа станица која даје податке о загађењу</v>
      </c>
    </row>
    <row r="508">
      <c r="A508" s="3" t="s">
        <v>977</v>
      </c>
      <c r="B508" s="3" t="s">
        <v>119</v>
      </c>
      <c r="C508" s="4" t="str">
        <f>IFERROR(__xludf.DUMMYFUNCTION("GOOGLETRANSLATE(B508,""en"",""ta"")"),"UV குறியீடு")</f>
        <v>UV குறியீடு</v>
      </c>
      <c r="D508" s="4" t="str">
        <f>IFERROR(__xludf.DUMMYFUNCTION("GOOGLETRANSLATE(B508,""en"",""hi"")"),"यूवी सूचकांक")</f>
        <v>यूवी सूचकांक</v>
      </c>
      <c r="E508" s="4" t="str">
        <f>IFERROR(__xludf.DUMMYFUNCTION("GOOGLETRANSLATE(B508,""en"",""id"")"),"Indeks UV")</f>
        <v>Indeks UV</v>
      </c>
      <c r="F508" s="4" t="str">
        <f>IFERROR(__xludf.DUMMYFUNCTION("GOOGLETRANSLATE(B508,""en"",""ms"")"),"Indeks UV")</f>
        <v>Indeks UV</v>
      </c>
      <c r="G508" s="4" t="str">
        <f>IFERROR(__xludf.DUMMYFUNCTION("GOOGLETRANSLATE(B508,""en"",""de"")"),"UV-Index")</f>
        <v>UV-Index</v>
      </c>
      <c r="H508" s="4" t="str">
        <f>IFERROR(__xludf.DUMMYFUNCTION("GOOGLETRANSLATE(B508,""en"",""es"")"),"Índice UV")</f>
        <v>Índice UV</v>
      </c>
      <c r="I508" s="4" t="str">
        <f>IFERROR(__xludf.DUMMYFUNCTION("GOOGLETRANSLATE(B508,""en"",""fr"")"),"Indice UV")</f>
        <v>Indice UV</v>
      </c>
      <c r="J508" s="4" t="str">
        <f>IFERROR(__xludf.DUMMYFUNCTION("GOOGLETRANSLATE(B508,""en"",""it"")"),"Indice UV")</f>
        <v>Indice UV</v>
      </c>
      <c r="K508" s="4" t="str">
        <f>IFERROR(__xludf.DUMMYFUNCTION("GOOGLETRANSLATE(B508,""en"",""pt"")"),"Índice UV")</f>
        <v>Índice UV</v>
      </c>
      <c r="L508" s="4" t="str">
        <f>IFERROR(__xludf.DUMMYFUNCTION("GOOGLETRANSLATE(B508,""en"",""ro"")"),"Index UV")</f>
        <v>Index UV</v>
      </c>
      <c r="M508" s="4" t="str">
        <f>IFERROR(__xludf.DUMMYFUNCTION("GOOGLETRANSLATE(B508,""en"",""vi"")"),"Chỉ số UV")</f>
        <v>Chỉ số UV</v>
      </c>
      <c r="N508" s="4" t="str">
        <f>IFERROR(__xludf.DUMMYFUNCTION("GOOGLETRANSLATE(B508,""en"",""ru"")"),"УФ-индекс")</f>
        <v>УФ-индекс</v>
      </c>
      <c r="O508" s="4" t="str">
        <f>IFERROR(__xludf.DUMMYFUNCTION("GOOGLETRANSLATE(B508,""en"",""tr"")"),"UV İndeksi")</f>
        <v>UV İndeksi</v>
      </c>
      <c r="P508" s="4" t="str">
        <f>IFERROR(__xludf.DUMMYFUNCTION("GOOGLETRANSLATE(B508,""en"",""ar"")"),"مؤشر الأشعة فوق البنفسجية")</f>
        <v>مؤشر الأشعة فوق البنفسجية</v>
      </c>
      <c r="Q508" s="4" t="str">
        <f>IFERROR(__xludf.DUMMYFUNCTION("GOOGLETRANSLATE(B508,""en"",""mr"")"),"अतिनील निर्देशांक")</f>
        <v>अतिनील निर्देशांक</v>
      </c>
      <c r="R508" s="4" t="str">
        <f>IFERROR(__xludf.DUMMYFUNCTION("GOOGLETRANSLATE(B508,""en"",""gu"")"),"યુવી ઇન્ડેક્સ")</f>
        <v>યુવી ઇન્ડેક્સ</v>
      </c>
      <c r="S508" s="4" t="str">
        <f>IFERROR(__xludf.DUMMYFUNCTION("GOOGLETRANSLATE(B508,""en"",""bn"")"),"UV সূচক")</f>
        <v>UV সূচক</v>
      </c>
      <c r="T508" s="4" t="str">
        <f>IFERROR(__xludf.DUMMYFUNCTION("GOOGLETRANSLATE(B508,""en"",""pa"")"),"ਯੂਵੀ ਇੰਡੈਕਸ")</f>
        <v>ਯੂਵੀ ਇੰਡੈਕਸ</v>
      </c>
      <c r="U508" s="4" t="str">
        <f>IFERROR(__xludf.DUMMYFUNCTION("GOOGLETRANSLATE(B508,""en"",""te"")"),"UV సూచిక")</f>
        <v>UV సూచిక</v>
      </c>
      <c r="V508" s="4" t="str">
        <f>IFERROR(__xludf.DUMMYFUNCTION("GOOGLETRANSLATE(B508,""en"",""kn"")"),"ಯುವಿ ಸೂಚ್ಯಂಕ")</f>
        <v>ಯುವಿ ಸೂಚ್ಯಂಕ</v>
      </c>
      <c r="W508" s="4" t="str">
        <f>IFERROR(__xludf.DUMMYFUNCTION("GOOGLETRANSLATE(B508,""en"",""ml"")"),"യുവി സൂചിക")</f>
        <v>യുവി സൂചിക</v>
      </c>
      <c r="X508" s="4" t="str">
        <f>IFERROR(__xludf.DUMMYFUNCTION("GOOGLETRANSLATE(B508,""en"",""th"")"),"ดัชนี UV")</f>
        <v>ดัชนี UV</v>
      </c>
      <c r="Y508" s="4" t="str">
        <f>IFERROR(__xludf.DUMMYFUNCTION("GOOGLETRANSLATE(B508,""en"",""ko"")"),"자외선 지수")</f>
        <v>자외선 지수</v>
      </c>
      <c r="Z508" s="4" t="str">
        <f>IFERROR(__xludf.DUMMYFUNCTION("GOOGLETRANSLATE(B508,""en"",""zh"")"),"紫外线指数")</f>
        <v>紫外线指数</v>
      </c>
      <c r="AA508" s="4" t="str">
        <f>IFERROR(__xludf.DUMMYFUNCTION("GOOGLETRANSLATE(B508,""en"",""zh-TW"")"),"紫外線指數")</f>
        <v>紫外線指數</v>
      </c>
      <c r="AB508" s="4" t="str">
        <f>IFERROR(__xludf.DUMMYFUNCTION("GOOGLETRANSLATE(B508,""en"",""ja"")"),"UVインデックス")</f>
        <v>UVインデックス</v>
      </c>
      <c r="AC508" s="4" t="str">
        <f>IFERROR(__xludf.DUMMYFUNCTION("GOOGLETRANSLATE(B508,""en"",""bg"")"),"UV индекс")</f>
        <v>UV индекс</v>
      </c>
      <c r="AD508" s="4" t="str">
        <f>IFERROR(__xludf.DUMMYFUNCTION("GOOGLETRANSLATE(B508,""en"",""cs"")"),"UV index")</f>
        <v>UV index</v>
      </c>
      <c r="AE508" s="4" t="str">
        <f>IFERROR(__xludf.DUMMYFUNCTION("GOOGLETRANSLATE(B508,""en"",""da"")"),"UV-indeks")</f>
        <v>UV-indeks</v>
      </c>
      <c r="AF508" s="4" t="str">
        <f>IFERROR(__xludf.DUMMYFUNCTION("GOOGLETRANSLATE(B508,""en"",""el"")"),"Δείκτης UV")</f>
        <v>Δείκτης UV</v>
      </c>
      <c r="AG508" s="4" t="str">
        <f>IFERROR(__xludf.DUMMYFUNCTION("GOOGLETRANSLATE(B508,""en"",""et"")"),"UV-indeks")</f>
        <v>UV-indeks</v>
      </c>
      <c r="AH508" s="4" t="str">
        <f>IFERROR(__xludf.DUMMYFUNCTION("GOOGLETRANSLATE(B508,""en"",""fi"")"),"UV-indeksi")</f>
        <v>UV-indeksi</v>
      </c>
      <c r="AI508" s="4" t="str">
        <f>IFERROR(__xludf.DUMMYFUNCTION("GOOGLETRANSLATE(B508,""en"",""hr"")"),"UV indeks")</f>
        <v>UV indeks</v>
      </c>
      <c r="AJ508" s="4" t="str">
        <f>IFERROR(__xludf.DUMMYFUNCTION("GOOGLETRANSLATE(B508,""en"",""hu"")"),"UV-index")</f>
        <v>UV-index</v>
      </c>
      <c r="AK508" s="4" t="str">
        <f>IFERROR(__xludf.DUMMYFUNCTION("GOOGLETRANSLATE(B508,""en"",""hy"")"),"Ուլտրամանուշակագույն ինդեքս")</f>
        <v>Ուլտրամանուշակագույն ինդեքս</v>
      </c>
      <c r="AL508" s="4" t="str">
        <f>IFERROR(__xludf.DUMMYFUNCTION("GOOGLETRANSLATE(B508,""en"",""ca"")"),"Índex UV")</f>
        <v>Índex UV</v>
      </c>
      <c r="AM508" s="4" t="str">
        <f>IFERROR(__xludf.DUMMYFUNCTION("GOOGLETRANSLATE(B508,""en"",""nl"")"),"UV-index")</f>
        <v>UV-index</v>
      </c>
      <c r="AN508" s="4" t="str">
        <f>IFERROR(__xludf.DUMMYFUNCTION("GOOGLETRANSLATE(B508,""en"",""he"")"),"אינדקס UV")</f>
        <v>אינדקס UV</v>
      </c>
      <c r="AO508" s="4" t="str">
        <f>IFERROR(__xludf.DUMMYFUNCTION("GOOGLETRANSLATE(B508,""en"",""is"")"),"UV vísitala")</f>
        <v>UV vísitala</v>
      </c>
      <c r="AP508" s="4" t="str">
        <f>IFERROR(__xludf.DUMMYFUNCTION("GOOGLETRANSLATE(B508,""en"",""no"")"),"UV-indeks")</f>
        <v>UV-indeks</v>
      </c>
      <c r="AQ508" s="4" t="str">
        <f>IFERROR(__xludf.DUMMYFUNCTION("GOOGLETRANSLATE(B508,""en"",""fa"")"),"شاخص UV")</f>
        <v>شاخص UV</v>
      </c>
      <c r="AR508" s="4" t="str">
        <f>IFERROR(__xludf.DUMMYFUNCTION("GOOGLETRANSLATE(B508,""en"",""pl"")"),"Indeks UV")</f>
        <v>Indeks UV</v>
      </c>
      <c r="AS508" s="4" t="str">
        <f>IFERROR(__xludf.DUMMYFUNCTION("GOOGLETRANSLATE(B508,""en"",""sv"")"),"UV-index")</f>
        <v>UV-index</v>
      </c>
      <c r="AT508" s="4" t="str">
        <f>IFERROR(__xludf.DUMMYFUNCTION("GOOGLETRANSLATE(B508,""en"",""uk"")"),"УФ-індекс")</f>
        <v>УФ-індекс</v>
      </c>
      <c r="AU508" s="4" t="str">
        <f>IFERROR(__xludf.DUMMYFUNCTION("GOOGLETRANSLATE(B508,""en"",""zu"")"),"I-UV Index")</f>
        <v>I-UV Index</v>
      </c>
      <c r="AV508" s="4" t="str">
        <f>IFERROR(__xludf.DUMMYFUNCTION("GOOGLETRANSLATE(B508,""en"",""sr"")"),"УВ индекс")</f>
        <v>УВ индекс</v>
      </c>
    </row>
    <row r="509">
      <c r="A509" s="3" t="s">
        <v>978</v>
      </c>
      <c r="B509" s="3" t="s">
        <v>968</v>
      </c>
      <c r="C509" s="4" t="str">
        <f>IFERROR(__xludf.DUMMYFUNCTION("GOOGLETRANSLATE(B509,""en"",""ta"")"),"புத்துணர்ச்சியளிக்கிறது...")</f>
        <v>புத்துணர்ச்சியளிக்கிறது...</v>
      </c>
      <c r="D509" s="4" t="str">
        <f>IFERROR(__xludf.DUMMYFUNCTION("GOOGLETRANSLATE(B509,""en"",""hi"")"),"ताज़ा...")</f>
        <v>ताज़ा...</v>
      </c>
      <c r="E509" s="4" t="str">
        <f>IFERROR(__xludf.DUMMYFUNCTION("GOOGLETRANSLATE(B509,""en"",""id"")"),"Menyegarkan...")</f>
        <v>Menyegarkan...</v>
      </c>
      <c r="F509" s="4" t="str">
        <f>IFERROR(__xludf.DUMMYFUNCTION("GOOGLETRANSLATE(B509,""en"",""ms"")"),"Menyegarkan...")</f>
        <v>Menyegarkan...</v>
      </c>
      <c r="G509" s="4" t="str">
        <f>IFERROR(__xludf.DUMMYFUNCTION("GOOGLETRANSLATE(B509,""en"",""de"")"),"Erfrischend...")</f>
        <v>Erfrischend...</v>
      </c>
      <c r="H509" s="4" t="str">
        <f>IFERROR(__xludf.DUMMYFUNCTION("GOOGLETRANSLATE(B509,""en"",""es"")"),"Refrescante...")</f>
        <v>Refrescante...</v>
      </c>
      <c r="I509" s="4" t="str">
        <f>IFERROR(__xludf.DUMMYFUNCTION("GOOGLETRANSLATE(B509,""en"",""fr"")"),"Rafraîchissant...")</f>
        <v>Rafraîchissant...</v>
      </c>
      <c r="J509" s="4" t="str">
        <f>IFERROR(__xludf.DUMMYFUNCTION("GOOGLETRANSLATE(B509,""en"",""it"")"),"Rinfrescante...")</f>
        <v>Rinfrescante...</v>
      </c>
      <c r="K509" s="4" t="str">
        <f>IFERROR(__xludf.DUMMYFUNCTION("GOOGLETRANSLATE(B509,""en"",""pt"")"),"Refrescante...")</f>
        <v>Refrescante...</v>
      </c>
      <c r="L509" s="4" t="str">
        <f>IFERROR(__xludf.DUMMYFUNCTION("GOOGLETRANSLATE(B509,""en"",""ro"")"),"Înviorare...")</f>
        <v>Înviorare...</v>
      </c>
      <c r="M509" s="4" t="str">
        <f>IFERROR(__xludf.DUMMYFUNCTION("GOOGLETRANSLATE(B509,""en"",""vi"")"),"Thật sảng khoái...")</f>
        <v>Thật sảng khoái...</v>
      </c>
      <c r="N509" s="4" t="str">
        <f>IFERROR(__xludf.DUMMYFUNCTION("GOOGLETRANSLATE(B509,""en"",""ru"")"),"Освежающий...")</f>
        <v>Освежающий...</v>
      </c>
      <c r="O509" s="4" t="str">
        <f>IFERROR(__xludf.DUMMYFUNCTION("GOOGLETRANSLATE(B509,""en"",""tr"")"),"Canlandırıcı...")</f>
        <v>Canlandırıcı...</v>
      </c>
      <c r="P509" s="4" t="str">
        <f>IFERROR(__xludf.DUMMYFUNCTION("GOOGLETRANSLATE(B509,""en"",""ar"")"),"منعش...")</f>
        <v>منعش...</v>
      </c>
      <c r="Q509" s="4" t="str">
        <f>IFERROR(__xludf.DUMMYFUNCTION("GOOGLETRANSLATE(B509,""en"",""mr"")"),"रिफ्रेश करत आहे...")</f>
        <v>रिफ्रेश करत आहे...</v>
      </c>
      <c r="R509" s="4" t="str">
        <f>IFERROR(__xludf.DUMMYFUNCTION("GOOGLETRANSLATE(B509,""en"",""gu"")"),"તાજું કરી રહ્યું છે...")</f>
        <v>તાજું કરી રહ્યું છે...</v>
      </c>
      <c r="S509" s="4" t="str">
        <f>IFERROR(__xludf.DUMMYFUNCTION("GOOGLETRANSLATE(B509,""en"",""bn"")"),"রিফ্রেশ হচ্ছে...")</f>
        <v>রিফ্রেশ হচ্ছে...</v>
      </c>
      <c r="T509" s="4" t="str">
        <f>IFERROR(__xludf.DUMMYFUNCTION("GOOGLETRANSLATE(B509,""en"",""pa"")"),"ਤਾਜ਼ਾ ਕੀਤਾ ਜਾ ਰਿਹਾ ਹੈ...")</f>
        <v>ਤਾਜ਼ਾ ਕੀਤਾ ਜਾ ਰਿਹਾ ਹੈ...</v>
      </c>
      <c r="U509" s="4" t="str">
        <f>IFERROR(__xludf.DUMMYFUNCTION("GOOGLETRANSLATE(B509,""en"",""te"")"),"రిఫ్రెష్ చేస్తోంది...")</f>
        <v>రిఫ్రెష్ చేస్తోంది...</v>
      </c>
      <c r="V509" s="4" t="str">
        <f>IFERROR(__xludf.DUMMYFUNCTION("GOOGLETRANSLATE(B509,""en"",""kn"")"),"ರಿಫ್ರೆಶ್ ಮಾಡಲಾಗುತ್ತಿದೆ...")</f>
        <v>ರಿಫ್ರೆಶ್ ಮಾಡಲಾಗುತ್ತಿದೆ...</v>
      </c>
      <c r="W509" s="4" t="str">
        <f>IFERROR(__xludf.DUMMYFUNCTION("GOOGLETRANSLATE(B509,""en"",""ml"")"),"പുതുക്കുന്നു...")</f>
        <v>പുതുക്കുന്നു...</v>
      </c>
      <c r="X509" s="4" t="str">
        <f>IFERROR(__xludf.DUMMYFUNCTION("GOOGLETRANSLATE(B509,""en"",""th"")"),"สดชื่น...")</f>
        <v>สดชื่น...</v>
      </c>
      <c r="Y509" s="4" t="str">
        <f>IFERROR(__xludf.DUMMYFUNCTION("GOOGLETRANSLATE(B509,""en"",""ko"")"),"상쾌한...")</f>
        <v>상쾌한...</v>
      </c>
      <c r="Z509" s="4" t="str">
        <f>IFERROR(__xludf.DUMMYFUNCTION("GOOGLETRANSLATE(B509,""en"",""zh"")"),"令人耳目一新……")</f>
        <v>令人耳目一新……</v>
      </c>
      <c r="AA509" s="4" t="str">
        <f>IFERROR(__xludf.DUMMYFUNCTION("GOOGLETRANSLATE(B509,""en"",""zh-TW"")"),"令人耳目一新…")</f>
        <v>令人耳目一新…</v>
      </c>
      <c r="AB509" s="4" t="str">
        <f>IFERROR(__xludf.DUMMYFUNCTION("GOOGLETRANSLATE(B509,""en"",""ja"")"),"爽やか…")</f>
        <v>爽やか…</v>
      </c>
      <c r="AC509" s="4" t="str">
        <f>IFERROR(__xludf.DUMMYFUNCTION("GOOGLETRANSLATE(B509,""en"",""bg"")"),"Опресняване...")</f>
        <v>Опресняване...</v>
      </c>
      <c r="AD509" s="4" t="str">
        <f>IFERROR(__xludf.DUMMYFUNCTION("GOOGLETRANSLATE(B509,""en"",""cs"")"),"Osvěžující...")</f>
        <v>Osvěžující...</v>
      </c>
      <c r="AE509" s="4" t="str">
        <f>IFERROR(__xludf.DUMMYFUNCTION("GOOGLETRANSLATE(B509,""en"",""da"")"),"Forfriskende...")</f>
        <v>Forfriskende...</v>
      </c>
      <c r="AF509" s="4" t="str">
        <f>IFERROR(__xludf.DUMMYFUNCTION("GOOGLETRANSLATE(B509,""en"",""el"")"),"Δροσιστικός...")</f>
        <v>Δροσιστικός...</v>
      </c>
      <c r="AG509" s="4" t="str">
        <f>IFERROR(__xludf.DUMMYFUNCTION("GOOGLETRANSLATE(B509,""en"",""et"")"),"Värskendamine...")</f>
        <v>Värskendamine...</v>
      </c>
      <c r="AH509" s="4" t="str">
        <f>IFERROR(__xludf.DUMMYFUNCTION("GOOGLETRANSLATE(B509,""en"",""fi"")"),"Virkistävä...")</f>
        <v>Virkistävä...</v>
      </c>
      <c r="AI509" s="4" t="str">
        <f>IFERROR(__xludf.DUMMYFUNCTION("GOOGLETRANSLATE(B509,""en"",""hr"")"),"Osvježavajući...")</f>
        <v>Osvježavajući...</v>
      </c>
      <c r="AJ509" s="4" t="str">
        <f>IFERROR(__xludf.DUMMYFUNCTION("GOOGLETRANSLATE(B509,""en"",""hu"")"),"Üdítő...")</f>
        <v>Üdítő...</v>
      </c>
      <c r="AK509" s="4" t="str">
        <f>IFERROR(__xludf.DUMMYFUNCTION("GOOGLETRANSLATE(B509,""en"",""hy"")"),"Թարմացվում է...")</f>
        <v>Թարմացվում է...</v>
      </c>
      <c r="AL509" s="4" t="str">
        <f>IFERROR(__xludf.DUMMYFUNCTION("GOOGLETRANSLATE(B509,""en"",""ca"")"),"Refrescant...")</f>
        <v>Refrescant...</v>
      </c>
      <c r="AM509" s="4" t="str">
        <f>IFERROR(__xludf.DUMMYFUNCTION("GOOGLETRANSLATE(B509,""en"",""nl"")"),"Verfrissend...")</f>
        <v>Verfrissend...</v>
      </c>
      <c r="AN509" s="4" t="str">
        <f>IFERROR(__xludf.DUMMYFUNCTION("GOOGLETRANSLATE(B509,""en"",""he"")"),"מְרַעֲנֵן...")</f>
        <v>מְרַעֲנֵן...</v>
      </c>
      <c r="AO509" s="4" t="str">
        <f>IFERROR(__xludf.DUMMYFUNCTION("GOOGLETRANSLATE(B509,""en"",""is"")"),"Hressandi...")</f>
        <v>Hressandi...</v>
      </c>
      <c r="AP509" s="4" t="str">
        <f>IFERROR(__xludf.DUMMYFUNCTION("GOOGLETRANSLATE(B509,""en"",""no"")"),"Oppdaterer...")</f>
        <v>Oppdaterer...</v>
      </c>
      <c r="AQ509" s="4" t="str">
        <f>IFERROR(__xludf.DUMMYFUNCTION("GOOGLETRANSLATE(B509,""en"",""fa"")"),"تازه کردن...")</f>
        <v>تازه کردن...</v>
      </c>
      <c r="AR509" s="4" t="str">
        <f>IFERROR(__xludf.DUMMYFUNCTION("GOOGLETRANSLATE(B509,""en"",""pl"")"),"Orzeźwiający...")</f>
        <v>Orzeźwiający...</v>
      </c>
      <c r="AS509" s="4" t="str">
        <f>IFERROR(__xludf.DUMMYFUNCTION("GOOGLETRANSLATE(B509,""en"",""sv"")"),"Uppfriskande...")</f>
        <v>Uppfriskande...</v>
      </c>
      <c r="AT509" s="4" t="str">
        <f>IFERROR(__xludf.DUMMYFUNCTION("GOOGLETRANSLATE(B509,""en"",""uk"")"),"Оновлення...")</f>
        <v>Оновлення...</v>
      </c>
      <c r="AU509" s="4" t="str">
        <f>IFERROR(__xludf.DUMMYFUNCTION("GOOGLETRANSLATE(B509,""en"",""zu"")"),"Iyavuselela...")</f>
        <v>Iyavuselela...</v>
      </c>
      <c r="AV509" s="4" t="str">
        <f>IFERROR(__xludf.DUMMYFUNCTION("GOOGLETRANSLATE(B509,""en"",""sr"")"),"Освежавање...")</f>
        <v>Освежавање...</v>
      </c>
    </row>
    <row r="510">
      <c r="A510" s="3" t="s">
        <v>979</v>
      </c>
      <c r="B510" s="3" t="s">
        <v>970</v>
      </c>
      <c r="C510" s="4" t="str">
        <f>IFERROR(__xludf.DUMMYFUNCTION("GOOGLETRANSLATE(B510,""en"",""ta"")"),"ஆதாரம்")</f>
        <v>ஆதாரம்</v>
      </c>
      <c r="D510" s="4" t="str">
        <f>IFERROR(__xludf.DUMMYFUNCTION("GOOGLETRANSLATE(B510,""en"",""hi"")"),"स्रोत")</f>
        <v>स्रोत</v>
      </c>
      <c r="E510" s="4" t="str">
        <f>IFERROR(__xludf.DUMMYFUNCTION("GOOGLETRANSLATE(B510,""en"",""id"")"),"Sumber")</f>
        <v>Sumber</v>
      </c>
      <c r="F510" s="4" t="str">
        <f>IFERROR(__xludf.DUMMYFUNCTION("GOOGLETRANSLATE(B510,""en"",""ms"")"),"Sumber")</f>
        <v>Sumber</v>
      </c>
      <c r="G510" s="4" t="str">
        <f>IFERROR(__xludf.DUMMYFUNCTION("GOOGLETRANSLATE(B510,""en"",""de"")"),"Quelle")</f>
        <v>Quelle</v>
      </c>
      <c r="H510" s="4" t="str">
        <f>IFERROR(__xludf.DUMMYFUNCTION("GOOGLETRANSLATE(B510,""en"",""es"")"),"Fuente")</f>
        <v>Fuente</v>
      </c>
      <c r="I510" s="4" t="str">
        <f>IFERROR(__xludf.DUMMYFUNCTION("GOOGLETRANSLATE(B510,""en"",""fr"")"),"Source")</f>
        <v>Source</v>
      </c>
      <c r="J510" s="4" t="str">
        <f>IFERROR(__xludf.DUMMYFUNCTION("GOOGLETRANSLATE(B510,""en"",""it"")"),"Fonte")</f>
        <v>Fonte</v>
      </c>
      <c r="K510" s="4" t="str">
        <f>IFERROR(__xludf.DUMMYFUNCTION("GOOGLETRANSLATE(B510,""en"",""pt"")"),"Fonte")</f>
        <v>Fonte</v>
      </c>
      <c r="L510" s="4" t="str">
        <f>IFERROR(__xludf.DUMMYFUNCTION("GOOGLETRANSLATE(B510,""en"",""ro"")"),"Sursă")</f>
        <v>Sursă</v>
      </c>
      <c r="M510" s="4" t="str">
        <f>IFERROR(__xludf.DUMMYFUNCTION("GOOGLETRANSLATE(B510,""en"",""vi"")"),"Nguồn")</f>
        <v>Nguồn</v>
      </c>
      <c r="N510" s="4" t="str">
        <f>IFERROR(__xludf.DUMMYFUNCTION("GOOGLETRANSLATE(B510,""en"",""ru"")"),"Источник")</f>
        <v>Источник</v>
      </c>
      <c r="O510" s="4" t="str">
        <f>IFERROR(__xludf.DUMMYFUNCTION("GOOGLETRANSLATE(B510,""en"",""tr"")"),"Kaynak")</f>
        <v>Kaynak</v>
      </c>
      <c r="P510" s="4" t="str">
        <f>IFERROR(__xludf.DUMMYFUNCTION("GOOGLETRANSLATE(B510,""en"",""ar"")"),"مصدر")</f>
        <v>مصدر</v>
      </c>
      <c r="Q510" s="4" t="str">
        <f>IFERROR(__xludf.DUMMYFUNCTION("GOOGLETRANSLATE(B510,""en"",""mr"")"),"स्त्रोत")</f>
        <v>स्त्रोत</v>
      </c>
      <c r="R510" s="4" t="str">
        <f>IFERROR(__xludf.DUMMYFUNCTION("GOOGLETRANSLATE(B510,""en"",""gu"")"),"સ્ત્રોત")</f>
        <v>સ્ત્રોત</v>
      </c>
      <c r="S510" s="4" t="str">
        <f>IFERROR(__xludf.DUMMYFUNCTION("GOOGLETRANSLATE(B510,""en"",""bn"")"),"উৎস")</f>
        <v>উৎস</v>
      </c>
      <c r="T510" s="4" t="str">
        <f>IFERROR(__xludf.DUMMYFUNCTION("GOOGLETRANSLATE(B510,""en"",""pa"")"),"ਸਰੋਤ")</f>
        <v>ਸਰੋਤ</v>
      </c>
      <c r="U510" s="4" t="str">
        <f>IFERROR(__xludf.DUMMYFUNCTION("GOOGLETRANSLATE(B510,""en"",""te"")"),"మూలం")</f>
        <v>మూలం</v>
      </c>
      <c r="V510" s="4" t="str">
        <f>IFERROR(__xludf.DUMMYFUNCTION("GOOGLETRANSLATE(B510,""en"",""kn"")"),"ಮೂಲ")</f>
        <v>ಮೂಲ</v>
      </c>
      <c r="W510" s="4" t="str">
        <f>IFERROR(__xludf.DUMMYFUNCTION("GOOGLETRANSLATE(B510,""en"",""ml"")"),"ഉറവിടം")</f>
        <v>ഉറവിടം</v>
      </c>
      <c r="X510" s="4" t="str">
        <f>IFERROR(__xludf.DUMMYFUNCTION("GOOGLETRANSLATE(B510,""en"",""th"")"),"แหล่งที่มา")</f>
        <v>แหล่งที่มา</v>
      </c>
      <c r="Y510" s="4" t="str">
        <f>IFERROR(__xludf.DUMMYFUNCTION("GOOGLETRANSLATE(B510,""en"",""ko"")"),"원천")</f>
        <v>원천</v>
      </c>
      <c r="Z510" s="4" t="str">
        <f>IFERROR(__xludf.DUMMYFUNCTION("GOOGLETRANSLATE(B510,""en"",""zh"")"),"来源")</f>
        <v>来源</v>
      </c>
      <c r="AA510" s="4" t="str">
        <f>IFERROR(__xludf.DUMMYFUNCTION("GOOGLETRANSLATE(B510,""en"",""zh-TW"")"),"來源")</f>
        <v>來源</v>
      </c>
      <c r="AB510" s="4" t="str">
        <f>IFERROR(__xludf.DUMMYFUNCTION("GOOGLETRANSLATE(B510,""en"",""ja"")"),"ソース")</f>
        <v>ソース</v>
      </c>
      <c r="AC510" s="4" t="str">
        <f>IFERROR(__xludf.DUMMYFUNCTION("GOOGLETRANSLATE(B510,""en"",""bg"")"),"Източник")</f>
        <v>Източник</v>
      </c>
      <c r="AD510" s="4" t="str">
        <f>IFERROR(__xludf.DUMMYFUNCTION("GOOGLETRANSLATE(B510,""en"",""cs"")"),"Zdroj")</f>
        <v>Zdroj</v>
      </c>
      <c r="AE510" s="4" t="str">
        <f>IFERROR(__xludf.DUMMYFUNCTION("GOOGLETRANSLATE(B510,""en"",""da"")"),"Kilde")</f>
        <v>Kilde</v>
      </c>
      <c r="AF510" s="4" t="str">
        <f>IFERROR(__xludf.DUMMYFUNCTION("GOOGLETRANSLATE(B510,""en"",""el"")"),"Πηγή")</f>
        <v>Πηγή</v>
      </c>
      <c r="AG510" s="4" t="str">
        <f>IFERROR(__xludf.DUMMYFUNCTION("GOOGLETRANSLATE(B510,""en"",""et"")"),"Allikas")</f>
        <v>Allikas</v>
      </c>
      <c r="AH510" s="4" t="str">
        <f>IFERROR(__xludf.DUMMYFUNCTION("GOOGLETRANSLATE(B510,""en"",""fi"")"),"Lähde")</f>
        <v>Lähde</v>
      </c>
      <c r="AI510" s="4" t="str">
        <f>IFERROR(__xludf.DUMMYFUNCTION("GOOGLETRANSLATE(B510,""en"",""hr"")"),"Izvor")</f>
        <v>Izvor</v>
      </c>
      <c r="AJ510" s="4" t="str">
        <f>IFERROR(__xludf.DUMMYFUNCTION("GOOGLETRANSLATE(B510,""en"",""hu"")"),"Forrás")</f>
        <v>Forrás</v>
      </c>
      <c r="AK510" s="4" t="str">
        <f>IFERROR(__xludf.DUMMYFUNCTION("GOOGLETRANSLATE(B510,""en"",""hy"")"),"Աղբյուր")</f>
        <v>Աղբյուր</v>
      </c>
      <c r="AL510" s="4" t="str">
        <f>IFERROR(__xludf.DUMMYFUNCTION("GOOGLETRANSLATE(B510,""en"",""ca"")"),"Font")</f>
        <v>Font</v>
      </c>
      <c r="AM510" s="4" t="str">
        <f>IFERROR(__xludf.DUMMYFUNCTION("GOOGLETRANSLATE(B510,""en"",""nl"")"),"Bron")</f>
        <v>Bron</v>
      </c>
      <c r="AN510" s="4" t="str">
        <f>IFERROR(__xludf.DUMMYFUNCTION("GOOGLETRANSLATE(B510,""en"",""he"")"),"מָקוֹר")</f>
        <v>מָקוֹר</v>
      </c>
      <c r="AO510" s="4" t="str">
        <f>IFERROR(__xludf.DUMMYFUNCTION("GOOGLETRANSLATE(B510,""en"",""is"")"),"Heimild")</f>
        <v>Heimild</v>
      </c>
      <c r="AP510" s="4" t="str">
        <f>IFERROR(__xludf.DUMMYFUNCTION("GOOGLETRANSLATE(B510,""en"",""no"")"),"Kilde")</f>
        <v>Kilde</v>
      </c>
      <c r="AQ510" s="4" t="str">
        <f>IFERROR(__xludf.DUMMYFUNCTION("GOOGLETRANSLATE(B510,""en"",""fa"")"),"منبع")</f>
        <v>منبع</v>
      </c>
      <c r="AR510" s="4" t="str">
        <f>IFERROR(__xludf.DUMMYFUNCTION("GOOGLETRANSLATE(B510,""en"",""pl"")"),"Źródło")</f>
        <v>Źródło</v>
      </c>
      <c r="AS510" s="4" t="str">
        <f>IFERROR(__xludf.DUMMYFUNCTION("GOOGLETRANSLATE(B510,""en"",""sv"")"),"Källa")</f>
        <v>Källa</v>
      </c>
      <c r="AT510" s="4" t="str">
        <f>IFERROR(__xludf.DUMMYFUNCTION("GOOGLETRANSLATE(B510,""en"",""uk"")"),"Джерело")</f>
        <v>Джерело</v>
      </c>
      <c r="AU510" s="4" t="str">
        <f>IFERROR(__xludf.DUMMYFUNCTION("GOOGLETRANSLATE(B510,""en"",""zu"")"),"Umthombo")</f>
        <v>Umthombo</v>
      </c>
      <c r="AV510" s="4" t="str">
        <f>IFERROR(__xludf.DUMMYFUNCTION("GOOGLETRANSLATE(B510,""en"",""sr"")"),"Извор")</f>
        <v>Извор</v>
      </c>
    </row>
    <row r="511">
      <c r="A511" s="3" t="s">
        <v>980</v>
      </c>
      <c r="B511" s="3" t="s">
        <v>981</v>
      </c>
      <c r="C511" s="4" t="str">
        <f>IFERROR(__xludf.DUMMYFUNCTION("GOOGLETRANSLATE(B511,""en"",""ta"")"),"OpenWeatherMap")</f>
        <v>OpenWeatherMap</v>
      </c>
      <c r="D511" s="4" t="str">
        <f>IFERROR(__xludf.DUMMYFUNCTION("GOOGLETRANSLATE(B511,""en"",""hi"")"),"ओपनवेदरमैप")</f>
        <v>ओपनवेदरमैप</v>
      </c>
      <c r="E511" s="4" t="str">
        <f>IFERROR(__xludf.DUMMYFUNCTION("GOOGLETRANSLATE(B511,""en"",""id"")"),"Peta Cuaca Terbuka")</f>
        <v>Peta Cuaca Terbuka</v>
      </c>
      <c r="F511" s="4" t="str">
        <f>IFERROR(__xludf.DUMMYFUNCTION("GOOGLETRANSLATE(B511,""en"",""ms"")"),"OpenWeatherMap")</f>
        <v>OpenWeatherMap</v>
      </c>
      <c r="G511" s="4" t="str">
        <f>IFERROR(__xludf.DUMMYFUNCTION("GOOGLETRANSLATE(B511,""en"",""de"")"),"OpenWeatherMap")</f>
        <v>OpenWeatherMap</v>
      </c>
      <c r="H511" s="4" t="str">
        <f>IFERROR(__xludf.DUMMYFUNCTION("GOOGLETRANSLATE(B511,""en"",""es"")"),"Mapa meteorológico abierto")</f>
        <v>Mapa meteorológico abierto</v>
      </c>
      <c r="I511" s="4" t="str">
        <f>IFERROR(__xludf.DUMMYFUNCTION("GOOGLETRANSLATE(B511,""en"",""fr"")"),"OpenWeatherMap")</f>
        <v>OpenWeatherMap</v>
      </c>
      <c r="J511" s="4" t="str">
        <f>IFERROR(__xludf.DUMMYFUNCTION("GOOGLETRANSLATE(B511,""en"",""it"")"),"Mappa meteo aperta")</f>
        <v>Mappa meteo aperta</v>
      </c>
      <c r="K511" s="4" t="str">
        <f>IFERROR(__xludf.DUMMYFUNCTION("GOOGLETRANSLATE(B511,""en"",""pt"")"),"Mapa meteorológico aberto")</f>
        <v>Mapa meteorológico aberto</v>
      </c>
      <c r="L511" s="4" t="str">
        <f>IFERROR(__xludf.DUMMYFUNCTION("GOOGLETRANSLATE(B511,""en"",""ro"")"),"OpenWeatherMap")</f>
        <v>OpenWeatherMap</v>
      </c>
      <c r="M511" s="4" t="str">
        <f>IFERROR(__xludf.DUMMYFUNCTION("GOOGLETRANSLATE(B511,""en"",""vi"")"),"Bản đồ thời tiết mở")</f>
        <v>Bản đồ thời tiết mở</v>
      </c>
      <c r="N511" s="4" t="str">
        <f>IFERROR(__xludf.DUMMYFUNCTION("GOOGLETRANSLATE(B511,""en"",""ru"")"),"OpenWeatherMap")</f>
        <v>OpenWeatherMap</v>
      </c>
      <c r="O511" s="4" t="str">
        <f>IFERROR(__xludf.DUMMYFUNCTION("GOOGLETRANSLATE(B511,""en"",""tr"")"),"AçıkHava Durumu Haritası")</f>
        <v>AçıkHava Durumu Haritası</v>
      </c>
      <c r="P511" s="4" t="str">
        <f>IFERROR(__xludf.DUMMYFUNCTION("GOOGLETRANSLATE(B511,""en"",""ar"")"),"خريطة الطقس المفتوحة")</f>
        <v>خريطة الطقس المفتوحة</v>
      </c>
      <c r="Q511" s="4" t="str">
        <f>IFERROR(__xludf.DUMMYFUNCTION("GOOGLETRANSLATE(B511,""en"",""mr"")"),"OpenWeatherMap")</f>
        <v>OpenWeatherMap</v>
      </c>
      <c r="R511" s="4" t="str">
        <f>IFERROR(__xludf.DUMMYFUNCTION("GOOGLETRANSLATE(B511,""en"",""gu"")"),"ઓપનવેધરમેપ")</f>
        <v>ઓપનવેધરમેપ</v>
      </c>
      <c r="S511" s="4" t="str">
        <f>IFERROR(__xludf.DUMMYFUNCTION("GOOGLETRANSLATE(B511,""en"",""bn"")"),"OpenWeatherMap")</f>
        <v>OpenWeatherMap</v>
      </c>
      <c r="T511" s="4" t="str">
        <f>IFERROR(__xludf.DUMMYFUNCTION("GOOGLETRANSLATE(B511,""en"",""pa"")"),"OpenWeatherMap")</f>
        <v>OpenWeatherMap</v>
      </c>
      <c r="U511" s="4" t="str">
        <f>IFERROR(__xludf.DUMMYFUNCTION("GOOGLETRANSLATE(B511,""en"",""te"")"),"ఓపెన్ వెదర్ మ్యాప్")</f>
        <v>ఓపెన్ వెదర్ మ్యాప్</v>
      </c>
      <c r="V511" s="4" t="str">
        <f>IFERROR(__xludf.DUMMYFUNCTION("GOOGLETRANSLATE(B511,""en"",""kn"")"),"ಓಪನ್ ವೆದರ್ ಮ್ಯಾಪ್")</f>
        <v>ಓಪನ್ ವೆದರ್ ಮ್ಯಾಪ್</v>
      </c>
      <c r="W511" s="4" t="str">
        <f>IFERROR(__xludf.DUMMYFUNCTION("GOOGLETRANSLATE(B511,""en"",""ml"")"),"ഓപ്പൺ വെതർമാപ്പ്")</f>
        <v>ഓപ്പൺ വെതർമാപ്പ്</v>
      </c>
      <c r="X511" s="4" t="str">
        <f>IFERROR(__xludf.DUMMYFUNCTION("GOOGLETRANSLATE(B511,""en"",""th"")"),"แผนที่สภาพอากาศแบบเปิด")</f>
        <v>แผนที่สภาพอากาศแบบเปิด</v>
      </c>
      <c r="Y511" s="4" t="str">
        <f>IFERROR(__xludf.DUMMYFUNCTION("GOOGLETRANSLATE(B511,""en"",""ko"")"),"오픈웨더맵")</f>
        <v>오픈웨더맵</v>
      </c>
      <c r="Z511" s="4" t="str">
        <f>IFERROR(__xludf.DUMMYFUNCTION("GOOGLETRANSLATE(B511,""en"",""zh"")"),"开放天气地图")</f>
        <v>开放天气地图</v>
      </c>
      <c r="AA511" s="4" t="str">
        <f>IFERROR(__xludf.DUMMYFUNCTION("GOOGLETRANSLATE(B511,""en"",""zh-TW"")"),"開放天氣地圖")</f>
        <v>開放天氣地圖</v>
      </c>
      <c r="AB511" s="4" t="str">
        <f>IFERROR(__xludf.DUMMYFUNCTION("GOOGLETRANSLATE(B511,""en"",""ja"")"),"オープンウェザーマップ")</f>
        <v>オープンウェザーマップ</v>
      </c>
      <c r="AC511" s="4" t="str">
        <f>IFERROR(__xludf.DUMMYFUNCTION("GOOGLETRANSLATE(B511,""en"",""bg"")"),"OpenWeatherMap")</f>
        <v>OpenWeatherMap</v>
      </c>
      <c r="AD511" s="4" t="str">
        <f>IFERROR(__xludf.DUMMYFUNCTION("GOOGLETRANSLATE(B511,""en"",""cs"")"),"OpenWeatherMap")</f>
        <v>OpenWeatherMap</v>
      </c>
      <c r="AE511" s="4" t="str">
        <f>IFERROR(__xludf.DUMMYFUNCTION("GOOGLETRANSLATE(B511,""en"",""da"")"),"OpenWeatherMap")</f>
        <v>OpenWeatherMap</v>
      </c>
      <c r="AF511" s="4" t="str">
        <f>IFERROR(__xludf.DUMMYFUNCTION("GOOGLETRANSLATE(B511,""en"",""el"")"),"OpenWeatherMap")</f>
        <v>OpenWeatherMap</v>
      </c>
      <c r="AG511" s="4" t="str">
        <f>IFERROR(__xludf.DUMMYFUNCTION("GOOGLETRANSLATE(B511,""en"",""et"")"),"OpenWeatherMap")</f>
        <v>OpenWeatherMap</v>
      </c>
      <c r="AH511" s="4" t="str">
        <f>IFERROR(__xludf.DUMMYFUNCTION("GOOGLETRANSLATE(B511,""en"",""fi"")"),"OpenWeatherMap")</f>
        <v>OpenWeatherMap</v>
      </c>
      <c r="AI511" s="4" t="str">
        <f>IFERROR(__xludf.DUMMYFUNCTION("GOOGLETRANSLATE(B511,""en"",""hr"")"),"OpenWeatherMap")</f>
        <v>OpenWeatherMap</v>
      </c>
      <c r="AJ511" s="4" t="str">
        <f>IFERROR(__xludf.DUMMYFUNCTION("GOOGLETRANSLATE(B511,""en"",""hu"")"),"OpenWeatherMap")</f>
        <v>OpenWeatherMap</v>
      </c>
      <c r="AK511" s="4" t="str">
        <f>IFERROR(__xludf.DUMMYFUNCTION("GOOGLETRANSLATE(B511,""en"",""hy"")"),"OpenWeatherMap")</f>
        <v>OpenWeatherMap</v>
      </c>
      <c r="AL511" s="4" t="str">
        <f>IFERROR(__xludf.DUMMYFUNCTION("GOOGLETRANSLATE(B511,""en"",""ca"")"),"OpenWeatherMap")</f>
        <v>OpenWeatherMap</v>
      </c>
      <c r="AM511" s="4" t="str">
        <f>IFERROR(__xludf.DUMMYFUNCTION("GOOGLETRANSLATE(B511,""en"",""nl"")"),"OpenWeatherMap")</f>
        <v>OpenWeatherMap</v>
      </c>
      <c r="AN511" s="4" t="str">
        <f>IFERROR(__xludf.DUMMYFUNCTION("GOOGLETRANSLATE(B511,""en"",""he"")"),"OpenWeatherMap")</f>
        <v>OpenWeatherMap</v>
      </c>
      <c r="AO511" s="4" t="str">
        <f>IFERROR(__xludf.DUMMYFUNCTION("GOOGLETRANSLATE(B511,""en"",""is"")"),"OpenWeatherMap")</f>
        <v>OpenWeatherMap</v>
      </c>
      <c r="AP511" s="4" t="str">
        <f>IFERROR(__xludf.DUMMYFUNCTION("GOOGLETRANSLATE(B511,""en"",""no"")"),"OpenWeatherMap")</f>
        <v>OpenWeatherMap</v>
      </c>
      <c r="AQ511" s="4" t="str">
        <f>IFERROR(__xludf.DUMMYFUNCTION("GOOGLETRANSLATE(B511,""en"",""fa"")"),"OpenWeatherMap")</f>
        <v>OpenWeatherMap</v>
      </c>
      <c r="AR511" s="4" t="str">
        <f>IFERROR(__xludf.DUMMYFUNCTION("GOOGLETRANSLATE(B511,""en"",""pl"")"),"Otwórz mapę pogody")</f>
        <v>Otwórz mapę pogody</v>
      </c>
      <c r="AS511" s="4" t="str">
        <f>IFERROR(__xludf.DUMMYFUNCTION("GOOGLETRANSLATE(B511,""en"",""sv"")"),"OpenWeatherMap")</f>
        <v>OpenWeatherMap</v>
      </c>
      <c r="AT511" s="4" t="str">
        <f>IFERROR(__xludf.DUMMYFUNCTION("GOOGLETRANSLATE(B511,""en"",""uk"")"),"OpenWeatherMap")</f>
        <v>OpenWeatherMap</v>
      </c>
      <c r="AU511" s="4" t="str">
        <f>IFERROR(__xludf.DUMMYFUNCTION("GOOGLETRANSLATE(B511,""en"",""zu"")"),"I-OpenWeatherMap")</f>
        <v>I-OpenWeatherMap</v>
      </c>
      <c r="AV511" s="4" t="str">
        <f>IFERROR(__xludf.DUMMYFUNCTION("GOOGLETRANSLATE(B511,""en"",""sr"")"),"ОпенВеатхерМап")</f>
        <v>ОпенВеатхерМап</v>
      </c>
    </row>
    <row r="512">
      <c r="A512" s="3" t="s">
        <v>982</v>
      </c>
      <c r="B512" s="3" t="s">
        <v>887</v>
      </c>
      <c r="C512" s="4" t="str">
        <f>IFERROR(__xludf.DUMMYFUNCTION("GOOGLETRANSLATE(B512,""en"",""ta"")"),"குறைந்த")</f>
        <v>குறைந்த</v>
      </c>
      <c r="D512" s="4" t="str">
        <f>IFERROR(__xludf.DUMMYFUNCTION("GOOGLETRANSLATE(B512,""en"",""hi"")"),"कम")</f>
        <v>कम</v>
      </c>
      <c r="E512" s="4" t="str">
        <f>IFERROR(__xludf.DUMMYFUNCTION("GOOGLETRANSLATE(B512,""en"",""id"")"),"Rendah")</f>
        <v>Rendah</v>
      </c>
      <c r="F512" s="4" t="str">
        <f>IFERROR(__xludf.DUMMYFUNCTION("GOOGLETRANSLATE(B512,""en"",""ms"")"),"rendah")</f>
        <v>rendah</v>
      </c>
      <c r="G512" s="4" t="str">
        <f>IFERROR(__xludf.DUMMYFUNCTION("GOOGLETRANSLATE(B512,""en"",""de"")"),"Niedrig")</f>
        <v>Niedrig</v>
      </c>
      <c r="H512" s="4" t="str">
        <f>IFERROR(__xludf.DUMMYFUNCTION("GOOGLETRANSLATE(B512,""en"",""es"")"),"Bajo")</f>
        <v>Bajo</v>
      </c>
      <c r="I512" s="4" t="str">
        <f>IFERROR(__xludf.DUMMYFUNCTION("GOOGLETRANSLATE(B512,""en"",""fr"")"),"Faible")</f>
        <v>Faible</v>
      </c>
      <c r="J512" s="4" t="str">
        <f>IFERROR(__xludf.DUMMYFUNCTION("GOOGLETRANSLATE(B512,""en"",""it"")"),"Basso")</f>
        <v>Basso</v>
      </c>
      <c r="K512" s="4" t="str">
        <f>IFERROR(__xludf.DUMMYFUNCTION("GOOGLETRANSLATE(B512,""en"",""pt"")"),"Baixo")</f>
        <v>Baixo</v>
      </c>
      <c r="L512" s="4" t="str">
        <f>IFERROR(__xludf.DUMMYFUNCTION("GOOGLETRANSLATE(B512,""en"",""ro"")"),"Scăzut")</f>
        <v>Scăzut</v>
      </c>
      <c r="M512" s="4" t="str">
        <f>IFERROR(__xludf.DUMMYFUNCTION("GOOGLETRANSLATE(B512,""en"",""vi"")"),"Thấp")</f>
        <v>Thấp</v>
      </c>
      <c r="N512" s="4" t="str">
        <f>IFERROR(__xludf.DUMMYFUNCTION("GOOGLETRANSLATE(B512,""en"",""ru"")"),"Низкий")</f>
        <v>Низкий</v>
      </c>
      <c r="O512" s="4" t="str">
        <f>IFERROR(__xludf.DUMMYFUNCTION("GOOGLETRANSLATE(B512,""en"",""tr"")"),"Düşük")</f>
        <v>Düşük</v>
      </c>
      <c r="P512" s="4" t="str">
        <f>IFERROR(__xludf.DUMMYFUNCTION("GOOGLETRANSLATE(B512,""en"",""ar"")"),"قليل")</f>
        <v>قليل</v>
      </c>
      <c r="Q512" s="4" t="str">
        <f>IFERROR(__xludf.DUMMYFUNCTION("GOOGLETRANSLATE(B512,""en"",""mr"")"),"कमी")</f>
        <v>कमी</v>
      </c>
      <c r="R512" s="4" t="str">
        <f>IFERROR(__xludf.DUMMYFUNCTION("GOOGLETRANSLATE(B512,""en"",""gu"")"),"નીચું")</f>
        <v>નીચું</v>
      </c>
      <c r="S512" s="4" t="str">
        <f>IFERROR(__xludf.DUMMYFUNCTION("GOOGLETRANSLATE(B512,""en"",""bn"")"),"কম")</f>
        <v>কম</v>
      </c>
      <c r="T512" s="4" t="str">
        <f>IFERROR(__xludf.DUMMYFUNCTION("GOOGLETRANSLATE(B512,""en"",""pa"")"),"ਘੱਟ")</f>
        <v>ਘੱਟ</v>
      </c>
      <c r="U512" s="4" t="str">
        <f>IFERROR(__xludf.DUMMYFUNCTION("GOOGLETRANSLATE(B512,""en"",""te"")"),"తక్కువ")</f>
        <v>తక్కువ</v>
      </c>
      <c r="V512" s="4" t="str">
        <f>IFERROR(__xludf.DUMMYFUNCTION("GOOGLETRANSLATE(B512,""en"",""kn"")"),"ಕಡಿಮೆ")</f>
        <v>ಕಡಿಮೆ</v>
      </c>
      <c r="W512" s="4" t="str">
        <f>IFERROR(__xludf.DUMMYFUNCTION("GOOGLETRANSLATE(B512,""en"",""ml"")"),"താഴ്ന്നത്")</f>
        <v>താഴ്ന്നത്</v>
      </c>
      <c r="X512" s="4" t="str">
        <f>IFERROR(__xludf.DUMMYFUNCTION("GOOGLETRANSLATE(B512,""en"",""th"")"),"ต่ำ")</f>
        <v>ต่ำ</v>
      </c>
      <c r="Y512" s="4" t="str">
        <f>IFERROR(__xludf.DUMMYFUNCTION("GOOGLETRANSLATE(B512,""en"",""ko"")"),"낮은")</f>
        <v>낮은</v>
      </c>
      <c r="Z512" s="4" t="str">
        <f>IFERROR(__xludf.DUMMYFUNCTION("GOOGLETRANSLATE(B512,""en"",""zh"")"),"低的")</f>
        <v>低的</v>
      </c>
      <c r="AA512" s="4" t="str">
        <f>IFERROR(__xludf.DUMMYFUNCTION("GOOGLETRANSLATE(B512,""en"",""zh-TW"")"),"低的")</f>
        <v>低的</v>
      </c>
      <c r="AB512" s="4" t="str">
        <f>IFERROR(__xludf.DUMMYFUNCTION("GOOGLETRANSLATE(B512,""en"",""ja"")"),"低い")</f>
        <v>低い</v>
      </c>
      <c r="AC512" s="4" t="str">
        <f>IFERROR(__xludf.DUMMYFUNCTION("GOOGLETRANSLATE(B512,""en"",""bg"")"),"ниско")</f>
        <v>ниско</v>
      </c>
      <c r="AD512" s="4" t="str">
        <f>IFERROR(__xludf.DUMMYFUNCTION("GOOGLETRANSLATE(B512,""en"",""cs"")"),"Nízký")</f>
        <v>Nízký</v>
      </c>
      <c r="AE512" s="4" t="str">
        <f>IFERROR(__xludf.DUMMYFUNCTION("GOOGLETRANSLATE(B512,""en"",""da"")"),"Lav")</f>
        <v>Lav</v>
      </c>
      <c r="AF512" s="4" t="str">
        <f>IFERROR(__xludf.DUMMYFUNCTION("GOOGLETRANSLATE(B512,""en"",""el"")"),"Χαμηλός")</f>
        <v>Χαμηλός</v>
      </c>
      <c r="AG512" s="4" t="str">
        <f>IFERROR(__xludf.DUMMYFUNCTION("GOOGLETRANSLATE(B512,""en"",""et"")"),"Madal")</f>
        <v>Madal</v>
      </c>
      <c r="AH512" s="4" t="str">
        <f>IFERROR(__xludf.DUMMYFUNCTION("GOOGLETRANSLATE(B512,""en"",""fi"")"),"Matala")</f>
        <v>Matala</v>
      </c>
      <c r="AI512" s="4" t="str">
        <f>IFERROR(__xludf.DUMMYFUNCTION("GOOGLETRANSLATE(B512,""en"",""hr"")"),"Niska")</f>
        <v>Niska</v>
      </c>
      <c r="AJ512" s="4" t="str">
        <f>IFERROR(__xludf.DUMMYFUNCTION("GOOGLETRANSLATE(B512,""en"",""hu"")"),"Alacsony")</f>
        <v>Alacsony</v>
      </c>
      <c r="AK512" s="4" t="str">
        <f>IFERROR(__xludf.DUMMYFUNCTION("GOOGLETRANSLATE(B512,""en"",""hy"")"),"Ցածր")</f>
        <v>Ցածր</v>
      </c>
      <c r="AL512" s="4" t="str">
        <f>IFERROR(__xludf.DUMMYFUNCTION("GOOGLETRANSLATE(B512,""en"",""ca"")"),"Baixa")</f>
        <v>Baixa</v>
      </c>
      <c r="AM512" s="4" t="str">
        <f>IFERROR(__xludf.DUMMYFUNCTION("GOOGLETRANSLATE(B512,""en"",""nl"")"),"Laag")</f>
        <v>Laag</v>
      </c>
      <c r="AN512" s="4" t="str">
        <f>IFERROR(__xludf.DUMMYFUNCTION("GOOGLETRANSLATE(B512,""en"",""he"")"),"נָמוּך")</f>
        <v>נָמוּך</v>
      </c>
      <c r="AO512" s="4" t="str">
        <f>IFERROR(__xludf.DUMMYFUNCTION("GOOGLETRANSLATE(B512,""en"",""is"")"),"Lágt")</f>
        <v>Lágt</v>
      </c>
      <c r="AP512" s="4" t="str">
        <f>IFERROR(__xludf.DUMMYFUNCTION("GOOGLETRANSLATE(B512,""en"",""no"")"),"Lav")</f>
        <v>Lav</v>
      </c>
      <c r="AQ512" s="4" t="str">
        <f>IFERROR(__xludf.DUMMYFUNCTION("GOOGLETRANSLATE(B512,""en"",""fa"")"),"کم")</f>
        <v>کم</v>
      </c>
      <c r="AR512" s="4" t="str">
        <f>IFERROR(__xludf.DUMMYFUNCTION("GOOGLETRANSLATE(B512,""en"",""pl"")"),"Niski")</f>
        <v>Niski</v>
      </c>
      <c r="AS512" s="4" t="str">
        <f>IFERROR(__xludf.DUMMYFUNCTION("GOOGLETRANSLATE(B512,""en"",""sv"")"),"Låg")</f>
        <v>Låg</v>
      </c>
      <c r="AT512" s="4" t="str">
        <f>IFERROR(__xludf.DUMMYFUNCTION("GOOGLETRANSLATE(B512,""en"",""uk"")"),"Низький")</f>
        <v>Низький</v>
      </c>
      <c r="AU512" s="4" t="str">
        <f>IFERROR(__xludf.DUMMYFUNCTION("GOOGLETRANSLATE(B512,""en"",""zu"")"),"Phansi")</f>
        <v>Phansi</v>
      </c>
      <c r="AV512" s="4" t="str">
        <f>IFERROR(__xludf.DUMMYFUNCTION("GOOGLETRANSLATE(B512,""en"",""sr"")"),"Ниско")</f>
        <v>Ниско</v>
      </c>
    </row>
    <row r="513">
      <c r="A513" s="3" t="s">
        <v>983</v>
      </c>
      <c r="B513" s="3" t="s">
        <v>984</v>
      </c>
      <c r="C513" s="4" t="str">
        <f>IFERROR(__xludf.DUMMYFUNCTION("GOOGLETRANSLATE(B513,""en"",""ta"")"),"மிதமான")</f>
        <v>மிதமான</v>
      </c>
      <c r="D513" s="4" t="str">
        <f>IFERROR(__xludf.DUMMYFUNCTION("GOOGLETRANSLATE(B513,""en"",""hi"")"),"मध्यम")</f>
        <v>मध्यम</v>
      </c>
      <c r="E513" s="4" t="str">
        <f>IFERROR(__xludf.DUMMYFUNCTION("GOOGLETRANSLATE(B513,""en"",""id"")"),"Sedang")</f>
        <v>Sedang</v>
      </c>
      <c r="F513" s="4" t="str">
        <f>IFERROR(__xludf.DUMMYFUNCTION("GOOGLETRANSLATE(B513,""en"",""ms"")"),"Sederhana")</f>
        <v>Sederhana</v>
      </c>
      <c r="G513" s="4" t="str">
        <f>IFERROR(__xludf.DUMMYFUNCTION("GOOGLETRANSLATE(B513,""en"",""de"")"),"Mäßig")</f>
        <v>Mäßig</v>
      </c>
      <c r="H513" s="4" t="str">
        <f>IFERROR(__xludf.DUMMYFUNCTION("GOOGLETRANSLATE(B513,""en"",""es"")"),"Moderado")</f>
        <v>Moderado</v>
      </c>
      <c r="I513" s="4" t="str">
        <f>IFERROR(__xludf.DUMMYFUNCTION("GOOGLETRANSLATE(B513,""en"",""fr"")"),"Modéré")</f>
        <v>Modéré</v>
      </c>
      <c r="J513" s="4" t="str">
        <f>IFERROR(__xludf.DUMMYFUNCTION("GOOGLETRANSLATE(B513,""en"",""it"")"),"Moderare")</f>
        <v>Moderare</v>
      </c>
      <c r="K513" s="4" t="str">
        <f>IFERROR(__xludf.DUMMYFUNCTION("GOOGLETRANSLATE(B513,""en"",""pt"")"),"Moderado")</f>
        <v>Moderado</v>
      </c>
      <c r="L513" s="4" t="str">
        <f>IFERROR(__xludf.DUMMYFUNCTION("GOOGLETRANSLATE(B513,""en"",""ro"")"),"Moderat")</f>
        <v>Moderat</v>
      </c>
      <c r="M513" s="4" t="str">
        <f>IFERROR(__xludf.DUMMYFUNCTION("GOOGLETRANSLATE(B513,""en"",""vi"")"),"Vừa phải")</f>
        <v>Vừa phải</v>
      </c>
      <c r="N513" s="4" t="str">
        <f>IFERROR(__xludf.DUMMYFUNCTION("GOOGLETRANSLATE(B513,""en"",""ru"")"),"Умеренный")</f>
        <v>Умеренный</v>
      </c>
      <c r="O513" s="4" t="str">
        <f>IFERROR(__xludf.DUMMYFUNCTION("GOOGLETRANSLATE(B513,""en"",""tr"")"),"Ilıman")</f>
        <v>Ilıman</v>
      </c>
      <c r="P513" s="4" t="str">
        <f>IFERROR(__xludf.DUMMYFUNCTION("GOOGLETRANSLATE(B513,""en"",""ar"")"),"معتدل")</f>
        <v>معتدل</v>
      </c>
      <c r="Q513" s="4" t="str">
        <f>IFERROR(__xludf.DUMMYFUNCTION("GOOGLETRANSLATE(B513,""en"",""mr"")"),"मध्यम")</f>
        <v>मध्यम</v>
      </c>
      <c r="R513" s="4" t="str">
        <f>IFERROR(__xludf.DUMMYFUNCTION("GOOGLETRANSLATE(B513,""en"",""gu"")"),"મધ્યમ")</f>
        <v>મધ્યમ</v>
      </c>
      <c r="S513" s="4" t="str">
        <f>IFERROR(__xludf.DUMMYFUNCTION("GOOGLETRANSLATE(B513,""en"",""bn"")"),"পরিমিত")</f>
        <v>পরিমিত</v>
      </c>
      <c r="T513" s="4" t="str">
        <f>IFERROR(__xludf.DUMMYFUNCTION("GOOGLETRANSLATE(B513,""en"",""pa"")"),"ਮੱਧਮ")</f>
        <v>ਮੱਧਮ</v>
      </c>
      <c r="U513" s="4" t="str">
        <f>IFERROR(__xludf.DUMMYFUNCTION("GOOGLETRANSLATE(B513,""en"",""te"")"),"మధ్యస్తంగా")</f>
        <v>మధ్యస్తంగా</v>
      </c>
      <c r="V513" s="4" t="str">
        <f>IFERROR(__xludf.DUMMYFUNCTION("GOOGLETRANSLATE(B513,""en"",""kn"")"),"ಮಧ್ಯಮ")</f>
        <v>ಮಧ್ಯಮ</v>
      </c>
      <c r="W513" s="4" t="str">
        <f>IFERROR(__xludf.DUMMYFUNCTION("GOOGLETRANSLATE(B513,""en"",""ml"")"),"മിതത്വം")</f>
        <v>മിതത്വം</v>
      </c>
      <c r="X513" s="4" t="str">
        <f>IFERROR(__xludf.DUMMYFUNCTION("GOOGLETRANSLATE(B513,""en"",""th"")"),"ปานกลาง")</f>
        <v>ปานกลาง</v>
      </c>
      <c r="Y513" s="4" t="str">
        <f>IFERROR(__xludf.DUMMYFUNCTION("GOOGLETRANSLATE(B513,""en"",""ko"")"),"보통의")</f>
        <v>보통의</v>
      </c>
      <c r="Z513" s="4" t="str">
        <f>IFERROR(__xludf.DUMMYFUNCTION("GOOGLETRANSLATE(B513,""en"",""zh"")"),"缓和")</f>
        <v>缓和</v>
      </c>
      <c r="AA513" s="4" t="str">
        <f>IFERROR(__xludf.DUMMYFUNCTION("GOOGLETRANSLATE(B513,""en"",""zh-TW"")"),"緩和")</f>
        <v>緩和</v>
      </c>
      <c r="AB513" s="4" t="str">
        <f>IFERROR(__xludf.DUMMYFUNCTION("GOOGLETRANSLATE(B513,""en"",""ja"")"),"適度")</f>
        <v>適度</v>
      </c>
      <c r="AC513" s="4" t="str">
        <f>IFERROR(__xludf.DUMMYFUNCTION("GOOGLETRANSLATE(B513,""en"",""bg"")"),"Умерен")</f>
        <v>Умерен</v>
      </c>
      <c r="AD513" s="4" t="str">
        <f>IFERROR(__xludf.DUMMYFUNCTION("GOOGLETRANSLATE(B513,""en"",""cs"")"),"Mírný")</f>
        <v>Mírný</v>
      </c>
      <c r="AE513" s="4" t="str">
        <f>IFERROR(__xludf.DUMMYFUNCTION("GOOGLETRANSLATE(B513,""en"",""da"")"),"Moderat")</f>
        <v>Moderat</v>
      </c>
      <c r="AF513" s="4" t="str">
        <f>IFERROR(__xludf.DUMMYFUNCTION("GOOGLETRANSLATE(B513,""en"",""el"")"),"Μέτριος")</f>
        <v>Μέτριος</v>
      </c>
      <c r="AG513" s="4" t="str">
        <f>IFERROR(__xludf.DUMMYFUNCTION("GOOGLETRANSLATE(B513,""en"",""et"")"),"Mõõdukas")</f>
        <v>Mõõdukas</v>
      </c>
      <c r="AH513" s="4" t="str">
        <f>IFERROR(__xludf.DUMMYFUNCTION("GOOGLETRANSLATE(B513,""en"",""fi"")"),"Kohtalainen")</f>
        <v>Kohtalainen</v>
      </c>
      <c r="AI513" s="4" t="str">
        <f>IFERROR(__xludf.DUMMYFUNCTION("GOOGLETRANSLATE(B513,""en"",""hr"")"),"Umjereno")</f>
        <v>Umjereno</v>
      </c>
      <c r="AJ513" s="4" t="str">
        <f>IFERROR(__xludf.DUMMYFUNCTION("GOOGLETRANSLATE(B513,""en"",""hu"")"),"Mérsékelt")</f>
        <v>Mérsékelt</v>
      </c>
      <c r="AK513" s="4" t="str">
        <f>IFERROR(__xludf.DUMMYFUNCTION("GOOGLETRANSLATE(B513,""en"",""hy"")"),"Չափավոր")</f>
        <v>Չափավոր</v>
      </c>
      <c r="AL513" s="4" t="str">
        <f>IFERROR(__xludf.DUMMYFUNCTION("GOOGLETRANSLATE(B513,""en"",""ca"")"),"Moderat")</f>
        <v>Moderat</v>
      </c>
      <c r="AM513" s="4" t="str">
        <f>IFERROR(__xludf.DUMMYFUNCTION("GOOGLETRANSLATE(B513,""en"",""nl"")"),"Gematigd")</f>
        <v>Gematigd</v>
      </c>
      <c r="AN513" s="4" t="str">
        <f>IFERROR(__xludf.DUMMYFUNCTION("GOOGLETRANSLATE(B513,""en"",""he"")"),"לְמַתֵן")</f>
        <v>לְמַתֵן</v>
      </c>
      <c r="AO513" s="4" t="str">
        <f>IFERROR(__xludf.DUMMYFUNCTION("GOOGLETRANSLATE(B513,""en"",""is"")"),"Í meðallagi")</f>
        <v>Í meðallagi</v>
      </c>
      <c r="AP513" s="4" t="str">
        <f>IFERROR(__xludf.DUMMYFUNCTION("GOOGLETRANSLATE(B513,""en"",""no"")"),"Moderat")</f>
        <v>Moderat</v>
      </c>
      <c r="AQ513" s="4" t="str">
        <f>IFERROR(__xludf.DUMMYFUNCTION("GOOGLETRANSLATE(B513,""en"",""fa"")"),"متوسط")</f>
        <v>متوسط</v>
      </c>
      <c r="AR513" s="4" t="str">
        <f>IFERROR(__xludf.DUMMYFUNCTION("GOOGLETRANSLATE(B513,""en"",""pl"")"),"Umiarkowany")</f>
        <v>Umiarkowany</v>
      </c>
      <c r="AS513" s="4" t="str">
        <f>IFERROR(__xludf.DUMMYFUNCTION("GOOGLETRANSLATE(B513,""en"",""sv"")"),"Måttlig")</f>
        <v>Måttlig</v>
      </c>
      <c r="AT513" s="4" t="str">
        <f>IFERROR(__xludf.DUMMYFUNCTION("GOOGLETRANSLATE(B513,""en"",""uk"")"),"Помірний")</f>
        <v>Помірний</v>
      </c>
      <c r="AU513" s="4" t="str">
        <f>IFERROR(__xludf.DUMMYFUNCTION("GOOGLETRANSLATE(B513,""en"",""zu"")"),"Kuphakathi")</f>
        <v>Kuphakathi</v>
      </c>
      <c r="AV513" s="4" t="str">
        <f>IFERROR(__xludf.DUMMYFUNCTION("GOOGLETRANSLATE(B513,""en"",""sr"")"),"Умерено")</f>
        <v>Умерено</v>
      </c>
    </row>
    <row r="514">
      <c r="A514" s="3" t="s">
        <v>985</v>
      </c>
      <c r="B514" s="3" t="s">
        <v>885</v>
      </c>
      <c r="C514" s="4" t="str">
        <f>IFERROR(__xludf.DUMMYFUNCTION("GOOGLETRANSLATE(B514,""en"",""ta"")"),"உயர்")</f>
        <v>உயர்</v>
      </c>
      <c r="D514" s="4" t="str">
        <f>IFERROR(__xludf.DUMMYFUNCTION("GOOGLETRANSLATE(B514,""en"",""hi"")"),"उच्च")</f>
        <v>उच्च</v>
      </c>
      <c r="E514" s="4" t="str">
        <f>IFERROR(__xludf.DUMMYFUNCTION("GOOGLETRANSLATE(B514,""en"",""id"")"),"Tinggi")</f>
        <v>Tinggi</v>
      </c>
      <c r="F514" s="4" t="str">
        <f>IFERROR(__xludf.DUMMYFUNCTION("GOOGLETRANSLATE(B514,""en"",""ms"")"),"tinggi")</f>
        <v>tinggi</v>
      </c>
      <c r="G514" s="4" t="str">
        <f>IFERROR(__xludf.DUMMYFUNCTION("GOOGLETRANSLATE(B514,""en"",""de"")"),"Hoch")</f>
        <v>Hoch</v>
      </c>
      <c r="H514" s="4" t="str">
        <f>IFERROR(__xludf.DUMMYFUNCTION("GOOGLETRANSLATE(B514,""en"",""es"")"),"Alto")</f>
        <v>Alto</v>
      </c>
      <c r="I514" s="4" t="str">
        <f>IFERROR(__xludf.DUMMYFUNCTION("GOOGLETRANSLATE(B514,""en"",""fr"")"),"Haut")</f>
        <v>Haut</v>
      </c>
      <c r="J514" s="4" t="str">
        <f>IFERROR(__xludf.DUMMYFUNCTION("GOOGLETRANSLATE(B514,""en"",""it"")"),"Alto")</f>
        <v>Alto</v>
      </c>
      <c r="K514" s="4" t="str">
        <f>IFERROR(__xludf.DUMMYFUNCTION("GOOGLETRANSLATE(B514,""en"",""pt"")"),"Alto")</f>
        <v>Alto</v>
      </c>
      <c r="L514" s="4" t="str">
        <f>IFERROR(__xludf.DUMMYFUNCTION("GOOGLETRANSLATE(B514,""en"",""ro"")"),"Ridicat")</f>
        <v>Ridicat</v>
      </c>
      <c r="M514" s="4" t="str">
        <f>IFERROR(__xludf.DUMMYFUNCTION("GOOGLETRANSLATE(B514,""en"",""vi"")"),"Cao")</f>
        <v>Cao</v>
      </c>
      <c r="N514" s="4" t="str">
        <f>IFERROR(__xludf.DUMMYFUNCTION("GOOGLETRANSLATE(B514,""en"",""ru"")"),"Высокий")</f>
        <v>Высокий</v>
      </c>
      <c r="O514" s="4" t="str">
        <f>IFERROR(__xludf.DUMMYFUNCTION("GOOGLETRANSLATE(B514,""en"",""tr"")"),"Yüksek")</f>
        <v>Yüksek</v>
      </c>
      <c r="P514" s="4" t="str">
        <f>IFERROR(__xludf.DUMMYFUNCTION("GOOGLETRANSLATE(B514,""en"",""ar"")"),"عالي")</f>
        <v>عالي</v>
      </c>
      <c r="Q514" s="4" t="str">
        <f>IFERROR(__xludf.DUMMYFUNCTION("GOOGLETRANSLATE(B514,""en"",""mr"")"),"उच्च")</f>
        <v>उच्च</v>
      </c>
      <c r="R514" s="4" t="str">
        <f>IFERROR(__xludf.DUMMYFUNCTION("GOOGLETRANSLATE(B514,""en"",""gu"")"),"ઉચ્ચ")</f>
        <v>ઉચ્ચ</v>
      </c>
      <c r="S514" s="4" t="str">
        <f>IFERROR(__xludf.DUMMYFUNCTION("GOOGLETRANSLATE(B514,""en"",""bn"")"),"উচ্চ")</f>
        <v>উচ্চ</v>
      </c>
      <c r="T514" s="4" t="str">
        <f>IFERROR(__xludf.DUMMYFUNCTION("GOOGLETRANSLATE(B514,""en"",""pa"")"),"ਉੱਚ")</f>
        <v>ਉੱਚ</v>
      </c>
      <c r="U514" s="4" t="str">
        <f>IFERROR(__xludf.DUMMYFUNCTION("GOOGLETRANSLATE(B514,""en"",""te"")"),"అధిక")</f>
        <v>అధిక</v>
      </c>
      <c r="V514" s="4" t="str">
        <f>IFERROR(__xludf.DUMMYFUNCTION("GOOGLETRANSLATE(B514,""en"",""kn"")"),"ಹೆಚ್ಚು")</f>
        <v>ಹೆಚ್ಚು</v>
      </c>
      <c r="W514" s="4" t="str">
        <f>IFERROR(__xludf.DUMMYFUNCTION("GOOGLETRANSLATE(B514,""en"",""ml"")"),"ഉയർന്നത്")</f>
        <v>ഉയർന്നത്</v>
      </c>
      <c r="X514" s="4" t="str">
        <f>IFERROR(__xludf.DUMMYFUNCTION("GOOGLETRANSLATE(B514,""en"",""th"")"),"สูง")</f>
        <v>สูง</v>
      </c>
      <c r="Y514" s="4" t="str">
        <f>IFERROR(__xludf.DUMMYFUNCTION("GOOGLETRANSLATE(B514,""en"",""ko"")"),"높은")</f>
        <v>높은</v>
      </c>
      <c r="Z514" s="4" t="str">
        <f>IFERROR(__xludf.DUMMYFUNCTION("GOOGLETRANSLATE(B514,""en"",""zh"")"),"高的")</f>
        <v>高的</v>
      </c>
      <c r="AA514" s="4" t="str">
        <f>IFERROR(__xludf.DUMMYFUNCTION("GOOGLETRANSLATE(B514,""en"",""zh-TW"")"),"高的")</f>
        <v>高的</v>
      </c>
      <c r="AB514" s="4" t="str">
        <f>IFERROR(__xludf.DUMMYFUNCTION("GOOGLETRANSLATE(B514,""en"",""ja"")"),"高い")</f>
        <v>高い</v>
      </c>
      <c r="AC514" s="4" t="str">
        <f>IFERROR(__xludf.DUMMYFUNCTION("GOOGLETRANSLATE(B514,""en"",""bg"")"),"високо")</f>
        <v>високо</v>
      </c>
      <c r="AD514" s="4" t="str">
        <f>IFERROR(__xludf.DUMMYFUNCTION("GOOGLETRANSLATE(B514,""en"",""cs"")"),"Vysoký")</f>
        <v>Vysoký</v>
      </c>
      <c r="AE514" s="4" t="str">
        <f>IFERROR(__xludf.DUMMYFUNCTION("GOOGLETRANSLATE(B514,""en"",""da"")"),"Høj")</f>
        <v>Høj</v>
      </c>
      <c r="AF514" s="4" t="str">
        <f>IFERROR(__xludf.DUMMYFUNCTION("GOOGLETRANSLATE(B514,""en"",""el"")"),"Ψηλά")</f>
        <v>Ψηλά</v>
      </c>
      <c r="AG514" s="4" t="str">
        <f>IFERROR(__xludf.DUMMYFUNCTION("GOOGLETRANSLATE(B514,""en"",""et"")"),"Kõrge")</f>
        <v>Kõrge</v>
      </c>
      <c r="AH514" s="4" t="str">
        <f>IFERROR(__xludf.DUMMYFUNCTION("GOOGLETRANSLATE(B514,""en"",""fi"")"),"Korkea")</f>
        <v>Korkea</v>
      </c>
      <c r="AI514" s="4" t="str">
        <f>IFERROR(__xludf.DUMMYFUNCTION("GOOGLETRANSLATE(B514,""en"",""hr"")"),"visoko")</f>
        <v>visoko</v>
      </c>
      <c r="AJ514" s="4" t="str">
        <f>IFERROR(__xludf.DUMMYFUNCTION("GOOGLETRANSLATE(B514,""en"",""hu"")"),"Magas")</f>
        <v>Magas</v>
      </c>
      <c r="AK514" s="4" t="str">
        <f>IFERROR(__xludf.DUMMYFUNCTION("GOOGLETRANSLATE(B514,""en"",""hy"")"),"Բարձր")</f>
        <v>Բարձր</v>
      </c>
      <c r="AL514" s="4" t="str">
        <f>IFERROR(__xludf.DUMMYFUNCTION("GOOGLETRANSLATE(B514,""en"",""ca"")"),"Alt")</f>
        <v>Alt</v>
      </c>
      <c r="AM514" s="4" t="str">
        <f>IFERROR(__xludf.DUMMYFUNCTION("GOOGLETRANSLATE(B514,""en"",""nl"")"),"Hoog")</f>
        <v>Hoog</v>
      </c>
      <c r="AN514" s="4" t="str">
        <f>IFERROR(__xludf.DUMMYFUNCTION("GOOGLETRANSLATE(B514,""en"",""he"")"),"גָבוֹהַ")</f>
        <v>גָבוֹהַ</v>
      </c>
      <c r="AO514" s="4" t="str">
        <f>IFERROR(__xludf.DUMMYFUNCTION("GOOGLETRANSLATE(B514,""en"",""is"")"),"Hátt")</f>
        <v>Hátt</v>
      </c>
      <c r="AP514" s="4" t="str">
        <f>IFERROR(__xludf.DUMMYFUNCTION("GOOGLETRANSLATE(B514,""en"",""no"")"),"Høy")</f>
        <v>Høy</v>
      </c>
      <c r="AQ514" s="4" t="str">
        <f>IFERROR(__xludf.DUMMYFUNCTION("GOOGLETRANSLATE(B514,""en"",""fa"")"),"بالا")</f>
        <v>بالا</v>
      </c>
      <c r="AR514" s="4" t="str">
        <f>IFERROR(__xludf.DUMMYFUNCTION("GOOGLETRANSLATE(B514,""en"",""pl"")"),"Wysoki")</f>
        <v>Wysoki</v>
      </c>
      <c r="AS514" s="4" t="str">
        <f>IFERROR(__xludf.DUMMYFUNCTION("GOOGLETRANSLATE(B514,""en"",""sv"")"),"Hög")</f>
        <v>Hög</v>
      </c>
      <c r="AT514" s="4" t="str">
        <f>IFERROR(__xludf.DUMMYFUNCTION("GOOGLETRANSLATE(B514,""en"",""uk"")"),"Високий")</f>
        <v>Високий</v>
      </c>
      <c r="AU514" s="4" t="str">
        <f>IFERROR(__xludf.DUMMYFUNCTION("GOOGLETRANSLATE(B514,""en"",""zu"")"),"Phezulu")</f>
        <v>Phezulu</v>
      </c>
      <c r="AV514" s="4" t="str">
        <f>IFERROR(__xludf.DUMMYFUNCTION("GOOGLETRANSLATE(B514,""en"",""sr"")"),"Високо")</f>
        <v>Високо</v>
      </c>
    </row>
    <row r="515">
      <c r="A515" s="3" t="s">
        <v>986</v>
      </c>
      <c r="B515" s="3" t="s">
        <v>987</v>
      </c>
      <c r="C515" s="4" t="str">
        <f>IFERROR(__xludf.DUMMYFUNCTION("GOOGLETRANSLATE(B515,""en"",""ta"")"),"மிக உயர்ந்தது")</f>
        <v>மிக உயர்ந்தது</v>
      </c>
      <c r="D515" s="4" t="str">
        <f>IFERROR(__xludf.DUMMYFUNCTION("GOOGLETRANSLATE(B515,""en"",""hi"")"),"बहुत ऊँचा")</f>
        <v>बहुत ऊँचा</v>
      </c>
      <c r="E515" s="4" t="str">
        <f>IFERROR(__xludf.DUMMYFUNCTION("GOOGLETRANSLATE(B515,""en"",""id"")"),"Sangat Tinggi")</f>
        <v>Sangat Tinggi</v>
      </c>
      <c r="F515" s="4" t="str">
        <f>IFERROR(__xludf.DUMMYFUNCTION("GOOGLETRANSLATE(B515,""en"",""ms"")"),"Sangat Tinggi")</f>
        <v>Sangat Tinggi</v>
      </c>
      <c r="G515" s="4" t="str">
        <f>IFERROR(__xludf.DUMMYFUNCTION("GOOGLETRANSLATE(B515,""en"",""de"")"),"Sehr hoch")</f>
        <v>Sehr hoch</v>
      </c>
      <c r="H515" s="4" t="str">
        <f>IFERROR(__xludf.DUMMYFUNCTION("GOOGLETRANSLATE(B515,""en"",""es"")"),"Muy alto")</f>
        <v>Muy alto</v>
      </c>
      <c r="I515" s="4" t="str">
        <f>IFERROR(__xludf.DUMMYFUNCTION("GOOGLETRANSLATE(B515,""en"",""fr"")"),"Très élevé")</f>
        <v>Très élevé</v>
      </c>
      <c r="J515" s="4" t="str">
        <f>IFERROR(__xludf.DUMMYFUNCTION("GOOGLETRANSLATE(B515,""en"",""it"")"),"Molto alto")</f>
        <v>Molto alto</v>
      </c>
      <c r="K515" s="4" t="str">
        <f>IFERROR(__xludf.DUMMYFUNCTION("GOOGLETRANSLATE(B515,""en"",""pt"")"),"Muito alto")</f>
        <v>Muito alto</v>
      </c>
      <c r="L515" s="4" t="str">
        <f>IFERROR(__xludf.DUMMYFUNCTION("GOOGLETRANSLATE(B515,""en"",""ro"")"),"Foarte sus")</f>
        <v>Foarte sus</v>
      </c>
      <c r="M515" s="4" t="str">
        <f>IFERROR(__xludf.DUMMYFUNCTION("GOOGLETRANSLATE(B515,""en"",""vi"")"),"Rất cao")</f>
        <v>Rất cao</v>
      </c>
      <c r="N515" s="4" t="str">
        <f>IFERROR(__xludf.DUMMYFUNCTION("GOOGLETRANSLATE(B515,""en"",""ru"")"),"Очень высокий")</f>
        <v>Очень высокий</v>
      </c>
      <c r="O515" s="4" t="str">
        <f>IFERROR(__xludf.DUMMYFUNCTION("GOOGLETRANSLATE(B515,""en"",""tr"")"),"Çok Yüksek")</f>
        <v>Çok Yüksek</v>
      </c>
      <c r="P515" s="4" t="str">
        <f>IFERROR(__xludf.DUMMYFUNCTION("GOOGLETRANSLATE(B515,""en"",""ar"")"),"عالية جدًا")</f>
        <v>عالية جدًا</v>
      </c>
      <c r="Q515" s="4" t="str">
        <f>IFERROR(__xludf.DUMMYFUNCTION("GOOGLETRANSLATE(B515,""en"",""mr"")"),"खूप उच्च")</f>
        <v>खूप उच्च</v>
      </c>
      <c r="R515" s="4" t="str">
        <f>IFERROR(__xludf.DUMMYFUNCTION("GOOGLETRANSLATE(B515,""en"",""gu"")"),"વેરી હાઈ")</f>
        <v>વેરી હાઈ</v>
      </c>
      <c r="S515" s="4" t="str">
        <f>IFERROR(__xludf.DUMMYFUNCTION("GOOGLETRANSLATE(B515,""en"",""bn"")"),"খুব উচ্চ")</f>
        <v>খুব উচ্চ</v>
      </c>
      <c r="T515" s="4" t="str">
        <f>IFERROR(__xludf.DUMMYFUNCTION("GOOGLETRANSLATE(B515,""en"",""pa"")"),"ਬਹੁਤ ਉੱਚਾ")</f>
        <v>ਬਹੁਤ ਉੱਚਾ</v>
      </c>
      <c r="U515" s="4" t="str">
        <f>IFERROR(__xludf.DUMMYFUNCTION("GOOGLETRANSLATE(B515,""en"",""te"")"),"చాలా ఎక్కువ")</f>
        <v>చాలా ఎక్కువ</v>
      </c>
      <c r="V515" s="4" t="str">
        <f>IFERROR(__xludf.DUMMYFUNCTION("GOOGLETRANSLATE(B515,""en"",""kn"")"),"ಅತಿ ಹೆಚ್ಚು")</f>
        <v>ಅತಿ ಹೆಚ್ಚು</v>
      </c>
      <c r="W515" s="4" t="str">
        <f>IFERROR(__xludf.DUMMYFUNCTION("GOOGLETRANSLATE(B515,""en"",""ml"")"),"വളരെ ഉയർന്നത്")</f>
        <v>വളരെ ഉയർന്നത്</v>
      </c>
      <c r="X515" s="4" t="str">
        <f>IFERROR(__xludf.DUMMYFUNCTION("GOOGLETRANSLATE(B515,""en"",""th"")"),"สูงมาก")</f>
        <v>สูงมาก</v>
      </c>
      <c r="Y515" s="4" t="str">
        <f>IFERROR(__xludf.DUMMYFUNCTION("GOOGLETRANSLATE(B515,""en"",""ko"")"),"매우 높음")</f>
        <v>매우 높음</v>
      </c>
      <c r="Z515" s="4" t="str">
        <f>IFERROR(__xludf.DUMMYFUNCTION("GOOGLETRANSLATE(B515,""en"",""zh"")"),"非常高")</f>
        <v>非常高</v>
      </c>
      <c r="AA515" s="4" t="str">
        <f>IFERROR(__xludf.DUMMYFUNCTION("GOOGLETRANSLATE(B515,""en"",""zh-TW"")"),"非常高")</f>
        <v>非常高</v>
      </c>
      <c r="AB515" s="4" t="str">
        <f>IFERROR(__xludf.DUMMYFUNCTION("GOOGLETRANSLATE(B515,""en"",""ja"")"),"非常に高い")</f>
        <v>非常に高い</v>
      </c>
      <c r="AC515" s="4" t="str">
        <f>IFERROR(__xludf.DUMMYFUNCTION("GOOGLETRANSLATE(B515,""en"",""bg"")"),"Много високо")</f>
        <v>Много високо</v>
      </c>
      <c r="AD515" s="4" t="str">
        <f>IFERROR(__xludf.DUMMYFUNCTION("GOOGLETRANSLATE(B515,""en"",""cs"")"),"Velmi vysoká")</f>
        <v>Velmi vysoká</v>
      </c>
      <c r="AE515" s="4" t="str">
        <f>IFERROR(__xludf.DUMMYFUNCTION("GOOGLETRANSLATE(B515,""en"",""da"")"),"Meget høj")</f>
        <v>Meget høj</v>
      </c>
      <c r="AF515" s="4" t="str">
        <f>IFERROR(__xludf.DUMMYFUNCTION("GOOGLETRANSLATE(B515,""en"",""el"")"),"Πολύ ψηλά")</f>
        <v>Πολύ ψηλά</v>
      </c>
      <c r="AG515" s="4" t="str">
        <f>IFERROR(__xludf.DUMMYFUNCTION("GOOGLETRANSLATE(B515,""en"",""et"")"),"Väga kõrge")</f>
        <v>Väga kõrge</v>
      </c>
      <c r="AH515" s="4" t="str">
        <f>IFERROR(__xludf.DUMMYFUNCTION("GOOGLETRANSLATE(B515,""en"",""fi"")"),"Erittäin korkea")</f>
        <v>Erittäin korkea</v>
      </c>
      <c r="AI515" s="4" t="str">
        <f>IFERROR(__xludf.DUMMYFUNCTION("GOOGLETRANSLATE(B515,""en"",""hr"")"),"Vrlo visoko")</f>
        <v>Vrlo visoko</v>
      </c>
      <c r="AJ515" s="4" t="str">
        <f>IFERROR(__xludf.DUMMYFUNCTION("GOOGLETRANSLATE(B515,""en"",""hu"")"),"Nagyon magas")</f>
        <v>Nagyon magas</v>
      </c>
      <c r="AK515" s="4" t="str">
        <f>IFERROR(__xludf.DUMMYFUNCTION("GOOGLETRANSLATE(B515,""en"",""hy"")"),"Շատ բարձր")</f>
        <v>Շատ բարձր</v>
      </c>
      <c r="AL515" s="4" t="str">
        <f>IFERROR(__xludf.DUMMYFUNCTION("GOOGLETRANSLATE(B515,""en"",""ca"")"),"Molt alt")</f>
        <v>Molt alt</v>
      </c>
      <c r="AM515" s="4" t="str">
        <f>IFERROR(__xludf.DUMMYFUNCTION("GOOGLETRANSLATE(B515,""en"",""nl"")"),"Zeer hoog")</f>
        <v>Zeer hoog</v>
      </c>
      <c r="AN515" s="4" t="str">
        <f>IFERROR(__xludf.DUMMYFUNCTION("GOOGLETRANSLATE(B515,""en"",""he"")"),"גבוה מאוד")</f>
        <v>גבוה מאוד</v>
      </c>
      <c r="AO515" s="4" t="str">
        <f>IFERROR(__xludf.DUMMYFUNCTION("GOOGLETRANSLATE(B515,""en"",""is"")"),"Mjög hár")</f>
        <v>Mjög hár</v>
      </c>
      <c r="AP515" s="4" t="str">
        <f>IFERROR(__xludf.DUMMYFUNCTION("GOOGLETRANSLATE(B515,""en"",""no"")"),"Veldig høy")</f>
        <v>Veldig høy</v>
      </c>
      <c r="AQ515" s="4" t="str">
        <f>IFERROR(__xludf.DUMMYFUNCTION("GOOGLETRANSLATE(B515,""en"",""fa"")"),"بسیار بالا")</f>
        <v>بسیار بالا</v>
      </c>
      <c r="AR515" s="4" t="str">
        <f>IFERROR(__xludf.DUMMYFUNCTION("GOOGLETRANSLATE(B515,""en"",""pl"")"),"Bardzo wysoki")</f>
        <v>Bardzo wysoki</v>
      </c>
      <c r="AS515" s="4" t="str">
        <f>IFERROR(__xludf.DUMMYFUNCTION("GOOGLETRANSLATE(B515,""en"",""sv"")"),"Mycket hög")</f>
        <v>Mycket hög</v>
      </c>
      <c r="AT515" s="4" t="str">
        <f>IFERROR(__xludf.DUMMYFUNCTION("GOOGLETRANSLATE(B515,""en"",""uk"")"),"Дуже висока")</f>
        <v>Дуже висока</v>
      </c>
      <c r="AU515" s="4" t="str">
        <f>IFERROR(__xludf.DUMMYFUNCTION("GOOGLETRANSLATE(B515,""en"",""zu"")"),"Phezulu kakhulu")</f>
        <v>Phezulu kakhulu</v>
      </c>
      <c r="AV515" s="4" t="str">
        <f>IFERROR(__xludf.DUMMYFUNCTION("GOOGLETRANSLATE(B515,""en"",""sr"")"),"Врло високо")</f>
        <v>Врло високо</v>
      </c>
    </row>
    <row r="516">
      <c r="A516" s="3" t="s">
        <v>988</v>
      </c>
      <c r="B516" s="3" t="s">
        <v>989</v>
      </c>
      <c r="C516" s="4" t="str">
        <f>IFERROR(__xludf.DUMMYFUNCTION("GOOGLETRANSLATE(B516,""en"",""ta"")"),"தீவிர")</f>
        <v>தீவிர</v>
      </c>
      <c r="D516" s="4" t="str">
        <f>IFERROR(__xludf.DUMMYFUNCTION("GOOGLETRANSLATE(B516,""en"",""hi"")"),"चरम")</f>
        <v>चरम</v>
      </c>
      <c r="E516" s="4" t="str">
        <f>IFERROR(__xludf.DUMMYFUNCTION("GOOGLETRANSLATE(B516,""en"",""id"")"),"Ekstrim")</f>
        <v>Ekstrim</v>
      </c>
      <c r="F516" s="4" t="str">
        <f>IFERROR(__xludf.DUMMYFUNCTION("GOOGLETRANSLATE(B516,""en"",""ms"")"),"melampau")</f>
        <v>melampau</v>
      </c>
      <c r="G516" s="4" t="str">
        <f>IFERROR(__xludf.DUMMYFUNCTION("GOOGLETRANSLATE(B516,""en"",""de"")"),"Extrem")</f>
        <v>Extrem</v>
      </c>
      <c r="H516" s="4" t="str">
        <f>IFERROR(__xludf.DUMMYFUNCTION("GOOGLETRANSLATE(B516,""en"",""es"")"),"Extremo")</f>
        <v>Extremo</v>
      </c>
      <c r="I516" s="4" t="str">
        <f>IFERROR(__xludf.DUMMYFUNCTION("GOOGLETRANSLATE(B516,""en"",""fr"")"),"Extrême")</f>
        <v>Extrême</v>
      </c>
      <c r="J516" s="4" t="str">
        <f>IFERROR(__xludf.DUMMYFUNCTION("GOOGLETRANSLATE(B516,""en"",""it"")"),"Estremo")</f>
        <v>Estremo</v>
      </c>
      <c r="K516" s="4" t="str">
        <f>IFERROR(__xludf.DUMMYFUNCTION("GOOGLETRANSLATE(B516,""en"",""pt"")"),"Extremo")</f>
        <v>Extremo</v>
      </c>
      <c r="L516" s="4" t="str">
        <f>IFERROR(__xludf.DUMMYFUNCTION("GOOGLETRANSLATE(B516,""en"",""ro"")"),"Extrem")</f>
        <v>Extrem</v>
      </c>
      <c r="M516" s="4" t="str">
        <f>IFERROR(__xludf.DUMMYFUNCTION("GOOGLETRANSLATE(B516,""en"",""vi"")"),"Vô cùng")</f>
        <v>Vô cùng</v>
      </c>
      <c r="N516" s="4" t="str">
        <f>IFERROR(__xludf.DUMMYFUNCTION("GOOGLETRANSLATE(B516,""en"",""ru"")"),"Экстремальный")</f>
        <v>Экстремальный</v>
      </c>
      <c r="O516" s="4" t="str">
        <f>IFERROR(__xludf.DUMMYFUNCTION("GOOGLETRANSLATE(B516,""en"",""tr"")"),"Aşırı")</f>
        <v>Aşırı</v>
      </c>
      <c r="P516" s="4" t="str">
        <f>IFERROR(__xludf.DUMMYFUNCTION("GOOGLETRANSLATE(B516,""en"",""ar"")"),"أقصى")</f>
        <v>أقصى</v>
      </c>
      <c r="Q516" s="4" t="str">
        <f>IFERROR(__xludf.DUMMYFUNCTION("GOOGLETRANSLATE(B516,""en"",""mr"")"),"अत्यंत")</f>
        <v>अत्यंत</v>
      </c>
      <c r="R516" s="4" t="str">
        <f>IFERROR(__xludf.DUMMYFUNCTION("GOOGLETRANSLATE(B516,""en"",""gu"")"),"આત્યંતિક")</f>
        <v>આત્યંતિક</v>
      </c>
      <c r="S516" s="4" t="str">
        <f>IFERROR(__xludf.DUMMYFUNCTION("GOOGLETRANSLATE(B516,""en"",""bn"")"),"চরম")</f>
        <v>চরম</v>
      </c>
      <c r="T516" s="4" t="str">
        <f>IFERROR(__xludf.DUMMYFUNCTION("GOOGLETRANSLATE(B516,""en"",""pa"")"),"ਅਤਿ")</f>
        <v>ਅਤਿ</v>
      </c>
      <c r="U516" s="4" t="str">
        <f>IFERROR(__xludf.DUMMYFUNCTION("GOOGLETRANSLATE(B516,""en"",""te"")"),"విపరీతమైనది")</f>
        <v>విపరీతమైనది</v>
      </c>
      <c r="V516" s="4" t="str">
        <f>IFERROR(__xludf.DUMMYFUNCTION("GOOGLETRANSLATE(B516,""en"",""kn"")"),"ವಿಪರೀತ")</f>
        <v>ವಿಪರೀತ</v>
      </c>
      <c r="W516" s="4" t="str">
        <f>IFERROR(__xludf.DUMMYFUNCTION("GOOGLETRANSLATE(B516,""en"",""ml"")"),"അങ്ങേയറ്റം")</f>
        <v>അങ്ങേയറ്റം</v>
      </c>
      <c r="X516" s="4" t="str">
        <f>IFERROR(__xludf.DUMMYFUNCTION("GOOGLETRANSLATE(B516,""en"",""th"")"),"สุดขีด")</f>
        <v>สุดขีด</v>
      </c>
      <c r="Y516" s="4" t="str">
        <f>IFERROR(__xludf.DUMMYFUNCTION("GOOGLETRANSLATE(B516,""en"",""ko"")"),"극심한")</f>
        <v>극심한</v>
      </c>
      <c r="Z516" s="4" t="str">
        <f>IFERROR(__xludf.DUMMYFUNCTION("GOOGLETRANSLATE(B516,""en"",""zh"")"),"极端")</f>
        <v>极端</v>
      </c>
      <c r="AA516" s="4" t="str">
        <f>IFERROR(__xludf.DUMMYFUNCTION("GOOGLETRANSLATE(B516,""en"",""zh-TW"")"),"極端")</f>
        <v>極端</v>
      </c>
      <c r="AB516" s="4" t="str">
        <f>IFERROR(__xludf.DUMMYFUNCTION("GOOGLETRANSLATE(B516,""en"",""ja"")"),"過激")</f>
        <v>過激</v>
      </c>
      <c r="AC516" s="4" t="str">
        <f>IFERROR(__xludf.DUMMYFUNCTION("GOOGLETRANSLATE(B516,""en"",""bg"")"),"Екстремен")</f>
        <v>Екстремен</v>
      </c>
      <c r="AD516" s="4" t="str">
        <f>IFERROR(__xludf.DUMMYFUNCTION("GOOGLETRANSLATE(B516,""en"",""cs"")"),"Extrémní")</f>
        <v>Extrémní</v>
      </c>
      <c r="AE516" s="4" t="str">
        <f>IFERROR(__xludf.DUMMYFUNCTION("GOOGLETRANSLATE(B516,""en"",""da"")"),"Ekstrem")</f>
        <v>Ekstrem</v>
      </c>
      <c r="AF516" s="4" t="str">
        <f>IFERROR(__xludf.DUMMYFUNCTION("GOOGLETRANSLATE(B516,""en"",""el"")"),"Ακρο")</f>
        <v>Ακρο</v>
      </c>
      <c r="AG516" s="4" t="str">
        <f>IFERROR(__xludf.DUMMYFUNCTION("GOOGLETRANSLATE(B516,""en"",""et"")"),"Ekstreemne")</f>
        <v>Ekstreemne</v>
      </c>
      <c r="AH516" s="4" t="str">
        <f>IFERROR(__xludf.DUMMYFUNCTION("GOOGLETRANSLATE(B516,""en"",""fi"")"),"Äärimmäistä")</f>
        <v>Äärimmäistä</v>
      </c>
      <c r="AI516" s="4" t="str">
        <f>IFERROR(__xludf.DUMMYFUNCTION("GOOGLETRANSLATE(B516,""en"",""hr"")"),"Ekstremno")</f>
        <v>Ekstremno</v>
      </c>
      <c r="AJ516" s="4" t="str">
        <f>IFERROR(__xludf.DUMMYFUNCTION("GOOGLETRANSLATE(B516,""en"",""hu"")"),"Szélső")</f>
        <v>Szélső</v>
      </c>
      <c r="AK516" s="4" t="str">
        <f>IFERROR(__xludf.DUMMYFUNCTION("GOOGLETRANSLATE(B516,""en"",""hy"")"),"Ծայրահեղ")</f>
        <v>Ծայրահեղ</v>
      </c>
      <c r="AL516" s="4" t="str">
        <f>IFERROR(__xludf.DUMMYFUNCTION("GOOGLETRANSLATE(B516,""en"",""ca"")"),"Extrem")</f>
        <v>Extrem</v>
      </c>
      <c r="AM516" s="4" t="str">
        <f>IFERROR(__xludf.DUMMYFUNCTION("GOOGLETRANSLATE(B516,""en"",""nl"")"),"Extreem")</f>
        <v>Extreem</v>
      </c>
      <c r="AN516" s="4" t="str">
        <f>IFERROR(__xludf.DUMMYFUNCTION("GOOGLETRANSLATE(B516,""en"",""he"")"),"קיצוני")</f>
        <v>קיצוני</v>
      </c>
      <c r="AO516" s="4" t="str">
        <f>IFERROR(__xludf.DUMMYFUNCTION("GOOGLETRANSLATE(B516,""en"",""is"")"),"Öfgafullt")</f>
        <v>Öfgafullt</v>
      </c>
      <c r="AP516" s="4" t="str">
        <f>IFERROR(__xludf.DUMMYFUNCTION("GOOGLETRANSLATE(B516,""en"",""no"")"),"Ekstrem")</f>
        <v>Ekstrem</v>
      </c>
      <c r="AQ516" s="4" t="str">
        <f>IFERROR(__xludf.DUMMYFUNCTION("GOOGLETRANSLATE(B516,""en"",""fa"")"),"افراطی")</f>
        <v>افراطی</v>
      </c>
      <c r="AR516" s="4" t="str">
        <f>IFERROR(__xludf.DUMMYFUNCTION("GOOGLETRANSLATE(B516,""en"",""pl"")"),"Skrajny")</f>
        <v>Skrajny</v>
      </c>
      <c r="AS516" s="4" t="str">
        <f>IFERROR(__xludf.DUMMYFUNCTION("GOOGLETRANSLATE(B516,""en"",""sv"")"),"Extrem")</f>
        <v>Extrem</v>
      </c>
      <c r="AT516" s="4" t="str">
        <f>IFERROR(__xludf.DUMMYFUNCTION("GOOGLETRANSLATE(B516,""en"",""uk"")"),"Екстрім")</f>
        <v>Екстрім</v>
      </c>
      <c r="AU516" s="4" t="str">
        <f>IFERROR(__xludf.DUMMYFUNCTION("GOOGLETRANSLATE(B516,""en"",""zu"")"),"Okudlulele")</f>
        <v>Okudlulele</v>
      </c>
      <c r="AV516" s="4" t="str">
        <f>IFERROR(__xludf.DUMMYFUNCTION("GOOGLETRANSLATE(B516,""en"",""sr"")"),"Екстремно")</f>
        <v>Екстремно</v>
      </c>
    </row>
    <row r="517">
      <c r="A517" s="3" t="s">
        <v>990</v>
      </c>
      <c r="B517" s="3" t="s">
        <v>991</v>
      </c>
      <c r="C517" s="4" t="str">
        <f>IFERROR(__xludf.DUMMYFUNCTION("GOOGLETRANSLATE(B517,""en"",""ta"")"),"கண்காணிப்பு பகுதிகள்:")</f>
        <v>கண்காணிப்பு பகுதிகள்:</v>
      </c>
      <c r="D517" s="4" t="str">
        <f>IFERROR(__xludf.DUMMYFUNCTION("GOOGLETRANSLATE(B517,""en"",""hi"")"),"निगरानी क्षेत्र :")</f>
        <v>निगरानी क्षेत्र :</v>
      </c>
      <c r="E517" s="4" t="str">
        <f>IFERROR(__xludf.DUMMYFUNCTION("GOOGLETRANSLATE(B517,""en"",""id"")"),"Wilayah Pemantauan :")</f>
        <v>Wilayah Pemantauan :</v>
      </c>
      <c r="F517" s="4" t="str">
        <f>IFERROR(__xludf.DUMMYFUNCTION("GOOGLETRANSLATE(B517,""en"",""ms"")"),"Kawasan Pemantauan :")</f>
        <v>Kawasan Pemantauan :</v>
      </c>
      <c r="G517" s="4" t="str">
        <f>IFERROR(__xludf.DUMMYFUNCTION("GOOGLETRANSLATE(B517,""en"",""de"")"),"Überwachungsregionen:")</f>
        <v>Überwachungsregionen:</v>
      </c>
      <c r="H517" s="4" t="str">
        <f>IFERROR(__xludf.DUMMYFUNCTION("GOOGLETRANSLATE(B517,""en"",""es"")"),"Regiones de monitoreo:")</f>
        <v>Regiones de monitoreo:</v>
      </c>
      <c r="I517" s="4" t="str">
        <f>IFERROR(__xludf.DUMMYFUNCTION("GOOGLETRANSLATE(B517,""en"",""fr"")"),"Régions de surveillance :")</f>
        <v>Régions de surveillance :</v>
      </c>
      <c r="J517" s="4" t="str">
        <f>IFERROR(__xludf.DUMMYFUNCTION("GOOGLETRANSLATE(B517,""en"",""it"")"),"Regioni di monitoraggio:")</f>
        <v>Regioni di monitoraggio:</v>
      </c>
      <c r="K517" s="4" t="str">
        <f>IFERROR(__xludf.DUMMYFUNCTION("GOOGLETRANSLATE(B517,""en"",""pt"")"),"Regiões de monitoramento:")</f>
        <v>Regiões de monitoramento:</v>
      </c>
      <c r="L517" s="4" t="str">
        <f>IFERROR(__xludf.DUMMYFUNCTION("GOOGLETRANSLATE(B517,""en"",""ro"")"),"Regiunile de monitorizare:")</f>
        <v>Regiunile de monitorizare:</v>
      </c>
      <c r="M517" s="4" t="str">
        <f>IFERROR(__xludf.DUMMYFUNCTION("GOOGLETRANSLATE(B517,""en"",""vi"")"),"Khu vực giám sát:")</f>
        <v>Khu vực giám sát:</v>
      </c>
      <c r="N517" s="4" t="str">
        <f>IFERROR(__xludf.DUMMYFUNCTION("GOOGLETRANSLATE(B517,""en"",""ru"")"),"Регионы мониторинга:")</f>
        <v>Регионы мониторинга:</v>
      </c>
      <c r="O517" s="4" t="str">
        <f>IFERROR(__xludf.DUMMYFUNCTION("GOOGLETRANSLATE(B517,""en"",""tr"")"),"İzleme Bölgeleri :")</f>
        <v>İzleme Bölgeleri :</v>
      </c>
      <c r="P517" s="4" t="str">
        <f>IFERROR(__xludf.DUMMYFUNCTION("GOOGLETRANSLATE(B517,""en"",""ar"")"),"مناطق المراقبة :")</f>
        <v>مناطق المراقبة :</v>
      </c>
      <c r="Q517" s="4" t="str">
        <f>IFERROR(__xludf.DUMMYFUNCTION("GOOGLETRANSLATE(B517,""en"",""mr"")"),"देखरेख क्षेत्रे:")</f>
        <v>देखरेख क्षेत्रे:</v>
      </c>
      <c r="R517" s="4" t="str">
        <f>IFERROR(__xludf.DUMMYFUNCTION("GOOGLETRANSLATE(B517,""en"",""gu"")"),"મોનિટરિંગ પ્રદેશો:")</f>
        <v>મોનિટરિંગ પ્રદેશો:</v>
      </c>
      <c r="S517" s="4" t="str">
        <f>IFERROR(__xludf.DUMMYFUNCTION("GOOGLETRANSLATE(B517,""en"",""bn"")"),"পর্যবেক্ষণ অঞ্চল:")</f>
        <v>পর্যবেক্ষণ অঞ্চল:</v>
      </c>
      <c r="T517" s="4" t="str">
        <f>IFERROR(__xludf.DUMMYFUNCTION("GOOGLETRANSLATE(B517,""en"",""pa"")"),"ਨਿਗਰਾਨੀ ਖੇਤਰ:")</f>
        <v>ਨਿਗਰਾਨੀ ਖੇਤਰ:</v>
      </c>
      <c r="U517" s="4" t="str">
        <f>IFERROR(__xludf.DUMMYFUNCTION("GOOGLETRANSLATE(B517,""en"",""te"")"),"పర్యవేక్షణ ప్రాంతాలు:")</f>
        <v>పర్యవేక్షణ ప్రాంతాలు:</v>
      </c>
      <c r="V517" s="4" t="str">
        <f>IFERROR(__xludf.DUMMYFUNCTION("GOOGLETRANSLATE(B517,""en"",""kn"")"),"ಮಾನಿಟರಿಂಗ್ ಪ್ರದೇಶಗಳು:")</f>
        <v>ಮಾನಿಟರಿಂಗ್ ಪ್ರದೇಶಗಳು:</v>
      </c>
      <c r="W517" s="4" t="str">
        <f>IFERROR(__xludf.DUMMYFUNCTION("GOOGLETRANSLATE(B517,""en"",""ml"")"),"നിരീക്ഷണ മേഖലകൾ:")</f>
        <v>നിരീക്ഷണ മേഖലകൾ:</v>
      </c>
      <c r="X517" s="4" t="str">
        <f>IFERROR(__xludf.DUMMYFUNCTION("GOOGLETRANSLATE(B517,""en"",""th"")"),"การติดตามภูมิภาค:")</f>
        <v>การติดตามภูมิภาค:</v>
      </c>
      <c r="Y517" s="4" t="str">
        <f>IFERROR(__xludf.DUMMYFUNCTION("GOOGLETRANSLATE(B517,""en"",""ko"")"),"모니터링 지역 :")</f>
        <v>모니터링 지역 :</v>
      </c>
      <c r="Z517" s="4" t="str">
        <f>IFERROR(__xludf.DUMMYFUNCTION("GOOGLETRANSLATE(B517,""en"",""zh"")"),"监测区域：")</f>
        <v>监测区域：</v>
      </c>
      <c r="AA517" s="4" t="str">
        <f>IFERROR(__xludf.DUMMYFUNCTION("GOOGLETRANSLATE(B517,""en"",""zh-TW"")"),"監測區域：")</f>
        <v>監測區域：</v>
      </c>
      <c r="AB517" s="4" t="str">
        <f>IFERROR(__xludf.DUMMYFUNCTION("GOOGLETRANSLATE(B517,""en"",""ja"")"),"監視地域：")</f>
        <v>監視地域：</v>
      </c>
      <c r="AC517" s="4" t="str">
        <f>IFERROR(__xludf.DUMMYFUNCTION("GOOGLETRANSLATE(B517,""en"",""bg"")"),"Региони за наблюдение:")</f>
        <v>Региони за наблюдение:</v>
      </c>
      <c r="AD517" s="4" t="str">
        <f>IFERROR(__xludf.DUMMYFUNCTION("GOOGLETRANSLATE(B517,""en"",""cs"")"),"Monitorovací regiony:")</f>
        <v>Monitorovací regiony:</v>
      </c>
      <c r="AE517" s="4" t="str">
        <f>IFERROR(__xludf.DUMMYFUNCTION("GOOGLETRANSLATE(B517,""en"",""da"")"),"Overvågningsregioner:")</f>
        <v>Overvågningsregioner:</v>
      </c>
      <c r="AF517" s="4" t="str">
        <f>IFERROR(__xludf.DUMMYFUNCTION("GOOGLETRANSLATE(B517,""en"",""el"")"),"Περιοχές παρακολούθησης:")</f>
        <v>Περιοχές παρακολούθησης:</v>
      </c>
      <c r="AG517" s="4" t="str">
        <f>IFERROR(__xludf.DUMMYFUNCTION("GOOGLETRANSLATE(B517,""en"",""et"")"),"Seirepiirkonnad:")</f>
        <v>Seirepiirkonnad:</v>
      </c>
      <c r="AH517" s="4" t="str">
        <f>IFERROR(__xludf.DUMMYFUNCTION("GOOGLETRANSLATE(B517,""en"",""fi"")"),"Seurantaalueet:")</f>
        <v>Seurantaalueet:</v>
      </c>
      <c r="AI517" s="4" t="str">
        <f>IFERROR(__xludf.DUMMYFUNCTION("GOOGLETRANSLATE(B517,""en"",""hr"")"),"Regije praćenja:")</f>
        <v>Regije praćenja:</v>
      </c>
      <c r="AJ517" s="4" t="str">
        <f>IFERROR(__xludf.DUMMYFUNCTION("GOOGLETRANSLATE(B517,""en"",""hu"")"),"Monitoring régiók:")</f>
        <v>Monitoring régiók:</v>
      </c>
      <c r="AK517" s="4" t="str">
        <f>IFERROR(__xludf.DUMMYFUNCTION("GOOGLETRANSLATE(B517,""en"",""hy"")"),"Մոնիտորինգի շրջաններ.")</f>
        <v>Մոնիտորինգի շրջաններ.</v>
      </c>
      <c r="AL517" s="4" t="str">
        <f>IFERROR(__xludf.DUMMYFUNCTION("GOOGLETRANSLATE(B517,""en"",""ca"")"),"Regions de seguiment:")</f>
        <v>Regions de seguiment:</v>
      </c>
      <c r="AM517" s="4" t="str">
        <f>IFERROR(__xludf.DUMMYFUNCTION("GOOGLETRANSLATE(B517,""en"",""nl"")"),"Monitoringregio's:")</f>
        <v>Monitoringregio's:</v>
      </c>
      <c r="AN517" s="4" t="str">
        <f>IFERROR(__xludf.DUMMYFUNCTION("GOOGLETRANSLATE(B517,""en"",""he"")"),"אזורי ניטור:")</f>
        <v>אזורי ניטור:</v>
      </c>
      <c r="AO517" s="4" t="str">
        <f>IFERROR(__xludf.DUMMYFUNCTION("GOOGLETRANSLATE(B517,""en"",""is"")"),"Vöktunarsvæði:")</f>
        <v>Vöktunarsvæði:</v>
      </c>
      <c r="AP517" s="4" t="str">
        <f>IFERROR(__xludf.DUMMYFUNCTION("GOOGLETRANSLATE(B517,""en"",""no"")"),"Overvåkingsregioner:")</f>
        <v>Overvåkingsregioner:</v>
      </c>
      <c r="AQ517" s="4" t="str">
        <f>IFERROR(__xludf.DUMMYFUNCTION("GOOGLETRANSLATE(B517,""en"",""fa"")"),"مناطق نظارتی:")</f>
        <v>مناطق نظارتی:</v>
      </c>
      <c r="AR517" s="4" t="str">
        <f>IFERROR(__xludf.DUMMYFUNCTION("GOOGLETRANSLATE(B517,""en"",""pl"")"),"Regiony monitorowane:")</f>
        <v>Regiony monitorowane:</v>
      </c>
      <c r="AS517" s="4" t="str">
        <f>IFERROR(__xludf.DUMMYFUNCTION("GOOGLETRANSLATE(B517,""en"",""sv"")"),"Övervakningsregioner:")</f>
        <v>Övervakningsregioner:</v>
      </c>
      <c r="AT517" s="4" t="str">
        <f>IFERROR(__xludf.DUMMYFUNCTION("GOOGLETRANSLATE(B517,""en"",""uk"")"),"Регіони моніторингу:")</f>
        <v>Регіони моніторингу:</v>
      </c>
      <c r="AU517" s="4" t="str">
        <f>IFERROR(__xludf.DUMMYFUNCTION("GOOGLETRANSLATE(B517,""en"",""zu"")"),"Izifunda zokuqapha :")</f>
        <v>Izifunda zokuqapha :</v>
      </c>
      <c r="AV517" s="4" t="str">
        <f>IFERROR(__xludf.DUMMYFUNCTION("GOOGLETRANSLATE(B517,""en"",""sr"")"),"Региони надгледања:")</f>
        <v>Региони надгледања:</v>
      </c>
    </row>
    <row r="518">
      <c r="A518" s="3" t="s">
        <v>992</v>
      </c>
      <c r="B518" s="3" t="s">
        <v>993</v>
      </c>
      <c r="C518" s="4" t="str">
        <f>IFERROR(__xludf.DUMMYFUNCTION("GOOGLETRANSLATE(B518,""en"",""ta"")"),"அனைத்தையும் பார்க்கவும்")</f>
        <v>அனைத்தையும் பார்க்கவும்</v>
      </c>
      <c r="D518" s="4" t="str">
        <f>IFERROR(__xludf.DUMMYFUNCTION("GOOGLETRANSLATE(B518,""en"",""hi"")"),"सभी को देखें")</f>
        <v>सभी को देखें</v>
      </c>
      <c r="E518" s="4" t="str">
        <f>IFERROR(__xludf.DUMMYFUNCTION("GOOGLETRANSLATE(B518,""en"",""id"")"),"Lihat Semua")</f>
        <v>Lihat Semua</v>
      </c>
      <c r="F518" s="4" t="str">
        <f>IFERROR(__xludf.DUMMYFUNCTION("GOOGLETRANSLATE(B518,""en"",""ms"")"),"Lihat Semua")</f>
        <v>Lihat Semua</v>
      </c>
      <c r="G518" s="4" t="str">
        <f>IFERROR(__xludf.DUMMYFUNCTION("GOOGLETRANSLATE(B518,""en"",""de"")"),"Alle")</f>
        <v>Alle</v>
      </c>
      <c r="H518" s="4" t="str">
        <f>IFERROR(__xludf.DUMMYFUNCTION("GOOGLETRANSLATE(B518,""en"",""es"")"),"Ver todo")</f>
        <v>Ver todo</v>
      </c>
      <c r="I518" s="4" t="str">
        <f>IFERROR(__xludf.DUMMYFUNCTION("GOOGLETRANSLATE(B518,""en"",""fr"")"),"Tout voir")</f>
        <v>Tout voir</v>
      </c>
      <c r="J518" s="4" t="str">
        <f>IFERROR(__xludf.DUMMYFUNCTION("GOOGLETRANSLATE(B518,""en"",""it"")"),"Visualizza tutto")</f>
        <v>Visualizza tutto</v>
      </c>
      <c r="K518" s="4" t="str">
        <f>IFERROR(__xludf.DUMMYFUNCTION("GOOGLETRANSLATE(B518,""en"",""pt"")"),"Ver tudo")</f>
        <v>Ver tudo</v>
      </c>
      <c r="L518" s="4" t="str">
        <f>IFERROR(__xludf.DUMMYFUNCTION("GOOGLETRANSLATE(B518,""en"",""ro"")"),"Vezi toate")</f>
        <v>Vezi toate</v>
      </c>
      <c r="M518" s="4" t="str">
        <f>IFERROR(__xludf.DUMMYFUNCTION("GOOGLETRANSLATE(B518,""en"",""vi"")"),"Xem tất cả")</f>
        <v>Xem tất cả</v>
      </c>
      <c r="N518" s="4" t="str">
        <f>IFERROR(__xludf.DUMMYFUNCTION("GOOGLETRANSLATE(B518,""en"",""ru"")"),"Просмотреть все")</f>
        <v>Просмотреть все</v>
      </c>
      <c r="O518" s="4" t="str">
        <f>IFERROR(__xludf.DUMMYFUNCTION("GOOGLETRANSLATE(B518,""en"",""tr"")"),"Tümünü Görüntüle")</f>
        <v>Tümünü Görüntüle</v>
      </c>
      <c r="P518" s="4" t="str">
        <f>IFERROR(__xludf.DUMMYFUNCTION("GOOGLETRANSLATE(B518,""en"",""ar"")"),"عرض الكل")</f>
        <v>عرض الكل</v>
      </c>
      <c r="Q518" s="4" t="str">
        <f>IFERROR(__xludf.DUMMYFUNCTION("GOOGLETRANSLATE(B518,""en"",""mr"")"),"सर्व पहा")</f>
        <v>सर्व पहा</v>
      </c>
      <c r="R518" s="4" t="str">
        <f>IFERROR(__xludf.DUMMYFUNCTION("GOOGLETRANSLATE(B518,""en"",""gu"")"),"બધા જુઓ")</f>
        <v>બધા જુઓ</v>
      </c>
      <c r="S518" s="4" t="str">
        <f>IFERROR(__xludf.DUMMYFUNCTION("GOOGLETRANSLATE(B518,""en"",""bn"")"),"সব দেখুন")</f>
        <v>সব দেখুন</v>
      </c>
      <c r="T518" s="4" t="str">
        <f>IFERROR(__xludf.DUMMYFUNCTION("GOOGLETRANSLATE(B518,""en"",""pa"")"),"ਸਭ ਦੇਖੋ")</f>
        <v>ਸਭ ਦੇਖੋ</v>
      </c>
      <c r="U518" s="4" t="str">
        <f>IFERROR(__xludf.DUMMYFUNCTION("GOOGLETRANSLATE(B518,""en"",""te"")"),"అన్నీ వీక్షించండి")</f>
        <v>అన్నీ వీక్షించండి</v>
      </c>
      <c r="V518" s="4" t="str">
        <f>IFERROR(__xludf.DUMMYFUNCTION("GOOGLETRANSLATE(B518,""en"",""kn"")"),"ಎಲ್ಲವನ್ನೂ ವೀಕ್ಷಿಸಿ")</f>
        <v>ಎಲ್ಲವನ್ನೂ ವೀಕ್ಷಿಸಿ</v>
      </c>
      <c r="W518" s="4" t="str">
        <f>IFERROR(__xludf.DUMMYFUNCTION("GOOGLETRANSLATE(B518,""en"",""ml"")"),"എല്ലാം കാണുക")</f>
        <v>എല്ലാം കാണുക</v>
      </c>
      <c r="X518" s="4" t="str">
        <f>IFERROR(__xludf.DUMMYFUNCTION("GOOGLETRANSLATE(B518,""en"",""th"")"),"ดูทั้งหมด")</f>
        <v>ดูทั้งหมด</v>
      </c>
      <c r="Y518" s="4" t="str">
        <f>IFERROR(__xludf.DUMMYFUNCTION("GOOGLETRANSLATE(B518,""en"",""ko"")"),"모두 보기")</f>
        <v>모두 보기</v>
      </c>
      <c r="Z518" s="4" t="str">
        <f>IFERROR(__xludf.DUMMYFUNCTION("GOOGLETRANSLATE(B518,""en"",""zh"")"),"查看全部")</f>
        <v>查看全部</v>
      </c>
      <c r="AA518" s="4" t="str">
        <f>IFERROR(__xludf.DUMMYFUNCTION("GOOGLETRANSLATE(B518,""en"",""zh-TW"")"),"看全部")</f>
        <v>看全部</v>
      </c>
      <c r="AB518" s="4" t="str">
        <f>IFERROR(__xludf.DUMMYFUNCTION("GOOGLETRANSLATE(B518,""en"",""ja"")"),"すべて表示")</f>
        <v>すべて表示</v>
      </c>
      <c r="AC518" s="4" t="str">
        <f>IFERROR(__xludf.DUMMYFUNCTION("GOOGLETRANSLATE(B518,""en"",""bg"")"),"Вижте всички")</f>
        <v>Вижте всички</v>
      </c>
      <c r="AD518" s="4" t="str">
        <f>IFERROR(__xludf.DUMMYFUNCTION("GOOGLETRANSLATE(B518,""en"",""cs"")"),"Zobrazit vše")</f>
        <v>Zobrazit vše</v>
      </c>
      <c r="AE518" s="4" t="str">
        <f>IFERROR(__xludf.DUMMYFUNCTION("GOOGLETRANSLATE(B518,""en"",""da"")"),"Se alle")</f>
        <v>Se alle</v>
      </c>
      <c r="AF518" s="4" t="str">
        <f>IFERROR(__xludf.DUMMYFUNCTION("GOOGLETRANSLATE(B518,""en"",""el"")"),"Προβολή όλων")</f>
        <v>Προβολή όλων</v>
      </c>
      <c r="AG518" s="4" t="str">
        <f>IFERROR(__xludf.DUMMYFUNCTION("GOOGLETRANSLATE(B518,""en"",""et"")"),"Kuva kõik")</f>
        <v>Kuva kõik</v>
      </c>
      <c r="AH518" s="4" t="str">
        <f>IFERROR(__xludf.DUMMYFUNCTION("GOOGLETRANSLATE(B518,""en"",""fi"")"),"Näytä kaikki")</f>
        <v>Näytä kaikki</v>
      </c>
      <c r="AI518" s="4" t="str">
        <f>IFERROR(__xludf.DUMMYFUNCTION("GOOGLETRANSLATE(B518,""en"",""hr"")"),"Pogledaj sve")</f>
        <v>Pogledaj sve</v>
      </c>
      <c r="AJ518" s="4" t="str">
        <f>IFERROR(__xludf.DUMMYFUNCTION("GOOGLETRANSLATE(B518,""en"",""hu"")"),"Összes megtekintése")</f>
        <v>Összes megtekintése</v>
      </c>
      <c r="AK518" s="4" t="str">
        <f>IFERROR(__xludf.DUMMYFUNCTION("GOOGLETRANSLATE(B518,""en"",""hy"")"),"Դիտել բոլորը")</f>
        <v>Դիտել բոլորը</v>
      </c>
      <c r="AL518" s="4" t="str">
        <f>IFERROR(__xludf.DUMMYFUNCTION("GOOGLETRANSLATE(B518,""en"",""ca"")"),"Veure-ho tot")</f>
        <v>Veure-ho tot</v>
      </c>
      <c r="AM518" s="4" t="str">
        <f>IFERROR(__xludf.DUMMYFUNCTION("GOOGLETRANSLATE(B518,""en"",""nl"")"),"Bekijk alles")</f>
        <v>Bekijk alles</v>
      </c>
      <c r="AN518" s="4" t="str">
        <f>IFERROR(__xludf.DUMMYFUNCTION("GOOGLETRANSLATE(B518,""en"",""he"")"),"הצג הכל")</f>
        <v>הצג הכל</v>
      </c>
      <c r="AO518" s="4" t="str">
        <f>IFERROR(__xludf.DUMMYFUNCTION("GOOGLETRANSLATE(B518,""en"",""is"")"),"Skoða allt")</f>
        <v>Skoða allt</v>
      </c>
      <c r="AP518" s="4" t="str">
        <f>IFERROR(__xludf.DUMMYFUNCTION("GOOGLETRANSLATE(B518,""en"",""no"")"),"Vis alle")</f>
        <v>Vis alle</v>
      </c>
      <c r="AQ518" s="4" t="str">
        <f>IFERROR(__xludf.DUMMYFUNCTION("GOOGLETRANSLATE(B518,""en"",""fa"")"),"مشاهده همه")</f>
        <v>مشاهده همه</v>
      </c>
      <c r="AR518" s="4" t="str">
        <f>IFERROR(__xludf.DUMMYFUNCTION("GOOGLETRANSLATE(B518,""en"",""pl"")"),"Zobacz wszystko")</f>
        <v>Zobacz wszystko</v>
      </c>
      <c r="AS518" s="4" t="str">
        <f>IFERROR(__xludf.DUMMYFUNCTION("GOOGLETRANSLATE(B518,""en"",""sv"")"),"Visa alla")</f>
        <v>Visa alla</v>
      </c>
      <c r="AT518" s="4" t="str">
        <f>IFERROR(__xludf.DUMMYFUNCTION("GOOGLETRANSLATE(B518,""en"",""uk"")"),"Переглянути всі")</f>
        <v>Переглянути всі</v>
      </c>
      <c r="AU518" s="4" t="str">
        <f>IFERROR(__xludf.DUMMYFUNCTION("GOOGLETRANSLATE(B518,""en"",""zu"")"),"Buka Konke")</f>
        <v>Buka Konke</v>
      </c>
      <c r="AV518" s="4" t="str">
        <f>IFERROR(__xludf.DUMMYFUNCTION("GOOGLETRANSLATE(B518,""en"",""sr"")"),"Прикажи све")</f>
        <v>Прикажи све</v>
      </c>
    </row>
    <row r="519">
      <c r="A519" s="3" t="s">
        <v>994</v>
      </c>
      <c r="B519" s="3" t="s">
        <v>995</v>
      </c>
      <c r="C519" s="4" t="str">
        <f>IFERROR(__xludf.DUMMYFUNCTION("GOOGLETRANSLATE(B519,""en"",""ta"")"),"செயல்பாட்டுப் பதிவுகள் இல்லை")</f>
        <v>செயல்பாட்டுப் பதிவுகள் இல்லை</v>
      </c>
      <c r="D519" s="4" t="str">
        <f>IFERROR(__xludf.DUMMYFUNCTION("GOOGLETRANSLATE(B519,""en"",""hi"")"),"कोई गतिविधि लॉग नहीं")</f>
        <v>कोई गतिविधि लॉग नहीं</v>
      </c>
      <c r="E519" s="4" t="str">
        <f>IFERROR(__xludf.DUMMYFUNCTION("GOOGLETRANSLATE(B519,""en"",""id"")"),"Tidak Ada Log Aktivitas")</f>
        <v>Tidak Ada Log Aktivitas</v>
      </c>
      <c r="F519" s="4" t="str">
        <f>IFERROR(__xludf.DUMMYFUNCTION("GOOGLETRANSLATE(B519,""en"",""ms"")"),"Tiada Log Aktiviti")</f>
        <v>Tiada Log Aktiviti</v>
      </c>
      <c r="G519" s="4" t="str">
        <f>IFERROR(__xludf.DUMMYFUNCTION("GOOGLETRANSLATE(B519,""en"",""de"")"),"Keine Aktivitätsprotokolle")</f>
        <v>Keine Aktivitätsprotokolle</v>
      </c>
      <c r="H519" s="4" t="str">
        <f>IFERROR(__xludf.DUMMYFUNCTION("GOOGLETRANSLATE(B519,""en"",""es"")"),"Sin registros de actividad")</f>
        <v>Sin registros de actividad</v>
      </c>
      <c r="I519" s="4" t="str">
        <f>IFERROR(__xludf.DUMMYFUNCTION("GOOGLETRANSLATE(B519,""en"",""fr"")"),"Aucun journal d'activité")</f>
        <v>Aucun journal d'activité</v>
      </c>
      <c r="J519" s="4" t="str">
        <f>IFERROR(__xludf.DUMMYFUNCTION("GOOGLETRANSLATE(B519,""en"",""it"")"),"Nessun registro delle attività")</f>
        <v>Nessun registro delle attività</v>
      </c>
      <c r="K519" s="4" t="str">
        <f>IFERROR(__xludf.DUMMYFUNCTION("GOOGLETRANSLATE(B519,""en"",""pt"")"),"Nenhum registro de atividade")</f>
        <v>Nenhum registro de atividade</v>
      </c>
      <c r="L519" s="4" t="str">
        <f>IFERROR(__xludf.DUMMYFUNCTION("GOOGLETRANSLATE(B519,""en"",""ro"")"),"Niciun jurnal de activitate")</f>
        <v>Niciun jurnal de activitate</v>
      </c>
      <c r="M519" s="4" t="str">
        <f>IFERROR(__xludf.DUMMYFUNCTION("GOOGLETRANSLATE(B519,""en"",""vi"")"),"Không có Nhật ký hoạt động")</f>
        <v>Không có Nhật ký hoạt động</v>
      </c>
      <c r="N519" s="4" t="str">
        <f>IFERROR(__xludf.DUMMYFUNCTION("GOOGLETRANSLATE(B519,""en"",""ru"")"),"Нет журналов активности")</f>
        <v>Нет журналов активности</v>
      </c>
      <c r="O519" s="4" t="str">
        <f>IFERROR(__xludf.DUMMYFUNCTION("GOOGLETRANSLATE(B519,""en"",""tr"")"),"Etkinlik Kaydı Yok")</f>
        <v>Etkinlik Kaydı Yok</v>
      </c>
      <c r="P519" s="4" t="str">
        <f>IFERROR(__xludf.DUMMYFUNCTION("GOOGLETRANSLATE(B519,""en"",""ar"")"),"لا توجد سجلات للنشاط")</f>
        <v>لا توجد سجلات للنشاط</v>
      </c>
      <c r="Q519" s="4" t="str">
        <f>IFERROR(__xludf.DUMMYFUNCTION("GOOGLETRANSLATE(B519,""en"",""mr"")"),"कोणतेही क्रियाकलाप नोंदी नाहीत")</f>
        <v>कोणतेही क्रियाकलाप नोंदी नाहीत</v>
      </c>
      <c r="R519" s="4" t="str">
        <f>IFERROR(__xludf.DUMMYFUNCTION("GOOGLETRANSLATE(B519,""en"",""gu"")"),"કોઈ પ્રવૃત્તિ લૉગ્સ નથી")</f>
        <v>કોઈ પ્રવૃત્તિ લૉગ્સ નથી</v>
      </c>
      <c r="S519" s="4" t="str">
        <f>IFERROR(__xludf.DUMMYFUNCTION("GOOGLETRANSLATE(B519,""en"",""bn"")"),"কোনো কার্যকলাপ লগ নেই")</f>
        <v>কোনো কার্যকলাপ লগ নেই</v>
      </c>
      <c r="T519" s="4" t="str">
        <f>IFERROR(__xludf.DUMMYFUNCTION("GOOGLETRANSLATE(B519,""en"",""pa"")"),"ਕੋਈ ਗਤੀਵਿਧੀ ਲੌਗ ਨਹੀਂ")</f>
        <v>ਕੋਈ ਗਤੀਵਿਧੀ ਲੌਗ ਨਹੀਂ</v>
      </c>
      <c r="U519" s="4" t="str">
        <f>IFERROR(__xludf.DUMMYFUNCTION("GOOGLETRANSLATE(B519,""en"",""te"")"),"కార్యాచరణ లాగ్‌లు లేవు")</f>
        <v>కార్యాచరణ లాగ్‌లు లేవు</v>
      </c>
      <c r="V519" s="4" t="str">
        <f>IFERROR(__xludf.DUMMYFUNCTION("GOOGLETRANSLATE(B519,""en"",""kn"")"),"ಯಾವುದೇ ಚಟುವಟಿಕೆ ಲಾಗ್‌ಗಳಿಲ್ಲ")</f>
        <v>ಯಾವುದೇ ಚಟುವಟಿಕೆ ಲಾಗ್‌ಗಳಿಲ್ಲ</v>
      </c>
      <c r="W519" s="4" t="str">
        <f>IFERROR(__xludf.DUMMYFUNCTION("GOOGLETRANSLATE(B519,""en"",""ml"")"),"പ്രവർത്തന ലോഗുകളൊന്നുമില്ല")</f>
        <v>പ്രവർത്തന ലോഗുകളൊന്നുമില്ല</v>
      </c>
      <c r="X519" s="4" t="str">
        <f>IFERROR(__xludf.DUMMYFUNCTION("GOOGLETRANSLATE(B519,""en"",""th"")"),"ไม่มีบันทึกกิจกรรม")</f>
        <v>ไม่มีบันทึกกิจกรรม</v>
      </c>
      <c r="Y519" s="4" t="str">
        <f>IFERROR(__xludf.DUMMYFUNCTION("GOOGLETRANSLATE(B519,""en"",""ko"")"),"활동 로그 없음")</f>
        <v>활동 로그 없음</v>
      </c>
      <c r="Z519" s="4" t="str">
        <f>IFERROR(__xludf.DUMMYFUNCTION("GOOGLETRANSLATE(B519,""en"",""zh"")"),"无活动日志")</f>
        <v>无活动日志</v>
      </c>
      <c r="AA519" s="4" t="str">
        <f>IFERROR(__xludf.DUMMYFUNCTION("GOOGLETRANSLATE(B519,""en"",""zh-TW"")"),"無活動日誌")</f>
        <v>無活動日誌</v>
      </c>
      <c r="AB519" s="4" t="str">
        <f>IFERROR(__xludf.DUMMYFUNCTION("GOOGLETRANSLATE(B519,""en"",""ja"")"),"アクティビティログなし")</f>
        <v>アクティビティログなし</v>
      </c>
      <c r="AC519" s="4" t="str">
        <f>IFERROR(__xludf.DUMMYFUNCTION("GOOGLETRANSLATE(B519,""en"",""bg"")"),"Няма регистрационни файлове за активност")</f>
        <v>Няма регистрационни файлове за активност</v>
      </c>
      <c r="AD519" s="4" t="str">
        <f>IFERROR(__xludf.DUMMYFUNCTION("GOOGLETRANSLATE(B519,""en"",""cs"")"),"Žádné protokoly aktivit")</f>
        <v>Žádné protokoly aktivit</v>
      </c>
      <c r="AE519" s="4" t="str">
        <f>IFERROR(__xludf.DUMMYFUNCTION("GOOGLETRANSLATE(B519,""en"",""da"")"),"Ingen aktivitetslogs")</f>
        <v>Ingen aktivitetslogs</v>
      </c>
      <c r="AF519" s="4" t="str">
        <f>IFERROR(__xludf.DUMMYFUNCTION("GOOGLETRANSLATE(B519,""en"",""el"")"),"Δεν υπάρχουν αρχεία καταγραφής δραστηριότητας")</f>
        <v>Δεν υπάρχουν αρχεία καταγραφής δραστηριότητας</v>
      </c>
      <c r="AG519" s="4" t="str">
        <f>IFERROR(__xludf.DUMMYFUNCTION("GOOGLETRANSLATE(B519,""en"",""et"")"),"Tegevuslogid puuduvad")</f>
        <v>Tegevuslogid puuduvad</v>
      </c>
      <c r="AH519" s="4" t="str">
        <f>IFERROR(__xludf.DUMMYFUNCTION("GOOGLETRANSLATE(B519,""en"",""fi"")"),"Ei toimintalokeja")</f>
        <v>Ei toimintalokeja</v>
      </c>
      <c r="AI519" s="4" t="str">
        <f>IFERROR(__xludf.DUMMYFUNCTION("GOOGLETRANSLATE(B519,""en"",""hr"")"),"Nema zapisa aktivnosti")</f>
        <v>Nema zapisa aktivnosti</v>
      </c>
      <c r="AJ519" s="4" t="str">
        <f>IFERROR(__xludf.DUMMYFUNCTION("GOOGLETRANSLATE(B519,""en"",""hu"")"),"Nincsenek tevékenységnaplók")</f>
        <v>Nincsenek tevékenységnaplók</v>
      </c>
      <c r="AK519" s="4" t="str">
        <f>IFERROR(__xludf.DUMMYFUNCTION("GOOGLETRANSLATE(B519,""en"",""hy"")"),"Գործունեության մատյաններ չկան")</f>
        <v>Գործունեության մատյաններ չկան</v>
      </c>
      <c r="AL519" s="4" t="str">
        <f>IFERROR(__xludf.DUMMYFUNCTION("GOOGLETRANSLATE(B519,""en"",""ca"")"),"No hi ha registres d'activitat")</f>
        <v>No hi ha registres d'activitat</v>
      </c>
      <c r="AM519" s="4" t="str">
        <f>IFERROR(__xludf.DUMMYFUNCTION("GOOGLETRANSLATE(B519,""en"",""nl"")"),"Geen activiteitenlogboeken")</f>
        <v>Geen activiteitenlogboeken</v>
      </c>
      <c r="AN519" s="4" t="str">
        <f>IFERROR(__xludf.DUMMYFUNCTION("GOOGLETRANSLATE(B519,""en"",""he"")"),"אין יומני פעילות")</f>
        <v>אין יומני פעילות</v>
      </c>
      <c r="AO519" s="4" t="str">
        <f>IFERROR(__xludf.DUMMYFUNCTION("GOOGLETRANSLATE(B519,""en"",""is"")"),"Engir athafnaskrár")</f>
        <v>Engir athafnaskrár</v>
      </c>
      <c r="AP519" s="4" t="str">
        <f>IFERROR(__xludf.DUMMYFUNCTION("GOOGLETRANSLATE(B519,""en"",""no"")"),"Ingen aktivitetslogger")</f>
        <v>Ingen aktivitetslogger</v>
      </c>
      <c r="AQ519" s="4" t="str">
        <f>IFERROR(__xludf.DUMMYFUNCTION("GOOGLETRANSLATE(B519,""en"",""fa"")"),"بدون گزارش فعالیت")</f>
        <v>بدون گزارش فعالیت</v>
      </c>
      <c r="AR519" s="4" t="str">
        <f>IFERROR(__xludf.DUMMYFUNCTION("GOOGLETRANSLATE(B519,""en"",""pl"")"),"Brak dzienników aktywności")</f>
        <v>Brak dzienników aktywności</v>
      </c>
      <c r="AS519" s="4" t="str">
        <f>IFERROR(__xludf.DUMMYFUNCTION("GOOGLETRANSLATE(B519,""en"",""sv"")"),"Inga aktivitetsloggar")</f>
        <v>Inga aktivitetsloggar</v>
      </c>
      <c r="AT519" s="4" t="str">
        <f>IFERROR(__xludf.DUMMYFUNCTION("GOOGLETRANSLATE(B519,""en"",""uk"")"),"Немає журналів активності")</f>
        <v>Немає журналів активності</v>
      </c>
      <c r="AU519" s="4" t="str">
        <f>IFERROR(__xludf.DUMMYFUNCTION("GOOGLETRANSLATE(B519,""en"",""zu"")"),"Awekho Amalogi Omsebenzi")</f>
        <v>Awekho Amalogi Omsebenzi</v>
      </c>
      <c r="AV519" s="4" t="str">
        <f>IFERROR(__xludf.DUMMYFUNCTION("GOOGLETRANSLATE(B519,""en"",""sr"")"),"Нема евиденције активности")</f>
        <v>Нема евиденције активности</v>
      </c>
    </row>
    <row r="520">
      <c r="A520" s="3" t="s">
        <v>996</v>
      </c>
      <c r="B520" s="3" t="s">
        <v>997</v>
      </c>
      <c r="C520" s="4" t="str">
        <f>IFERROR(__xludf.DUMMYFUNCTION("GOOGLETRANSLATE(B520,""en"",""ta"")"),"கண்காணிக்கப்படும் பகுதிகளுக்குள் நுழையும்போது அல்லது வெளியேறும்போது உங்கள் செயல்பாட்டுப் பதிவுகள் இங்கே தோன்றும்")</f>
        <v>கண்காணிக்கப்படும் பகுதிகளுக்குள் நுழையும்போது அல்லது வெளியேறும்போது உங்கள் செயல்பாட்டுப் பதிவுகள் இங்கே தோன்றும்</v>
      </c>
      <c r="D520" s="4" t="str">
        <f>IFERROR(__xludf.DUMMYFUNCTION("GOOGLETRANSLATE(B520,""en"",""hi"")"),"जब आप निगरानी वाले क्षेत्रों में प्रवेश करेंगे या बाहर निकलेंगे तो आपकी गतिविधि लॉग यहाँ दिखाई देंगी")</f>
        <v>जब आप निगरानी वाले क्षेत्रों में प्रवेश करेंगे या बाहर निकलेंगे तो आपकी गतिविधि लॉग यहाँ दिखाई देंगी</v>
      </c>
      <c r="E520" s="4" t="str">
        <f>IFERROR(__xludf.DUMMYFUNCTION("GOOGLETRANSLATE(B520,""en"",""id"")"),"Log aktivitas Anda akan muncul di sini saat Anda memasuki atau keluar dari wilayah yang dipantau")</f>
        <v>Log aktivitas Anda akan muncul di sini saat Anda memasuki atau keluar dari wilayah yang dipantau</v>
      </c>
      <c r="F520" s="4" t="str">
        <f>IFERROR(__xludf.DUMMYFUNCTION("GOOGLETRANSLATE(B520,""en"",""ms"")"),"Log aktiviti anda akan dipaparkan di sini apabila anda memasuki atau keluar dari kawasan yang dipantau")</f>
        <v>Log aktiviti anda akan dipaparkan di sini apabila anda memasuki atau keluar dari kawasan yang dipantau</v>
      </c>
      <c r="G520" s="4" t="str">
        <f>IFERROR(__xludf.DUMMYFUNCTION("GOOGLETRANSLATE(B520,""en"",""de"")"),"Ihre Aktivitätsprotokolle werden hier angezeigt, wenn Sie überwachte Regionen betreten oder verlassen")</f>
        <v>Ihre Aktivitätsprotokolle werden hier angezeigt, wenn Sie überwachte Regionen betreten oder verlassen</v>
      </c>
      <c r="H520" s="4" t="str">
        <f>IFERROR(__xludf.DUMMYFUNCTION("GOOGLETRANSLATE(B520,""en"",""es"")"),"Sus registros de actividad aparecerán aquí cuando ingrese o salga de regiones monitoreadas")</f>
        <v>Sus registros de actividad aparecerán aquí cuando ingrese o salga de regiones monitoreadas</v>
      </c>
      <c r="I520" s="4" t="str">
        <f>IFERROR(__xludf.DUMMYFUNCTION("GOOGLETRANSLATE(B520,""en"",""fr"")"),"Vos journaux d'activité apparaîtront ici lorsque vous entrerez ou sortirez des régions surveillées")</f>
        <v>Vos journaux d'activité apparaîtront ici lorsque vous entrerez ou sortirez des régions surveillées</v>
      </c>
      <c r="J520" s="4" t="str">
        <f>IFERROR(__xludf.DUMMYFUNCTION("GOOGLETRANSLATE(B520,""en"",""it"")"),"I registri delle tue attività appariranno qui quando entri o esci dalle regioni monitorate")</f>
        <v>I registri delle tue attività appariranno qui quando entri o esci dalle regioni monitorate</v>
      </c>
      <c r="K520" s="4" t="str">
        <f>IFERROR(__xludf.DUMMYFUNCTION("GOOGLETRANSLATE(B520,""en"",""pt"")"),"Seus registros de atividades aparecerão aqui quando você entrar ou sair de regiões monitoradas")</f>
        <v>Seus registros de atividades aparecerão aqui quando você entrar ou sair de regiões monitoradas</v>
      </c>
      <c r="L520" s="4" t="str">
        <f>IFERROR(__xludf.DUMMYFUNCTION("GOOGLETRANSLATE(B520,""en"",""ro"")"),"Jurnalele dvs. de activitate vor apărea aici când intrați sau ieșiți din regiunile monitorizate")</f>
        <v>Jurnalele dvs. de activitate vor apărea aici când intrați sau ieșiți din regiunile monitorizate</v>
      </c>
      <c r="M520" s="4" t="str">
        <f>IFERROR(__xludf.DUMMYFUNCTION("GOOGLETRANSLATE(B520,""en"",""vi"")"),"Nhật ký hoạt động của bạn sẽ xuất hiện ở đây khi bạn vào hoặc ra khỏi vùng được giám sát")</f>
        <v>Nhật ký hoạt động của bạn sẽ xuất hiện ở đây khi bạn vào hoặc ra khỏi vùng được giám sát</v>
      </c>
      <c r="N520" s="4" t="str">
        <f>IFERROR(__xludf.DUMMYFUNCTION("GOOGLETRANSLATE(B520,""en"",""ru"")"),"Журналы вашей активности будут отображаться здесь при входе или выходе из контролируемых регионов.")</f>
        <v>Журналы вашей активности будут отображаться здесь при входе или выходе из контролируемых регионов.</v>
      </c>
      <c r="O520" s="4" t="str">
        <f>IFERROR(__xludf.DUMMYFUNCTION("GOOGLETRANSLATE(B520,""en"",""tr"")"),"İzlenen bölgelere girdiğinizde veya çıktığınızda etkinlik günlükleriniz burada görünecektir")</f>
        <v>İzlenen bölgelere girdiğinizde veya çıktığınızda etkinlik günlükleriniz burada görünecektir</v>
      </c>
      <c r="P520" s="4" t="str">
        <f>IFERROR(__xludf.DUMMYFUNCTION("GOOGLETRANSLATE(B520,""en"",""ar"")"),"ستظهر سجلات نشاطك هنا عند دخولك إلى المناطق التي تتم مراقبتها أو الخروج منها")</f>
        <v>ستظهر سجلات نشاطك هنا عند دخولك إلى المناطق التي تتم مراقبتها أو الخروج منها</v>
      </c>
      <c r="Q520" s="4" t="str">
        <f>IFERROR(__xludf.DUMMYFUNCTION("GOOGLETRANSLATE(B520,""en"",""mr"")"),"तुम्ही निरीक्षण केलेल्या प्रदेशांमध्ये प्रवेश करता किंवा बाहेर पडता तेव्हा तुमचे क्रियाकलाप लॉग येथे दिसून येतील")</f>
        <v>तुम्ही निरीक्षण केलेल्या प्रदेशांमध्ये प्रवेश करता किंवा बाहेर पडता तेव्हा तुमचे क्रियाकलाप लॉग येथे दिसून येतील</v>
      </c>
      <c r="R520" s="4" t="str">
        <f>IFERROR(__xludf.DUMMYFUNCTION("GOOGLETRANSLATE(B520,""en"",""gu"")"),"જ્યારે તમે મોનિટર કરેલ પ્રદેશોમાં પ્રવેશશો અથવા બહાર નીકળશો ત્યારે તમારા પ્રવૃત્તિ લૉગ્સ અહીં દેખાશે")</f>
        <v>જ્યારે તમે મોનિટર કરેલ પ્રદેશોમાં પ્રવેશશો અથવા બહાર નીકળશો ત્યારે તમારા પ્રવૃત્તિ લૉગ્સ અહીં દેખાશે</v>
      </c>
      <c r="S520" s="4" t="str">
        <f>IFERROR(__xludf.DUMMYFUNCTION("GOOGLETRANSLATE(B520,""en"",""bn"")"),"আপনি যখন নিরীক্ষণ করা অঞ্চলগুলিতে প্রবেশ করবেন বা প্রস্থান করবেন তখন আপনার কার্যকলাপের লগগুলি এখানে উপস্থিত হবে৷")</f>
        <v>আপনি যখন নিরীক্ষণ করা অঞ্চলগুলিতে প্রবেশ করবেন বা প্রস্থান করবেন তখন আপনার কার্যকলাপের লগগুলি এখানে উপস্থিত হবে৷</v>
      </c>
      <c r="T520" s="4" t="str">
        <f>IFERROR(__xludf.DUMMYFUNCTION("GOOGLETRANSLATE(B520,""en"",""pa"")"),"ਜਦੋਂ ਤੁਸੀਂ ਨਿਗਰਾਨੀ ਕੀਤੇ ਖੇਤਰਾਂ ਵਿੱਚ ਦਾਖਲ ਹੋ ਜਾਂ ਬਾਹਰ ਜਾਂਦੇ ਹੋ ਤਾਂ ਤੁਹਾਡੇ ਗਤੀਵਿਧੀ ਲੌਗ ਇੱਥੇ ਦਿਖਾਈ ਦੇਣਗੇ")</f>
        <v>ਜਦੋਂ ਤੁਸੀਂ ਨਿਗਰਾਨੀ ਕੀਤੇ ਖੇਤਰਾਂ ਵਿੱਚ ਦਾਖਲ ਹੋ ਜਾਂ ਬਾਹਰ ਜਾਂਦੇ ਹੋ ਤਾਂ ਤੁਹਾਡੇ ਗਤੀਵਿਧੀ ਲੌਗ ਇੱਥੇ ਦਿਖਾਈ ਦੇਣਗੇ</v>
      </c>
      <c r="U520" s="4" t="str">
        <f>IFERROR(__xludf.DUMMYFUNCTION("GOOGLETRANSLATE(B520,""en"",""te"")"),"మీరు పర్యవేక్షించబడిన ప్రాంతాలలో ప్రవేశించినప్పుడు లేదా నిష్క్రమించినప్పుడు మీ కార్యాచరణ లాగ్‌లు ఇక్కడ కనిపిస్తాయి")</f>
        <v>మీరు పర్యవేక్షించబడిన ప్రాంతాలలో ప్రవేశించినప్పుడు లేదా నిష్క్రమించినప్పుడు మీ కార్యాచరణ లాగ్‌లు ఇక్కడ కనిపిస్తాయి</v>
      </c>
      <c r="V520" s="4" t="str">
        <f>IFERROR(__xludf.DUMMYFUNCTION("GOOGLETRANSLATE(B520,""en"",""kn"")"),"ನೀವು ಮೇಲ್ವಿಚಾರಣೆ ಪ್ರದೇಶಗಳನ್ನು ನಮೂದಿಸಿದಾಗ ಅಥವಾ ನಿರ್ಗಮಿಸಿದಾಗ ನಿಮ್ಮ ಚಟುವಟಿಕೆಯ ಲಾಗ್‌ಗಳು ಇಲ್ಲಿ ಗೋಚರಿಸುತ್ತವೆ")</f>
        <v>ನೀವು ಮೇಲ್ವಿಚಾರಣೆ ಪ್ರದೇಶಗಳನ್ನು ನಮೂದಿಸಿದಾಗ ಅಥವಾ ನಿರ್ಗಮಿಸಿದಾಗ ನಿಮ್ಮ ಚಟುವಟಿಕೆಯ ಲಾಗ್‌ಗಳು ಇಲ್ಲಿ ಗೋಚರಿಸುತ್ತವೆ</v>
      </c>
      <c r="W520" s="4" t="str">
        <f>IFERROR(__xludf.DUMMYFUNCTION("GOOGLETRANSLATE(B520,""en"",""ml"")"),"നിങ്ങൾ നിരീക്ഷിക്കപ്പെടുന്ന പ്രദേശങ്ങളിൽ പ്രവേശിക്കുമ്പോഴോ പുറത്തുകടക്കുമ്പോഴോ നിങ്ങളുടെ പ്രവർത്തന ലോഗുകൾ ഇവിടെ ദൃശ്യമാകും")</f>
        <v>നിങ്ങൾ നിരീക്ഷിക്കപ്പെടുന്ന പ്രദേശങ്ങളിൽ പ്രവേശിക്കുമ്പോഴോ പുറത്തുകടക്കുമ്പോഴോ നിങ്ങളുടെ പ്രവർത്തന ലോഗുകൾ ഇവിടെ ദൃശ്യമാകും</v>
      </c>
      <c r="X520" s="4" t="str">
        <f>IFERROR(__xludf.DUMMYFUNCTION("GOOGLETRANSLATE(B520,""en"",""th"")"),"บันทึกกิจกรรมของคุณจะปรากฏที่นี่เมื่อคุณเข้าหรือออกจากภูมิภาคที่ได้รับการตรวจสอบ")</f>
        <v>บันทึกกิจกรรมของคุณจะปรากฏที่นี่เมื่อคุณเข้าหรือออกจากภูมิภาคที่ได้รับการตรวจสอบ</v>
      </c>
      <c r="Y520" s="4" t="str">
        <f>IFERROR(__xludf.DUMMYFUNCTION("GOOGLETRANSLATE(B520,""en"",""ko"")"),"모니터링 지역에 들어가거나 나갈 때 활동 로그가 여기에 표시됩니다.")</f>
        <v>모니터링 지역에 들어가거나 나갈 때 활동 로그가 여기에 표시됩니다.</v>
      </c>
      <c r="Z520" s="4" t="str">
        <f>IFERROR(__xludf.DUMMYFUNCTION("GOOGLETRANSLATE(B520,""en"",""zh"")"),"当您进入或离开受监控区域时，您的活动日志将显示在这里")</f>
        <v>当您进入或离开受监控区域时，您的活动日志将显示在这里</v>
      </c>
      <c r="AA520" s="4" t="str">
        <f>IFERROR(__xludf.DUMMYFUNCTION("GOOGLETRANSLATE(B520,""en"",""zh-TW"")"),"當您進入或離開受監控區域時，您的活動日誌將顯示在這裡")</f>
        <v>當您進入或離開受監控區域時，您的活動日誌將顯示在這裡</v>
      </c>
      <c r="AB520" s="4" t="str">
        <f>IFERROR(__xludf.DUMMYFUNCTION("GOOGLETRANSLATE(B520,""en"",""ja"")"),"監視対象地域に出入りすると、アクティビティログがここに表示されます")</f>
        <v>監視対象地域に出入りすると、アクティビティログがここに表示されます</v>
      </c>
      <c r="AC520" s="4" t="str">
        <f>IFERROR(__xludf.DUMMYFUNCTION("GOOGLETRANSLATE(B520,""en"",""bg"")"),"Вашите регистрационни файлове за активност ще се показват тук, когато влезете или излезете от наблюдаваните региони")</f>
        <v>Вашите регистрационни файлове за активност ще се показват тук, когато влезете или излезете от наблюдаваните региони</v>
      </c>
      <c r="AD520" s="4" t="str">
        <f>IFERROR(__xludf.DUMMYFUNCTION("GOOGLETRANSLATE(B520,""en"",""cs"")"),"Zde se zobrazí vaše protokoly aktivit, když vstoupíte do monitorovaných oblastí nebo je opustíte")</f>
        <v>Zde se zobrazí vaše protokoly aktivit, když vstoupíte do monitorovaných oblastí nebo je opustíte</v>
      </c>
      <c r="AE520" s="4" t="str">
        <f>IFERROR(__xludf.DUMMYFUNCTION("GOOGLETRANSLATE(B520,""en"",""da"")"),"Dine aktivitetslogfiler vises her, når du går ind i eller forlader overvågede områder")</f>
        <v>Dine aktivitetslogfiler vises her, når du går ind i eller forlader overvågede områder</v>
      </c>
      <c r="AF520" s="4" t="str">
        <f>IFERROR(__xludf.DUMMYFUNCTION("GOOGLETRANSLATE(B520,""en"",""el"")"),"Τα αρχεία καταγραφής δραστηριότητάς σας θα εμφανίζονται εδώ κατά την είσοδο ή την έξοδο από περιοχές που παρακολουθούνται")</f>
        <v>Τα αρχεία καταγραφής δραστηριότητάς σας θα εμφανίζονται εδώ κατά την είσοδο ή την έξοδο από περιοχές που παρακολουθούνται</v>
      </c>
      <c r="AG520" s="4" t="str">
        <f>IFERROR(__xludf.DUMMYFUNCTION("GOOGLETRANSLATE(B520,""en"",""et"")"),"Teie tegevuste logid kuvatakse siin, kui sisenete jälgitavatesse piirkondadesse või väljute neist")</f>
        <v>Teie tegevuste logid kuvatakse siin, kui sisenete jälgitavatesse piirkondadesse või väljute neist</v>
      </c>
      <c r="AH520" s="4" t="str">
        <f>IFERROR(__xludf.DUMMYFUNCTION("GOOGLETRANSLATE(B520,""en"",""fi"")"),"Toimintalokisi näkyvät täällä, kun siirryt valvotuille alueille tai poistut niistä")</f>
        <v>Toimintalokisi näkyvät täällä, kun siirryt valvotuille alueille tai poistut niistä</v>
      </c>
      <c r="AI520" s="4" t="str">
        <f>IFERROR(__xludf.DUMMYFUNCTION("GOOGLETRANSLATE(B520,""en"",""hr"")"),"Vaši zapisnici aktivnosti pojavit će se ovdje kada uđete ili izađete iz nadziranih regija")</f>
        <v>Vaši zapisnici aktivnosti pojavit će se ovdje kada uđete ili izađete iz nadziranih regija</v>
      </c>
      <c r="AJ520" s="4" t="str">
        <f>IFERROR(__xludf.DUMMYFUNCTION("GOOGLETRANSLATE(B520,""en"",""hu"")"),"A tevékenységnaplók itt jelennek meg, amikor belép vagy kilép a megfigyelt régiókból")</f>
        <v>A tevékenységnaplók itt jelennek meg, amikor belép vagy kilép a megfigyelt régiókból</v>
      </c>
      <c r="AK520" s="4" t="str">
        <f>IFERROR(__xludf.DUMMYFUNCTION("GOOGLETRANSLATE(B520,""en"",""hy"")"),"Ձեր գործունեության մատյանները կհայտնվեն այստեղ, երբ մուտք գործեք կամ դուրս գաք մոնիտորինգի ենթարկվող տարածաշրջաններից")</f>
        <v>Ձեր գործունեության մատյանները կհայտնվեն այստեղ, երբ մուտք գործեք կամ դուրս գաք մոնիտորինգի ենթարկվող տարածաշրջաններից</v>
      </c>
      <c r="AL520" s="4" t="str">
        <f>IFERROR(__xludf.DUMMYFUNCTION("GOOGLETRANSLATE(B520,""en"",""ca"")"),"Els vostres registres d'activitat apareixeran aquí quan entreu o sortiu de les regions supervisades")</f>
        <v>Els vostres registres d'activitat apareixeran aquí quan entreu o sortiu de les regions supervisades</v>
      </c>
      <c r="AM520" s="4" t="str">
        <f>IFERROR(__xludf.DUMMYFUNCTION("GOOGLETRANSLATE(B520,""en"",""nl"")"),"Uw activiteitenlogboeken worden hier weergegeven wanneer u gecontroleerde regio's betreedt of verlaat")</f>
        <v>Uw activiteitenlogboeken worden hier weergegeven wanneer u gecontroleerde regio's betreedt of verlaat</v>
      </c>
      <c r="AN520" s="4" t="str">
        <f>IFERROR(__xludf.DUMMYFUNCTION("GOOGLETRANSLATE(B520,""en"",""he"")"),"יומני הפעילות שלך יופיעו כאן כאשר תיכנס או תצא מאזורים מנוטרים")</f>
        <v>יומני הפעילות שלך יופיעו כאן כאשר תיכנס או תצא מאזורים מנוטרים</v>
      </c>
      <c r="AO520" s="4" t="str">
        <f>IFERROR(__xludf.DUMMYFUNCTION("GOOGLETRANSLATE(B520,""en"",""is"")"),"Athafnaskrárnar þínar munu birtast hér þegar þú ferð inn eða ferð út úr vöktuðum svæðum")</f>
        <v>Athafnaskrárnar þínar munu birtast hér þegar þú ferð inn eða ferð út úr vöktuðum svæðum</v>
      </c>
      <c r="AP520" s="4" t="str">
        <f>IFERROR(__xludf.DUMMYFUNCTION("GOOGLETRANSLATE(B520,""en"",""no"")"),"Aktivitetsloggene dine vises her når du går inn eller ut av overvåkede områder")</f>
        <v>Aktivitetsloggene dine vises her når du går inn eller ut av overvåkede områder</v>
      </c>
      <c r="AQ520" s="4" t="str">
        <f>IFERROR(__xludf.DUMMYFUNCTION("GOOGLETRANSLATE(B520,""en"",""fa"")"),"هنگام ورود یا خروج از مناطق تحت نظارت، گزارش‌های فعالیت شما در اینجا ظاهر می‌شوند")</f>
        <v>هنگام ورود یا خروج از مناطق تحت نظارت، گزارش‌های فعالیت شما در اینجا ظاهر می‌شوند</v>
      </c>
      <c r="AR520" s="4" t="str">
        <f>IFERROR(__xludf.DUMMYFUNCTION("GOOGLETRANSLATE(B520,""en"",""pl"")"),"Twoje dzienniki aktywności będą wyświetlane tutaj, gdy wejdziesz do lub wyjdziesz z monitorowanych regionów")</f>
        <v>Twoje dzienniki aktywności będą wyświetlane tutaj, gdy wejdziesz do lub wyjdziesz z monitorowanych regionów</v>
      </c>
      <c r="AS520" s="4" t="str">
        <f>IFERROR(__xludf.DUMMYFUNCTION("GOOGLETRANSLATE(B520,""en"",""sv"")"),"Dina aktivitetsloggar kommer att visas här när du går in i eller lämnar övervakade regioner")</f>
        <v>Dina aktivitetsloggar kommer att visas här när du går in i eller lämnar övervakade regioner</v>
      </c>
      <c r="AT520" s="4" t="str">
        <f>IFERROR(__xludf.DUMMYFUNCTION("GOOGLETRANSLATE(B520,""en"",""uk"")"),"Ваші журнали активності з’являтимуться тут, коли ви входите в контрольовані регіони або виходите з них")</f>
        <v>Ваші журнали активності з’являтимуться тут, коли ви входите в контрольовані регіони або виходите з них</v>
      </c>
      <c r="AU520" s="4" t="str">
        <f>IFERROR(__xludf.DUMMYFUNCTION("GOOGLETRANSLATE(B520,""en"",""zu"")"),"Amalogi wakho womsebenzi azovela lapha uma ufaka noma uphuma ezifundeni ezigadiwe")</f>
        <v>Amalogi wakho womsebenzi azovela lapha uma ufaka noma uphuma ezifundeni ezigadiwe</v>
      </c>
      <c r="AV520" s="4" t="str">
        <f>IFERROR(__xludf.DUMMYFUNCTION("GOOGLETRANSLATE(B520,""en"",""sr"")"),"Ваше евиденције активности ће се појавити овде када уђете или изађете из надгледаних региона")</f>
        <v>Ваше евиденције активности ће се појавити овде када уђете или изађете из надгледаних региона</v>
      </c>
    </row>
    <row r="521">
      <c r="A521" s="3" t="s">
        <v>998</v>
      </c>
      <c r="B521" s="3" t="s">
        <v>999</v>
      </c>
      <c r="C521" s="4" t="str">
        <f>IFERROR(__xludf.DUMMYFUNCTION("GOOGLETRANSLATE(B521,""en"",""ta"")"),"கண்காணிப்பு பகுதிகள்")</f>
        <v>கண்காணிப்பு பகுதிகள்</v>
      </c>
      <c r="D521" s="4" t="str">
        <f>IFERROR(__xludf.DUMMYFUNCTION("GOOGLETRANSLATE(B521,""en"",""hi"")"),"निगरानी क्षेत्र")</f>
        <v>निगरानी क्षेत्र</v>
      </c>
      <c r="E521" s="4" t="str">
        <f>IFERROR(__xludf.DUMMYFUNCTION("GOOGLETRANSLATE(B521,""en"",""id"")"),"Pemantauan Wilayah")</f>
        <v>Pemantauan Wilayah</v>
      </c>
      <c r="F521" s="4" t="str">
        <f>IFERROR(__xludf.DUMMYFUNCTION("GOOGLETRANSLATE(B521,""en"",""ms"")"),"Kawasan Pemantauan")</f>
        <v>Kawasan Pemantauan</v>
      </c>
      <c r="G521" s="4" t="str">
        <f>IFERROR(__xludf.DUMMYFUNCTION("GOOGLETRANSLATE(B521,""en"",""de"")"),"Überwachungsregionen")</f>
        <v>Überwachungsregionen</v>
      </c>
      <c r="H521" s="4" t="str">
        <f>IFERROR(__xludf.DUMMYFUNCTION("GOOGLETRANSLATE(B521,""en"",""es"")"),"Regiones de monitoreo")</f>
        <v>Regiones de monitoreo</v>
      </c>
      <c r="I521" s="4" t="str">
        <f>IFERROR(__xludf.DUMMYFUNCTION("GOOGLETRANSLATE(B521,""en"",""fr"")"),"Régions de surveillance")</f>
        <v>Régions de surveillance</v>
      </c>
      <c r="J521" s="4" t="str">
        <f>IFERROR(__xludf.DUMMYFUNCTION("GOOGLETRANSLATE(B521,""en"",""it"")"),"Regioni di monitoraggio")</f>
        <v>Regioni di monitoraggio</v>
      </c>
      <c r="K521" s="4" t="str">
        <f>IFERROR(__xludf.DUMMYFUNCTION("GOOGLETRANSLATE(B521,""en"",""pt"")"),"Regiões de Monitoramento")</f>
        <v>Regiões de Monitoramento</v>
      </c>
      <c r="L521" s="4" t="str">
        <f>IFERROR(__xludf.DUMMYFUNCTION("GOOGLETRANSLATE(B521,""en"",""ro"")"),"Monitorizarea regiunilor")</f>
        <v>Monitorizarea regiunilor</v>
      </c>
      <c r="M521" s="4" t="str">
        <f>IFERROR(__xludf.DUMMYFUNCTION("GOOGLETRANSLATE(B521,""en"",""vi"")"),"Giám sát các vùng")</f>
        <v>Giám sát các vùng</v>
      </c>
      <c r="N521" s="4" t="str">
        <f>IFERROR(__xludf.DUMMYFUNCTION("GOOGLETRANSLATE(B521,""en"",""ru"")"),"Мониторинг регионов")</f>
        <v>Мониторинг регионов</v>
      </c>
      <c r="O521" s="4" t="str">
        <f>IFERROR(__xludf.DUMMYFUNCTION("GOOGLETRANSLATE(B521,""en"",""tr"")"),"İzleme Bölgeleri")</f>
        <v>İzleme Bölgeleri</v>
      </c>
      <c r="P521" s="4" t="str">
        <f>IFERROR(__xludf.DUMMYFUNCTION("GOOGLETRANSLATE(B521,""en"",""ar"")"),"مناطق المراقبة")</f>
        <v>مناطق المراقبة</v>
      </c>
      <c r="Q521" s="4" t="str">
        <f>IFERROR(__xludf.DUMMYFUNCTION("GOOGLETRANSLATE(B521,""en"",""mr"")"),"देखरेख प्रदेश")</f>
        <v>देखरेख प्रदेश</v>
      </c>
      <c r="R521" s="4" t="str">
        <f>IFERROR(__xludf.DUMMYFUNCTION("GOOGLETRANSLATE(B521,""en"",""gu"")"),"મોનીટરીંગ પ્રદેશો")</f>
        <v>મોનીટરીંગ પ્રદેશો</v>
      </c>
      <c r="S521" s="4" t="str">
        <f>IFERROR(__xludf.DUMMYFUNCTION("GOOGLETRANSLATE(B521,""en"",""bn"")"),"পর্যবেক্ষণ অঞ্চল")</f>
        <v>পর্যবেক্ষণ অঞ্চল</v>
      </c>
      <c r="T521" s="4" t="str">
        <f>IFERROR(__xludf.DUMMYFUNCTION("GOOGLETRANSLATE(B521,""en"",""pa"")"),"ਨਿਗਰਾਨੀ ਖੇਤਰ")</f>
        <v>ਨਿਗਰਾਨੀ ਖੇਤਰ</v>
      </c>
      <c r="U521" s="4" t="str">
        <f>IFERROR(__xludf.DUMMYFUNCTION("GOOGLETRANSLATE(B521,""en"",""te"")"),"మానిటరింగ్ ప్రాంతాలు")</f>
        <v>మానిటరింగ్ ప్రాంతాలు</v>
      </c>
      <c r="V521" s="4" t="str">
        <f>IFERROR(__xludf.DUMMYFUNCTION("GOOGLETRANSLATE(B521,""en"",""kn"")"),"ಮಾನಿಟರಿಂಗ್ ಪ್ರದೇಶಗಳು")</f>
        <v>ಮಾನಿಟರಿಂಗ್ ಪ್ರದೇಶಗಳು</v>
      </c>
      <c r="W521" s="4" t="str">
        <f>IFERROR(__xludf.DUMMYFUNCTION("GOOGLETRANSLATE(B521,""en"",""ml"")"),"മോണിറ്ററിംഗ് മേഖലകൾ")</f>
        <v>മോണിറ്ററിംഗ് മേഖലകൾ</v>
      </c>
      <c r="X521" s="4" t="str">
        <f>IFERROR(__xludf.DUMMYFUNCTION("GOOGLETRANSLATE(B521,""en"",""th"")"),"การติดตามภูมิภาค")</f>
        <v>การติดตามภูมิภาค</v>
      </c>
      <c r="Y521" s="4" t="str">
        <f>IFERROR(__xludf.DUMMYFUNCTION("GOOGLETRANSLATE(B521,""en"",""ko"")"),"모니터링 지역")</f>
        <v>모니터링 지역</v>
      </c>
      <c r="Z521" s="4" t="str">
        <f>IFERROR(__xludf.DUMMYFUNCTION("GOOGLETRANSLATE(B521,""en"",""zh"")"),"监控区域")</f>
        <v>监控区域</v>
      </c>
      <c r="AA521" s="4" t="str">
        <f>IFERROR(__xludf.DUMMYFUNCTION("GOOGLETRANSLATE(B521,""en"",""zh-TW"")"),"監控區域")</f>
        <v>監控區域</v>
      </c>
      <c r="AB521" s="4" t="str">
        <f>IFERROR(__xludf.DUMMYFUNCTION("GOOGLETRANSLATE(B521,""en"",""ja"")"),"監視地域")</f>
        <v>監視地域</v>
      </c>
      <c r="AC521" s="4" t="str">
        <f>IFERROR(__xludf.DUMMYFUNCTION("GOOGLETRANSLATE(B521,""en"",""bg"")"),"Региони за наблюдение")</f>
        <v>Региони за наблюдение</v>
      </c>
      <c r="AD521" s="4" t="str">
        <f>IFERROR(__xludf.DUMMYFUNCTION("GOOGLETRANSLATE(B521,""en"",""cs"")"),"Monitorování regionů")</f>
        <v>Monitorování regionů</v>
      </c>
      <c r="AE521" s="4" t="str">
        <f>IFERROR(__xludf.DUMMYFUNCTION("GOOGLETRANSLATE(B521,""en"",""da"")"),"Overvågningsregioner")</f>
        <v>Overvågningsregioner</v>
      </c>
      <c r="AF521" s="4" t="str">
        <f>IFERROR(__xludf.DUMMYFUNCTION("GOOGLETRANSLATE(B521,""en"",""el"")"),"Περιφέρειες Παρακολούθησης")</f>
        <v>Περιφέρειες Παρακολούθησης</v>
      </c>
      <c r="AG521" s="4" t="str">
        <f>IFERROR(__xludf.DUMMYFUNCTION("GOOGLETRANSLATE(B521,""en"",""et"")"),"Järelevalvepiirkonnad")</f>
        <v>Järelevalvepiirkonnad</v>
      </c>
      <c r="AH521" s="4" t="str">
        <f>IFERROR(__xludf.DUMMYFUNCTION("GOOGLETRANSLATE(B521,""en"",""fi"")"),"Seurantaalueet")</f>
        <v>Seurantaalueet</v>
      </c>
      <c r="AI521" s="4" t="str">
        <f>IFERROR(__xludf.DUMMYFUNCTION("GOOGLETRANSLATE(B521,""en"",""hr"")"),"Praćenje regija")</f>
        <v>Praćenje regija</v>
      </c>
      <c r="AJ521" s="4" t="str">
        <f>IFERROR(__xludf.DUMMYFUNCTION("GOOGLETRANSLATE(B521,""en"",""hu"")"),"Monitoring régiók")</f>
        <v>Monitoring régiók</v>
      </c>
      <c r="AK521" s="4" t="str">
        <f>IFERROR(__xludf.DUMMYFUNCTION("GOOGLETRANSLATE(B521,""en"",""hy"")"),"Մոնիտորինգի շրջաններ")</f>
        <v>Մոնիտորինգի շրջաններ</v>
      </c>
      <c r="AL521" s="4" t="str">
        <f>IFERROR(__xludf.DUMMYFUNCTION("GOOGLETRANSLATE(B521,""en"",""ca"")"),"Supervisió de les regions")</f>
        <v>Supervisió de les regions</v>
      </c>
      <c r="AM521" s="4" t="str">
        <f>IFERROR(__xludf.DUMMYFUNCTION("GOOGLETRANSLATE(B521,""en"",""nl"")"),"Monitoringregio's")</f>
        <v>Monitoringregio's</v>
      </c>
      <c r="AN521" s="4" t="str">
        <f>IFERROR(__xludf.DUMMYFUNCTION("GOOGLETRANSLATE(B521,""en"",""he"")"),"מעקב אחר אזורים")</f>
        <v>מעקב אחר אזורים</v>
      </c>
      <c r="AO521" s="4" t="str">
        <f>IFERROR(__xludf.DUMMYFUNCTION("GOOGLETRANSLATE(B521,""en"",""is"")"),"Eftirlitssvæði")</f>
        <v>Eftirlitssvæði</v>
      </c>
      <c r="AP521" s="4" t="str">
        <f>IFERROR(__xludf.DUMMYFUNCTION("GOOGLETRANSLATE(B521,""en"",""no"")"),"Overvåkingsregioner")</f>
        <v>Overvåkingsregioner</v>
      </c>
      <c r="AQ521" s="4" t="str">
        <f>IFERROR(__xludf.DUMMYFUNCTION("GOOGLETRANSLATE(B521,""en"",""fa"")"),"مناطق نظارتی")</f>
        <v>مناطق نظارتی</v>
      </c>
      <c r="AR521" s="4" t="str">
        <f>IFERROR(__xludf.DUMMYFUNCTION("GOOGLETRANSLATE(B521,""en"",""pl"")"),"Regiony monitorujące")</f>
        <v>Regiony monitorujące</v>
      </c>
      <c r="AS521" s="4" t="str">
        <f>IFERROR(__xludf.DUMMYFUNCTION("GOOGLETRANSLATE(B521,""en"",""sv"")"),"Övervakningsregioner")</f>
        <v>Övervakningsregioner</v>
      </c>
      <c r="AT521" s="4" t="str">
        <f>IFERROR(__xludf.DUMMYFUNCTION("GOOGLETRANSLATE(B521,""en"",""uk"")"),"Регіони моніторингу")</f>
        <v>Регіони моніторингу</v>
      </c>
      <c r="AU521" s="4" t="str">
        <f>IFERROR(__xludf.DUMMYFUNCTION("GOOGLETRANSLATE(B521,""en"",""zu"")"),"Ukuqapha Izifunda")</f>
        <v>Ukuqapha Izifunda</v>
      </c>
      <c r="AV521" s="4" t="str">
        <f>IFERROR(__xludf.DUMMYFUNCTION("GOOGLETRANSLATE(B521,""en"",""sr"")"),"Мониторинг Регионс")</f>
        <v>Мониторинг Регионс</v>
      </c>
    </row>
    <row r="522">
      <c r="A522" s="3" t="s">
        <v>1000</v>
      </c>
      <c r="B522" s="3" t="s">
        <v>1001</v>
      </c>
      <c r="C522" s="4" t="str">
        <f>IFERROR(__xludf.DUMMYFUNCTION("GOOGLETRANSLATE(B522,""en"",""ta"")"),"ஆரம்: {{ஆரம்}} கி.மீ")</f>
        <v>ஆரம்: {{ஆரம்}} கி.மீ</v>
      </c>
      <c r="D522" s="4" t="str">
        <f>IFERROR(__xludf.DUMMYFUNCTION("GOOGLETRANSLATE(B522,""en"",""hi"")"),"त्रिज्या: {{त्रिज्या}} किमी")</f>
        <v>त्रिज्या: {{त्रिज्या}} किमी</v>
      </c>
      <c r="E522" s="4" t="str">
        <f>IFERROR(__xludf.DUMMYFUNCTION("GOOGLETRANSLATE(B522,""en"",""id"")"),"Jari-jari: {{jari-jari}} km")</f>
        <v>Jari-jari: {{jari-jari}} km</v>
      </c>
      <c r="F522" s="4" t="str">
        <f>IFERROR(__xludf.DUMMYFUNCTION("GOOGLETRANSLATE(B522,""en"",""ms"")"),"Jejari: {{jejari}} km")</f>
        <v>Jejari: {{jejari}} km</v>
      </c>
      <c r="G522" s="4" t="str">
        <f>IFERROR(__xludf.DUMMYFUNCTION("GOOGLETRANSLATE(B522,""en"",""de"")"),"Radius: {{radius}} km")</f>
        <v>Radius: {{radius}} km</v>
      </c>
      <c r="H522" s="4" t="str">
        <f>IFERROR(__xludf.DUMMYFUNCTION("GOOGLETRANSLATE(B522,""en"",""es"")"),"Radio: {{radio}} km")</f>
        <v>Radio: {{radio}} km</v>
      </c>
      <c r="I522" s="4" t="str">
        <f>IFERROR(__xludf.DUMMYFUNCTION("GOOGLETRANSLATE(B522,""en"",""fr"")"),"Rayon : {{radius}} km")</f>
        <v>Rayon : {{radius}} km</v>
      </c>
      <c r="J522" s="4" t="str">
        <f>IFERROR(__xludf.DUMMYFUNCTION("GOOGLETRANSLATE(B522,""en"",""it"")"),"Raggio: {{radius}} km")</f>
        <v>Raggio: {{radius}} km</v>
      </c>
      <c r="K522" s="4" t="str">
        <f>IFERROR(__xludf.DUMMYFUNCTION("GOOGLETRANSLATE(B522,""en"",""pt"")"),"Raio: {{raio}} km")</f>
        <v>Raio: {{raio}} km</v>
      </c>
      <c r="L522" s="4" t="str">
        <f>IFERROR(__xludf.DUMMYFUNCTION("GOOGLETRANSLATE(B522,""en"",""ro"")"),"Raza: {{raza}} km")</f>
        <v>Raza: {{raza}} km</v>
      </c>
      <c r="M522" s="4" t="str">
        <f>IFERROR(__xludf.DUMMYFUNCTION("GOOGLETRANSLATE(B522,""en"",""vi"")"),"Bán kính: {{radius}} km")</f>
        <v>Bán kính: {{radius}} km</v>
      </c>
      <c r="N522" s="4" t="str">
        <f>IFERROR(__xludf.DUMMYFUNCTION("GOOGLETRANSLATE(B522,""en"",""ru"")"),"Радиус: {{radius}} км")</f>
        <v>Радиус: {{radius}} км</v>
      </c>
      <c r="O522" s="4" t="str">
        <f>IFERROR(__xludf.DUMMYFUNCTION("GOOGLETRANSLATE(B522,""en"",""tr"")"),"Yarıçap: {{yarıçap}} km")</f>
        <v>Yarıçap: {{yarıçap}} km</v>
      </c>
      <c r="P522" s="4" t="str">
        <f>IFERROR(__xludf.DUMMYFUNCTION("GOOGLETRANSLATE(B522,""en"",""ar"")"),"نصف القطر: {{radius}} كم")</f>
        <v>نصف القطر: {{radius}} كم</v>
      </c>
      <c r="Q522" s="4" t="str">
        <f>IFERROR(__xludf.DUMMYFUNCTION("GOOGLETRANSLATE(B522,""en"",""mr"")"),"त्रिज्या: {{त्रिज्या}} किमी")</f>
        <v>त्रिज्या: {{त्रिज्या}} किमी</v>
      </c>
      <c r="R522" s="4" t="str">
        <f>IFERROR(__xludf.DUMMYFUNCTION("GOOGLETRANSLATE(B522,""en"",""gu"")"),"ત્રિજ્યા: {{ત્રિજ્યા}} કિમી")</f>
        <v>ત્રિજ્યા: {{ત્રિજ્યા}} કિમી</v>
      </c>
      <c r="S522" s="4" t="str">
        <f>IFERROR(__xludf.DUMMYFUNCTION("GOOGLETRANSLATE(B522,""en"",""bn"")"),"ব্যাসার্ধ: {{ব্যাসার্ধ}} কিমি")</f>
        <v>ব্যাসার্ধ: {{ব্যাসার্ধ}} কিমি</v>
      </c>
      <c r="T522" s="4" t="str">
        <f>IFERROR(__xludf.DUMMYFUNCTION("GOOGLETRANSLATE(B522,""en"",""pa"")"),"ਰੇਡੀਅਸ: {{ਰੇਡੀਅਸ}} ਕਿਲੋਮੀਟਰ")</f>
        <v>ਰੇਡੀਅਸ: {{ਰੇਡੀਅਸ}} ਕਿਲੋਮੀਟਰ</v>
      </c>
      <c r="U522" s="4" t="str">
        <f>IFERROR(__xludf.DUMMYFUNCTION("GOOGLETRANSLATE(B522,""en"",""te"")"),"వ్యాసార్థం: {{ వ్యాసార్థం}} కి.మీ")</f>
        <v>వ్యాసార్థం: {{ వ్యాసార్థం}} కి.మీ</v>
      </c>
      <c r="V522" s="4" t="str">
        <f>IFERROR(__xludf.DUMMYFUNCTION("GOOGLETRANSLATE(B522,""en"",""kn"")"),"ತ್ರಿಜ್ಯ: {{ತ್ರಿಜ್ಯ}} ಕಿಮೀ")</f>
        <v>ತ್ರಿಜ್ಯ: {{ತ್ರಿಜ್ಯ}} ಕಿಮೀ</v>
      </c>
      <c r="W522" s="4" t="str">
        <f>IFERROR(__xludf.DUMMYFUNCTION("GOOGLETRANSLATE(B522,""en"",""ml"")"),"ദൂരം: {{ ആരം}} കി.മീ")</f>
        <v>ദൂരം: {{ ആരം}} കി.മീ</v>
      </c>
      <c r="X522" s="4" t="str">
        <f>IFERROR(__xludf.DUMMYFUNCTION("GOOGLETRANSLATE(B522,""en"",""th"")"),"รัศมี: {{radius}} กม.")</f>
        <v>รัศมี: {{radius}} กม.</v>
      </c>
      <c r="Y522" s="4" t="str">
        <f>IFERROR(__xludf.DUMMYFUNCTION("GOOGLETRANSLATE(B522,""en"",""ko"")"),"반경: {{radius}}km")</f>
        <v>반경: {{radius}}km</v>
      </c>
      <c r="Z522" s="4" t="str">
        <f>IFERROR(__xludf.DUMMYFUNCTION("GOOGLETRANSLATE(B522,""en"",""zh"")"),"半径：{{radius}} 公里")</f>
        <v>半径：{{radius}} 公里</v>
      </c>
      <c r="AA522" s="4" t="str">
        <f>IFERROR(__xludf.DUMMYFUNCTION("GOOGLETRANSLATE(B522,""en"",""zh-TW"")"),"半徑：{{radius}} 公里")</f>
        <v>半徑：{{radius}} 公里</v>
      </c>
      <c r="AB522" s="4" t="str">
        <f>IFERROR(__xludf.DUMMYFUNCTION("GOOGLETRANSLATE(B522,""en"",""ja"")"),"半径: {{radius}} km")</f>
        <v>半径: {{radius}} km</v>
      </c>
      <c r="AC522" s="4" t="str">
        <f>IFERROR(__xludf.DUMMYFUNCTION("GOOGLETRANSLATE(B522,""en"",""bg"")"),"Радиус: {{radius}} км")</f>
        <v>Радиус: {{radius}} км</v>
      </c>
      <c r="AD522" s="4" t="str">
        <f>IFERROR(__xludf.DUMMYFUNCTION("GOOGLETRANSLATE(B522,""en"",""cs"")"),"Poloměr: {{radius}} km")</f>
        <v>Poloměr: {{radius}} km</v>
      </c>
      <c r="AE522" s="4" t="str">
        <f>IFERROR(__xludf.DUMMYFUNCTION("GOOGLETRANSLATE(B522,""en"",""da"")"),"Radius: {{radius}} km")</f>
        <v>Radius: {{radius}} km</v>
      </c>
      <c r="AF522" s="4" t="str">
        <f>IFERROR(__xludf.DUMMYFUNCTION("GOOGLETRANSLATE(B522,""en"",""el"")"),"Ακτίνα: {{ακτίνα}} χλμ")</f>
        <v>Ακτίνα: {{ακτίνα}} χλμ</v>
      </c>
      <c r="AG522" s="4" t="str">
        <f>IFERROR(__xludf.DUMMYFUNCTION("GOOGLETRANSLATE(B522,""en"",""et"")"),"Raadius: {{raadius}} km")</f>
        <v>Raadius: {{raadius}} km</v>
      </c>
      <c r="AH522" s="4" t="str">
        <f>IFERROR(__xludf.DUMMYFUNCTION("GOOGLETRANSLATE(B522,""en"",""fi"")"),"Säde: {{radius}} km")</f>
        <v>Säde: {{radius}} km</v>
      </c>
      <c r="AI522" s="4" t="str">
        <f>IFERROR(__xludf.DUMMYFUNCTION("GOOGLETRANSLATE(B522,""en"",""hr"")"),"Radijus: {{radius}} km")</f>
        <v>Radijus: {{radius}} km</v>
      </c>
      <c r="AJ522" s="4" t="str">
        <f>IFERROR(__xludf.DUMMYFUNCTION("GOOGLETRANSLATE(B522,""en"",""hu"")"),"Sugár: {{sugár}} km")</f>
        <v>Sugár: {{sugár}} km</v>
      </c>
      <c r="AK522" s="4" t="str">
        <f>IFERROR(__xludf.DUMMYFUNCTION("GOOGLETRANSLATE(B522,""en"",""hy"")"),"Շառավիղը՝ {{ շառավիղ }} կմ")</f>
        <v>Շառավիղը՝ {{ շառավիղ }} կմ</v>
      </c>
      <c r="AL522" s="4" t="str">
        <f>IFERROR(__xludf.DUMMYFUNCTION("GOOGLETRANSLATE(B522,""en"",""ca"")"),"Radi: {{radius}} km")</f>
        <v>Radi: {{radius}} km</v>
      </c>
      <c r="AM522" s="4" t="str">
        <f>IFERROR(__xludf.DUMMYFUNCTION("GOOGLETRANSLATE(B522,""en"",""nl"")"),"Straal: {{radius}} km")</f>
        <v>Straal: {{radius}} km</v>
      </c>
      <c r="AN522" s="4" t="str">
        <f>IFERROR(__xludf.DUMMYFUNCTION("GOOGLETRANSLATE(B522,""en"",""he"")"),"רדיוס: {{רדיוס}} ק""מ")</f>
        <v>רדיוס: {{רדיוס}} ק"מ</v>
      </c>
      <c r="AO522" s="4" t="str">
        <f>IFERROR(__xludf.DUMMYFUNCTION("GOOGLETRANSLATE(B522,""en"",""is"")"),"Radíus: {{radíus}} km")</f>
        <v>Radíus: {{radíus}} km</v>
      </c>
      <c r="AP522" s="4" t="str">
        <f>IFERROR(__xludf.DUMMYFUNCTION("GOOGLETRANSLATE(B522,""en"",""no"")"),"Radius: {{radius}} km")</f>
        <v>Radius: {{radius}} km</v>
      </c>
      <c r="AQ522" s="4" t="str">
        <f>IFERROR(__xludf.DUMMYFUNCTION("GOOGLETRANSLATE(B522,""en"",""fa"")"),"شعاع: {{شعاع}} کیلومتر")</f>
        <v>شعاع: {{شعاع}} کیلومتر</v>
      </c>
      <c r="AR522" s="4" t="str">
        <f>IFERROR(__xludf.DUMMYFUNCTION("GOOGLETRANSLATE(B522,""en"",""pl"")"),"Promień: {{radius}} km")</f>
        <v>Promień: {{radius}} km</v>
      </c>
      <c r="AS522" s="4" t="str">
        <f>IFERROR(__xludf.DUMMYFUNCTION("GOOGLETRANSLATE(B522,""en"",""sv"")"),"Radie: {{radius}} km")</f>
        <v>Radie: {{radius}} km</v>
      </c>
      <c r="AT522" s="4" t="str">
        <f>IFERROR(__xludf.DUMMYFUNCTION("GOOGLETRANSLATE(B522,""en"",""uk"")"),"Радіус: {{radius}} км")</f>
        <v>Радіус: {{radius}} км</v>
      </c>
      <c r="AU522" s="4" t="str">
        <f>IFERROR(__xludf.DUMMYFUNCTION("GOOGLETRANSLATE(B522,""en"",""zu"")"),"Irediyasi: {{radius}} km")</f>
        <v>Irediyasi: {{radius}} km</v>
      </c>
      <c r="AV522" s="4" t="str">
        <f>IFERROR(__xludf.DUMMYFUNCTION("GOOGLETRANSLATE(B522,""en"",""sr"")"),"Радијус: {{радијус}} км")</f>
        <v>Радијус: {{радијус}} км</v>
      </c>
    </row>
    <row r="523">
      <c r="A523" s="3" t="s">
        <v>1002</v>
      </c>
      <c r="B523" s="3" t="s">
        <v>1003</v>
      </c>
      <c r="C523" s="4" t="str">
        <f>IFERROR(__xludf.DUMMYFUNCTION("GOOGLETRANSLATE(B523,""en"",""ta"")"),"பிராந்தியத்தை நீக்கு")</f>
        <v>பிராந்தியத்தை நீக்கு</v>
      </c>
      <c r="D523" s="4" t="str">
        <f>IFERROR(__xludf.DUMMYFUNCTION("GOOGLETRANSLATE(B523,""en"",""hi"")"),"क्षेत्र हटाएं")</f>
        <v>क्षेत्र हटाएं</v>
      </c>
      <c r="E523" s="4" t="str">
        <f>IFERROR(__xludf.DUMMYFUNCTION("GOOGLETRANSLATE(B523,""en"",""id"")"),"Hapus Wilayah")</f>
        <v>Hapus Wilayah</v>
      </c>
      <c r="F523" s="4" t="str">
        <f>IFERROR(__xludf.DUMMYFUNCTION("GOOGLETRANSLATE(B523,""en"",""ms"")"),"Padamkan Wilayah")</f>
        <v>Padamkan Wilayah</v>
      </c>
      <c r="G523" s="4" t="str">
        <f>IFERROR(__xludf.DUMMYFUNCTION("GOOGLETRANSLATE(B523,""en"",""de"")"),"Region löschen")</f>
        <v>Region löschen</v>
      </c>
      <c r="H523" s="4" t="str">
        <f>IFERROR(__xludf.DUMMYFUNCTION("GOOGLETRANSLATE(B523,""en"",""es"")"),"Eliminar región")</f>
        <v>Eliminar región</v>
      </c>
      <c r="I523" s="4" t="str">
        <f>IFERROR(__xludf.DUMMYFUNCTION("GOOGLETRANSLATE(B523,""en"",""fr"")"),"Supprimer la région")</f>
        <v>Supprimer la région</v>
      </c>
      <c r="J523" s="4" t="str">
        <f>IFERROR(__xludf.DUMMYFUNCTION("GOOGLETRANSLATE(B523,""en"",""it"")"),"Elimina regione")</f>
        <v>Elimina regione</v>
      </c>
      <c r="K523" s="4" t="str">
        <f>IFERROR(__xludf.DUMMYFUNCTION("GOOGLETRANSLATE(B523,""en"",""pt"")"),"Excluir região")</f>
        <v>Excluir região</v>
      </c>
      <c r="L523" s="4" t="str">
        <f>IFERROR(__xludf.DUMMYFUNCTION("GOOGLETRANSLATE(B523,""en"",""ro"")"),"Ștergeți regiunea")</f>
        <v>Ștergeți regiunea</v>
      </c>
      <c r="M523" s="4" t="str">
        <f>IFERROR(__xludf.DUMMYFUNCTION("GOOGLETRANSLATE(B523,""en"",""vi"")"),"Xóa vùng")</f>
        <v>Xóa vùng</v>
      </c>
      <c r="N523" s="4" t="str">
        <f>IFERROR(__xludf.DUMMYFUNCTION("GOOGLETRANSLATE(B523,""en"",""ru"")"),"Удалить регион")</f>
        <v>Удалить регион</v>
      </c>
      <c r="O523" s="4" t="str">
        <f>IFERROR(__xludf.DUMMYFUNCTION("GOOGLETRANSLATE(B523,""en"",""tr"")"),"Bölgeyi Sil")</f>
        <v>Bölgeyi Sil</v>
      </c>
      <c r="P523" s="4" t="str">
        <f>IFERROR(__xludf.DUMMYFUNCTION("GOOGLETRANSLATE(B523,""en"",""ar"")"),"حذف المنطقة")</f>
        <v>حذف المنطقة</v>
      </c>
      <c r="Q523" s="4" t="str">
        <f>IFERROR(__xludf.DUMMYFUNCTION("GOOGLETRANSLATE(B523,""en"",""mr"")"),"प्रदेश हटवा")</f>
        <v>प्रदेश हटवा</v>
      </c>
      <c r="R523" s="4" t="str">
        <f>IFERROR(__xludf.DUMMYFUNCTION("GOOGLETRANSLATE(B523,""en"",""gu"")"),"પ્રદેશ કાઢી નાખો")</f>
        <v>પ્રદેશ કાઢી નાખો</v>
      </c>
      <c r="S523" s="4" t="str">
        <f>IFERROR(__xludf.DUMMYFUNCTION("GOOGLETRANSLATE(B523,""en"",""bn"")"),"অঞ্চল মুছুন")</f>
        <v>অঞ্চল মুছুন</v>
      </c>
      <c r="T523" s="4" t="str">
        <f>IFERROR(__xludf.DUMMYFUNCTION("GOOGLETRANSLATE(B523,""en"",""pa"")"),"ਖੇਤਰ ਮਿਟਾਓ")</f>
        <v>ਖੇਤਰ ਮਿਟਾਓ</v>
      </c>
      <c r="U523" s="4" t="str">
        <f>IFERROR(__xludf.DUMMYFUNCTION("GOOGLETRANSLATE(B523,""en"",""te"")"),"ప్రాంతాన్ని తొలగించండి")</f>
        <v>ప్రాంతాన్ని తొలగించండి</v>
      </c>
      <c r="V523" s="4" t="str">
        <f>IFERROR(__xludf.DUMMYFUNCTION("GOOGLETRANSLATE(B523,""en"",""kn"")"),"ಪ್ರದೇಶವನ್ನು ಅಳಿಸಿ")</f>
        <v>ಪ್ರದೇಶವನ್ನು ಅಳಿಸಿ</v>
      </c>
      <c r="W523" s="4" t="str">
        <f>IFERROR(__xludf.DUMMYFUNCTION("GOOGLETRANSLATE(B523,""en"",""ml"")"),"പ്രദേശം ഇല്ലാതാക്കുക")</f>
        <v>പ്രദേശം ഇല്ലാതാക്കുക</v>
      </c>
      <c r="X523" s="4" t="str">
        <f>IFERROR(__xludf.DUMMYFUNCTION("GOOGLETRANSLATE(B523,""en"",""th"")"),"ลบภูมิภาค")</f>
        <v>ลบภูมิภาค</v>
      </c>
      <c r="Y523" s="4" t="str">
        <f>IFERROR(__xludf.DUMMYFUNCTION("GOOGLETRANSLATE(B523,""en"",""ko"")"),"지역 삭제")</f>
        <v>지역 삭제</v>
      </c>
      <c r="Z523" s="4" t="str">
        <f>IFERROR(__xludf.DUMMYFUNCTION("GOOGLETRANSLATE(B523,""en"",""zh"")"),"删除区域")</f>
        <v>删除区域</v>
      </c>
      <c r="AA523" s="4" t="str">
        <f>IFERROR(__xludf.DUMMYFUNCTION("GOOGLETRANSLATE(B523,""en"",""zh-TW"")"),"刪除區域")</f>
        <v>刪除區域</v>
      </c>
      <c r="AB523" s="4" t="str">
        <f>IFERROR(__xludf.DUMMYFUNCTION("GOOGLETRANSLATE(B523,""en"",""ja"")"),"領域を削除")</f>
        <v>領域を削除</v>
      </c>
      <c r="AC523" s="4" t="str">
        <f>IFERROR(__xludf.DUMMYFUNCTION("GOOGLETRANSLATE(B523,""en"",""bg"")"),"Изтриване на регион")</f>
        <v>Изтриване на регион</v>
      </c>
      <c r="AD523" s="4" t="str">
        <f>IFERROR(__xludf.DUMMYFUNCTION("GOOGLETRANSLATE(B523,""en"",""cs"")"),"Smazat region")</f>
        <v>Smazat region</v>
      </c>
      <c r="AE523" s="4" t="str">
        <f>IFERROR(__xludf.DUMMYFUNCTION("GOOGLETRANSLATE(B523,""en"",""da"")"),"Slet region")</f>
        <v>Slet region</v>
      </c>
      <c r="AF523" s="4" t="str">
        <f>IFERROR(__xludf.DUMMYFUNCTION("GOOGLETRANSLATE(B523,""en"",""el"")"),"Διαγραφή περιοχής")</f>
        <v>Διαγραφή περιοχής</v>
      </c>
      <c r="AG523" s="4" t="str">
        <f>IFERROR(__xludf.DUMMYFUNCTION("GOOGLETRANSLATE(B523,""en"",""et"")"),"Kustuta piirkond")</f>
        <v>Kustuta piirkond</v>
      </c>
      <c r="AH523" s="4" t="str">
        <f>IFERROR(__xludf.DUMMYFUNCTION("GOOGLETRANSLATE(B523,""en"",""fi"")"),"Poista alue")</f>
        <v>Poista alue</v>
      </c>
      <c r="AI523" s="4" t="str">
        <f>IFERROR(__xludf.DUMMYFUNCTION("GOOGLETRANSLATE(B523,""en"",""hr"")"),"Izbriši regiju")</f>
        <v>Izbriši regiju</v>
      </c>
      <c r="AJ523" s="4" t="str">
        <f>IFERROR(__xludf.DUMMYFUNCTION("GOOGLETRANSLATE(B523,""en"",""hu"")"),"Régió törlése")</f>
        <v>Régió törlése</v>
      </c>
      <c r="AK523" s="4" t="str">
        <f>IFERROR(__xludf.DUMMYFUNCTION("GOOGLETRANSLATE(B523,""en"",""hy"")"),"Ջնջել Տարածաշրջանը")</f>
        <v>Ջնջել Տարածաշրջանը</v>
      </c>
      <c r="AL523" s="4" t="str">
        <f>IFERROR(__xludf.DUMMYFUNCTION("GOOGLETRANSLATE(B523,""en"",""ca"")"),"Suprimeix la regió")</f>
        <v>Suprimeix la regió</v>
      </c>
      <c r="AM523" s="4" t="str">
        <f>IFERROR(__xludf.DUMMYFUNCTION("GOOGLETRANSLATE(B523,""en"",""nl"")"),"Regio verwijderen")</f>
        <v>Regio verwijderen</v>
      </c>
      <c r="AN523" s="4" t="str">
        <f>IFERROR(__xludf.DUMMYFUNCTION("GOOGLETRANSLATE(B523,""en"",""he"")"),"מחק אזור")</f>
        <v>מחק אזור</v>
      </c>
      <c r="AO523" s="4" t="str">
        <f>IFERROR(__xludf.DUMMYFUNCTION("GOOGLETRANSLATE(B523,""en"",""is"")"),"Eyða svæði")</f>
        <v>Eyða svæði</v>
      </c>
      <c r="AP523" s="4" t="str">
        <f>IFERROR(__xludf.DUMMYFUNCTION("GOOGLETRANSLATE(B523,""en"",""no"")"),"Slett region")</f>
        <v>Slett region</v>
      </c>
      <c r="AQ523" s="4" t="str">
        <f>IFERROR(__xludf.DUMMYFUNCTION("GOOGLETRANSLATE(B523,""en"",""fa"")"),"حذف منطقه")</f>
        <v>حذف منطقه</v>
      </c>
      <c r="AR523" s="4" t="str">
        <f>IFERROR(__xludf.DUMMYFUNCTION("GOOGLETRANSLATE(B523,""en"",""pl"")"),"Usuń region")</f>
        <v>Usuń region</v>
      </c>
      <c r="AS523" s="4" t="str">
        <f>IFERROR(__xludf.DUMMYFUNCTION("GOOGLETRANSLATE(B523,""en"",""sv"")"),"Ta bort region")</f>
        <v>Ta bort region</v>
      </c>
      <c r="AT523" s="4" t="str">
        <f>IFERROR(__xludf.DUMMYFUNCTION("GOOGLETRANSLATE(B523,""en"",""uk"")"),"Видалити регіон")</f>
        <v>Видалити регіон</v>
      </c>
      <c r="AU523" s="4" t="str">
        <f>IFERROR(__xludf.DUMMYFUNCTION("GOOGLETRANSLATE(B523,""en"",""zu"")"),"Susa Isifunda")</f>
        <v>Susa Isifunda</v>
      </c>
      <c r="AV523" s="4" t="str">
        <f>IFERROR(__xludf.DUMMYFUNCTION("GOOGLETRANSLATE(B523,""en"",""sr"")"),"Делете Регион")</f>
        <v>Делете Регион</v>
      </c>
    </row>
    <row r="524">
      <c r="A524" s="3" t="s">
        <v>1004</v>
      </c>
      <c r="B524" s="3" t="s">
        <v>1005</v>
      </c>
      <c r="C524" s="4" t="str">
        <f>IFERROR(__xludf.DUMMYFUNCTION("GOOGLETRANSLATE(B524,""en"",""ta"")"),"இந்தப் பகுதியை நிச்சயமாக நீக்க விரும்புகிறீர்களா?")</f>
        <v>இந்தப் பகுதியை நிச்சயமாக நீக்க விரும்புகிறீர்களா?</v>
      </c>
      <c r="D524" s="4" t="str">
        <f>IFERROR(__xludf.DUMMYFUNCTION("GOOGLETRANSLATE(B524,""en"",""hi"")"),"क्या आप वाकई इस क्षेत्र को हटाना चाहते हैं?")</f>
        <v>क्या आप वाकई इस क्षेत्र को हटाना चाहते हैं?</v>
      </c>
      <c r="E524" s="4" t="str">
        <f>IFERROR(__xludf.DUMMYFUNCTION("GOOGLETRANSLATE(B524,""en"",""id"")"),"Apakah Anda yakin ingin menghapus wilayah ini?")</f>
        <v>Apakah Anda yakin ingin menghapus wilayah ini?</v>
      </c>
      <c r="F524" s="4" t="str">
        <f>IFERROR(__xludf.DUMMYFUNCTION("GOOGLETRANSLATE(B524,""en"",""ms"")"),"Adakah anda pasti mahu memadamkan rantau ini?")</f>
        <v>Adakah anda pasti mahu memadamkan rantau ini?</v>
      </c>
      <c r="G524" s="4" t="str">
        <f>IFERROR(__xludf.DUMMYFUNCTION("GOOGLETRANSLATE(B524,""en"",""de"")"),"Möchten Sie diese Region wirklich löschen?")</f>
        <v>Möchten Sie diese Region wirklich löschen?</v>
      </c>
      <c r="H524" s="4" t="str">
        <f>IFERROR(__xludf.DUMMYFUNCTION("GOOGLETRANSLATE(B524,""en"",""es"")"),"¿Estás seguro de que deseas eliminar esta región?")</f>
        <v>¿Estás seguro de que deseas eliminar esta región?</v>
      </c>
      <c r="I524" s="4" t="str">
        <f>IFERROR(__xludf.DUMMYFUNCTION("GOOGLETRANSLATE(B524,""en"",""fr"")"),"Êtes-vous sûr de vouloir supprimer cette région ?")</f>
        <v>Êtes-vous sûr de vouloir supprimer cette région ?</v>
      </c>
      <c r="J524" s="4" t="str">
        <f>IFERROR(__xludf.DUMMYFUNCTION("GOOGLETRANSLATE(B524,""en"",""it"")"),"Vuoi davvero eliminare questa regione?")</f>
        <v>Vuoi davvero eliminare questa regione?</v>
      </c>
      <c r="K524" s="4" t="str">
        <f>IFERROR(__xludf.DUMMYFUNCTION("GOOGLETRANSLATE(B524,""en"",""pt"")"),"Tem certeza de que deseja excluir esta região?")</f>
        <v>Tem certeza de que deseja excluir esta região?</v>
      </c>
      <c r="L524" s="4" t="str">
        <f>IFERROR(__xludf.DUMMYFUNCTION("GOOGLETRANSLATE(B524,""en"",""ro"")"),"Sigur doriți să ștergeți această regiune?")</f>
        <v>Sigur doriți să ștergeți această regiune?</v>
      </c>
      <c r="M524" s="4" t="str">
        <f>IFERROR(__xludf.DUMMYFUNCTION("GOOGLETRANSLATE(B524,""en"",""vi"")"),"Bạn có chắc chắn muốn xóa vùng này không?")</f>
        <v>Bạn có chắc chắn muốn xóa vùng này không?</v>
      </c>
      <c r="N524" s="4" t="str">
        <f>IFERROR(__xludf.DUMMYFUNCTION("GOOGLETRANSLATE(B524,""en"",""ru"")"),"Вы уверены, что хотите удалить этот регион?")</f>
        <v>Вы уверены, что хотите удалить этот регион?</v>
      </c>
      <c r="O524" s="4" t="str">
        <f>IFERROR(__xludf.DUMMYFUNCTION("GOOGLETRANSLATE(B524,""en"",""tr"")"),"Bu bölgeyi silmek istediğinizden emin misiniz?")</f>
        <v>Bu bölgeyi silmek istediğinizden emin misiniz?</v>
      </c>
      <c r="P524" s="4" t="str">
        <f>IFERROR(__xludf.DUMMYFUNCTION("GOOGLETRANSLATE(B524,""en"",""ar"")"),"هل أنت متأكد أنك تريد حذف هذه المنطقة؟")</f>
        <v>هل أنت متأكد أنك تريد حذف هذه المنطقة؟</v>
      </c>
      <c r="Q524" s="4" t="str">
        <f>IFERROR(__xludf.DUMMYFUNCTION("GOOGLETRANSLATE(B524,""en"",""mr"")"),"तुमची खात्री आहे की तुम्ही हा प्रदेश हटवू इच्छिता?")</f>
        <v>तुमची खात्री आहे की तुम्ही हा प्रदेश हटवू इच्छिता?</v>
      </c>
      <c r="R524" s="4" t="str">
        <f>IFERROR(__xludf.DUMMYFUNCTION("GOOGLETRANSLATE(B524,""en"",""gu"")"),"શું તમે ખરેખર આ પ્રદેશને કાઢી નાખવા માંગો છો?")</f>
        <v>શું તમે ખરેખર આ પ્રદેશને કાઢી નાખવા માંગો છો?</v>
      </c>
      <c r="S524" s="4" t="str">
        <f>IFERROR(__xludf.DUMMYFUNCTION("GOOGLETRANSLATE(B524,""en"",""bn"")"),"আপনি কি এই অঞ্চলটি মুছে ফেলার বিষয়ে নিশ্চিত?")</f>
        <v>আপনি কি এই অঞ্চলটি মুছে ফেলার বিষয়ে নিশ্চিত?</v>
      </c>
      <c r="T524" s="4" t="str">
        <f>IFERROR(__xludf.DUMMYFUNCTION("GOOGLETRANSLATE(B524,""en"",""pa"")"),"ਕੀ ਤੁਸੀਂ ਯਕੀਨੀ ਤੌਰ 'ਤੇ ਇਸ ਖੇਤਰ ਨੂੰ ਮਿਟਾਉਣਾ ਚਾਹੁੰਦੇ ਹੋ?")</f>
        <v>ਕੀ ਤੁਸੀਂ ਯਕੀਨੀ ਤੌਰ 'ਤੇ ਇਸ ਖੇਤਰ ਨੂੰ ਮਿਟਾਉਣਾ ਚਾਹੁੰਦੇ ਹੋ?</v>
      </c>
      <c r="U524" s="4" t="str">
        <f>IFERROR(__xludf.DUMMYFUNCTION("GOOGLETRANSLATE(B524,""en"",""te"")"),"మీరు ఖచ్చితంగా ఈ ప్రాంతాన్ని తొలగించాలనుకుంటున్నారా?")</f>
        <v>మీరు ఖచ్చితంగా ఈ ప్రాంతాన్ని తొలగించాలనుకుంటున్నారా?</v>
      </c>
      <c r="V524" s="4" t="str">
        <f>IFERROR(__xludf.DUMMYFUNCTION("GOOGLETRANSLATE(B524,""en"",""kn"")"),"ಈ ಪ್ರದೇಶವನ್ನು ಅಳಿಸಲು ನೀವು ಖಚಿತವಾಗಿ ಬಯಸುವಿರಾ?")</f>
        <v>ಈ ಪ್ರದೇಶವನ್ನು ಅಳಿಸಲು ನೀವು ಖಚಿತವಾಗಿ ಬಯಸುವಿರಾ?</v>
      </c>
      <c r="W524" s="4" t="str">
        <f>IFERROR(__xludf.DUMMYFUNCTION("GOOGLETRANSLATE(B524,""en"",""ml"")"),"ഈ പ്രദേശം ഇല്ലാതാക്കണമെന്ന് തീർച്ചയാണോ?")</f>
        <v>ഈ പ്രദേശം ഇല്ലാതാക്കണമെന്ന് തീർച്ചയാണോ?</v>
      </c>
      <c r="X524" s="4" t="str">
        <f>IFERROR(__xludf.DUMMYFUNCTION("GOOGLETRANSLATE(B524,""en"",""th"")"),"คุณแน่ใจว่าต้องการลบภูมิภาคนี้หรือไม่?")</f>
        <v>คุณแน่ใจว่าต้องการลบภูมิภาคนี้หรือไม่?</v>
      </c>
      <c r="Y524" s="4" t="str">
        <f>IFERROR(__xludf.DUMMYFUNCTION("GOOGLETRANSLATE(B524,""en"",""ko"")"),"이 지역을 삭제하시겠습니까?")</f>
        <v>이 지역을 삭제하시겠습니까?</v>
      </c>
      <c r="Z524" s="4" t="str">
        <f>IFERROR(__xludf.DUMMYFUNCTION("GOOGLETRANSLATE(B524,""en"",""zh"")"),"您确定要删除该区域吗？")</f>
        <v>您确定要删除该区域吗？</v>
      </c>
      <c r="AA524" s="4" t="str">
        <f>IFERROR(__xludf.DUMMYFUNCTION("GOOGLETRANSLATE(B524,""en"",""zh-TW"")"),"您確定要刪除該區域嗎？")</f>
        <v>您確定要刪除該區域嗎？</v>
      </c>
      <c r="AB524" s="4" t="str">
        <f>IFERROR(__xludf.DUMMYFUNCTION("GOOGLETRANSLATE(B524,""en"",""ja"")"),"この地域を削除してもよろしいですか?")</f>
        <v>この地域を削除してもよろしいですか?</v>
      </c>
      <c r="AC524" s="4" t="str">
        <f>IFERROR(__xludf.DUMMYFUNCTION("GOOGLETRANSLATE(B524,""en"",""bg"")"),"Сигурни ли сте, че искате да изтриете този регион?")</f>
        <v>Сигурни ли сте, че искате да изтриете този регион?</v>
      </c>
      <c r="AD524" s="4" t="str">
        <f>IFERROR(__xludf.DUMMYFUNCTION("GOOGLETRANSLATE(B524,""en"",""cs"")"),"Opravdu chcete smazat tuto oblast?")</f>
        <v>Opravdu chcete smazat tuto oblast?</v>
      </c>
      <c r="AE524" s="4" t="str">
        <f>IFERROR(__xludf.DUMMYFUNCTION("GOOGLETRANSLATE(B524,""en"",""da"")"),"Er du sikker på, at du vil slette denne region?")</f>
        <v>Er du sikker på, at du vil slette denne region?</v>
      </c>
      <c r="AF524" s="4" t="str">
        <f>IFERROR(__xludf.DUMMYFUNCTION("GOOGLETRANSLATE(B524,""en"",""el"")"),"Είστε βέβαιοι ότι θέλετε να διαγράψετε αυτήν την περιοχή;")</f>
        <v>Είστε βέβαιοι ότι θέλετε να διαγράψετε αυτήν την περιοχή;</v>
      </c>
      <c r="AG524" s="4" t="str">
        <f>IFERROR(__xludf.DUMMYFUNCTION("GOOGLETRANSLATE(B524,""en"",""et"")"),"Kas olete kindel, et soovite selle piirkonna kustutada?")</f>
        <v>Kas olete kindel, et soovite selle piirkonna kustutada?</v>
      </c>
      <c r="AH524" s="4" t="str">
        <f>IFERROR(__xludf.DUMMYFUNCTION("GOOGLETRANSLATE(B524,""en"",""fi"")"),"Haluatko varmasti poistaa tämän alueen?")</f>
        <v>Haluatko varmasti poistaa tämän alueen?</v>
      </c>
      <c r="AI524" s="4" t="str">
        <f>IFERROR(__xludf.DUMMYFUNCTION("GOOGLETRANSLATE(B524,""en"",""hr"")"),"Jeste li sigurni da želite izbrisati ovu regiju?")</f>
        <v>Jeste li sigurni da želite izbrisati ovu regiju?</v>
      </c>
      <c r="AJ524" s="4" t="str">
        <f>IFERROR(__xludf.DUMMYFUNCTION("GOOGLETRANSLATE(B524,""en"",""hu"")"),"Biztosan törli ezt a régiót?")</f>
        <v>Biztosan törli ezt a régiót?</v>
      </c>
      <c r="AK524" s="4" t="str">
        <f>IFERROR(__xludf.DUMMYFUNCTION("GOOGLETRANSLATE(B524,""en"",""hy"")"),"Իսկապե՞ս ուզում եք ջնջել այս տարածաշրջանը:")</f>
        <v>Իսկապե՞ս ուզում եք ջնջել այս տարածաշրջանը:</v>
      </c>
      <c r="AL524" s="4" t="str">
        <f>IFERROR(__xludf.DUMMYFUNCTION("GOOGLETRANSLATE(B524,""en"",""ca"")"),"Esteu segur que voleu suprimir aquesta regió?")</f>
        <v>Esteu segur que voleu suprimir aquesta regió?</v>
      </c>
      <c r="AM524" s="4" t="str">
        <f>IFERROR(__xludf.DUMMYFUNCTION("GOOGLETRANSLATE(B524,""en"",""nl"")"),"Weet u zeker dat u dit gebied wilt verwijderen?")</f>
        <v>Weet u zeker dat u dit gebied wilt verwijderen?</v>
      </c>
      <c r="AN524" s="4" t="str">
        <f>IFERROR(__xludf.DUMMYFUNCTION("GOOGLETRANSLATE(B524,""en"",""he"")"),"האם אתה בטוח שברצונך למחוק אזור זה?")</f>
        <v>האם אתה בטוח שברצונך למחוק אזור זה?</v>
      </c>
      <c r="AO524" s="4" t="str">
        <f>IFERROR(__xludf.DUMMYFUNCTION("GOOGLETRANSLATE(B524,""en"",""is"")"),"Ertu viss um að þú viljir eyða þessu svæði?")</f>
        <v>Ertu viss um að þú viljir eyða þessu svæði?</v>
      </c>
      <c r="AP524" s="4" t="str">
        <f>IFERROR(__xludf.DUMMYFUNCTION("GOOGLETRANSLATE(B524,""en"",""no"")"),"Er du sikker på at du vil slette denne regionen?")</f>
        <v>Er du sikker på at du vil slette denne regionen?</v>
      </c>
      <c r="AQ524" s="4" t="str">
        <f>IFERROR(__xludf.DUMMYFUNCTION("GOOGLETRANSLATE(B524,""en"",""fa"")"),"آیا مطمئن هستید که می خواهید این منطقه را حذف کنید؟")</f>
        <v>آیا مطمئن هستید که می خواهید این منطقه را حذف کنید؟</v>
      </c>
      <c r="AR524" s="4" t="str">
        <f>IFERROR(__xludf.DUMMYFUNCTION("GOOGLETRANSLATE(B524,""en"",""pl"")"),"Czy na pewno chcesz usunąć ten region?")</f>
        <v>Czy na pewno chcesz usunąć ten region?</v>
      </c>
      <c r="AS524" s="4" t="str">
        <f>IFERROR(__xludf.DUMMYFUNCTION("GOOGLETRANSLATE(B524,""en"",""sv"")"),"Är du säker på att du vill ta bort den här regionen?")</f>
        <v>Är du säker på att du vill ta bort den här regionen?</v>
      </c>
      <c r="AT524" s="4" t="str">
        <f>IFERROR(__xludf.DUMMYFUNCTION("GOOGLETRANSLATE(B524,""en"",""uk"")"),"Ви впевнені, що хочете видалити цей регіон?")</f>
        <v>Ви впевнені, що хочете видалити цей регіон?</v>
      </c>
      <c r="AU524" s="4" t="str">
        <f>IFERROR(__xludf.DUMMYFUNCTION("GOOGLETRANSLATE(B524,""en"",""zu"")"),"Uqinisekile ukuthi ufuna ukususa lesi sifunda?")</f>
        <v>Uqinisekile ukuthi ufuna ukususa lesi sifunda?</v>
      </c>
      <c r="AV524" s="4" t="str">
        <f>IFERROR(__xludf.DUMMYFUNCTION("GOOGLETRANSLATE(B524,""en"",""sr"")"),"Да ли сте сигурни да желите да избришете овај регион?")</f>
        <v>Да ли сте сигурни да желите да избришете овај регион?</v>
      </c>
    </row>
    <row r="525">
      <c r="A525" s="3" t="s">
        <v>1006</v>
      </c>
      <c r="B525" s="3" t="s">
        <v>1007</v>
      </c>
      <c r="C525" s="4" t="str">
        <f>IFERROR(__xludf.DUMMYFUNCTION("GOOGLETRANSLATE(B525,""en"",""ta"")"),"பிராந்தியத்தைச் சேர்க்கவும்")</f>
        <v>பிராந்தியத்தைச் சேர்க்கவும்</v>
      </c>
      <c r="D525" s="4" t="str">
        <f>IFERROR(__xludf.DUMMYFUNCTION("GOOGLETRANSLATE(B525,""en"",""hi"")"),"क्षेत्र जोड़ें")</f>
        <v>क्षेत्र जोड़ें</v>
      </c>
      <c r="E525" s="4" t="str">
        <f>IFERROR(__xludf.DUMMYFUNCTION("GOOGLETRANSLATE(B525,""en"",""id"")"),"Tambahkan Wilayah")</f>
        <v>Tambahkan Wilayah</v>
      </c>
      <c r="F525" s="4" t="str">
        <f>IFERROR(__xludf.DUMMYFUNCTION("GOOGLETRANSLATE(B525,""en"",""ms"")"),"Tambah Wilayah")</f>
        <v>Tambah Wilayah</v>
      </c>
      <c r="G525" s="4" t="str">
        <f>IFERROR(__xludf.DUMMYFUNCTION("GOOGLETRANSLATE(B525,""en"",""de"")"),"Region hinzufügen")</f>
        <v>Region hinzufügen</v>
      </c>
      <c r="H525" s="4" t="str">
        <f>IFERROR(__xludf.DUMMYFUNCTION("GOOGLETRANSLATE(B525,""en"",""es"")"),"Agregar región")</f>
        <v>Agregar región</v>
      </c>
      <c r="I525" s="4" t="str">
        <f>IFERROR(__xludf.DUMMYFUNCTION("GOOGLETRANSLATE(B525,""en"",""fr"")"),"Ajouter une région")</f>
        <v>Ajouter une région</v>
      </c>
      <c r="J525" s="4" t="str">
        <f>IFERROR(__xludf.DUMMYFUNCTION("GOOGLETRANSLATE(B525,""en"",""it"")"),"Aggiungi regione")</f>
        <v>Aggiungi regione</v>
      </c>
      <c r="K525" s="4" t="str">
        <f>IFERROR(__xludf.DUMMYFUNCTION("GOOGLETRANSLATE(B525,""en"",""pt"")"),"Adicionar região")</f>
        <v>Adicionar região</v>
      </c>
      <c r="L525" s="4" t="str">
        <f>IFERROR(__xludf.DUMMYFUNCTION("GOOGLETRANSLATE(B525,""en"",""ro"")"),"Adăugați o regiune")</f>
        <v>Adăugați o regiune</v>
      </c>
      <c r="M525" s="4" t="str">
        <f>IFERROR(__xludf.DUMMYFUNCTION("GOOGLETRANSLATE(B525,""en"",""vi"")"),"Thêm khu vực")</f>
        <v>Thêm khu vực</v>
      </c>
      <c r="N525" s="4" t="str">
        <f>IFERROR(__xludf.DUMMYFUNCTION("GOOGLETRANSLATE(B525,""en"",""ru"")"),"Добавить регион")</f>
        <v>Добавить регион</v>
      </c>
      <c r="O525" s="4" t="str">
        <f>IFERROR(__xludf.DUMMYFUNCTION("GOOGLETRANSLATE(B525,""en"",""tr"")"),"Bölge Ekle")</f>
        <v>Bölge Ekle</v>
      </c>
      <c r="P525" s="4" t="str">
        <f>IFERROR(__xludf.DUMMYFUNCTION("GOOGLETRANSLATE(B525,""en"",""ar"")"),"إضافة منطقة")</f>
        <v>إضافة منطقة</v>
      </c>
      <c r="Q525" s="4" t="str">
        <f>IFERROR(__xludf.DUMMYFUNCTION("GOOGLETRANSLATE(B525,""en"",""mr"")"),"प्रदेश जोडा")</f>
        <v>प्रदेश जोडा</v>
      </c>
      <c r="R525" s="4" t="str">
        <f>IFERROR(__xludf.DUMMYFUNCTION("GOOGLETRANSLATE(B525,""en"",""gu"")"),"પ્રદેશ ઉમેરો")</f>
        <v>પ્રદેશ ઉમેરો</v>
      </c>
      <c r="S525" s="4" t="str">
        <f>IFERROR(__xludf.DUMMYFUNCTION("GOOGLETRANSLATE(B525,""en"",""bn"")"),"অঞ্চল যোগ করুন")</f>
        <v>অঞ্চল যোগ করুন</v>
      </c>
      <c r="T525" s="4" t="str">
        <f>IFERROR(__xludf.DUMMYFUNCTION("GOOGLETRANSLATE(B525,""en"",""pa"")"),"ਖੇਤਰ ਸ਼ਾਮਲ ਕਰੋ")</f>
        <v>ਖੇਤਰ ਸ਼ਾਮਲ ਕਰੋ</v>
      </c>
      <c r="U525" s="4" t="str">
        <f>IFERROR(__xludf.DUMMYFUNCTION("GOOGLETRANSLATE(B525,""en"",""te"")"),"ప్రాంతాన్ని జోడించండి")</f>
        <v>ప్రాంతాన్ని జోడించండి</v>
      </c>
      <c r="V525" s="4" t="str">
        <f>IFERROR(__xludf.DUMMYFUNCTION("GOOGLETRANSLATE(B525,""en"",""kn"")"),"ಪ್ರದೇಶವನ್ನು ಸೇರಿಸಿ")</f>
        <v>ಪ್ರದೇಶವನ್ನು ಸೇರಿಸಿ</v>
      </c>
      <c r="W525" s="4" t="str">
        <f>IFERROR(__xludf.DUMMYFUNCTION("GOOGLETRANSLATE(B525,""en"",""ml"")"),"പ്രദേശം ചേർക്കുക")</f>
        <v>പ്രദേശം ചേർക്കുക</v>
      </c>
      <c r="X525" s="4" t="str">
        <f>IFERROR(__xludf.DUMMYFUNCTION("GOOGLETRANSLATE(B525,""en"",""th"")"),"เพิ่มภูมิภาค")</f>
        <v>เพิ่มภูมิภาค</v>
      </c>
      <c r="Y525" s="4" t="str">
        <f>IFERROR(__xludf.DUMMYFUNCTION("GOOGLETRANSLATE(B525,""en"",""ko"")"),"지역 추가")</f>
        <v>지역 추가</v>
      </c>
      <c r="Z525" s="4" t="str">
        <f>IFERROR(__xludf.DUMMYFUNCTION("GOOGLETRANSLATE(B525,""en"",""zh"")"),"添加区域")</f>
        <v>添加区域</v>
      </c>
      <c r="AA525" s="4" t="str">
        <f>IFERROR(__xludf.DUMMYFUNCTION("GOOGLETRANSLATE(B525,""en"",""zh-TW"")"),"新增區域")</f>
        <v>新增區域</v>
      </c>
      <c r="AB525" s="4" t="str">
        <f>IFERROR(__xludf.DUMMYFUNCTION("GOOGLETRANSLATE(B525,""en"",""ja"")"),"地域を追加")</f>
        <v>地域を追加</v>
      </c>
      <c r="AC525" s="4" t="str">
        <f>IFERROR(__xludf.DUMMYFUNCTION("GOOGLETRANSLATE(B525,""en"",""bg"")"),"Добавяне на регион")</f>
        <v>Добавяне на регион</v>
      </c>
      <c r="AD525" s="4" t="str">
        <f>IFERROR(__xludf.DUMMYFUNCTION("GOOGLETRANSLATE(B525,""en"",""cs"")"),"Přidat oblast")</f>
        <v>Přidat oblast</v>
      </c>
      <c r="AE525" s="4" t="str">
        <f>IFERROR(__xludf.DUMMYFUNCTION("GOOGLETRANSLATE(B525,""en"",""da"")"),"Tilføj region")</f>
        <v>Tilføj region</v>
      </c>
      <c r="AF525" s="4" t="str">
        <f>IFERROR(__xludf.DUMMYFUNCTION("GOOGLETRANSLATE(B525,""en"",""el"")"),"Προσθήκη περιοχής")</f>
        <v>Προσθήκη περιοχής</v>
      </c>
      <c r="AG525" s="4" t="str">
        <f>IFERROR(__xludf.DUMMYFUNCTION("GOOGLETRANSLATE(B525,""en"",""et"")"),"Lisa piirkond")</f>
        <v>Lisa piirkond</v>
      </c>
      <c r="AH525" s="4" t="str">
        <f>IFERROR(__xludf.DUMMYFUNCTION("GOOGLETRANSLATE(B525,""en"",""fi"")"),"Lisää alue")</f>
        <v>Lisää alue</v>
      </c>
      <c r="AI525" s="4" t="str">
        <f>IFERROR(__xludf.DUMMYFUNCTION("GOOGLETRANSLATE(B525,""en"",""hr"")"),"Dodaj regiju")</f>
        <v>Dodaj regiju</v>
      </c>
      <c r="AJ525" s="4" t="str">
        <f>IFERROR(__xludf.DUMMYFUNCTION("GOOGLETRANSLATE(B525,""en"",""hu"")"),"Régió hozzáadása")</f>
        <v>Régió hozzáadása</v>
      </c>
      <c r="AK525" s="4" t="str">
        <f>IFERROR(__xludf.DUMMYFUNCTION("GOOGLETRANSLATE(B525,""en"",""hy"")"),"Ավելացնել տարածաշրջան")</f>
        <v>Ավելացնել տարածաշրջան</v>
      </c>
      <c r="AL525" s="4" t="str">
        <f>IFERROR(__xludf.DUMMYFUNCTION("GOOGLETRANSLATE(B525,""en"",""ca"")"),"Afegeix una regió")</f>
        <v>Afegeix una regió</v>
      </c>
      <c r="AM525" s="4" t="str">
        <f>IFERROR(__xludf.DUMMYFUNCTION("GOOGLETRANSLATE(B525,""en"",""nl"")"),"Regio toevoegen")</f>
        <v>Regio toevoegen</v>
      </c>
      <c r="AN525" s="4" t="str">
        <f>IFERROR(__xludf.DUMMYFUNCTION("GOOGLETRANSLATE(B525,""en"",""he"")"),"הוסף אזור")</f>
        <v>הוסף אזור</v>
      </c>
      <c r="AO525" s="4" t="str">
        <f>IFERROR(__xludf.DUMMYFUNCTION("GOOGLETRANSLATE(B525,""en"",""is"")"),"Bæta við svæði")</f>
        <v>Bæta við svæði</v>
      </c>
      <c r="AP525" s="4" t="str">
        <f>IFERROR(__xludf.DUMMYFUNCTION("GOOGLETRANSLATE(B525,""en"",""no"")"),"Legg til region")</f>
        <v>Legg til region</v>
      </c>
      <c r="AQ525" s="4" t="str">
        <f>IFERROR(__xludf.DUMMYFUNCTION("GOOGLETRANSLATE(B525,""en"",""fa"")"),"افزودن منطقه")</f>
        <v>افزودن منطقه</v>
      </c>
      <c r="AR525" s="4" t="str">
        <f>IFERROR(__xludf.DUMMYFUNCTION("GOOGLETRANSLATE(B525,""en"",""pl"")"),"Dodaj region")</f>
        <v>Dodaj region</v>
      </c>
      <c r="AS525" s="4" t="str">
        <f>IFERROR(__xludf.DUMMYFUNCTION("GOOGLETRANSLATE(B525,""en"",""sv"")"),"Lägg till region")</f>
        <v>Lägg till region</v>
      </c>
      <c r="AT525" s="4" t="str">
        <f>IFERROR(__xludf.DUMMYFUNCTION("GOOGLETRANSLATE(B525,""en"",""uk"")"),"Додати регіон")</f>
        <v>Додати регіон</v>
      </c>
      <c r="AU525" s="4" t="str">
        <f>IFERROR(__xludf.DUMMYFUNCTION("GOOGLETRANSLATE(B525,""en"",""zu"")"),"Engeza Isifunda")</f>
        <v>Engeza Isifunda</v>
      </c>
      <c r="AV525" s="4" t="str">
        <f>IFERROR(__xludf.DUMMYFUNCTION("GOOGLETRANSLATE(B525,""en"",""sr"")"),"Додај регион")</f>
        <v>Додај регион</v>
      </c>
    </row>
    <row r="526">
      <c r="A526" s="3" t="s">
        <v>1008</v>
      </c>
      <c r="B526" s="3" t="s">
        <v>927</v>
      </c>
      <c r="C526" s="4" t="str">
        <f>IFERROR(__xludf.DUMMYFUNCTION("GOOGLETRANSLATE(B526,""en"",""ta"")"),"இருப்பிடத்தைச் சேமிக்கவும்")</f>
        <v>இருப்பிடத்தைச் சேமிக்கவும்</v>
      </c>
      <c r="D526" s="4" t="str">
        <f>IFERROR(__xludf.DUMMYFUNCTION("GOOGLETRANSLATE(B526,""en"",""hi"")"),"स्थान सहेजें")</f>
        <v>स्थान सहेजें</v>
      </c>
      <c r="E526" s="4" t="str">
        <f>IFERROR(__xludf.DUMMYFUNCTION("GOOGLETRANSLATE(B526,""en"",""id"")"),"Simpan Lokasi")</f>
        <v>Simpan Lokasi</v>
      </c>
      <c r="F526" s="4" t="str">
        <f>IFERROR(__xludf.DUMMYFUNCTION("GOOGLETRANSLATE(B526,""en"",""ms"")"),"Simpan Lokasi")</f>
        <v>Simpan Lokasi</v>
      </c>
      <c r="G526" s="4" t="str">
        <f>IFERROR(__xludf.DUMMYFUNCTION("GOOGLETRANSLATE(B526,""en"",""de"")"),"Standort speichern")</f>
        <v>Standort speichern</v>
      </c>
      <c r="H526" s="4" t="str">
        <f>IFERROR(__xludf.DUMMYFUNCTION("GOOGLETRANSLATE(B526,""en"",""es"")"),"Guardar ubicación")</f>
        <v>Guardar ubicación</v>
      </c>
      <c r="I526" s="4" t="str">
        <f>IFERROR(__xludf.DUMMYFUNCTION("GOOGLETRANSLATE(B526,""en"",""fr"")"),"Enregistrer l'emplacement")</f>
        <v>Enregistrer l'emplacement</v>
      </c>
      <c r="J526" s="4" t="str">
        <f>IFERROR(__xludf.DUMMYFUNCTION("GOOGLETRANSLATE(B526,""en"",""it"")"),"Salva posizione")</f>
        <v>Salva posizione</v>
      </c>
      <c r="K526" s="4" t="str">
        <f>IFERROR(__xludf.DUMMYFUNCTION("GOOGLETRANSLATE(B526,""en"",""pt"")"),"Salvar localização")</f>
        <v>Salvar localização</v>
      </c>
      <c r="L526" s="4" t="str">
        <f>IFERROR(__xludf.DUMMYFUNCTION("GOOGLETRANSLATE(B526,""en"",""ro"")"),"Salvați locația")</f>
        <v>Salvați locația</v>
      </c>
      <c r="M526" s="4" t="str">
        <f>IFERROR(__xludf.DUMMYFUNCTION("GOOGLETRANSLATE(B526,""en"",""vi"")"),"Lưu Vị Trí")</f>
        <v>Lưu Vị Trí</v>
      </c>
      <c r="N526" s="4" t="str">
        <f>IFERROR(__xludf.DUMMYFUNCTION("GOOGLETRANSLATE(B526,""en"",""ru"")"),"Сохранить местоположение")</f>
        <v>Сохранить местоположение</v>
      </c>
      <c r="O526" s="4" t="str">
        <f>IFERROR(__xludf.DUMMYFUNCTION("GOOGLETRANSLATE(B526,""en"",""tr"")"),"Konumu Kaydet")</f>
        <v>Konumu Kaydet</v>
      </c>
      <c r="P526" s="4" t="str">
        <f>IFERROR(__xludf.DUMMYFUNCTION("GOOGLETRANSLATE(B526,""en"",""ar"")"),"حفظ الموقع")</f>
        <v>حفظ الموقع</v>
      </c>
      <c r="Q526" s="4" t="str">
        <f>IFERROR(__xludf.DUMMYFUNCTION("GOOGLETRANSLATE(B526,""en"",""mr"")"),"स्थान जतन करा")</f>
        <v>स्थान जतन करा</v>
      </c>
      <c r="R526" s="4" t="str">
        <f>IFERROR(__xludf.DUMMYFUNCTION("GOOGLETRANSLATE(B526,""en"",""gu"")"),"સ્થાન સાચવો")</f>
        <v>સ્થાન સાચવો</v>
      </c>
      <c r="S526" s="4" t="str">
        <f>IFERROR(__xludf.DUMMYFUNCTION("GOOGLETRANSLATE(B526,""en"",""bn"")"),"অবস্থান সংরক্ষণ করুন")</f>
        <v>অবস্থান সংরক্ষণ করুন</v>
      </c>
      <c r="T526" s="4" t="str">
        <f>IFERROR(__xludf.DUMMYFUNCTION("GOOGLETRANSLATE(B526,""en"",""pa"")"),"ਟਿਕਾਣਾ ਸੁਰੱਖਿਅਤ ਕਰੋ")</f>
        <v>ਟਿਕਾਣਾ ਸੁਰੱਖਿਅਤ ਕਰੋ</v>
      </c>
      <c r="U526" s="4" t="str">
        <f>IFERROR(__xludf.DUMMYFUNCTION("GOOGLETRANSLATE(B526,""en"",""te"")"),"స్థానాన్ని సేవ్ చేయండి")</f>
        <v>స్థానాన్ని సేవ్ చేయండి</v>
      </c>
      <c r="V526" s="4" t="str">
        <f>IFERROR(__xludf.DUMMYFUNCTION("GOOGLETRANSLATE(B526,""en"",""kn"")"),"ಸ್ಥಳವನ್ನು ಉಳಿಸಿ")</f>
        <v>ಸ್ಥಳವನ್ನು ಉಳಿಸಿ</v>
      </c>
      <c r="W526" s="4" t="str">
        <f>IFERROR(__xludf.DUMMYFUNCTION("GOOGLETRANSLATE(B526,""en"",""ml"")"),"ലൊക്കേഷൻ സംരക്ഷിക്കുക")</f>
        <v>ലൊക്കേഷൻ സംരക്ഷിക്കുക</v>
      </c>
      <c r="X526" s="4" t="str">
        <f>IFERROR(__xludf.DUMMYFUNCTION("GOOGLETRANSLATE(B526,""en"",""th"")"),"บันทึกตำแหน่ง")</f>
        <v>บันทึกตำแหน่ง</v>
      </c>
      <c r="Y526" s="4" t="str">
        <f>IFERROR(__xludf.DUMMYFUNCTION("GOOGLETRANSLATE(B526,""en"",""ko"")"),"위치 저장")</f>
        <v>위치 저장</v>
      </c>
      <c r="Z526" s="4" t="str">
        <f>IFERROR(__xludf.DUMMYFUNCTION("GOOGLETRANSLATE(B526,""en"",""zh"")"),"保存位置")</f>
        <v>保存位置</v>
      </c>
      <c r="AA526" s="4" t="str">
        <f>IFERROR(__xludf.DUMMYFUNCTION("GOOGLETRANSLATE(B526,""en"",""zh-TW"")"),"儲存位置")</f>
        <v>儲存位置</v>
      </c>
      <c r="AB526" s="4" t="str">
        <f>IFERROR(__xludf.DUMMYFUNCTION("GOOGLETRANSLATE(B526,""en"",""ja"")"),"場所を保存")</f>
        <v>場所を保存</v>
      </c>
      <c r="AC526" s="4" t="str">
        <f>IFERROR(__xludf.DUMMYFUNCTION("GOOGLETRANSLATE(B526,""en"",""bg"")"),"Запазване на местоположението")</f>
        <v>Запазване на местоположението</v>
      </c>
      <c r="AD526" s="4" t="str">
        <f>IFERROR(__xludf.DUMMYFUNCTION("GOOGLETRANSLATE(B526,""en"",""cs"")"),"Uložit polohu")</f>
        <v>Uložit polohu</v>
      </c>
      <c r="AE526" s="4" t="str">
        <f>IFERROR(__xludf.DUMMYFUNCTION("GOOGLETRANSLATE(B526,""en"",""da"")"),"Gem placering")</f>
        <v>Gem placering</v>
      </c>
      <c r="AF526" s="4" t="str">
        <f>IFERROR(__xludf.DUMMYFUNCTION("GOOGLETRANSLATE(B526,""en"",""el"")"),"Αποθήκευση τοποθεσίας")</f>
        <v>Αποθήκευση τοποθεσίας</v>
      </c>
      <c r="AG526" s="4" t="str">
        <f>IFERROR(__xludf.DUMMYFUNCTION("GOOGLETRANSLATE(B526,""en"",""et"")"),"Salvesta asukoht")</f>
        <v>Salvesta asukoht</v>
      </c>
      <c r="AH526" s="4" t="str">
        <f>IFERROR(__xludf.DUMMYFUNCTION("GOOGLETRANSLATE(B526,""en"",""fi"")"),"Tallenna sijainti")</f>
        <v>Tallenna sijainti</v>
      </c>
      <c r="AI526" s="4" t="str">
        <f>IFERROR(__xludf.DUMMYFUNCTION("GOOGLETRANSLATE(B526,""en"",""hr"")"),"Spremi lokaciju")</f>
        <v>Spremi lokaciju</v>
      </c>
      <c r="AJ526" s="4" t="str">
        <f>IFERROR(__xludf.DUMMYFUNCTION("GOOGLETRANSLATE(B526,""en"",""hu"")"),"Hely mentése")</f>
        <v>Hely mentése</v>
      </c>
      <c r="AK526" s="4" t="str">
        <f>IFERROR(__xludf.DUMMYFUNCTION("GOOGLETRANSLATE(B526,""en"",""hy"")"),"Պահպանել գտնվելու վայրը")</f>
        <v>Պահպանել գտնվելու վայրը</v>
      </c>
      <c r="AL526" s="4" t="str">
        <f>IFERROR(__xludf.DUMMYFUNCTION("GOOGLETRANSLATE(B526,""en"",""ca"")"),"Desa la ubicació")</f>
        <v>Desa la ubicació</v>
      </c>
      <c r="AM526" s="4" t="str">
        <f>IFERROR(__xludf.DUMMYFUNCTION("GOOGLETRANSLATE(B526,""en"",""nl"")"),"Locatie opslaan")</f>
        <v>Locatie opslaan</v>
      </c>
      <c r="AN526" s="4" t="str">
        <f>IFERROR(__xludf.DUMMYFUNCTION("GOOGLETRANSLATE(B526,""en"",""he"")"),"שמור מיקום")</f>
        <v>שמור מיקום</v>
      </c>
      <c r="AO526" s="4" t="str">
        <f>IFERROR(__xludf.DUMMYFUNCTION("GOOGLETRANSLATE(B526,""en"",""is"")"),"Vista staðsetningu")</f>
        <v>Vista staðsetningu</v>
      </c>
      <c r="AP526" s="4" t="str">
        <f>IFERROR(__xludf.DUMMYFUNCTION("GOOGLETRANSLATE(B526,""en"",""no"")"),"Lagre plassering")</f>
        <v>Lagre plassering</v>
      </c>
      <c r="AQ526" s="4" t="str">
        <f>IFERROR(__xludf.DUMMYFUNCTION("GOOGLETRANSLATE(B526,""en"",""fa"")"),"ذخیره مکان")</f>
        <v>ذخیره مکان</v>
      </c>
      <c r="AR526" s="4" t="str">
        <f>IFERROR(__xludf.DUMMYFUNCTION("GOOGLETRANSLATE(B526,""en"",""pl"")"),"Zapisz lokalizację")</f>
        <v>Zapisz lokalizację</v>
      </c>
      <c r="AS526" s="4" t="str">
        <f>IFERROR(__xludf.DUMMYFUNCTION("GOOGLETRANSLATE(B526,""en"",""sv"")"),"Spara plats")</f>
        <v>Spara plats</v>
      </c>
      <c r="AT526" s="4" t="str">
        <f>IFERROR(__xludf.DUMMYFUNCTION("GOOGLETRANSLATE(B526,""en"",""uk"")"),"Зберегти місцезнаходження")</f>
        <v>Зберегти місцезнаходження</v>
      </c>
      <c r="AU526" s="4" t="str">
        <f>IFERROR(__xludf.DUMMYFUNCTION("GOOGLETRANSLATE(B526,""en"",""zu"")"),"Londoloza Indawo")</f>
        <v>Londoloza Indawo</v>
      </c>
      <c r="AV526" s="4" t="str">
        <f>IFERROR(__xludf.DUMMYFUNCTION("GOOGLETRANSLATE(B526,""en"",""sr"")"),"Сачувај локацију")</f>
        <v>Сачувај локацију</v>
      </c>
    </row>
    <row r="527">
      <c r="A527" s="3" t="s">
        <v>1009</v>
      </c>
      <c r="B527" s="3" t="s">
        <v>1010</v>
      </c>
      <c r="C527" s="4" t="str">
        <f>IFERROR(__xludf.DUMMYFUNCTION("GOOGLETRANSLATE(B527,""en"",""ta"")"),"பிராந்தியத்தின் பெயர்")</f>
        <v>பிராந்தியத்தின் பெயர்</v>
      </c>
      <c r="D527" s="4" t="str">
        <f>IFERROR(__xludf.DUMMYFUNCTION("GOOGLETRANSLATE(B527,""en"",""hi"")"),"क्षेत्र का नाम")</f>
        <v>क्षेत्र का नाम</v>
      </c>
      <c r="E527" s="4" t="str">
        <f>IFERROR(__xludf.DUMMYFUNCTION("GOOGLETRANSLATE(B527,""en"",""id"")"),"Nama Wilayah")</f>
        <v>Nama Wilayah</v>
      </c>
      <c r="F527" s="4" t="str">
        <f>IFERROR(__xludf.DUMMYFUNCTION("GOOGLETRANSLATE(B527,""en"",""ms"")"),"Nama Wilayah")</f>
        <v>Nama Wilayah</v>
      </c>
      <c r="G527" s="4" t="str">
        <f>IFERROR(__xludf.DUMMYFUNCTION("GOOGLETRANSLATE(B527,""en"",""de"")"),"Regionsname")</f>
        <v>Regionsname</v>
      </c>
      <c r="H527" s="4" t="str">
        <f>IFERROR(__xludf.DUMMYFUNCTION("GOOGLETRANSLATE(B527,""en"",""es"")"),"Nombre de la región")</f>
        <v>Nombre de la región</v>
      </c>
      <c r="I527" s="4" t="str">
        <f>IFERROR(__xludf.DUMMYFUNCTION("GOOGLETRANSLATE(B527,""en"",""fr"")"),"Nom de la région")</f>
        <v>Nom de la région</v>
      </c>
      <c r="J527" s="4" t="str">
        <f>IFERROR(__xludf.DUMMYFUNCTION("GOOGLETRANSLATE(B527,""en"",""it"")"),"Nome della regione")</f>
        <v>Nome della regione</v>
      </c>
      <c r="K527" s="4" t="str">
        <f>IFERROR(__xludf.DUMMYFUNCTION("GOOGLETRANSLATE(B527,""en"",""pt"")"),"Nome da região")</f>
        <v>Nome da região</v>
      </c>
      <c r="L527" s="4" t="str">
        <f>IFERROR(__xludf.DUMMYFUNCTION("GOOGLETRANSLATE(B527,""en"",""ro"")"),"Numele regiunii")</f>
        <v>Numele regiunii</v>
      </c>
      <c r="M527" s="4" t="str">
        <f>IFERROR(__xludf.DUMMYFUNCTION("GOOGLETRANSLATE(B527,""en"",""vi"")"),"Tên vùng")</f>
        <v>Tên vùng</v>
      </c>
      <c r="N527" s="4" t="str">
        <f>IFERROR(__xludf.DUMMYFUNCTION("GOOGLETRANSLATE(B527,""en"",""ru"")"),"Название региона")</f>
        <v>Название региона</v>
      </c>
      <c r="O527" s="4" t="str">
        <f>IFERROR(__xludf.DUMMYFUNCTION("GOOGLETRANSLATE(B527,""en"",""tr"")"),"Bölge Adı")</f>
        <v>Bölge Adı</v>
      </c>
      <c r="P527" s="4" t="str">
        <f>IFERROR(__xludf.DUMMYFUNCTION("GOOGLETRANSLATE(B527,""en"",""ar"")"),"اسم المنطقة")</f>
        <v>اسم المنطقة</v>
      </c>
      <c r="Q527" s="4" t="str">
        <f>IFERROR(__xludf.DUMMYFUNCTION("GOOGLETRANSLATE(B527,""en"",""mr"")"),"प्रदेशाचे नाव")</f>
        <v>प्रदेशाचे नाव</v>
      </c>
      <c r="R527" s="4" t="str">
        <f>IFERROR(__xludf.DUMMYFUNCTION("GOOGLETRANSLATE(B527,""en"",""gu"")"),"પ્રદેશનું નામ")</f>
        <v>પ્રદેશનું નામ</v>
      </c>
      <c r="S527" s="4" t="str">
        <f>IFERROR(__xludf.DUMMYFUNCTION("GOOGLETRANSLATE(B527,""en"",""bn"")"),"অঞ্চলের নাম")</f>
        <v>অঞ্চলের নাম</v>
      </c>
      <c r="T527" s="4" t="str">
        <f>IFERROR(__xludf.DUMMYFUNCTION("GOOGLETRANSLATE(B527,""en"",""pa"")"),"ਖੇਤਰ ਦਾ ਨਾਮ")</f>
        <v>ਖੇਤਰ ਦਾ ਨਾਮ</v>
      </c>
      <c r="U527" s="4" t="str">
        <f>IFERROR(__xludf.DUMMYFUNCTION("GOOGLETRANSLATE(B527,""en"",""te"")"),"ప్రాంతం పేరు")</f>
        <v>ప్రాంతం పేరు</v>
      </c>
      <c r="V527" s="4" t="str">
        <f>IFERROR(__xludf.DUMMYFUNCTION("GOOGLETRANSLATE(B527,""en"",""kn"")"),"ಪ್ರದೇಶದ ಹೆಸರು")</f>
        <v>ಪ್ರದೇಶದ ಹೆಸರು</v>
      </c>
      <c r="W527" s="4" t="str">
        <f>IFERROR(__xludf.DUMMYFUNCTION("GOOGLETRANSLATE(B527,""en"",""ml"")"),"പ്രദേശത്തിൻ്റെ പേര്")</f>
        <v>പ്രദേശത്തിൻ്റെ പേര്</v>
      </c>
      <c r="X527" s="4" t="str">
        <f>IFERROR(__xludf.DUMMYFUNCTION("GOOGLETRANSLATE(B527,""en"",""th"")"),"ชื่อภูมิภาค")</f>
        <v>ชื่อภูมิภาค</v>
      </c>
      <c r="Y527" s="4" t="str">
        <f>IFERROR(__xludf.DUMMYFUNCTION("GOOGLETRANSLATE(B527,""en"",""ko"")"),"지역 이름")</f>
        <v>지역 이름</v>
      </c>
      <c r="Z527" s="4" t="str">
        <f>IFERROR(__xludf.DUMMYFUNCTION("GOOGLETRANSLATE(B527,""en"",""zh"")"),"区域名称")</f>
        <v>区域名称</v>
      </c>
      <c r="AA527" s="4" t="str">
        <f>IFERROR(__xludf.DUMMYFUNCTION("GOOGLETRANSLATE(B527,""en"",""zh-TW"")"),"區域名稱")</f>
        <v>區域名稱</v>
      </c>
      <c r="AB527" s="4" t="str">
        <f>IFERROR(__xludf.DUMMYFUNCTION("GOOGLETRANSLATE(B527,""en"",""ja"")"),"地域名")</f>
        <v>地域名</v>
      </c>
      <c r="AC527" s="4" t="str">
        <f>IFERROR(__xludf.DUMMYFUNCTION("GOOGLETRANSLATE(B527,""en"",""bg"")"),"Име на регион")</f>
        <v>Име на регион</v>
      </c>
      <c r="AD527" s="4" t="str">
        <f>IFERROR(__xludf.DUMMYFUNCTION("GOOGLETRANSLATE(B527,""en"",""cs"")"),"Název regionu")</f>
        <v>Název regionu</v>
      </c>
      <c r="AE527" s="4" t="str">
        <f>IFERROR(__xludf.DUMMYFUNCTION("GOOGLETRANSLATE(B527,""en"",""da"")"),"Regionsnavn")</f>
        <v>Regionsnavn</v>
      </c>
      <c r="AF527" s="4" t="str">
        <f>IFERROR(__xludf.DUMMYFUNCTION("GOOGLETRANSLATE(B527,""en"",""el"")"),"Όνομα περιοχής")</f>
        <v>Όνομα περιοχής</v>
      </c>
      <c r="AG527" s="4" t="str">
        <f>IFERROR(__xludf.DUMMYFUNCTION("GOOGLETRANSLATE(B527,""en"",""et"")"),"Piirkonna nimi")</f>
        <v>Piirkonna nimi</v>
      </c>
      <c r="AH527" s="4" t="str">
        <f>IFERROR(__xludf.DUMMYFUNCTION("GOOGLETRANSLATE(B527,""en"",""fi"")"),"Alueen nimi")</f>
        <v>Alueen nimi</v>
      </c>
      <c r="AI527" s="4" t="str">
        <f>IFERROR(__xludf.DUMMYFUNCTION("GOOGLETRANSLATE(B527,""en"",""hr"")"),"Naziv regije")</f>
        <v>Naziv regije</v>
      </c>
      <c r="AJ527" s="4" t="str">
        <f>IFERROR(__xludf.DUMMYFUNCTION("GOOGLETRANSLATE(B527,""en"",""hu"")"),"Régió neve")</f>
        <v>Régió neve</v>
      </c>
      <c r="AK527" s="4" t="str">
        <f>IFERROR(__xludf.DUMMYFUNCTION("GOOGLETRANSLATE(B527,""en"",""hy"")"),"Տարածաշրջանի անվանումը")</f>
        <v>Տարածաշրջանի անվանումը</v>
      </c>
      <c r="AL527" s="4" t="str">
        <f>IFERROR(__xludf.DUMMYFUNCTION("GOOGLETRANSLATE(B527,""en"",""ca"")"),"Nom de la regió")</f>
        <v>Nom de la regió</v>
      </c>
      <c r="AM527" s="4" t="str">
        <f>IFERROR(__xludf.DUMMYFUNCTION("GOOGLETRANSLATE(B527,""en"",""nl"")"),"Regionaam")</f>
        <v>Regionaam</v>
      </c>
      <c r="AN527" s="4" t="str">
        <f>IFERROR(__xludf.DUMMYFUNCTION("GOOGLETRANSLATE(B527,""en"",""he"")"),"שם אזור")</f>
        <v>שם אזור</v>
      </c>
      <c r="AO527" s="4" t="str">
        <f>IFERROR(__xludf.DUMMYFUNCTION("GOOGLETRANSLATE(B527,""en"",""is"")"),"Svæðisheiti")</f>
        <v>Svæðisheiti</v>
      </c>
      <c r="AP527" s="4" t="str">
        <f>IFERROR(__xludf.DUMMYFUNCTION("GOOGLETRANSLATE(B527,""en"",""no"")"),"Regionnavn")</f>
        <v>Regionnavn</v>
      </c>
      <c r="AQ527" s="4" t="str">
        <f>IFERROR(__xludf.DUMMYFUNCTION("GOOGLETRANSLATE(B527,""en"",""fa"")"),"نام منطقه")</f>
        <v>نام منطقه</v>
      </c>
      <c r="AR527" s="4" t="str">
        <f>IFERROR(__xludf.DUMMYFUNCTION("GOOGLETRANSLATE(B527,""en"",""pl"")"),"Nazwa regionu")</f>
        <v>Nazwa regionu</v>
      </c>
      <c r="AS527" s="4" t="str">
        <f>IFERROR(__xludf.DUMMYFUNCTION("GOOGLETRANSLATE(B527,""en"",""sv"")"),"Regionens namn")</f>
        <v>Regionens namn</v>
      </c>
      <c r="AT527" s="4" t="str">
        <f>IFERROR(__xludf.DUMMYFUNCTION("GOOGLETRANSLATE(B527,""en"",""uk"")"),"Назва регіону")</f>
        <v>Назва регіону</v>
      </c>
      <c r="AU527" s="4" t="str">
        <f>IFERROR(__xludf.DUMMYFUNCTION("GOOGLETRANSLATE(B527,""en"",""zu"")"),"Igama Lesifunda")</f>
        <v>Igama Lesifunda</v>
      </c>
      <c r="AV527" s="4" t="str">
        <f>IFERROR(__xludf.DUMMYFUNCTION("GOOGLETRANSLATE(B527,""en"",""sr"")"),"Назив региона")</f>
        <v>Назив региона</v>
      </c>
    </row>
    <row r="528">
      <c r="A528" s="3" t="s">
        <v>1011</v>
      </c>
      <c r="B528" s="3" t="s">
        <v>1012</v>
      </c>
      <c r="C528" s="4" t="str">
        <f>IFERROR(__xludf.DUMMYFUNCTION("GOOGLETRANSLATE(B528,""en"",""ta"")"),"ஆரம்")</f>
        <v>ஆரம்</v>
      </c>
      <c r="D528" s="4" t="str">
        <f>IFERROR(__xludf.DUMMYFUNCTION("GOOGLETRANSLATE(B528,""en"",""hi"")"),"RADIUS")</f>
        <v>RADIUS</v>
      </c>
      <c r="E528" s="4" t="str">
        <f>IFERROR(__xludf.DUMMYFUNCTION("GOOGLETRANSLATE(B528,""en"",""id"")"),"Radius")</f>
        <v>Radius</v>
      </c>
      <c r="F528" s="4" t="str">
        <f>IFERROR(__xludf.DUMMYFUNCTION("GOOGLETRANSLATE(B528,""en"",""ms"")"),"Jejari")</f>
        <v>Jejari</v>
      </c>
      <c r="G528" s="4" t="str">
        <f>IFERROR(__xludf.DUMMYFUNCTION("GOOGLETRANSLATE(B528,""en"",""de"")"),"Radius")</f>
        <v>Radius</v>
      </c>
      <c r="H528" s="4" t="str">
        <f>IFERROR(__xludf.DUMMYFUNCTION("GOOGLETRANSLATE(B528,""en"",""es"")"),"Radio")</f>
        <v>Radio</v>
      </c>
      <c r="I528" s="4" t="str">
        <f>IFERROR(__xludf.DUMMYFUNCTION("GOOGLETRANSLATE(B528,""en"",""fr"")"),"Rayon")</f>
        <v>Rayon</v>
      </c>
      <c r="J528" s="4" t="str">
        <f>IFERROR(__xludf.DUMMYFUNCTION("GOOGLETRANSLATE(B528,""en"",""it"")"),"Raggio")</f>
        <v>Raggio</v>
      </c>
      <c r="K528" s="4" t="str">
        <f>IFERROR(__xludf.DUMMYFUNCTION("GOOGLETRANSLATE(B528,""en"",""pt"")"),"Raio")</f>
        <v>Raio</v>
      </c>
      <c r="L528" s="4" t="str">
        <f>IFERROR(__xludf.DUMMYFUNCTION("GOOGLETRANSLATE(B528,""en"",""ro"")"),"Rază")</f>
        <v>Rază</v>
      </c>
      <c r="M528" s="4" t="str">
        <f>IFERROR(__xludf.DUMMYFUNCTION("GOOGLETRANSLATE(B528,""en"",""vi"")"),"Bán kính")</f>
        <v>Bán kính</v>
      </c>
      <c r="N528" s="4" t="str">
        <f>IFERROR(__xludf.DUMMYFUNCTION("GOOGLETRANSLATE(B528,""en"",""ru"")"),"Радиус")</f>
        <v>Радиус</v>
      </c>
      <c r="O528" s="4" t="str">
        <f>IFERROR(__xludf.DUMMYFUNCTION("GOOGLETRANSLATE(B528,""en"",""tr"")"),"Yarıçap")</f>
        <v>Yarıçap</v>
      </c>
      <c r="P528" s="4" t="str">
        <f>IFERROR(__xludf.DUMMYFUNCTION("GOOGLETRANSLATE(B528,""en"",""ar"")"),"نصف القطر")</f>
        <v>نصف القطر</v>
      </c>
      <c r="Q528" s="4" t="str">
        <f>IFERROR(__xludf.DUMMYFUNCTION("GOOGLETRANSLATE(B528,""en"",""mr"")"),"त्रिज्या")</f>
        <v>त्रिज्या</v>
      </c>
      <c r="R528" s="4" t="str">
        <f>IFERROR(__xludf.DUMMYFUNCTION("GOOGLETRANSLATE(B528,""en"",""gu"")"),"ત્રિજ્યા")</f>
        <v>ત્રિજ્યા</v>
      </c>
      <c r="S528" s="4" t="str">
        <f>IFERROR(__xludf.DUMMYFUNCTION("GOOGLETRANSLATE(B528,""en"",""bn"")"),"ব্যাসার্ধ")</f>
        <v>ব্যাসার্ধ</v>
      </c>
      <c r="T528" s="4" t="str">
        <f>IFERROR(__xludf.DUMMYFUNCTION("GOOGLETRANSLATE(B528,""en"",""pa"")"),"ਰੇਡੀਅਸ")</f>
        <v>ਰੇਡੀਅਸ</v>
      </c>
      <c r="U528" s="4" t="str">
        <f>IFERROR(__xludf.DUMMYFUNCTION("GOOGLETRANSLATE(B528,""en"",""te"")"),"వ్యాసార్థం")</f>
        <v>వ్యాసార్థం</v>
      </c>
      <c r="V528" s="4" t="str">
        <f>IFERROR(__xludf.DUMMYFUNCTION("GOOGLETRANSLATE(B528,""en"",""kn"")"),"ತ್ರಿಜ್ಯ")</f>
        <v>ತ್ರಿಜ್ಯ</v>
      </c>
      <c r="W528" s="4" t="str">
        <f>IFERROR(__xludf.DUMMYFUNCTION("GOOGLETRANSLATE(B528,""en"",""ml"")"),"ആരം")</f>
        <v>ആരം</v>
      </c>
      <c r="X528" s="4" t="str">
        <f>IFERROR(__xludf.DUMMYFUNCTION("GOOGLETRANSLATE(B528,""en"",""th"")"),"รัศมี")</f>
        <v>รัศมี</v>
      </c>
      <c r="Y528" s="4" t="str">
        <f>IFERROR(__xludf.DUMMYFUNCTION("GOOGLETRANSLATE(B528,""en"",""ko"")"),"반지름")</f>
        <v>반지름</v>
      </c>
      <c r="Z528" s="4" t="str">
        <f>IFERROR(__xludf.DUMMYFUNCTION("GOOGLETRANSLATE(B528,""en"",""zh"")"),"半径")</f>
        <v>半径</v>
      </c>
      <c r="AA528" s="4" t="str">
        <f>IFERROR(__xludf.DUMMYFUNCTION("GOOGLETRANSLATE(B528,""en"",""zh-TW"")"),"半徑")</f>
        <v>半徑</v>
      </c>
      <c r="AB528" s="4" t="str">
        <f>IFERROR(__xludf.DUMMYFUNCTION("GOOGLETRANSLATE(B528,""en"",""ja"")"),"半径")</f>
        <v>半径</v>
      </c>
      <c r="AC528" s="4" t="str">
        <f>IFERROR(__xludf.DUMMYFUNCTION("GOOGLETRANSLATE(B528,""en"",""bg"")"),"Радиус")</f>
        <v>Радиус</v>
      </c>
      <c r="AD528" s="4" t="str">
        <f>IFERROR(__xludf.DUMMYFUNCTION("GOOGLETRANSLATE(B528,""en"",""cs"")"),"Poloměr")</f>
        <v>Poloměr</v>
      </c>
      <c r="AE528" s="4" t="str">
        <f>IFERROR(__xludf.DUMMYFUNCTION("GOOGLETRANSLATE(B528,""en"",""da"")"),"Radius")</f>
        <v>Radius</v>
      </c>
      <c r="AF528" s="4" t="str">
        <f>IFERROR(__xludf.DUMMYFUNCTION("GOOGLETRANSLATE(B528,""en"",""el"")"),"Ακτίνα")</f>
        <v>Ακτίνα</v>
      </c>
      <c r="AG528" s="4" t="str">
        <f>IFERROR(__xludf.DUMMYFUNCTION("GOOGLETRANSLATE(B528,""en"",""et"")"),"Raadius")</f>
        <v>Raadius</v>
      </c>
      <c r="AH528" s="4" t="str">
        <f>IFERROR(__xludf.DUMMYFUNCTION("GOOGLETRANSLATE(B528,""en"",""fi"")"),"Säde")</f>
        <v>Säde</v>
      </c>
      <c r="AI528" s="4" t="str">
        <f>IFERROR(__xludf.DUMMYFUNCTION("GOOGLETRANSLATE(B528,""en"",""hr"")"),"Radius")</f>
        <v>Radius</v>
      </c>
      <c r="AJ528" s="4" t="str">
        <f>IFERROR(__xludf.DUMMYFUNCTION("GOOGLETRANSLATE(B528,""en"",""hu"")"),"Sugár")</f>
        <v>Sugár</v>
      </c>
      <c r="AK528" s="4" t="str">
        <f>IFERROR(__xludf.DUMMYFUNCTION("GOOGLETRANSLATE(B528,""en"",""hy"")"),"Շառավիղ")</f>
        <v>Շառավիղ</v>
      </c>
      <c r="AL528" s="4" t="str">
        <f>IFERROR(__xludf.DUMMYFUNCTION("GOOGLETRANSLATE(B528,""en"",""ca"")"),"Radi")</f>
        <v>Radi</v>
      </c>
      <c r="AM528" s="4" t="str">
        <f>IFERROR(__xludf.DUMMYFUNCTION("GOOGLETRANSLATE(B528,""en"",""nl"")"),"Radius")</f>
        <v>Radius</v>
      </c>
      <c r="AN528" s="4" t="str">
        <f>IFERROR(__xludf.DUMMYFUNCTION("GOOGLETRANSLATE(B528,""en"",""he"")"),"רַדִיוּס")</f>
        <v>רַדִיוּס</v>
      </c>
      <c r="AO528" s="4" t="str">
        <f>IFERROR(__xludf.DUMMYFUNCTION("GOOGLETRANSLATE(B528,""en"",""is"")"),"Radíus")</f>
        <v>Radíus</v>
      </c>
      <c r="AP528" s="4" t="str">
        <f>IFERROR(__xludf.DUMMYFUNCTION("GOOGLETRANSLATE(B528,""en"",""no"")"),"Radius")</f>
        <v>Radius</v>
      </c>
      <c r="AQ528" s="4" t="str">
        <f>IFERROR(__xludf.DUMMYFUNCTION("GOOGLETRANSLATE(B528,""en"",""fa"")"),"شعاع")</f>
        <v>شعاع</v>
      </c>
      <c r="AR528" s="4" t="str">
        <f>IFERROR(__xludf.DUMMYFUNCTION("GOOGLETRANSLATE(B528,""en"",""pl"")"),"Promień")</f>
        <v>Promień</v>
      </c>
      <c r="AS528" s="4" t="str">
        <f>IFERROR(__xludf.DUMMYFUNCTION("GOOGLETRANSLATE(B528,""en"",""sv"")"),"Radie")</f>
        <v>Radie</v>
      </c>
      <c r="AT528" s="4" t="str">
        <f>IFERROR(__xludf.DUMMYFUNCTION("GOOGLETRANSLATE(B528,""en"",""uk"")"),"Радіус")</f>
        <v>Радіус</v>
      </c>
      <c r="AU528" s="4" t="str">
        <f>IFERROR(__xludf.DUMMYFUNCTION("GOOGLETRANSLATE(B528,""en"",""zu"")"),"Irediyasi")</f>
        <v>Irediyasi</v>
      </c>
      <c r="AV528" s="4" t="str">
        <f>IFERROR(__xludf.DUMMYFUNCTION("GOOGLETRANSLATE(B528,""en"",""sr"")"),"Радијус")</f>
        <v>Радијус</v>
      </c>
    </row>
    <row r="529">
      <c r="A529" s="3" t="s">
        <v>1013</v>
      </c>
      <c r="B529" s="3" t="s">
        <v>553</v>
      </c>
      <c r="C529" s="4" t="str">
        <f>IFERROR(__xludf.DUMMYFUNCTION("GOOGLETRANSLATE(B529,""en"",""ta"")"),"கி.மீ")</f>
        <v>கி.மீ</v>
      </c>
      <c r="D529" s="4" t="str">
        <f>IFERROR(__xludf.DUMMYFUNCTION("GOOGLETRANSLATE(B529,""en"",""hi"")"),"किमी")</f>
        <v>किमी</v>
      </c>
      <c r="E529" s="4" t="str">
        <f>IFERROR(__xludf.DUMMYFUNCTION("GOOGLETRANSLATE(B529,""en"",""id"")"),"kilometer")</f>
        <v>kilometer</v>
      </c>
      <c r="F529" s="4" t="str">
        <f>IFERROR(__xludf.DUMMYFUNCTION("GOOGLETRANSLATE(B529,""en"",""ms"")"),"km")</f>
        <v>km</v>
      </c>
      <c r="G529" s="4" t="str">
        <f>IFERROR(__xludf.DUMMYFUNCTION("GOOGLETRANSLATE(B529,""en"",""de"")"),"km")</f>
        <v>km</v>
      </c>
      <c r="H529" s="4" t="str">
        <f>IFERROR(__xludf.DUMMYFUNCTION("GOOGLETRANSLATE(B529,""en"",""es"")"),"kilómetros")</f>
        <v>kilómetros</v>
      </c>
      <c r="I529" s="4" t="str">
        <f>IFERROR(__xludf.DUMMYFUNCTION("GOOGLETRANSLATE(B529,""en"",""fr"")"),"km")</f>
        <v>km</v>
      </c>
      <c r="J529" s="4" t="str">
        <f>IFERROR(__xludf.DUMMYFUNCTION("GOOGLETRANSLATE(B529,""en"",""it"")"),"chilometri")</f>
        <v>chilometri</v>
      </c>
      <c r="K529" s="4" t="str">
        <f>IFERROR(__xludf.DUMMYFUNCTION("GOOGLETRANSLATE(B529,""en"",""pt"")"),"quilômetros")</f>
        <v>quilômetros</v>
      </c>
      <c r="L529" s="4" t="str">
        <f>IFERROR(__xludf.DUMMYFUNCTION("GOOGLETRANSLATE(B529,""en"",""ro"")"),"km")</f>
        <v>km</v>
      </c>
      <c r="M529" s="4" t="str">
        <f>IFERROR(__xludf.DUMMYFUNCTION("GOOGLETRANSLATE(B529,""en"",""vi"")"),"km")</f>
        <v>km</v>
      </c>
      <c r="N529" s="4" t="str">
        <f>IFERROR(__xludf.DUMMYFUNCTION("GOOGLETRANSLATE(B529,""en"",""ru"")"),"км")</f>
        <v>км</v>
      </c>
      <c r="O529" s="4" t="str">
        <f>IFERROR(__xludf.DUMMYFUNCTION("GOOGLETRANSLATE(B529,""en"",""tr"")"),"km")</f>
        <v>km</v>
      </c>
      <c r="P529" s="4" t="str">
        <f>IFERROR(__xludf.DUMMYFUNCTION("GOOGLETRANSLATE(B529,""en"",""ar"")"),"كم")</f>
        <v>كم</v>
      </c>
      <c r="Q529" s="4" t="str">
        <f>IFERROR(__xludf.DUMMYFUNCTION("GOOGLETRANSLATE(B529,""en"",""mr"")"),"किमी")</f>
        <v>किमी</v>
      </c>
      <c r="R529" s="4" t="str">
        <f>IFERROR(__xludf.DUMMYFUNCTION("GOOGLETRANSLATE(B529,""en"",""gu"")"),"કિમી")</f>
        <v>કિમી</v>
      </c>
      <c r="S529" s="4" t="str">
        <f>IFERROR(__xludf.DUMMYFUNCTION("GOOGLETRANSLATE(B529,""en"",""bn"")"),"কিমি")</f>
        <v>কিমি</v>
      </c>
      <c r="T529" s="4" t="str">
        <f>IFERROR(__xludf.DUMMYFUNCTION("GOOGLETRANSLATE(B529,""en"",""pa"")"),"ਕਿਲੋਮੀਟਰ")</f>
        <v>ਕਿਲੋਮੀਟਰ</v>
      </c>
      <c r="U529" s="4" t="str">
        <f>IFERROR(__xludf.DUMMYFUNCTION("GOOGLETRANSLATE(B529,""en"",""te"")"),"కి.మీ")</f>
        <v>కి.మీ</v>
      </c>
      <c r="V529" s="4" t="str">
        <f>IFERROR(__xludf.DUMMYFUNCTION("GOOGLETRANSLATE(B529,""en"",""kn"")"),"ಕಿ.ಮೀ")</f>
        <v>ಕಿ.ಮೀ</v>
      </c>
      <c r="W529" s="4" t="str">
        <f>IFERROR(__xludf.DUMMYFUNCTION("GOOGLETRANSLATE(B529,""en"",""ml"")"),"കി.മീ")</f>
        <v>കി.മീ</v>
      </c>
      <c r="X529" s="4" t="str">
        <f>IFERROR(__xludf.DUMMYFUNCTION("GOOGLETRANSLATE(B529,""en"",""th"")"),"กม.")</f>
        <v>กม.</v>
      </c>
      <c r="Y529" s="4" t="str">
        <f>IFERROR(__xludf.DUMMYFUNCTION("GOOGLETRANSLATE(B529,""en"",""ko"")"),"킬로미터")</f>
        <v>킬로미터</v>
      </c>
      <c r="Z529" s="4" t="str">
        <f>IFERROR(__xludf.DUMMYFUNCTION("GOOGLETRANSLATE(B529,""en"",""zh"")"),"公里")</f>
        <v>公里</v>
      </c>
      <c r="AA529" s="4" t="str">
        <f>IFERROR(__xludf.DUMMYFUNCTION("GOOGLETRANSLATE(B529,""en"",""zh-TW"")"),"公里")</f>
        <v>公里</v>
      </c>
      <c r="AB529" s="4" t="str">
        <f>IFERROR(__xludf.DUMMYFUNCTION("GOOGLETRANSLATE(B529,""en"",""ja"")"),"キロ")</f>
        <v>キロ</v>
      </c>
      <c r="AC529" s="4" t="str">
        <f>IFERROR(__xludf.DUMMYFUNCTION("GOOGLETRANSLATE(B529,""en"",""bg"")"),"км")</f>
        <v>км</v>
      </c>
      <c r="AD529" s="4" t="str">
        <f>IFERROR(__xludf.DUMMYFUNCTION("GOOGLETRANSLATE(B529,""en"",""cs"")"),"km")</f>
        <v>km</v>
      </c>
      <c r="AE529" s="4" t="str">
        <f>IFERROR(__xludf.DUMMYFUNCTION("GOOGLETRANSLATE(B529,""en"",""da"")"),"km")</f>
        <v>km</v>
      </c>
      <c r="AF529" s="4" t="str">
        <f>IFERROR(__xludf.DUMMYFUNCTION("GOOGLETRANSLATE(B529,""en"",""el"")"),"χλμ")</f>
        <v>χλμ</v>
      </c>
      <c r="AG529" s="4" t="str">
        <f>IFERROR(__xludf.DUMMYFUNCTION("GOOGLETRANSLATE(B529,""en"",""et"")"),"km")</f>
        <v>km</v>
      </c>
      <c r="AH529" s="4" t="str">
        <f>IFERROR(__xludf.DUMMYFUNCTION("GOOGLETRANSLATE(B529,""en"",""fi"")"),"km")</f>
        <v>km</v>
      </c>
      <c r="AI529" s="4" t="str">
        <f>IFERROR(__xludf.DUMMYFUNCTION("GOOGLETRANSLATE(B529,""en"",""hr"")"),"km")</f>
        <v>km</v>
      </c>
      <c r="AJ529" s="4" t="str">
        <f>IFERROR(__xludf.DUMMYFUNCTION("GOOGLETRANSLATE(B529,""en"",""hu"")"),"km")</f>
        <v>km</v>
      </c>
      <c r="AK529" s="4" t="str">
        <f>IFERROR(__xludf.DUMMYFUNCTION("GOOGLETRANSLATE(B529,""en"",""hy"")"),"կմ")</f>
        <v>կմ</v>
      </c>
      <c r="AL529" s="4" t="str">
        <f>IFERROR(__xludf.DUMMYFUNCTION("GOOGLETRANSLATE(B529,""en"",""ca"")"),"km")</f>
        <v>km</v>
      </c>
      <c r="AM529" s="4" t="str">
        <f>IFERROR(__xludf.DUMMYFUNCTION("GOOGLETRANSLATE(B529,""en"",""nl"")"),"km")</f>
        <v>km</v>
      </c>
      <c r="AN529" s="4" t="str">
        <f>IFERROR(__xludf.DUMMYFUNCTION("GOOGLETRANSLATE(B529,""en"",""he"")"),"ק""מ")</f>
        <v>ק"מ</v>
      </c>
      <c r="AO529" s="4" t="str">
        <f>IFERROR(__xludf.DUMMYFUNCTION("GOOGLETRANSLATE(B529,""en"",""is"")"),"km")</f>
        <v>km</v>
      </c>
      <c r="AP529" s="4" t="str">
        <f>IFERROR(__xludf.DUMMYFUNCTION("GOOGLETRANSLATE(B529,""en"",""no"")"),"km")</f>
        <v>km</v>
      </c>
      <c r="AQ529" s="4" t="str">
        <f>IFERROR(__xludf.DUMMYFUNCTION("GOOGLETRANSLATE(B529,""en"",""fa"")"),"کیلومتر")</f>
        <v>کیلومتر</v>
      </c>
      <c r="AR529" s="4" t="str">
        <f>IFERROR(__xludf.DUMMYFUNCTION("GOOGLETRANSLATE(B529,""en"",""pl"")"),"km")</f>
        <v>km</v>
      </c>
      <c r="AS529" s="4" t="str">
        <f>IFERROR(__xludf.DUMMYFUNCTION("GOOGLETRANSLATE(B529,""en"",""sv"")"),"km")</f>
        <v>km</v>
      </c>
      <c r="AT529" s="4" t="str">
        <f>IFERROR(__xludf.DUMMYFUNCTION("GOOGLETRANSLATE(B529,""en"",""uk"")"),"км")</f>
        <v>км</v>
      </c>
      <c r="AU529" s="4" t="str">
        <f>IFERROR(__xludf.DUMMYFUNCTION("GOOGLETRANSLATE(B529,""en"",""zu"")"),"km")</f>
        <v>km</v>
      </c>
      <c r="AV529" s="4" t="str">
        <f>IFERROR(__xludf.DUMMYFUNCTION("GOOGLETRANSLATE(B529,""en"",""sr"")"),"км")</f>
        <v>км</v>
      </c>
    </row>
    <row r="530">
      <c r="A530" s="3" t="s">
        <v>1014</v>
      </c>
      <c r="B530" s="3" t="s">
        <v>1015</v>
      </c>
      <c r="C530" s="4" t="str">
        <f>IFERROR(__xludf.DUMMYFUNCTION("GOOGLETRANSLATE(B530,""en"",""ta"")"),"தினசரி புள்ளிவிவரங்கள்")</f>
        <v>தினசரி புள்ளிவிவரங்கள்</v>
      </c>
      <c r="D530" s="4" t="str">
        <f>IFERROR(__xludf.DUMMYFUNCTION("GOOGLETRANSLATE(B530,""en"",""hi"")"),"दैनिक आंकड़े")</f>
        <v>दैनिक आंकड़े</v>
      </c>
      <c r="E530" s="4" t="str">
        <f>IFERROR(__xludf.DUMMYFUNCTION("GOOGLETRANSLATE(B530,""en"",""id"")"),"Statistik Harian")</f>
        <v>Statistik Harian</v>
      </c>
      <c r="F530" s="4" t="str">
        <f>IFERROR(__xludf.DUMMYFUNCTION("GOOGLETRANSLATE(B530,""en"",""ms"")"),"Statistik Harian")</f>
        <v>Statistik Harian</v>
      </c>
      <c r="G530" s="4" t="str">
        <f>IFERROR(__xludf.DUMMYFUNCTION("GOOGLETRANSLATE(B530,""en"",""de"")"),"Tägliche Statistiken")</f>
        <v>Tägliche Statistiken</v>
      </c>
      <c r="H530" s="4" t="str">
        <f>IFERROR(__xludf.DUMMYFUNCTION("GOOGLETRANSLATE(B530,""en"",""es"")"),"Estadísticas diarias")</f>
        <v>Estadísticas diarias</v>
      </c>
      <c r="I530" s="4" t="str">
        <f>IFERROR(__xludf.DUMMYFUNCTION("GOOGLETRANSLATE(B530,""en"",""fr"")"),"Statistiques quotidiennes")</f>
        <v>Statistiques quotidiennes</v>
      </c>
      <c r="J530" s="4" t="str">
        <f>IFERROR(__xludf.DUMMYFUNCTION("GOOGLETRANSLATE(B530,""en"",""it"")"),"Statistiche giornaliere")</f>
        <v>Statistiche giornaliere</v>
      </c>
      <c r="K530" s="4" t="str">
        <f>IFERROR(__xludf.DUMMYFUNCTION("GOOGLETRANSLATE(B530,""en"",""pt"")"),"Estatísticas diárias")</f>
        <v>Estatísticas diárias</v>
      </c>
      <c r="L530" s="4" t="str">
        <f>IFERROR(__xludf.DUMMYFUNCTION("GOOGLETRANSLATE(B530,""en"",""ro"")"),"Statistici zilnice")</f>
        <v>Statistici zilnice</v>
      </c>
      <c r="M530" s="4" t="str">
        <f>IFERROR(__xludf.DUMMYFUNCTION("GOOGLETRANSLATE(B530,""en"",""vi"")"),"Thống kê hàng ngày")</f>
        <v>Thống kê hàng ngày</v>
      </c>
      <c r="N530" s="4" t="str">
        <f>IFERROR(__xludf.DUMMYFUNCTION("GOOGLETRANSLATE(B530,""en"",""ru"")"),"Ежедневная статистика")</f>
        <v>Ежедневная статистика</v>
      </c>
      <c r="O530" s="4" t="str">
        <f>IFERROR(__xludf.DUMMYFUNCTION("GOOGLETRANSLATE(B530,""en"",""tr"")"),"Günlük İstatistikler")</f>
        <v>Günlük İstatistikler</v>
      </c>
      <c r="P530" s="4" t="str">
        <f>IFERROR(__xludf.DUMMYFUNCTION("GOOGLETRANSLATE(B530,""en"",""ar"")"),"الإحصائيات اليومية")</f>
        <v>الإحصائيات اليومية</v>
      </c>
      <c r="Q530" s="4" t="str">
        <f>IFERROR(__xludf.DUMMYFUNCTION("GOOGLETRANSLATE(B530,""en"",""mr"")"),"दैनिक आकडेवारी")</f>
        <v>दैनिक आकडेवारी</v>
      </c>
      <c r="R530" s="4" t="str">
        <f>IFERROR(__xludf.DUMMYFUNCTION("GOOGLETRANSLATE(B530,""en"",""gu"")"),"દૈનિક આંકડા")</f>
        <v>દૈનિક આંકડા</v>
      </c>
      <c r="S530" s="4" t="str">
        <f>IFERROR(__xludf.DUMMYFUNCTION("GOOGLETRANSLATE(B530,""en"",""bn"")"),"দৈনিক পরিসংখ্যান")</f>
        <v>দৈনিক পরিসংখ্যান</v>
      </c>
      <c r="T530" s="4" t="str">
        <f>IFERROR(__xludf.DUMMYFUNCTION("GOOGLETRANSLATE(B530,""en"",""pa"")"),"ਰੋਜ਼ਾਨਾ ਅੰਕੜੇ")</f>
        <v>ਰੋਜ਼ਾਨਾ ਅੰਕੜੇ</v>
      </c>
      <c r="U530" s="4" t="str">
        <f>IFERROR(__xludf.DUMMYFUNCTION("GOOGLETRANSLATE(B530,""en"",""te"")"),"రోజువారీ గణాంకాలు")</f>
        <v>రోజువారీ గణాంకాలు</v>
      </c>
      <c r="V530" s="4" t="str">
        <f>IFERROR(__xludf.DUMMYFUNCTION("GOOGLETRANSLATE(B530,""en"",""kn"")"),"ದೈನಂದಿನ ಅಂಕಿಅಂಶಗಳು")</f>
        <v>ದೈನಂದಿನ ಅಂಕಿಅಂಶಗಳು</v>
      </c>
      <c r="W530" s="4" t="str">
        <f>IFERROR(__xludf.DUMMYFUNCTION("GOOGLETRANSLATE(B530,""en"",""ml"")"),"പ്രതിദിന സ്ഥിതിവിവരക്കണക്കുകൾ")</f>
        <v>പ്രതിദിന സ്ഥിതിവിവരക്കണക്കുകൾ</v>
      </c>
      <c r="X530" s="4" t="str">
        <f>IFERROR(__xludf.DUMMYFUNCTION("GOOGLETRANSLATE(B530,""en"",""th"")"),"สถิติรายวัน")</f>
        <v>สถิติรายวัน</v>
      </c>
      <c r="Y530" s="4" t="str">
        <f>IFERROR(__xludf.DUMMYFUNCTION("GOOGLETRANSLATE(B530,""en"",""ko"")"),"일일 통계")</f>
        <v>일일 통계</v>
      </c>
      <c r="Z530" s="4" t="str">
        <f>IFERROR(__xludf.DUMMYFUNCTION("GOOGLETRANSLATE(B530,""en"",""zh"")"),"每日统计")</f>
        <v>每日统计</v>
      </c>
      <c r="AA530" s="4" t="str">
        <f>IFERROR(__xludf.DUMMYFUNCTION("GOOGLETRANSLATE(B530,""en"",""zh-TW"")"),"每日統計")</f>
        <v>每日統計</v>
      </c>
      <c r="AB530" s="4" t="str">
        <f>IFERROR(__xludf.DUMMYFUNCTION("GOOGLETRANSLATE(B530,""en"",""ja"")"),"日次統計")</f>
        <v>日次統計</v>
      </c>
      <c r="AC530" s="4" t="str">
        <f>IFERROR(__xludf.DUMMYFUNCTION("GOOGLETRANSLATE(B530,""en"",""bg"")"),"Ежедневна статистика")</f>
        <v>Ежедневна статистика</v>
      </c>
      <c r="AD530" s="4" t="str">
        <f>IFERROR(__xludf.DUMMYFUNCTION("GOOGLETRANSLATE(B530,""en"",""cs"")"),"Denní statistiky")</f>
        <v>Denní statistiky</v>
      </c>
      <c r="AE530" s="4" t="str">
        <f>IFERROR(__xludf.DUMMYFUNCTION("GOOGLETRANSLATE(B530,""en"",""da"")"),"Daglig statistik")</f>
        <v>Daglig statistik</v>
      </c>
      <c r="AF530" s="4" t="str">
        <f>IFERROR(__xludf.DUMMYFUNCTION("GOOGLETRANSLATE(B530,""en"",""el"")"),"Καθημερινά Στατιστικά")</f>
        <v>Καθημερινά Στατιστικά</v>
      </c>
      <c r="AG530" s="4" t="str">
        <f>IFERROR(__xludf.DUMMYFUNCTION("GOOGLETRANSLATE(B530,""en"",""et"")"),"Päevastatistika")</f>
        <v>Päevastatistika</v>
      </c>
      <c r="AH530" s="4" t="str">
        <f>IFERROR(__xludf.DUMMYFUNCTION("GOOGLETRANSLATE(B530,""en"",""fi"")"),"Päivittäiset tilastot")</f>
        <v>Päivittäiset tilastot</v>
      </c>
      <c r="AI530" s="4" t="str">
        <f>IFERROR(__xludf.DUMMYFUNCTION("GOOGLETRANSLATE(B530,""en"",""hr"")"),"Dnevna statistika")</f>
        <v>Dnevna statistika</v>
      </c>
      <c r="AJ530" s="4" t="str">
        <f>IFERROR(__xludf.DUMMYFUNCTION("GOOGLETRANSLATE(B530,""en"",""hu"")"),"Napi statisztika")</f>
        <v>Napi statisztika</v>
      </c>
      <c r="AK530" s="4" t="str">
        <f>IFERROR(__xludf.DUMMYFUNCTION("GOOGLETRANSLATE(B530,""en"",""hy"")"),"Ամենօրյա վիճակագրություն")</f>
        <v>Ամենօրյա վիճակագրություն</v>
      </c>
      <c r="AL530" s="4" t="str">
        <f>IFERROR(__xludf.DUMMYFUNCTION("GOOGLETRANSLATE(B530,""en"",""ca"")"),"Estadístiques diàries")</f>
        <v>Estadístiques diàries</v>
      </c>
      <c r="AM530" s="4" t="str">
        <f>IFERROR(__xludf.DUMMYFUNCTION("GOOGLETRANSLATE(B530,""en"",""nl"")"),"Dagelijkse statistieken")</f>
        <v>Dagelijkse statistieken</v>
      </c>
      <c r="AN530" s="4" t="str">
        <f>IFERROR(__xludf.DUMMYFUNCTION("GOOGLETRANSLATE(B530,""en"",""he"")"),"סטטיסטיקה יומית")</f>
        <v>סטטיסטיקה יומית</v>
      </c>
      <c r="AO530" s="4" t="str">
        <f>IFERROR(__xludf.DUMMYFUNCTION("GOOGLETRANSLATE(B530,""en"",""is"")"),"Dagleg tölfræði")</f>
        <v>Dagleg tölfræði</v>
      </c>
      <c r="AP530" s="4" t="str">
        <f>IFERROR(__xludf.DUMMYFUNCTION("GOOGLETRANSLATE(B530,""en"",""no"")"),"Daglig statistikk")</f>
        <v>Daglig statistikk</v>
      </c>
      <c r="AQ530" s="4" t="str">
        <f>IFERROR(__xludf.DUMMYFUNCTION("GOOGLETRANSLATE(B530,""en"",""fa"")"),"آمار روزانه")</f>
        <v>آمار روزانه</v>
      </c>
      <c r="AR530" s="4" t="str">
        <f>IFERROR(__xludf.DUMMYFUNCTION("GOOGLETRANSLATE(B530,""en"",""pl"")"),"Statystyki dzienne")</f>
        <v>Statystyki dzienne</v>
      </c>
      <c r="AS530" s="4" t="str">
        <f>IFERROR(__xludf.DUMMYFUNCTION("GOOGLETRANSLATE(B530,""en"",""sv"")"),"Daglig statistik")</f>
        <v>Daglig statistik</v>
      </c>
      <c r="AT530" s="4" t="str">
        <f>IFERROR(__xludf.DUMMYFUNCTION("GOOGLETRANSLATE(B530,""en"",""uk"")"),"Щоденна статистика")</f>
        <v>Щоденна статистика</v>
      </c>
      <c r="AU530" s="4" t="str">
        <f>IFERROR(__xludf.DUMMYFUNCTION("GOOGLETRANSLATE(B530,""en"",""zu"")"),"Izibalo Zansuku Zonke")</f>
        <v>Izibalo Zansuku Zonke</v>
      </c>
      <c r="AV530" s="4" t="str">
        <f>IFERROR(__xludf.DUMMYFUNCTION("GOOGLETRANSLATE(B530,""en"",""sr"")"),"Даили Статистицс")</f>
        <v>Даили Статистицс</v>
      </c>
    </row>
    <row r="531">
      <c r="A531" s="3" t="s">
        <v>1016</v>
      </c>
      <c r="B531" s="3" t="s">
        <v>1017</v>
      </c>
      <c r="C531" s="4" t="str">
        <f>IFERROR(__xludf.DUMMYFUNCTION("GOOGLETRANSLATE(B531,""en"",""ta"")"),"இன்று")</f>
        <v>இன்று</v>
      </c>
      <c r="D531" s="4" t="str">
        <f>IFERROR(__xludf.DUMMYFUNCTION("GOOGLETRANSLATE(B531,""en"",""hi"")"),"आज")</f>
        <v>आज</v>
      </c>
      <c r="E531" s="4" t="str">
        <f>IFERROR(__xludf.DUMMYFUNCTION("GOOGLETRANSLATE(B531,""en"",""id"")"),"Hari ini")</f>
        <v>Hari ini</v>
      </c>
      <c r="F531" s="4" t="str">
        <f>IFERROR(__xludf.DUMMYFUNCTION("GOOGLETRANSLATE(B531,""en"",""ms"")"),"Hari ini")</f>
        <v>Hari ini</v>
      </c>
      <c r="G531" s="4" t="str">
        <f>IFERROR(__xludf.DUMMYFUNCTION("GOOGLETRANSLATE(B531,""en"",""de"")"),"Heute")</f>
        <v>Heute</v>
      </c>
      <c r="H531" s="4" t="str">
        <f>IFERROR(__xludf.DUMMYFUNCTION("GOOGLETRANSLATE(B531,""en"",""es"")"),"Hoy")</f>
        <v>Hoy</v>
      </c>
      <c r="I531" s="4" t="str">
        <f>IFERROR(__xludf.DUMMYFUNCTION("GOOGLETRANSLATE(B531,""en"",""fr"")"),"Aujourd'hui")</f>
        <v>Aujourd'hui</v>
      </c>
      <c r="J531" s="4" t="str">
        <f>IFERROR(__xludf.DUMMYFUNCTION("GOOGLETRANSLATE(B531,""en"",""it"")"),"Oggi")</f>
        <v>Oggi</v>
      </c>
      <c r="K531" s="4" t="str">
        <f>IFERROR(__xludf.DUMMYFUNCTION("GOOGLETRANSLATE(B531,""en"",""pt"")"),"Hoje")</f>
        <v>Hoje</v>
      </c>
      <c r="L531" s="4" t="str">
        <f>IFERROR(__xludf.DUMMYFUNCTION("GOOGLETRANSLATE(B531,""en"",""ro"")"),"Astăzi")</f>
        <v>Astăzi</v>
      </c>
      <c r="M531" s="4" t="str">
        <f>IFERROR(__xludf.DUMMYFUNCTION("GOOGLETRANSLATE(B531,""en"",""vi"")"),"Hôm nay")</f>
        <v>Hôm nay</v>
      </c>
      <c r="N531" s="4" t="str">
        <f>IFERROR(__xludf.DUMMYFUNCTION("GOOGLETRANSLATE(B531,""en"",""ru"")"),"Сегодня")</f>
        <v>Сегодня</v>
      </c>
      <c r="O531" s="4" t="str">
        <f>IFERROR(__xludf.DUMMYFUNCTION("GOOGLETRANSLATE(B531,""en"",""tr"")"),"Bugün")</f>
        <v>Bugün</v>
      </c>
      <c r="P531" s="4" t="str">
        <f>IFERROR(__xludf.DUMMYFUNCTION("GOOGLETRANSLATE(B531,""en"",""ar"")"),"اليوم")</f>
        <v>اليوم</v>
      </c>
      <c r="Q531" s="4" t="str">
        <f>IFERROR(__xludf.DUMMYFUNCTION("GOOGLETRANSLATE(B531,""en"",""mr"")"),"आज")</f>
        <v>आज</v>
      </c>
      <c r="R531" s="4" t="str">
        <f>IFERROR(__xludf.DUMMYFUNCTION("GOOGLETRANSLATE(B531,""en"",""gu"")"),"આજે")</f>
        <v>આજે</v>
      </c>
      <c r="S531" s="4" t="str">
        <f>IFERROR(__xludf.DUMMYFUNCTION("GOOGLETRANSLATE(B531,""en"",""bn"")"),"আজ")</f>
        <v>আজ</v>
      </c>
      <c r="T531" s="4" t="str">
        <f>IFERROR(__xludf.DUMMYFUNCTION("GOOGLETRANSLATE(B531,""en"",""pa"")"),"ਅੱਜ")</f>
        <v>ਅੱਜ</v>
      </c>
      <c r="U531" s="4" t="str">
        <f>IFERROR(__xludf.DUMMYFUNCTION("GOOGLETRANSLATE(B531,""en"",""te"")"),"ఈరోజు")</f>
        <v>ఈరోజు</v>
      </c>
      <c r="V531" s="4" t="str">
        <f>IFERROR(__xludf.DUMMYFUNCTION("GOOGLETRANSLATE(B531,""en"",""kn"")"),"ಇಂದು")</f>
        <v>ಇಂದು</v>
      </c>
      <c r="W531" s="4" t="str">
        <f>IFERROR(__xludf.DUMMYFUNCTION("GOOGLETRANSLATE(B531,""en"",""ml"")"),"ഇന്ന്")</f>
        <v>ഇന്ന്</v>
      </c>
      <c r="X531" s="4" t="str">
        <f>IFERROR(__xludf.DUMMYFUNCTION("GOOGLETRANSLATE(B531,""en"",""th"")"),"วันนี้")</f>
        <v>วันนี้</v>
      </c>
      <c r="Y531" s="4" t="str">
        <f>IFERROR(__xludf.DUMMYFUNCTION("GOOGLETRANSLATE(B531,""en"",""ko"")"),"오늘")</f>
        <v>오늘</v>
      </c>
      <c r="Z531" s="4" t="str">
        <f>IFERROR(__xludf.DUMMYFUNCTION("GOOGLETRANSLATE(B531,""en"",""zh"")"),"今天")</f>
        <v>今天</v>
      </c>
      <c r="AA531" s="4" t="str">
        <f>IFERROR(__xludf.DUMMYFUNCTION("GOOGLETRANSLATE(B531,""en"",""zh-TW"")"),"今天")</f>
        <v>今天</v>
      </c>
      <c r="AB531" s="4" t="str">
        <f>IFERROR(__xludf.DUMMYFUNCTION("GOOGLETRANSLATE(B531,""en"",""ja"")"),"今日")</f>
        <v>今日</v>
      </c>
      <c r="AC531" s="4" t="str">
        <f>IFERROR(__xludf.DUMMYFUNCTION("GOOGLETRANSLATE(B531,""en"",""bg"")"),"Днес")</f>
        <v>Днес</v>
      </c>
      <c r="AD531" s="4" t="str">
        <f>IFERROR(__xludf.DUMMYFUNCTION("GOOGLETRANSLATE(B531,""en"",""cs"")"),"Dnes")</f>
        <v>Dnes</v>
      </c>
      <c r="AE531" s="4" t="str">
        <f>IFERROR(__xludf.DUMMYFUNCTION("GOOGLETRANSLATE(B531,""en"",""da"")"),"I dag")</f>
        <v>I dag</v>
      </c>
      <c r="AF531" s="4" t="str">
        <f>IFERROR(__xludf.DUMMYFUNCTION("GOOGLETRANSLATE(B531,""en"",""el"")"),"Σήμερα")</f>
        <v>Σήμερα</v>
      </c>
      <c r="AG531" s="4" t="str">
        <f>IFERROR(__xludf.DUMMYFUNCTION("GOOGLETRANSLATE(B531,""en"",""et"")"),"Täna")</f>
        <v>Täna</v>
      </c>
      <c r="AH531" s="4" t="str">
        <f>IFERROR(__xludf.DUMMYFUNCTION("GOOGLETRANSLATE(B531,""en"",""fi"")"),"Tänään")</f>
        <v>Tänään</v>
      </c>
      <c r="AI531" s="4" t="str">
        <f>IFERROR(__xludf.DUMMYFUNCTION("GOOGLETRANSLATE(B531,""en"",""hr"")"),"Danas")</f>
        <v>Danas</v>
      </c>
      <c r="AJ531" s="4" t="str">
        <f>IFERROR(__xludf.DUMMYFUNCTION("GOOGLETRANSLATE(B531,""en"",""hu"")"),"Ma")</f>
        <v>Ma</v>
      </c>
      <c r="AK531" s="4" t="str">
        <f>IFERROR(__xludf.DUMMYFUNCTION("GOOGLETRANSLATE(B531,""en"",""hy"")"),"Այսօր")</f>
        <v>Այսօր</v>
      </c>
      <c r="AL531" s="4" t="str">
        <f>IFERROR(__xludf.DUMMYFUNCTION("GOOGLETRANSLATE(B531,""en"",""ca"")"),"Avui")</f>
        <v>Avui</v>
      </c>
      <c r="AM531" s="4" t="str">
        <f>IFERROR(__xludf.DUMMYFUNCTION("GOOGLETRANSLATE(B531,""en"",""nl"")"),"Vandaag")</f>
        <v>Vandaag</v>
      </c>
      <c r="AN531" s="4" t="str">
        <f>IFERROR(__xludf.DUMMYFUNCTION("GOOGLETRANSLATE(B531,""en"",""he"")"),"הַיוֹם")</f>
        <v>הַיוֹם</v>
      </c>
      <c r="AO531" s="4" t="str">
        <f>IFERROR(__xludf.DUMMYFUNCTION("GOOGLETRANSLATE(B531,""en"",""is"")"),"Í dag")</f>
        <v>Í dag</v>
      </c>
      <c r="AP531" s="4" t="str">
        <f>IFERROR(__xludf.DUMMYFUNCTION("GOOGLETRANSLATE(B531,""en"",""no"")"),"I dag")</f>
        <v>I dag</v>
      </c>
      <c r="AQ531" s="4" t="str">
        <f>IFERROR(__xludf.DUMMYFUNCTION("GOOGLETRANSLATE(B531,""en"",""fa"")"),"امروز")</f>
        <v>امروز</v>
      </c>
      <c r="AR531" s="4" t="str">
        <f>IFERROR(__xludf.DUMMYFUNCTION("GOOGLETRANSLATE(B531,""en"",""pl"")"),"Dzisiaj")</f>
        <v>Dzisiaj</v>
      </c>
      <c r="AS531" s="4" t="str">
        <f>IFERROR(__xludf.DUMMYFUNCTION("GOOGLETRANSLATE(B531,""en"",""sv"")"),"I dag")</f>
        <v>I dag</v>
      </c>
      <c r="AT531" s="4" t="str">
        <f>IFERROR(__xludf.DUMMYFUNCTION("GOOGLETRANSLATE(B531,""en"",""uk"")"),"Сьогодні")</f>
        <v>Сьогодні</v>
      </c>
      <c r="AU531" s="4" t="str">
        <f>IFERROR(__xludf.DUMMYFUNCTION("GOOGLETRANSLATE(B531,""en"",""zu"")"),"Namuhla")</f>
        <v>Namuhla</v>
      </c>
      <c r="AV531" s="4" t="str">
        <f>IFERROR(__xludf.DUMMYFUNCTION("GOOGLETRANSLATE(B531,""en"",""sr"")"),"данас")</f>
        <v>данас</v>
      </c>
    </row>
    <row r="532">
      <c r="A532" s="3" t="s">
        <v>1018</v>
      </c>
      <c r="B532" s="3" t="s">
        <v>534</v>
      </c>
      <c r="C532" s="4" t="str">
        <f>IFERROR(__xludf.DUMMYFUNCTION("GOOGLETRANSLATE(B532,""en"",""ta"")"),"படிகள்")</f>
        <v>படிகள்</v>
      </c>
      <c r="D532" s="4" t="str">
        <f>IFERROR(__xludf.DUMMYFUNCTION("GOOGLETRANSLATE(B532,""en"",""hi"")"),"कदम")</f>
        <v>कदम</v>
      </c>
      <c r="E532" s="4" t="str">
        <f>IFERROR(__xludf.DUMMYFUNCTION("GOOGLETRANSLATE(B532,""en"",""id"")"),"Tangga")</f>
        <v>Tangga</v>
      </c>
      <c r="F532" s="4" t="str">
        <f>IFERROR(__xludf.DUMMYFUNCTION("GOOGLETRANSLATE(B532,""en"",""ms"")"),"Langkah")</f>
        <v>Langkah</v>
      </c>
      <c r="G532" s="4" t="str">
        <f>IFERROR(__xludf.DUMMYFUNCTION("GOOGLETRANSLATE(B532,""en"",""de"")"),"Schritte")</f>
        <v>Schritte</v>
      </c>
      <c r="H532" s="4" t="str">
        <f>IFERROR(__xludf.DUMMYFUNCTION("GOOGLETRANSLATE(B532,""en"",""es"")"),"Pasos")</f>
        <v>Pasos</v>
      </c>
      <c r="I532" s="4" t="str">
        <f>IFERROR(__xludf.DUMMYFUNCTION("GOOGLETRANSLATE(B532,""en"",""fr"")"),"Mesures")</f>
        <v>Mesures</v>
      </c>
      <c r="J532" s="4" t="str">
        <f>IFERROR(__xludf.DUMMYFUNCTION("GOOGLETRANSLATE(B532,""en"",""it"")"),"Passi")</f>
        <v>Passi</v>
      </c>
      <c r="K532" s="4" t="str">
        <f>IFERROR(__xludf.DUMMYFUNCTION("GOOGLETRANSLATE(B532,""en"",""pt"")"),"Passos")</f>
        <v>Passos</v>
      </c>
      <c r="L532" s="4" t="str">
        <f>IFERROR(__xludf.DUMMYFUNCTION("GOOGLETRANSLATE(B532,""en"",""ro"")"),"Pași")</f>
        <v>Pași</v>
      </c>
      <c r="M532" s="4" t="str">
        <f>IFERROR(__xludf.DUMMYFUNCTION("GOOGLETRANSLATE(B532,""en"",""vi"")"),"Các bước")</f>
        <v>Các bước</v>
      </c>
      <c r="N532" s="4" t="str">
        <f>IFERROR(__xludf.DUMMYFUNCTION("GOOGLETRANSLATE(B532,""en"",""ru"")"),"Шаги")</f>
        <v>Шаги</v>
      </c>
      <c r="O532" s="4" t="str">
        <f>IFERROR(__xludf.DUMMYFUNCTION("GOOGLETRANSLATE(B532,""en"",""tr"")"),"Adımlar")</f>
        <v>Adımlar</v>
      </c>
      <c r="P532" s="4" t="str">
        <f>IFERROR(__xludf.DUMMYFUNCTION("GOOGLETRANSLATE(B532,""en"",""ar"")"),"خطوات")</f>
        <v>خطوات</v>
      </c>
      <c r="Q532" s="4" t="str">
        <f>IFERROR(__xludf.DUMMYFUNCTION("GOOGLETRANSLATE(B532,""en"",""mr"")"),"पायऱ्या")</f>
        <v>पायऱ्या</v>
      </c>
      <c r="R532" s="4" t="str">
        <f>IFERROR(__xludf.DUMMYFUNCTION("GOOGLETRANSLATE(B532,""en"",""gu"")"),"પગલાં")</f>
        <v>પગલાં</v>
      </c>
      <c r="S532" s="4" t="str">
        <f>IFERROR(__xludf.DUMMYFUNCTION("GOOGLETRANSLATE(B532,""en"",""bn"")"),"ধাপ")</f>
        <v>ধাপ</v>
      </c>
      <c r="T532" s="4" t="str">
        <f>IFERROR(__xludf.DUMMYFUNCTION("GOOGLETRANSLATE(B532,""en"",""pa"")"),"ਕਦਮ")</f>
        <v>ਕਦਮ</v>
      </c>
      <c r="U532" s="4" t="str">
        <f>IFERROR(__xludf.DUMMYFUNCTION("GOOGLETRANSLATE(B532,""en"",""te"")"),"దశలు")</f>
        <v>దశలు</v>
      </c>
      <c r="V532" s="4" t="str">
        <f>IFERROR(__xludf.DUMMYFUNCTION("GOOGLETRANSLATE(B532,""en"",""kn"")"),"ಹಂತಗಳು")</f>
        <v>ಹಂತಗಳು</v>
      </c>
      <c r="W532" s="4" t="str">
        <f>IFERROR(__xludf.DUMMYFUNCTION("GOOGLETRANSLATE(B532,""en"",""ml"")"),"പടികൾ")</f>
        <v>പടികൾ</v>
      </c>
      <c r="X532" s="4" t="str">
        <f>IFERROR(__xludf.DUMMYFUNCTION("GOOGLETRANSLATE(B532,""en"",""th"")"),"ขั้นตอน")</f>
        <v>ขั้นตอน</v>
      </c>
      <c r="Y532" s="4" t="str">
        <f>IFERROR(__xludf.DUMMYFUNCTION("GOOGLETRANSLATE(B532,""en"",""ko"")"),"단계")</f>
        <v>단계</v>
      </c>
      <c r="Z532" s="4" t="str">
        <f>IFERROR(__xludf.DUMMYFUNCTION("GOOGLETRANSLATE(B532,""en"",""zh"")"),"步骤")</f>
        <v>步骤</v>
      </c>
      <c r="AA532" s="4" t="str">
        <f>IFERROR(__xludf.DUMMYFUNCTION("GOOGLETRANSLATE(B532,""en"",""zh-TW"")"),"步驟")</f>
        <v>步驟</v>
      </c>
      <c r="AB532" s="4" t="str">
        <f>IFERROR(__xludf.DUMMYFUNCTION("GOOGLETRANSLATE(B532,""en"",""ja"")"),"手順")</f>
        <v>手順</v>
      </c>
      <c r="AC532" s="4" t="str">
        <f>IFERROR(__xludf.DUMMYFUNCTION("GOOGLETRANSLATE(B532,""en"",""bg"")"),"стъпки")</f>
        <v>стъпки</v>
      </c>
      <c r="AD532" s="4" t="str">
        <f>IFERROR(__xludf.DUMMYFUNCTION("GOOGLETRANSLATE(B532,""en"",""cs"")"),"Kroky")</f>
        <v>Kroky</v>
      </c>
      <c r="AE532" s="4" t="str">
        <f>IFERROR(__xludf.DUMMYFUNCTION("GOOGLETRANSLATE(B532,""en"",""da"")"),"Trin")</f>
        <v>Trin</v>
      </c>
      <c r="AF532" s="4" t="str">
        <f>IFERROR(__xludf.DUMMYFUNCTION("GOOGLETRANSLATE(B532,""en"",""el"")"),"Βήματα")</f>
        <v>Βήματα</v>
      </c>
      <c r="AG532" s="4" t="str">
        <f>IFERROR(__xludf.DUMMYFUNCTION("GOOGLETRANSLATE(B532,""en"",""et"")"),"Sammud")</f>
        <v>Sammud</v>
      </c>
      <c r="AH532" s="4" t="str">
        <f>IFERROR(__xludf.DUMMYFUNCTION("GOOGLETRANSLATE(B532,""en"",""fi"")"),"Vaiheet")</f>
        <v>Vaiheet</v>
      </c>
      <c r="AI532" s="4" t="str">
        <f>IFERROR(__xludf.DUMMYFUNCTION("GOOGLETRANSLATE(B532,""en"",""hr"")"),"Koraci")</f>
        <v>Koraci</v>
      </c>
      <c r="AJ532" s="4" t="str">
        <f>IFERROR(__xludf.DUMMYFUNCTION("GOOGLETRANSLATE(B532,""en"",""hu"")"),"Lépések")</f>
        <v>Lépések</v>
      </c>
      <c r="AK532" s="4" t="str">
        <f>IFERROR(__xludf.DUMMYFUNCTION("GOOGLETRANSLATE(B532,""en"",""hy"")"),"Քայլեր")</f>
        <v>Քայլեր</v>
      </c>
      <c r="AL532" s="4" t="str">
        <f>IFERROR(__xludf.DUMMYFUNCTION("GOOGLETRANSLATE(B532,""en"",""ca"")"),"Passos")</f>
        <v>Passos</v>
      </c>
      <c r="AM532" s="4" t="str">
        <f>IFERROR(__xludf.DUMMYFUNCTION("GOOGLETRANSLATE(B532,""en"",""nl"")"),"Stappen")</f>
        <v>Stappen</v>
      </c>
      <c r="AN532" s="4" t="str">
        <f>IFERROR(__xludf.DUMMYFUNCTION("GOOGLETRANSLATE(B532,""en"",""he"")"),"שלבים")</f>
        <v>שלבים</v>
      </c>
      <c r="AO532" s="4" t="str">
        <f>IFERROR(__xludf.DUMMYFUNCTION("GOOGLETRANSLATE(B532,""en"",""is"")"),"Skref")</f>
        <v>Skref</v>
      </c>
      <c r="AP532" s="4" t="str">
        <f>IFERROR(__xludf.DUMMYFUNCTION("GOOGLETRANSLATE(B532,""en"",""no"")"),"Trinn")</f>
        <v>Trinn</v>
      </c>
      <c r="AQ532" s="4" t="str">
        <f>IFERROR(__xludf.DUMMYFUNCTION("GOOGLETRANSLATE(B532,""en"",""fa"")"),"مراحل")</f>
        <v>مراحل</v>
      </c>
      <c r="AR532" s="4" t="str">
        <f>IFERROR(__xludf.DUMMYFUNCTION("GOOGLETRANSLATE(B532,""en"",""pl"")"),"Kroki")</f>
        <v>Kroki</v>
      </c>
      <c r="AS532" s="4" t="str">
        <f>IFERROR(__xludf.DUMMYFUNCTION("GOOGLETRANSLATE(B532,""en"",""sv"")"),"Steg")</f>
        <v>Steg</v>
      </c>
      <c r="AT532" s="4" t="str">
        <f>IFERROR(__xludf.DUMMYFUNCTION("GOOGLETRANSLATE(B532,""en"",""uk"")"),"кроки")</f>
        <v>кроки</v>
      </c>
      <c r="AU532" s="4" t="str">
        <f>IFERROR(__xludf.DUMMYFUNCTION("GOOGLETRANSLATE(B532,""en"",""zu"")"),"Izinyathelo")</f>
        <v>Izinyathelo</v>
      </c>
      <c r="AV532" s="4" t="str">
        <f>IFERROR(__xludf.DUMMYFUNCTION("GOOGLETRANSLATE(B532,""en"",""sr"")"),"Степс")</f>
        <v>Степс</v>
      </c>
    </row>
    <row r="533">
      <c r="A533" s="3" t="s">
        <v>1019</v>
      </c>
      <c r="B533" s="3" t="s">
        <v>1020</v>
      </c>
      <c r="C533" s="4" t="str">
        <f>IFERROR(__xludf.DUMMYFUNCTION("GOOGLETRANSLATE(B533,""en"",""ta"")"),"இலக்கு")</f>
        <v>இலக்கு</v>
      </c>
      <c r="D533" s="4" t="str">
        <f>IFERROR(__xludf.DUMMYFUNCTION("GOOGLETRANSLATE(B533,""en"",""hi"")"),"लक्ष्य")</f>
        <v>लक्ष्य</v>
      </c>
      <c r="E533" s="4" t="str">
        <f>IFERROR(__xludf.DUMMYFUNCTION("GOOGLETRANSLATE(B533,""en"",""id"")"),"Sasaran")</f>
        <v>Sasaran</v>
      </c>
      <c r="F533" s="4" t="str">
        <f>IFERROR(__xludf.DUMMYFUNCTION("GOOGLETRANSLATE(B533,""en"",""ms"")"),"Matlamat")</f>
        <v>Matlamat</v>
      </c>
      <c r="G533" s="4" t="str">
        <f>IFERROR(__xludf.DUMMYFUNCTION("GOOGLETRANSLATE(B533,""en"",""de"")"),"Ziel")</f>
        <v>Ziel</v>
      </c>
      <c r="H533" s="4" t="str">
        <f>IFERROR(__xludf.DUMMYFUNCTION("GOOGLETRANSLATE(B533,""en"",""es"")"),"Meta")</f>
        <v>Meta</v>
      </c>
      <c r="I533" s="4" t="str">
        <f>IFERROR(__xludf.DUMMYFUNCTION("GOOGLETRANSLATE(B533,""en"",""fr"")"),"But")</f>
        <v>But</v>
      </c>
      <c r="J533" s="4" t="str">
        <f>IFERROR(__xludf.DUMMYFUNCTION("GOOGLETRANSLATE(B533,""en"",""it"")"),"Obiettivo")</f>
        <v>Obiettivo</v>
      </c>
      <c r="K533" s="4" t="str">
        <f>IFERROR(__xludf.DUMMYFUNCTION("GOOGLETRANSLATE(B533,""en"",""pt"")"),"Meta")</f>
        <v>Meta</v>
      </c>
      <c r="L533" s="4" t="str">
        <f>IFERROR(__xludf.DUMMYFUNCTION("GOOGLETRANSLATE(B533,""en"",""ro"")"),"Scop")</f>
        <v>Scop</v>
      </c>
      <c r="M533" s="4" t="str">
        <f>IFERROR(__xludf.DUMMYFUNCTION("GOOGLETRANSLATE(B533,""en"",""vi"")"),"Mục tiêu")</f>
        <v>Mục tiêu</v>
      </c>
      <c r="N533" s="4" t="str">
        <f>IFERROR(__xludf.DUMMYFUNCTION("GOOGLETRANSLATE(B533,""en"",""ru"")"),"Цель")</f>
        <v>Цель</v>
      </c>
      <c r="O533" s="4" t="str">
        <f>IFERROR(__xludf.DUMMYFUNCTION("GOOGLETRANSLATE(B533,""en"",""tr"")"),"Amaç")</f>
        <v>Amaç</v>
      </c>
      <c r="P533" s="4" t="str">
        <f>IFERROR(__xludf.DUMMYFUNCTION("GOOGLETRANSLATE(B533,""en"",""ar"")"),"هدف")</f>
        <v>هدف</v>
      </c>
      <c r="Q533" s="4" t="str">
        <f>IFERROR(__xludf.DUMMYFUNCTION("GOOGLETRANSLATE(B533,""en"",""mr"")"),"ध्येय")</f>
        <v>ध्येय</v>
      </c>
      <c r="R533" s="4" t="str">
        <f>IFERROR(__xludf.DUMMYFUNCTION("GOOGLETRANSLATE(B533,""en"",""gu"")"),"ધ્યેય")</f>
        <v>ધ્યેય</v>
      </c>
      <c r="S533" s="4" t="str">
        <f>IFERROR(__xludf.DUMMYFUNCTION("GOOGLETRANSLATE(B533,""en"",""bn"")"),"গোল")</f>
        <v>গোল</v>
      </c>
      <c r="T533" s="4" t="str">
        <f>IFERROR(__xludf.DUMMYFUNCTION("GOOGLETRANSLATE(B533,""en"",""pa"")"),"ਟੀਚਾ")</f>
        <v>ਟੀਚਾ</v>
      </c>
      <c r="U533" s="4" t="str">
        <f>IFERROR(__xludf.DUMMYFUNCTION("GOOGLETRANSLATE(B533,""en"",""te"")"),"లక్ష్యం")</f>
        <v>లక్ష్యం</v>
      </c>
      <c r="V533" s="4" t="str">
        <f>IFERROR(__xludf.DUMMYFUNCTION("GOOGLETRANSLATE(B533,""en"",""kn"")"),"ಗುರಿ")</f>
        <v>ಗುರಿ</v>
      </c>
      <c r="W533" s="4" t="str">
        <f>IFERROR(__xludf.DUMMYFUNCTION("GOOGLETRANSLATE(B533,""en"",""ml"")"),"ലക്ഷ്യം")</f>
        <v>ലക്ഷ്യം</v>
      </c>
      <c r="X533" s="4" t="str">
        <f>IFERROR(__xludf.DUMMYFUNCTION("GOOGLETRANSLATE(B533,""en"",""th"")"),"เป้าหมาย")</f>
        <v>เป้าหมาย</v>
      </c>
      <c r="Y533" s="4" t="str">
        <f>IFERROR(__xludf.DUMMYFUNCTION("GOOGLETRANSLATE(B533,""en"",""ko"")"),"목표")</f>
        <v>목표</v>
      </c>
      <c r="Z533" s="4" t="str">
        <f>IFERROR(__xludf.DUMMYFUNCTION("GOOGLETRANSLATE(B533,""en"",""zh"")"),"目标")</f>
        <v>目标</v>
      </c>
      <c r="AA533" s="4" t="str">
        <f>IFERROR(__xludf.DUMMYFUNCTION("GOOGLETRANSLATE(B533,""en"",""zh-TW"")"),"目標")</f>
        <v>目標</v>
      </c>
      <c r="AB533" s="4" t="str">
        <f>IFERROR(__xludf.DUMMYFUNCTION("GOOGLETRANSLATE(B533,""en"",""ja"")"),"ゴール")</f>
        <v>ゴール</v>
      </c>
      <c r="AC533" s="4" t="str">
        <f>IFERROR(__xludf.DUMMYFUNCTION("GOOGLETRANSLATE(B533,""en"",""bg"")"),"гол")</f>
        <v>гол</v>
      </c>
      <c r="AD533" s="4" t="str">
        <f>IFERROR(__xludf.DUMMYFUNCTION("GOOGLETRANSLATE(B533,""en"",""cs"")"),"Gól")</f>
        <v>Gól</v>
      </c>
      <c r="AE533" s="4" t="str">
        <f>IFERROR(__xludf.DUMMYFUNCTION("GOOGLETRANSLATE(B533,""en"",""da"")"),"Mål")</f>
        <v>Mål</v>
      </c>
      <c r="AF533" s="4" t="str">
        <f>IFERROR(__xludf.DUMMYFUNCTION("GOOGLETRANSLATE(B533,""en"",""el"")"),"Γκολ")</f>
        <v>Γκολ</v>
      </c>
      <c r="AG533" s="4" t="str">
        <f>IFERROR(__xludf.DUMMYFUNCTION("GOOGLETRANSLATE(B533,""en"",""et"")"),"Eesmärk")</f>
        <v>Eesmärk</v>
      </c>
      <c r="AH533" s="4" t="str">
        <f>IFERROR(__xludf.DUMMYFUNCTION("GOOGLETRANSLATE(B533,""en"",""fi"")"),"Maali")</f>
        <v>Maali</v>
      </c>
      <c r="AI533" s="4" t="str">
        <f>IFERROR(__xludf.DUMMYFUNCTION("GOOGLETRANSLATE(B533,""en"",""hr"")"),"Cilj")</f>
        <v>Cilj</v>
      </c>
      <c r="AJ533" s="4" t="str">
        <f>IFERROR(__xludf.DUMMYFUNCTION("GOOGLETRANSLATE(B533,""en"",""hu"")"),"Cél")</f>
        <v>Cél</v>
      </c>
      <c r="AK533" s="4" t="str">
        <f>IFERROR(__xludf.DUMMYFUNCTION("GOOGLETRANSLATE(B533,""en"",""hy"")"),"Նպատակ")</f>
        <v>Նպատակ</v>
      </c>
      <c r="AL533" s="4" t="str">
        <f>IFERROR(__xludf.DUMMYFUNCTION("GOOGLETRANSLATE(B533,""en"",""ca"")"),"Gol")</f>
        <v>Gol</v>
      </c>
      <c r="AM533" s="4" t="str">
        <f>IFERROR(__xludf.DUMMYFUNCTION("GOOGLETRANSLATE(B533,""en"",""nl"")"),"Doel")</f>
        <v>Doel</v>
      </c>
      <c r="AN533" s="4" t="str">
        <f>IFERROR(__xludf.DUMMYFUNCTION("GOOGLETRANSLATE(B533,""en"",""he"")"),"יַעַד")</f>
        <v>יַעַד</v>
      </c>
      <c r="AO533" s="4" t="str">
        <f>IFERROR(__xludf.DUMMYFUNCTION("GOOGLETRANSLATE(B533,""en"",""is"")"),"Markmið")</f>
        <v>Markmið</v>
      </c>
      <c r="AP533" s="4" t="str">
        <f>IFERROR(__xludf.DUMMYFUNCTION("GOOGLETRANSLATE(B533,""en"",""no"")"),"Mål")</f>
        <v>Mål</v>
      </c>
      <c r="AQ533" s="4" t="str">
        <f>IFERROR(__xludf.DUMMYFUNCTION("GOOGLETRANSLATE(B533,""en"",""fa"")"),"هدف")</f>
        <v>هدف</v>
      </c>
      <c r="AR533" s="4" t="str">
        <f>IFERROR(__xludf.DUMMYFUNCTION("GOOGLETRANSLATE(B533,""en"",""pl"")"),"Bramka")</f>
        <v>Bramka</v>
      </c>
      <c r="AS533" s="4" t="str">
        <f>IFERROR(__xludf.DUMMYFUNCTION("GOOGLETRANSLATE(B533,""en"",""sv"")"),"Mål")</f>
        <v>Mål</v>
      </c>
      <c r="AT533" s="4" t="str">
        <f>IFERROR(__xludf.DUMMYFUNCTION("GOOGLETRANSLATE(B533,""en"",""uk"")"),"Мета")</f>
        <v>Мета</v>
      </c>
      <c r="AU533" s="4" t="str">
        <f>IFERROR(__xludf.DUMMYFUNCTION("GOOGLETRANSLATE(B533,""en"",""zu"")"),"Igoli")</f>
        <v>Igoli</v>
      </c>
      <c r="AV533" s="4" t="str">
        <f>IFERROR(__xludf.DUMMYFUNCTION("GOOGLETRANSLATE(B533,""en"",""sr"")"),"Гол")</f>
        <v>Гол</v>
      </c>
    </row>
    <row r="534">
      <c r="A534" s="3" t="s">
        <v>1021</v>
      </c>
      <c r="B534" s="3" t="s">
        <v>1022</v>
      </c>
      <c r="C534" s="4" t="str">
        <f>IFERROR(__xludf.DUMMYFUNCTION("GOOGLETRANSLATE(B534,""en"",""ta"")"),"முன்னேற்றம்")</f>
        <v>முன்னேற்றம்</v>
      </c>
      <c r="D534" s="4" t="str">
        <f>IFERROR(__xludf.DUMMYFUNCTION("GOOGLETRANSLATE(B534,""en"",""hi"")"),"प्रगति")</f>
        <v>प्रगति</v>
      </c>
      <c r="E534" s="4" t="str">
        <f>IFERROR(__xludf.DUMMYFUNCTION("GOOGLETRANSLATE(B534,""en"",""id"")"),"Kemajuan")</f>
        <v>Kemajuan</v>
      </c>
      <c r="F534" s="4" t="str">
        <f>IFERROR(__xludf.DUMMYFUNCTION("GOOGLETRANSLATE(B534,""en"",""ms"")"),"Kemajuan")</f>
        <v>Kemajuan</v>
      </c>
      <c r="G534" s="4" t="str">
        <f>IFERROR(__xludf.DUMMYFUNCTION("GOOGLETRANSLATE(B534,""en"",""de"")"),"Fortschritt")</f>
        <v>Fortschritt</v>
      </c>
      <c r="H534" s="4" t="str">
        <f>IFERROR(__xludf.DUMMYFUNCTION("GOOGLETRANSLATE(B534,""en"",""es"")"),"Progreso")</f>
        <v>Progreso</v>
      </c>
      <c r="I534" s="4" t="str">
        <f>IFERROR(__xludf.DUMMYFUNCTION("GOOGLETRANSLATE(B534,""en"",""fr"")"),"Progrès")</f>
        <v>Progrès</v>
      </c>
      <c r="J534" s="4" t="str">
        <f>IFERROR(__xludf.DUMMYFUNCTION("GOOGLETRANSLATE(B534,""en"",""it"")"),"Progressi")</f>
        <v>Progressi</v>
      </c>
      <c r="K534" s="4" t="str">
        <f>IFERROR(__xludf.DUMMYFUNCTION("GOOGLETRANSLATE(B534,""en"",""pt"")"),"Progresso")</f>
        <v>Progresso</v>
      </c>
      <c r="L534" s="4" t="str">
        <f>IFERROR(__xludf.DUMMYFUNCTION("GOOGLETRANSLATE(B534,""en"",""ro"")"),"Progres")</f>
        <v>Progres</v>
      </c>
      <c r="M534" s="4" t="str">
        <f>IFERROR(__xludf.DUMMYFUNCTION("GOOGLETRANSLATE(B534,""en"",""vi"")"),"Tiến triển")</f>
        <v>Tiến triển</v>
      </c>
      <c r="N534" s="4" t="str">
        <f>IFERROR(__xludf.DUMMYFUNCTION("GOOGLETRANSLATE(B534,""en"",""ru"")"),"Прогресс")</f>
        <v>Прогресс</v>
      </c>
      <c r="O534" s="4" t="str">
        <f>IFERROR(__xludf.DUMMYFUNCTION("GOOGLETRANSLATE(B534,""en"",""tr"")"),"İlerlemek")</f>
        <v>İlerlemek</v>
      </c>
      <c r="P534" s="4" t="str">
        <f>IFERROR(__xludf.DUMMYFUNCTION("GOOGLETRANSLATE(B534,""en"",""ar"")"),"تقدم")</f>
        <v>تقدم</v>
      </c>
      <c r="Q534" s="4" t="str">
        <f>IFERROR(__xludf.DUMMYFUNCTION("GOOGLETRANSLATE(B534,""en"",""mr"")"),"प्रगती")</f>
        <v>प्रगती</v>
      </c>
      <c r="R534" s="4" t="str">
        <f>IFERROR(__xludf.DUMMYFUNCTION("GOOGLETRANSLATE(B534,""en"",""gu"")"),"પ્રગતિ")</f>
        <v>પ્રગતિ</v>
      </c>
      <c r="S534" s="4" t="str">
        <f>IFERROR(__xludf.DUMMYFUNCTION("GOOGLETRANSLATE(B534,""en"",""bn"")"),"অগ্রগতি")</f>
        <v>অগ্রগতি</v>
      </c>
      <c r="T534" s="4" t="str">
        <f>IFERROR(__xludf.DUMMYFUNCTION("GOOGLETRANSLATE(B534,""en"",""pa"")"),"ਤਰੱਕੀ")</f>
        <v>ਤਰੱਕੀ</v>
      </c>
      <c r="U534" s="4" t="str">
        <f>IFERROR(__xludf.DUMMYFUNCTION("GOOGLETRANSLATE(B534,""en"",""te"")"),"పురోగతి")</f>
        <v>పురోగతి</v>
      </c>
      <c r="V534" s="4" t="str">
        <f>IFERROR(__xludf.DUMMYFUNCTION("GOOGLETRANSLATE(B534,""en"",""kn"")"),"ಪ್ರಗತಿ")</f>
        <v>ಪ್ರಗತಿ</v>
      </c>
      <c r="W534" s="4" t="str">
        <f>IFERROR(__xludf.DUMMYFUNCTION("GOOGLETRANSLATE(B534,""en"",""ml"")"),"പുരോഗതി")</f>
        <v>പുരോഗതി</v>
      </c>
      <c r="X534" s="4" t="str">
        <f>IFERROR(__xludf.DUMMYFUNCTION("GOOGLETRANSLATE(B534,""en"",""th"")"),"ความคืบหน้า")</f>
        <v>ความคืบหน้า</v>
      </c>
      <c r="Y534" s="4" t="str">
        <f>IFERROR(__xludf.DUMMYFUNCTION("GOOGLETRANSLATE(B534,""en"",""ko"")"),"진전")</f>
        <v>진전</v>
      </c>
      <c r="Z534" s="4" t="str">
        <f>IFERROR(__xludf.DUMMYFUNCTION("GOOGLETRANSLATE(B534,""en"",""zh"")"),"进步")</f>
        <v>进步</v>
      </c>
      <c r="AA534" s="4" t="str">
        <f>IFERROR(__xludf.DUMMYFUNCTION("GOOGLETRANSLATE(B534,""en"",""zh-TW"")"),"進步")</f>
        <v>進步</v>
      </c>
      <c r="AB534" s="4" t="str">
        <f>IFERROR(__xludf.DUMMYFUNCTION("GOOGLETRANSLATE(B534,""en"",""ja"")"),"進捗")</f>
        <v>進捗</v>
      </c>
      <c r="AC534" s="4" t="str">
        <f>IFERROR(__xludf.DUMMYFUNCTION("GOOGLETRANSLATE(B534,""en"",""bg"")"),"Напредък")</f>
        <v>Напредък</v>
      </c>
      <c r="AD534" s="4" t="str">
        <f>IFERROR(__xludf.DUMMYFUNCTION("GOOGLETRANSLATE(B534,""en"",""cs"")"),"Pokrok")</f>
        <v>Pokrok</v>
      </c>
      <c r="AE534" s="4" t="str">
        <f>IFERROR(__xludf.DUMMYFUNCTION("GOOGLETRANSLATE(B534,""en"",""da"")"),"Fremskridt")</f>
        <v>Fremskridt</v>
      </c>
      <c r="AF534" s="4" t="str">
        <f>IFERROR(__xludf.DUMMYFUNCTION("GOOGLETRANSLATE(B534,""en"",""el"")"),"Πρόοδος")</f>
        <v>Πρόοδος</v>
      </c>
      <c r="AG534" s="4" t="str">
        <f>IFERROR(__xludf.DUMMYFUNCTION("GOOGLETRANSLATE(B534,""en"",""et"")"),"Edusammud")</f>
        <v>Edusammud</v>
      </c>
      <c r="AH534" s="4" t="str">
        <f>IFERROR(__xludf.DUMMYFUNCTION("GOOGLETRANSLATE(B534,""en"",""fi"")"),"Edistyminen")</f>
        <v>Edistyminen</v>
      </c>
      <c r="AI534" s="4" t="str">
        <f>IFERROR(__xludf.DUMMYFUNCTION("GOOGLETRANSLATE(B534,""en"",""hr"")"),"Napredak")</f>
        <v>Napredak</v>
      </c>
      <c r="AJ534" s="4" t="str">
        <f>IFERROR(__xludf.DUMMYFUNCTION("GOOGLETRANSLATE(B534,""en"",""hu"")"),"Előrehalad")</f>
        <v>Előrehalad</v>
      </c>
      <c r="AK534" s="4" t="str">
        <f>IFERROR(__xludf.DUMMYFUNCTION("GOOGLETRANSLATE(B534,""en"",""hy"")"),"Առաջընթաց")</f>
        <v>Առաջընթաց</v>
      </c>
      <c r="AL534" s="4" t="str">
        <f>IFERROR(__xludf.DUMMYFUNCTION("GOOGLETRANSLATE(B534,""en"",""ca"")"),"Progrés")</f>
        <v>Progrés</v>
      </c>
      <c r="AM534" s="4" t="str">
        <f>IFERROR(__xludf.DUMMYFUNCTION("GOOGLETRANSLATE(B534,""en"",""nl"")"),"Voortgang")</f>
        <v>Voortgang</v>
      </c>
      <c r="AN534" s="4" t="str">
        <f>IFERROR(__xludf.DUMMYFUNCTION("GOOGLETRANSLATE(B534,""en"",""he"")"),"הִתקַדְמוּת")</f>
        <v>הִתקַדְמוּת</v>
      </c>
      <c r="AO534" s="4" t="str">
        <f>IFERROR(__xludf.DUMMYFUNCTION("GOOGLETRANSLATE(B534,""en"",""is"")"),"Framfarir")</f>
        <v>Framfarir</v>
      </c>
      <c r="AP534" s="4" t="str">
        <f>IFERROR(__xludf.DUMMYFUNCTION("GOOGLETRANSLATE(B534,""en"",""no"")"),"Framgang")</f>
        <v>Framgang</v>
      </c>
      <c r="AQ534" s="4" t="str">
        <f>IFERROR(__xludf.DUMMYFUNCTION("GOOGLETRANSLATE(B534,""en"",""fa"")"),"پیشرفت")</f>
        <v>پیشرفت</v>
      </c>
      <c r="AR534" s="4" t="str">
        <f>IFERROR(__xludf.DUMMYFUNCTION("GOOGLETRANSLATE(B534,""en"",""pl"")"),"Postęp")</f>
        <v>Postęp</v>
      </c>
      <c r="AS534" s="4" t="str">
        <f>IFERROR(__xludf.DUMMYFUNCTION("GOOGLETRANSLATE(B534,""en"",""sv"")"),"Framsteg")</f>
        <v>Framsteg</v>
      </c>
      <c r="AT534" s="4" t="str">
        <f>IFERROR(__xludf.DUMMYFUNCTION("GOOGLETRANSLATE(B534,""en"",""uk"")"),"Прогрес")</f>
        <v>Прогрес</v>
      </c>
      <c r="AU534" s="4" t="str">
        <f>IFERROR(__xludf.DUMMYFUNCTION("GOOGLETRANSLATE(B534,""en"",""zu"")"),"Inqubekelaphambili")</f>
        <v>Inqubekelaphambili</v>
      </c>
      <c r="AV534" s="4" t="str">
        <f>IFERROR(__xludf.DUMMYFUNCTION("GOOGLETRANSLATE(B534,""en"",""sr"")"),"Напредак")</f>
        <v>Напредак</v>
      </c>
    </row>
    <row r="535">
      <c r="A535" s="3" t="s">
        <v>1023</v>
      </c>
      <c r="B535" s="3" t="s">
        <v>1024</v>
      </c>
      <c r="C535" s="4" t="str">
        <f>IFERROR(__xludf.DUMMYFUNCTION("GOOGLETRANSLATE(B535,""en"",""ta"")"),"முந்தைய நாட்கள்")</f>
        <v>முந்தைய நாட்கள்</v>
      </c>
      <c r="D535" s="4" t="str">
        <f>IFERROR(__xludf.DUMMYFUNCTION("GOOGLETRANSLATE(B535,""en"",""hi"")"),"पिछले दिन")</f>
        <v>पिछले दिन</v>
      </c>
      <c r="E535" s="4" t="str">
        <f>IFERROR(__xludf.DUMMYFUNCTION("GOOGLETRANSLATE(B535,""en"",""id"")"),"Hari-hari Sebelumnya")</f>
        <v>Hari-hari Sebelumnya</v>
      </c>
      <c r="F535" s="4" t="str">
        <f>IFERROR(__xludf.DUMMYFUNCTION("GOOGLETRANSLATE(B535,""en"",""ms"")"),"Hari Sebelumnya")</f>
        <v>Hari Sebelumnya</v>
      </c>
      <c r="G535" s="4" t="str">
        <f>IFERROR(__xludf.DUMMYFUNCTION("GOOGLETRANSLATE(B535,""en"",""de"")"),"Vorherige Tage")</f>
        <v>Vorherige Tage</v>
      </c>
      <c r="H535" s="4" t="str">
        <f>IFERROR(__xludf.DUMMYFUNCTION("GOOGLETRANSLATE(B535,""en"",""es"")"),"Días anteriores")</f>
        <v>Días anteriores</v>
      </c>
      <c r="I535" s="4" t="str">
        <f>IFERROR(__xludf.DUMMYFUNCTION("GOOGLETRANSLATE(B535,""en"",""fr"")"),"Jours précédents")</f>
        <v>Jours précédents</v>
      </c>
      <c r="J535" s="4" t="str">
        <f>IFERROR(__xludf.DUMMYFUNCTION("GOOGLETRANSLATE(B535,""en"",""it"")"),"Giorni precedenti")</f>
        <v>Giorni precedenti</v>
      </c>
      <c r="K535" s="4" t="str">
        <f>IFERROR(__xludf.DUMMYFUNCTION("GOOGLETRANSLATE(B535,""en"",""pt"")"),"Dias anteriores")</f>
        <v>Dias anteriores</v>
      </c>
      <c r="L535" s="4" t="str">
        <f>IFERROR(__xludf.DUMMYFUNCTION("GOOGLETRANSLATE(B535,""en"",""ro"")"),"Zilele anterioare")</f>
        <v>Zilele anterioare</v>
      </c>
      <c r="M535" s="4" t="str">
        <f>IFERROR(__xludf.DUMMYFUNCTION("GOOGLETRANSLATE(B535,""en"",""vi"")"),"Những ngày trước")</f>
        <v>Những ngày trước</v>
      </c>
      <c r="N535" s="4" t="str">
        <f>IFERROR(__xludf.DUMMYFUNCTION("GOOGLETRANSLATE(B535,""en"",""ru"")"),"Предыдущие дни")</f>
        <v>Предыдущие дни</v>
      </c>
      <c r="O535" s="4" t="str">
        <f>IFERROR(__xludf.DUMMYFUNCTION("GOOGLETRANSLATE(B535,""en"",""tr"")"),"Önceki Günler")</f>
        <v>Önceki Günler</v>
      </c>
      <c r="P535" s="4" t="str">
        <f>IFERROR(__xludf.DUMMYFUNCTION("GOOGLETRANSLATE(B535,""en"",""ar"")"),"الأيام السابقة")</f>
        <v>الأيام السابقة</v>
      </c>
      <c r="Q535" s="4" t="str">
        <f>IFERROR(__xludf.DUMMYFUNCTION("GOOGLETRANSLATE(B535,""en"",""mr"")"),"मागील दिवस")</f>
        <v>मागील दिवस</v>
      </c>
      <c r="R535" s="4" t="str">
        <f>IFERROR(__xludf.DUMMYFUNCTION("GOOGLETRANSLATE(B535,""en"",""gu"")"),"પાછલા દિવસો")</f>
        <v>પાછલા દિવસો</v>
      </c>
      <c r="S535" s="4" t="str">
        <f>IFERROR(__xludf.DUMMYFUNCTION("GOOGLETRANSLATE(B535,""en"",""bn"")"),"আগের দিন")</f>
        <v>আগের দিন</v>
      </c>
      <c r="T535" s="4" t="str">
        <f>IFERROR(__xludf.DUMMYFUNCTION("GOOGLETRANSLATE(B535,""en"",""pa"")"),"ਪਿਛਲੇ ਦਿਨ")</f>
        <v>ਪਿਛਲੇ ਦਿਨ</v>
      </c>
      <c r="U535" s="4" t="str">
        <f>IFERROR(__xludf.DUMMYFUNCTION("GOOGLETRANSLATE(B535,""en"",""te"")"),"మునుపటి రోజులు")</f>
        <v>మునుపటి రోజులు</v>
      </c>
      <c r="V535" s="4" t="str">
        <f>IFERROR(__xludf.DUMMYFUNCTION("GOOGLETRANSLATE(B535,""en"",""kn"")"),"ಹಿಂದಿನ ದಿನಗಳು")</f>
        <v>ಹಿಂದಿನ ದಿನಗಳು</v>
      </c>
      <c r="W535" s="4" t="str">
        <f>IFERROR(__xludf.DUMMYFUNCTION("GOOGLETRANSLATE(B535,""en"",""ml"")"),"മുൻ ദിവസങ്ങൾ")</f>
        <v>മുൻ ദിവസങ്ങൾ</v>
      </c>
      <c r="X535" s="4" t="str">
        <f>IFERROR(__xludf.DUMMYFUNCTION("GOOGLETRANSLATE(B535,""en"",""th"")"),"วันที่ผ่านมา")</f>
        <v>วันที่ผ่านมา</v>
      </c>
      <c r="Y535" s="4" t="str">
        <f>IFERROR(__xludf.DUMMYFUNCTION("GOOGLETRANSLATE(B535,""en"",""ko"")"),"이전 일")</f>
        <v>이전 일</v>
      </c>
      <c r="Z535" s="4" t="str">
        <f>IFERROR(__xludf.DUMMYFUNCTION("GOOGLETRANSLATE(B535,""en"",""zh"")"),"前几天")</f>
        <v>前几天</v>
      </c>
      <c r="AA535" s="4" t="str">
        <f>IFERROR(__xludf.DUMMYFUNCTION("GOOGLETRANSLATE(B535,""en"",""zh-TW"")"),"前幾天")</f>
        <v>前幾天</v>
      </c>
      <c r="AB535" s="4" t="str">
        <f>IFERROR(__xludf.DUMMYFUNCTION("GOOGLETRANSLATE(B535,""en"",""ja"")"),"前日")</f>
        <v>前日</v>
      </c>
      <c r="AC535" s="4" t="str">
        <f>IFERROR(__xludf.DUMMYFUNCTION("GOOGLETRANSLATE(B535,""en"",""bg"")"),"Предишни дни")</f>
        <v>Предишни дни</v>
      </c>
      <c r="AD535" s="4" t="str">
        <f>IFERROR(__xludf.DUMMYFUNCTION("GOOGLETRANSLATE(B535,""en"",""cs"")"),"Předchozí dny")</f>
        <v>Předchozí dny</v>
      </c>
      <c r="AE535" s="4" t="str">
        <f>IFERROR(__xludf.DUMMYFUNCTION("GOOGLETRANSLATE(B535,""en"",""da"")"),"Tidligere dage")</f>
        <v>Tidligere dage</v>
      </c>
      <c r="AF535" s="4" t="str">
        <f>IFERROR(__xludf.DUMMYFUNCTION("GOOGLETRANSLATE(B535,""en"",""el"")"),"Προηγούμενες Ημέρες")</f>
        <v>Προηγούμενες Ημέρες</v>
      </c>
      <c r="AG535" s="4" t="str">
        <f>IFERROR(__xludf.DUMMYFUNCTION("GOOGLETRANSLATE(B535,""en"",""et"")"),"Eelmised päevad")</f>
        <v>Eelmised päevad</v>
      </c>
      <c r="AH535" s="4" t="str">
        <f>IFERROR(__xludf.DUMMYFUNCTION("GOOGLETRANSLATE(B535,""en"",""fi"")"),"Edelliset päivät")</f>
        <v>Edelliset päivät</v>
      </c>
      <c r="AI535" s="4" t="str">
        <f>IFERROR(__xludf.DUMMYFUNCTION("GOOGLETRANSLATE(B535,""en"",""hr"")"),"Prethodni dani")</f>
        <v>Prethodni dani</v>
      </c>
      <c r="AJ535" s="4" t="str">
        <f>IFERROR(__xludf.DUMMYFUNCTION("GOOGLETRANSLATE(B535,""en"",""hu"")"),"Előző napok")</f>
        <v>Előző napok</v>
      </c>
      <c r="AK535" s="4" t="str">
        <f>IFERROR(__xludf.DUMMYFUNCTION("GOOGLETRANSLATE(B535,""en"",""hy"")"),"Նախորդ օրեր")</f>
        <v>Նախորդ օրեր</v>
      </c>
      <c r="AL535" s="4" t="str">
        <f>IFERROR(__xludf.DUMMYFUNCTION("GOOGLETRANSLATE(B535,""en"",""ca"")"),"Dies anteriors")</f>
        <v>Dies anteriors</v>
      </c>
      <c r="AM535" s="4" t="str">
        <f>IFERROR(__xludf.DUMMYFUNCTION("GOOGLETRANSLATE(B535,""en"",""nl"")"),"Vorige dagen")</f>
        <v>Vorige dagen</v>
      </c>
      <c r="AN535" s="4" t="str">
        <f>IFERROR(__xludf.DUMMYFUNCTION("GOOGLETRANSLATE(B535,""en"",""he"")"),"ימים קודמים")</f>
        <v>ימים קודמים</v>
      </c>
      <c r="AO535" s="4" t="str">
        <f>IFERROR(__xludf.DUMMYFUNCTION("GOOGLETRANSLATE(B535,""en"",""is"")"),"Fyrri dagar")</f>
        <v>Fyrri dagar</v>
      </c>
      <c r="AP535" s="4" t="str">
        <f>IFERROR(__xludf.DUMMYFUNCTION("GOOGLETRANSLATE(B535,""en"",""no"")"),"Tidligere dager")</f>
        <v>Tidligere dager</v>
      </c>
      <c r="AQ535" s="4" t="str">
        <f>IFERROR(__xludf.DUMMYFUNCTION("GOOGLETRANSLATE(B535,""en"",""fa"")"),"روزهای قبل")</f>
        <v>روزهای قبل</v>
      </c>
      <c r="AR535" s="4" t="str">
        <f>IFERROR(__xludf.DUMMYFUNCTION("GOOGLETRANSLATE(B535,""en"",""pl"")"),"Poprzednie dni")</f>
        <v>Poprzednie dni</v>
      </c>
      <c r="AS535" s="4" t="str">
        <f>IFERROR(__xludf.DUMMYFUNCTION("GOOGLETRANSLATE(B535,""en"",""sv"")"),"Tidigare dagar")</f>
        <v>Tidigare dagar</v>
      </c>
      <c r="AT535" s="4" t="str">
        <f>IFERROR(__xludf.DUMMYFUNCTION("GOOGLETRANSLATE(B535,""en"",""uk"")"),"Попередні дні")</f>
        <v>Попередні дні</v>
      </c>
      <c r="AU535" s="4" t="str">
        <f>IFERROR(__xludf.DUMMYFUNCTION("GOOGLETRANSLATE(B535,""en"",""zu"")"),"Izinsuku Ezidlule")</f>
        <v>Izinsuku Ezidlule</v>
      </c>
      <c r="AV535" s="4" t="str">
        <f>IFERROR(__xludf.DUMMYFUNCTION("GOOGLETRANSLATE(B535,""en"",""sr"")"),"Претходни дани")</f>
        <v>Претходни дани</v>
      </c>
    </row>
    <row r="536">
      <c r="A536" s="3" t="s">
        <v>1025</v>
      </c>
      <c r="B536" s="3" t="s">
        <v>1026</v>
      </c>
      <c r="C536" s="4" t="str">
        <f>IFERROR(__xludf.DUMMYFUNCTION("GOOGLETRANSLATE(B536,""en"",""ta"")"),"முந்தைய நாள் தரவு இல்லை")</f>
        <v>முந்தைய நாள் தரவு இல்லை</v>
      </c>
      <c r="D536" s="4" t="str">
        <f>IFERROR(__xludf.DUMMYFUNCTION("GOOGLETRANSLATE(B536,""en"",""hi"")"),"कोई पिछला दिन डेटा नहीं")</f>
        <v>कोई पिछला दिन डेटा नहीं</v>
      </c>
      <c r="E536" s="4" t="str">
        <f>IFERROR(__xludf.DUMMYFUNCTION("GOOGLETRANSLATE(B536,""en"",""id"")"),"Tidak Ada Data Hari Sebelumnya")</f>
        <v>Tidak Ada Data Hari Sebelumnya</v>
      </c>
      <c r="F536" s="4" t="str">
        <f>IFERROR(__xludf.DUMMYFUNCTION("GOOGLETRANSLATE(B536,""en"",""ms"")"),"Tiada Data Hari Sebelumnya")</f>
        <v>Tiada Data Hari Sebelumnya</v>
      </c>
      <c r="G536" s="4" t="str">
        <f>IFERROR(__xludf.DUMMYFUNCTION("GOOGLETRANSLATE(B536,""en"",""de"")"),"Keine Daten vom Vortag")</f>
        <v>Keine Daten vom Vortag</v>
      </c>
      <c r="H536" s="4" t="str">
        <f>IFERROR(__xludf.DUMMYFUNCTION("GOOGLETRANSLATE(B536,""en"",""es"")"),"No hay datos del día anterior")</f>
        <v>No hay datos del día anterior</v>
      </c>
      <c r="I536" s="4" t="str">
        <f>IFERROR(__xludf.DUMMYFUNCTION("GOOGLETRANSLATE(B536,""en"",""fr"")"),"Aucune donnée du jour précédent")</f>
        <v>Aucune donnée du jour précédent</v>
      </c>
      <c r="J536" s="4" t="str">
        <f>IFERROR(__xludf.DUMMYFUNCTION("GOOGLETRANSLATE(B536,""en"",""it"")"),"Nessun dato del giorno precedente")</f>
        <v>Nessun dato del giorno precedente</v>
      </c>
      <c r="K536" s="4" t="str">
        <f>IFERROR(__xludf.DUMMYFUNCTION("GOOGLETRANSLATE(B536,""en"",""pt"")"),"Sem dados do dia anterior")</f>
        <v>Sem dados do dia anterior</v>
      </c>
      <c r="L536" s="4" t="str">
        <f>IFERROR(__xludf.DUMMYFUNCTION("GOOGLETRANSLATE(B536,""en"",""ro"")"),"Nu există date din ziua anterioară")</f>
        <v>Nu există date din ziua anterioară</v>
      </c>
      <c r="M536" s="4" t="str">
        <f>IFERROR(__xludf.DUMMYFUNCTION("GOOGLETRANSLATE(B536,""en"",""vi"")"),"Không có dữ liệu ngày trước")</f>
        <v>Không có dữ liệu ngày trước</v>
      </c>
      <c r="N536" s="4" t="str">
        <f>IFERROR(__xludf.DUMMYFUNCTION("GOOGLETRANSLATE(B536,""en"",""ru"")"),"Нет данных за предыдущий день")</f>
        <v>Нет данных за предыдущий день</v>
      </c>
      <c r="O536" s="4" t="str">
        <f>IFERROR(__xludf.DUMMYFUNCTION("GOOGLETRANSLATE(B536,""en"",""tr"")"),"Önceki Gün Verisi Yok")</f>
        <v>Önceki Gün Verisi Yok</v>
      </c>
      <c r="P536" s="4" t="str">
        <f>IFERROR(__xludf.DUMMYFUNCTION("GOOGLETRANSLATE(B536,""en"",""ar"")"),"لا توجد بيانات لليوم السابق")</f>
        <v>لا توجد بيانات لليوم السابق</v>
      </c>
      <c r="Q536" s="4" t="str">
        <f>IFERROR(__xludf.DUMMYFUNCTION("GOOGLETRANSLATE(B536,""en"",""mr"")"),"मागील दिवसाचा डेटा नाही")</f>
        <v>मागील दिवसाचा डेटा नाही</v>
      </c>
      <c r="R536" s="4" t="str">
        <f>IFERROR(__xludf.DUMMYFUNCTION("GOOGLETRANSLATE(B536,""en"",""gu"")"),"કોઈ પાછલા દિવસનો ડેટા નથી")</f>
        <v>કોઈ પાછલા દિવસનો ડેટા નથી</v>
      </c>
      <c r="S536" s="4" t="str">
        <f>IFERROR(__xludf.DUMMYFUNCTION("GOOGLETRANSLATE(B536,""en"",""bn"")"),"কোনো আগের দিনের ডেটা নেই")</f>
        <v>কোনো আগের দিনের ডেটা নেই</v>
      </c>
      <c r="T536" s="4" t="str">
        <f>IFERROR(__xludf.DUMMYFUNCTION("GOOGLETRANSLATE(B536,""en"",""pa"")"),"ਪਿਛਲੇ ਦਿਨ ਦਾ ਕੋਈ ਡਾਟਾ ਨਹੀਂ")</f>
        <v>ਪਿਛਲੇ ਦਿਨ ਦਾ ਕੋਈ ਡਾਟਾ ਨਹੀਂ</v>
      </c>
      <c r="U536" s="4" t="str">
        <f>IFERROR(__xludf.DUMMYFUNCTION("GOOGLETRANSLATE(B536,""en"",""te"")"),"మునుపటి రోజు డేటా లేదు")</f>
        <v>మునుపటి రోజు డేటా లేదు</v>
      </c>
      <c r="V536" s="4" t="str">
        <f>IFERROR(__xludf.DUMMYFUNCTION("GOOGLETRANSLATE(B536,""en"",""kn"")"),"ಹಿಂದಿನ ದಿನದ ಡೇಟಾ ಇಲ್ಲ")</f>
        <v>ಹಿಂದಿನ ದಿನದ ಡೇಟಾ ಇಲ್ಲ</v>
      </c>
      <c r="W536" s="4" t="str">
        <f>IFERROR(__xludf.DUMMYFUNCTION("GOOGLETRANSLATE(B536,""en"",""ml"")"),"മുൻ ദിവസത്തെ ഡാറ്റയില്ല")</f>
        <v>മുൻ ദിവസത്തെ ഡാറ്റയില്ല</v>
      </c>
      <c r="X536" s="4" t="str">
        <f>IFERROR(__xludf.DUMMYFUNCTION("GOOGLETRANSLATE(B536,""en"",""th"")"),"ไม่มีข้อมูลวันก่อนหน้า")</f>
        <v>ไม่มีข้อมูลวันก่อนหน้า</v>
      </c>
      <c r="Y536" s="4" t="str">
        <f>IFERROR(__xludf.DUMMYFUNCTION("GOOGLETRANSLATE(B536,""en"",""ko"")"),"이전 날짜 데이터 없음")</f>
        <v>이전 날짜 데이터 없음</v>
      </c>
      <c r="Z536" s="4" t="str">
        <f>IFERROR(__xludf.DUMMYFUNCTION("GOOGLETRANSLATE(B536,""en"",""zh"")"),"没有前一天的数据")</f>
        <v>没有前一天的数据</v>
      </c>
      <c r="AA536" s="4" t="str">
        <f>IFERROR(__xludf.DUMMYFUNCTION("GOOGLETRANSLATE(B536,""en"",""zh-TW"")"),"沒有前一天的數據")</f>
        <v>沒有前一天的數據</v>
      </c>
      <c r="AB536" s="4" t="str">
        <f>IFERROR(__xludf.DUMMYFUNCTION("GOOGLETRANSLATE(B536,""en"",""ja"")"),"前日のデータなし")</f>
        <v>前日のデータなし</v>
      </c>
      <c r="AC536" s="4" t="str">
        <f>IFERROR(__xludf.DUMMYFUNCTION("GOOGLETRANSLATE(B536,""en"",""bg"")"),"Няма данни за предходния ден")</f>
        <v>Няма данни за предходния ден</v>
      </c>
      <c r="AD536" s="4" t="str">
        <f>IFERROR(__xludf.DUMMYFUNCTION("GOOGLETRANSLATE(B536,""en"",""cs"")"),"Žádná data předchozího dne")</f>
        <v>Žádná data předchozího dne</v>
      </c>
      <c r="AE536" s="4" t="str">
        <f>IFERROR(__xludf.DUMMYFUNCTION("GOOGLETRANSLATE(B536,""en"",""da"")"),"Ingen data fra forrige dag")</f>
        <v>Ingen data fra forrige dag</v>
      </c>
      <c r="AF536" s="4" t="str">
        <f>IFERROR(__xludf.DUMMYFUNCTION("GOOGLETRANSLATE(B536,""en"",""el"")"),"Δεν υπάρχουν δεδομένα προηγούμενης ημέρας")</f>
        <v>Δεν υπάρχουν δεδομένα προηγούμενης ημέρας</v>
      </c>
      <c r="AG536" s="4" t="str">
        <f>IFERROR(__xludf.DUMMYFUNCTION("GOOGLETRANSLATE(B536,""en"",""et"")"),"Eelmise päeva andmed puuduvad")</f>
        <v>Eelmise päeva andmed puuduvad</v>
      </c>
      <c r="AH536" s="4" t="str">
        <f>IFERROR(__xludf.DUMMYFUNCTION("GOOGLETRANSLATE(B536,""en"",""fi"")"),"Ei edellisen päivän tietoja")</f>
        <v>Ei edellisen päivän tietoja</v>
      </c>
      <c r="AI536" s="4" t="str">
        <f>IFERROR(__xludf.DUMMYFUNCTION("GOOGLETRANSLATE(B536,""en"",""hr"")"),"Nema podataka za prethodni dan")</f>
        <v>Nema podataka za prethodni dan</v>
      </c>
      <c r="AJ536" s="4" t="str">
        <f>IFERROR(__xludf.DUMMYFUNCTION("GOOGLETRANSLATE(B536,""en"",""hu"")"),"Nincsenek előző napi adatok")</f>
        <v>Nincsenek előző napi adatok</v>
      </c>
      <c r="AK536" s="4" t="str">
        <f>IFERROR(__xludf.DUMMYFUNCTION("GOOGLETRANSLATE(B536,""en"",""hy"")"),"Նախորդ օրվա տվյալներ չկան")</f>
        <v>Նախորդ օրվա տվյալներ չկան</v>
      </c>
      <c r="AL536" s="4" t="str">
        <f>IFERROR(__xludf.DUMMYFUNCTION("GOOGLETRANSLATE(B536,""en"",""ca"")"),"No hi ha dades del dia anterior")</f>
        <v>No hi ha dades del dia anterior</v>
      </c>
      <c r="AM536" s="4" t="str">
        <f>IFERROR(__xludf.DUMMYFUNCTION("GOOGLETRANSLATE(B536,""en"",""nl"")"),"Geen gegevens van de vorige dag")</f>
        <v>Geen gegevens van de vorige dag</v>
      </c>
      <c r="AN536" s="4" t="str">
        <f>IFERROR(__xludf.DUMMYFUNCTION("GOOGLETRANSLATE(B536,""en"",""he"")"),"אין נתוני יום קודם")</f>
        <v>אין נתוני יום קודם</v>
      </c>
      <c r="AO536" s="4" t="str">
        <f>IFERROR(__xludf.DUMMYFUNCTION("GOOGLETRANSLATE(B536,""en"",""is"")"),"Engin gögn frá fyrri degi")</f>
        <v>Engin gögn frá fyrri degi</v>
      </c>
      <c r="AP536" s="4" t="str">
        <f>IFERROR(__xludf.DUMMYFUNCTION("GOOGLETRANSLATE(B536,""en"",""no"")"),"Ingen data fra forrige dag")</f>
        <v>Ingen data fra forrige dag</v>
      </c>
      <c r="AQ536" s="4" t="str">
        <f>IFERROR(__xludf.DUMMYFUNCTION("GOOGLETRANSLATE(B536,""en"",""fa"")"),"داده های روز قبل وجود ندارد")</f>
        <v>داده های روز قبل وجود ندارد</v>
      </c>
      <c r="AR536" s="4" t="str">
        <f>IFERROR(__xludf.DUMMYFUNCTION("GOOGLETRANSLATE(B536,""en"",""pl"")"),"Brak danych z poprzedniego dnia")</f>
        <v>Brak danych z poprzedniego dnia</v>
      </c>
      <c r="AS536" s="4" t="str">
        <f>IFERROR(__xludf.DUMMYFUNCTION("GOOGLETRANSLATE(B536,""en"",""sv"")"),"Inga uppgifter om föregående dag")</f>
        <v>Inga uppgifter om föregående dag</v>
      </c>
      <c r="AT536" s="4" t="str">
        <f>IFERROR(__xludf.DUMMYFUNCTION("GOOGLETRANSLATE(B536,""en"",""uk"")"),"Немає даних за попередній день")</f>
        <v>Немає даних за попередній день</v>
      </c>
      <c r="AU536" s="4" t="str">
        <f>IFERROR(__xludf.DUMMYFUNCTION("GOOGLETRANSLATE(B536,""en"",""zu"")"),"Ayikho Idatha Yosuku Lwangaphambilini")</f>
        <v>Ayikho Idatha Yosuku Lwangaphambilini</v>
      </c>
      <c r="AV536" s="4" t="str">
        <f>IFERROR(__xludf.DUMMYFUNCTION("GOOGLETRANSLATE(B536,""en"",""sr"")"),"Нема података за претходни дан")</f>
        <v>Нема података за претходни дан</v>
      </c>
    </row>
    <row r="537">
      <c r="A537" s="3" t="s">
        <v>1027</v>
      </c>
      <c r="B537" s="3" t="s">
        <v>1028</v>
      </c>
      <c r="C537" s="4" t="str">
        <f>IFERROR(__xludf.DUMMYFUNCTION("GOOGLETRANSLATE(B537,""en"",""ta"")"),"திட்டமிடல் நடை")</f>
        <v>திட்டமிடல் நடை</v>
      </c>
      <c r="D537" s="4" t="str">
        <f>IFERROR(__xludf.DUMMYFUNCTION("GOOGLETRANSLATE(B537,""en"",""hi"")"),"योजना बनाकर चलें")</f>
        <v>योजना बनाकर चलें</v>
      </c>
      <c r="E537" s="4" t="str">
        <f>IFERROR(__xludf.DUMMYFUNCTION("GOOGLETRANSLATE(B537,""en"",""id"")"),"Rencana Jalan Kaki")</f>
        <v>Rencana Jalan Kaki</v>
      </c>
      <c r="F537" s="4" t="str">
        <f>IFERROR(__xludf.DUMMYFUNCTION("GOOGLETRANSLATE(B537,""en"",""ms"")"),"Rancang Berjalan")</f>
        <v>Rancang Berjalan</v>
      </c>
      <c r="G537" s="4" t="str">
        <f>IFERROR(__xludf.DUMMYFUNCTION("GOOGLETRANSLATE(B537,""en"",""de"")"),"Spaziergang planen")</f>
        <v>Spaziergang planen</v>
      </c>
      <c r="H537" s="4" t="str">
        <f>IFERROR(__xludf.DUMMYFUNCTION("GOOGLETRANSLATE(B537,""en"",""es"")"),"Planificar el paseo")</f>
        <v>Planificar el paseo</v>
      </c>
      <c r="I537" s="4" t="str">
        <f>IFERROR(__xludf.DUMMYFUNCTION("GOOGLETRANSLATE(B537,""en"",""fr"")"),"Planifier une promenade")</f>
        <v>Planifier une promenade</v>
      </c>
      <c r="J537" s="4" t="str">
        <f>IFERROR(__xludf.DUMMYFUNCTION("GOOGLETRANSLATE(B537,""en"",""it"")"),"Pianifica la camminata")</f>
        <v>Pianifica la camminata</v>
      </c>
      <c r="K537" s="4" t="str">
        <f>IFERROR(__xludf.DUMMYFUNCTION("GOOGLETRANSLATE(B537,""en"",""pt"")"),"Plano de caminhada")</f>
        <v>Plano de caminhada</v>
      </c>
      <c r="L537" s="4" t="str">
        <f>IFERROR(__xludf.DUMMYFUNCTION("GOOGLETRANSLATE(B537,""en"",""ro"")"),"Planificați plimbarea")</f>
        <v>Planificați plimbarea</v>
      </c>
      <c r="M537" s="4" t="str">
        <f>IFERROR(__xludf.DUMMYFUNCTION("GOOGLETRANSLATE(B537,""en"",""vi"")"),"Kế hoạch đi bộ")</f>
        <v>Kế hoạch đi bộ</v>
      </c>
      <c r="N537" s="4" t="str">
        <f>IFERROR(__xludf.DUMMYFUNCTION("GOOGLETRANSLATE(B537,""en"",""ru"")"),"План Прогулки")</f>
        <v>План Прогулки</v>
      </c>
      <c r="O537" s="4" t="str">
        <f>IFERROR(__xludf.DUMMYFUNCTION("GOOGLETRANSLATE(B537,""en"",""tr"")"),"Plan Yürüyüşü")</f>
        <v>Plan Yürüyüşü</v>
      </c>
      <c r="P537" s="4" t="str">
        <f>IFERROR(__xludf.DUMMYFUNCTION("GOOGLETRANSLATE(B537,""en"",""ar"")"),"خطة المشي")</f>
        <v>خطة المشي</v>
      </c>
      <c r="Q537" s="4" t="str">
        <f>IFERROR(__xludf.DUMMYFUNCTION("GOOGLETRANSLATE(B537,""en"",""mr"")"),"चालण्याची योजना करा")</f>
        <v>चालण्याची योजना करा</v>
      </c>
      <c r="R537" s="4" t="str">
        <f>IFERROR(__xludf.DUMMYFUNCTION("GOOGLETRANSLATE(B537,""en"",""gu"")"),"ચાલવાની યોજના બનાવો")</f>
        <v>ચાલવાની યોજના બનાવો</v>
      </c>
      <c r="S537" s="4" t="str">
        <f>IFERROR(__xludf.DUMMYFUNCTION("GOOGLETRANSLATE(B537,""en"",""bn"")"),"হাঁটার পরিকল্পনা করুন")</f>
        <v>হাঁটার পরিকল্পনা করুন</v>
      </c>
      <c r="T537" s="4" t="str">
        <f>IFERROR(__xludf.DUMMYFUNCTION("GOOGLETRANSLATE(B537,""en"",""pa"")"),"ਸੈਰ ਦੀ ਯੋਜਨਾ ਬਣਾਓ")</f>
        <v>ਸੈਰ ਦੀ ਯੋਜਨਾ ਬਣਾਓ</v>
      </c>
      <c r="U537" s="4" t="str">
        <f>IFERROR(__xludf.DUMMYFUNCTION("GOOGLETRANSLATE(B537,""en"",""te"")"),"ప్లాన్ నడక")</f>
        <v>ప్లాన్ నడక</v>
      </c>
      <c r="V537" s="4" t="str">
        <f>IFERROR(__xludf.DUMMYFUNCTION("GOOGLETRANSLATE(B537,""en"",""kn"")"),"ಪ್ಲಾನ್ ವಾಕ್")</f>
        <v>ಪ್ಲಾನ್ ವಾಕ್</v>
      </c>
      <c r="W537" s="4" t="str">
        <f>IFERROR(__xludf.DUMMYFUNCTION("GOOGLETRANSLATE(B537,""en"",""ml"")"),"നടത്തം പ്ലാൻ ചെയ്യുക")</f>
        <v>നടത്തം പ്ലാൻ ചെയ്യുക</v>
      </c>
      <c r="X537" s="4" t="str">
        <f>IFERROR(__xludf.DUMMYFUNCTION("GOOGLETRANSLATE(B537,""en"",""th"")"),"แผนเดิน")</f>
        <v>แผนเดิน</v>
      </c>
      <c r="Y537" s="4" t="str">
        <f>IFERROR(__xludf.DUMMYFUNCTION("GOOGLETRANSLATE(B537,""en"",""ko"")"),"산책 계획")</f>
        <v>산책 계획</v>
      </c>
      <c r="Z537" s="4" t="str">
        <f>IFERROR(__xludf.DUMMYFUNCTION("GOOGLETRANSLATE(B537,""en"",""zh"")"),"计划步行")</f>
        <v>计划步行</v>
      </c>
      <c r="AA537" s="4" t="str">
        <f>IFERROR(__xludf.DUMMYFUNCTION("GOOGLETRANSLATE(B537,""en"",""zh-TW"")"),"計劃步行")</f>
        <v>計劃步行</v>
      </c>
      <c r="AB537" s="4" t="str">
        <f>IFERROR(__xludf.DUMMYFUNCTION("GOOGLETRANSLATE(B537,""en"",""ja"")"),"プランウォーク")</f>
        <v>プランウォーク</v>
      </c>
      <c r="AC537" s="4" t="str">
        <f>IFERROR(__xludf.DUMMYFUNCTION("GOOGLETRANSLATE(B537,""en"",""bg"")"),"Планирайте разходка")</f>
        <v>Планирайте разходка</v>
      </c>
      <c r="AD537" s="4" t="str">
        <f>IFERROR(__xludf.DUMMYFUNCTION("GOOGLETRANSLATE(B537,""en"",""cs"")"),"Plánovat procházku")</f>
        <v>Plánovat procházku</v>
      </c>
      <c r="AE537" s="4" t="str">
        <f>IFERROR(__xludf.DUMMYFUNCTION("GOOGLETRANSLATE(B537,""en"",""da"")"),"Planlæg gåtur")</f>
        <v>Planlæg gåtur</v>
      </c>
      <c r="AF537" s="4" t="str">
        <f>IFERROR(__xludf.DUMMYFUNCTION("GOOGLETRANSLATE(B537,""en"",""el"")"),"Plan Walk")</f>
        <v>Plan Walk</v>
      </c>
      <c r="AG537" s="4" t="str">
        <f>IFERROR(__xludf.DUMMYFUNCTION("GOOGLETRANSLATE(B537,""en"",""et"")"),"Plaani jalutuskäik")</f>
        <v>Plaani jalutuskäik</v>
      </c>
      <c r="AH537" s="4" t="str">
        <f>IFERROR(__xludf.DUMMYFUNCTION("GOOGLETRANSLATE(B537,""en"",""fi"")"),"Suunnittele kävely")</f>
        <v>Suunnittele kävely</v>
      </c>
      <c r="AI537" s="4" t="str">
        <f>IFERROR(__xludf.DUMMYFUNCTION("GOOGLETRANSLATE(B537,""en"",""hr"")"),"Planirajte šetnju")</f>
        <v>Planirajte šetnju</v>
      </c>
      <c r="AJ537" s="4" t="str">
        <f>IFERROR(__xludf.DUMMYFUNCTION("GOOGLETRANSLATE(B537,""en"",""hu"")"),"Plan Walk")</f>
        <v>Plan Walk</v>
      </c>
      <c r="AK537" s="4" t="str">
        <f>IFERROR(__xludf.DUMMYFUNCTION("GOOGLETRANSLATE(B537,""en"",""hy"")"),"Plan Walk")</f>
        <v>Plan Walk</v>
      </c>
      <c r="AL537" s="4" t="str">
        <f>IFERROR(__xludf.DUMMYFUNCTION("GOOGLETRANSLATE(B537,""en"",""ca"")"),"Planifica caminada")</f>
        <v>Planifica caminada</v>
      </c>
      <c r="AM537" s="4" t="str">
        <f>IFERROR(__xludf.DUMMYFUNCTION("GOOGLETRANSLATE(B537,""en"",""nl"")"),"Plan wandeling")</f>
        <v>Plan wandeling</v>
      </c>
      <c r="AN537" s="4" t="str">
        <f>IFERROR(__xludf.DUMMYFUNCTION("GOOGLETRANSLATE(B537,""en"",""he"")"),"תוכנית הליכה")</f>
        <v>תוכנית הליכה</v>
      </c>
      <c r="AO537" s="4" t="str">
        <f>IFERROR(__xludf.DUMMYFUNCTION("GOOGLETRANSLATE(B537,""en"",""is"")"),"Plan Walk")</f>
        <v>Plan Walk</v>
      </c>
      <c r="AP537" s="4" t="str">
        <f>IFERROR(__xludf.DUMMYFUNCTION("GOOGLETRANSLATE(B537,""en"",""no"")"),"Planlegg gå")</f>
        <v>Planlegg gå</v>
      </c>
      <c r="AQ537" s="4" t="str">
        <f>IFERROR(__xludf.DUMMYFUNCTION("GOOGLETRANSLATE(B537,""en"",""fa"")"),"پلان واک")</f>
        <v>پلان واک</v>
      </c>
      <c r="AR537" s="4" t="str">
        <f>IFERROR(__xludf.DUMMYFUNCTION("GOOGLETRANSLATE(B537,""en"",""pl"")"),"Zaplanuj spacer")</f>
        <v>Zaplanuj spacer</v>
      </c>
      <c r="AS537" s="4" t="str">
        <f>IFERROR(__xludf.DUMMYFUNCTION("GOOGLETRANSLATE(B537,""en"",""sv"")"),"Planera promenad")</f>
        <v>Planera promenad</v>
      </c>
      <c r="AT537" s="4" t="str">
        <f>IFERROR(__xludf.DUMMYFUNCTION("GOOGLETRANSLATE(B537,""en"",""uk"")"),"План прогулянки")</f>
        <v>План прогулянки</v>
      </c>
      <c r="AU537" s="4" t="str">
        <f>IFERROR(__xludf.DUMMYFUNCTION("GOOGLETRANSLATE(B537,""en"",""zu"")"),"Hlela Ukuhamba")</f>
        <v>Hlela Ukuhamba</v>
      </c>
      <c r="AV537" s="4" t="str">
        <f>IFERROR(__xludf.DUMMYFUNCTION("GOOGLETRANSLATE(B537,""en"",""sr"")"),"План Валк")</f>
        <v>План Валк</v>
      </c>
    </row>
    <row r="538">
      <c r="A538" s="3" t="s">
        <v>1029</v>
      </c>
      <c r="B538" s="3" t="s">
        <v>1030</v>
      </c>
      <c r="C538" s="4" t="str">
        <f>IFERROR(__xludf.DUMMYFUNCTION("GOOGLETRANSLATE(B538,""en"",""ta"")"),"தினசரி இலக்குகளை அமைக்கவும், முன்னேற்றத்தைக் கண்காணிக்கவும் மற்றும் காலப்போக்கில் உங்கள் நடை வரலாற்றைப் பார்க்கவும்.")</f>
        <v>தினசரி இலக்குகளை அமைக்கவும், முன்னேற்றத்தைக் கண்காணிக்கவும் மற்றும் காலப்போக்கில் உங்கள் நடை வரலாற்றைப் பார்க்கவும்.</v>
      </c>
      <c r="D538" s="4" t="str">
        <f>IFERROR(__xludf.DUMMYFUNCTION("GOOGLETRANSLATE(B538,""en"",""hi"")"),"दैनिक लक्ष्य निर्धारित करें, प्रगति पर नज़र रखें, और समय के साथ अपने पैदल चलने के इतिहास को देखें।")</f>
        <v>दैनिक लक्ष्य निर्धारित करें, प्रगति पर नज़र रखें, और समय के साथ अपने पैदल चलने के इतिहास को देखें।</v>
      </c>
      <c r="E538" s="4" t="str">
        <f>IFERROR(__xludf.DUMMYFUNCTION("GOOGLETRANSLATE(B538,""en"",""id"")"),"Tetapkan tujuan harian, lacak kemajuan, dan lihat riwayat berjalan Anda dari waktu ke waktu.")</f>
        <v>Tetapkan tujuan harian, lacak kemajuan, dan lihat riwayat berjalan Anda dari waktu ke waktu.</v>
      </c>
      <c r="F538" s="4" t="str">
        <f>IFERROR(__xludf.DUMMYFUNCTION("GOOGLETRANSLATE(B538,""en"",""ms"")"),"Tetapkan matlamat harian, jejak kemajuan dan lihat sejarah berjalan anda dari semasa ke semasa.")</f>
        <v>Tetapkan matlamat harian, jejak kemajuan dan lihat sejarah berjalan anda dari semasa ke semasa.</v>
      </c>
      <c r="G538" s="4" t="str">
        <f>IFERROR(__xludf.DUMMYFUNCTION("GOOGLETRANSLATE(B538,""en"",""de"")"),"Setzen Sie sich tägliche Ziele, verfolgen Sie Ihren Fortschritt und sehen Sie sich Ihren Gehverlauf im Zeitverlauf an.")</f>
        <v>Setzen Sie sich tägliche Ziele, verfolgen Sie Ihren Fortschritt und sehen Sie sich Ihren Gehverlauf im Zeitverlauf an.</v>
      </c>
      <c r="H538" s="4" t="str">
        <f>IFERROR(__xludf.DUMMYFUNCTION("GOOGLETRANSLATE(B538,""en"",""es"")"),"Establezca objetivos diarios, realice un seguimiento del progreso y vea su historial de caminatas a lo largo del tiempo.")</f>
        <v>Establezca objetivos diarios, realice un seguimiento del progreso y vea su historial de caminatas a lo largo del tiempo.</v>
      </c>
      <c r="I538" s="4" t="str">
        <f>IFERROR(__xludf.DUMMYFUNCTION("GOOGLETRANSLATE(B538,""en"",""fr"")"),"Définissez des objectifs quotidiens, suivez vos progrès et visualisez votre historique de marche au fil du temps.")</f>
        <v>Définissez des objectifs quotidiens, suivez vos progrès et visualisez votre historique de marche au fil du temps.</v>
      </c>
      <c r="J538" s="4" t="str">
        <f>IFERROR(__xludf.DUMMYFUNCTION("GOOGLETRANSLATE(B538,""en"",""it"")"),"Stabilisci obiettivi giornalieri, monitora i progressi e visualizza la cronologia delle tue camminate nel tempo.")</f>
        <v>Stabilisci obiettivi giornalieri, monitora i progressi e visualizza la cronologia delle tue camminate nel tempo.</v>
      </c>
      <c r="K538" s="4" t="str">
        <f>IFERROR(__xludf.DUMMYFUNCTION("GOOGLETRANSLATE(B538,""en"",""pt"")"),"Defina metas diárias, acompanhe seu progresso e visualize seu histórico de caminhadas ao longo do tempo.")</f>
        <v>Defina metas diárias, acompanhe seu progresso e visualize seu histórico de caminhadas ao longo do tempo.</v>
      </c>
      <c r="L538" s="4" t="str">
        <f>IFERROR(__xludf.DUMMYFUNCTION("GOOGLETRANSLATE(B538,""en"",""ro"")"),"Stabiliți obiective zilnice, urmăriți progresul și vizualizați istoricul de mers pe jos în timp.")</f>
        <v>Stabiliți obiective zilnice, urmăriți progresul și vizualizați istoricul de mers pe jos în timp.</v>
      </c>
      <c r="M538" s="4" t="str">
        <f>IFERROR(__xludf.DUMMYFUNCTION("GOOGLETRANSLATE(B538,""en"",""vi"")"),"Đặt mục tiêu hàng ngày, theo dõi tiến trình và xem lịch sử đi bộ của bạn theo thời gian.")</f>
        <v>Đặt mục tiêu hàng ngày, theo dõi tiến trình và xem lịch sử đi bộ của bạn theo thời gian.</v>
      </c>
      <c r="N538" s="4" t="str">
        <f>IFERROR(__xludf.DUMMYFUNCTION("GOOGLETRANSLATE(B538,""en"",""ru"")"),"Ставьте ежедневные цели, отслеживайте прогресс и просматривайте историю своих прогулок с течением времени.")</f>
        <v>Ставьте ежедневные цели, отслеживайте прогресс и просматривайте историю своих прогулок с течением времени.</v>
      </c>
      <c r="O538" s="4" t="str">
        <f>IFERROR(__xludf.DUMMYFUNCTION("GOOGLETRANSLATE(B538,""en"",""tr"")"),"Günlük hedefler belirleyin, ilerlemenizi takip edin ve yürüyüş geçmişinizi zaman içinde görüntüleyin.")</f>
        <v>Günlük hedefler belirleyin, ilerlemenizi takip edin ve yürüyüş geçmişinizi zaman içinde görüntüleyin.</v>
      </c>
      <c r="P538" s="4" t="str">
        <f>IFERROR(__xludf.DUMMYFUNCTION("GOOGLETRANSLATE(B538,""en"",""ar"")"),"حدد أهدافك اليومية، وتتبع التقدم، واعرض سجل المشي الخاص بك بمرور الوقت.")</f>
        <v>حدد أهدافك اليومية، وتتبع التقدم، واعرض سجل المشي الخاص بك بمرور الوقت.</v>
      </c>
      <c r="Q538" s="4" t="str">
        <f>IFERROR(__xludf.DUMMYFUNCTION("GOOGLETRANSLATE(B538,""en"",""mr"")"),"दैनंदिन ध्येये सेट करा, प्रगतीचा मागोवा घ्या आणि कालांतराने तुमचा चालण्याचा इतिहास पहा.")</f>
        <v>दैनंदिन ध्येये सेट करा, प्रगतीचा मागोवा घ्या आणि कालांतराने तुमचा चालण्याचा इतिहास पहा.</v>
      </c>
      <c r="R538" s="4" t="str">
        <f>IFERROR(__xludf.DUMMYFUNCTION("GOOGLETRANSLATE(B538,""en"",""gu"")"),"દૈનિક લક્ષ્યો સેટ કરો, પ્રગતિને ટ્રૅક કરો અને સમય જતાં તમારો વૉકિંગ ઇતિહાસ જુઓ.")</f>
        <v>દૈનિક લક્ષ્યો સેટ કરો, પ્રગતિને ટ્રૅક કરો અને સમય જતાં તમારો વૉકિંગ ઇતિહાસ જુઓ.</v>
      </c>
      <c r="S538" s="4" t="str">
        <f>IFERROR(__xludf.DUMMYFUNCTION("GOOGLETRANSLATE(B538,""en"",""bn"")"),"দৈনিক লক্ষ্য সেট করুন, অগ্রগতি ট্র্যাক করুন এবং সময়ের সাথে আপনার হাঁটার ইতিহাস দেখুন।")</f>
        <v>দৈনিক লক্ষ্য সেট করুন, অগ্রগতি ট্র্যাক করুন এবং সময়ের সাথে আপনার হাঁটার ইতিহাস দেখুন।</v>
      </c>
      <c r="T538" s="4" t="str">
        <f>IFERROR(__xludf.DUMMYFUNCTION("GOOGLETRANSLATE(B538,""en"",""pa"")"),"ਰੋਜ਼ਾਨਾ ਟੀਚੇ ਸੈੱਟ ਕਰੋ, ਪ੍ਰਗਤੀ ਨੂੰ ਟਰੈਕ ਕਰੋ, ਅਤੇ ਸਮੇਂ ਦੇ ਨਾਲ ਆਪਣੇ ਪੈਦਲ ਇਤਿਹਾਸ ਨੂੰ ਦੇਖੋ।")</f>
        <v>ਰੋਜ਼ਾਨਾ ਟੀਚੇ ਸੈੱਟ ਕਰੋ, ਪ੍ਰਗਤੀ ਨੂੰ ਟਰੈਕ ਕਰੋ, ਅਤੇ ਸਮੇਂ ਦੇ ਨਾਲ ਆਪਣੇ ਪੈਦਲ ਇਤਿਹਾਸ ਨੂੰ ਦੇਖੋ।</v>
      </c>
      <c r="U538" s="4" t="str">
        <f>IFERROR(__xludf.DUMMYFUNCTION("GOOGLETRANSLATE(B538,""en"",""te"")"),"రోజువారీ లక్ష్యాలను సెట్ చేయండి, పురోగతిని ట్రాక్ చేయండి మరియు కాలక్రమేణా మీ నడక చరిత్రను వీక్షించండి.")</f>
        <v>రోజువారీ లక్ష్యాలను సెట్ చేయండి, పురోగతిని ట్రాక్ చేయండి మరియు కాలక్రమేణా మీ నడక చరిత్రను వీక్షించండి.</v>
      </c>
      <c r="V538" s="4" t="str">
        <f>IFERROR(__xludf.DUMMYFUNCTION("GOOGLETRANSLATE(B538,""en"",""kn"")"),"ದೈನಂದಿನ ಗುರಿಗಳನ್ನು ಹೊಂದಿಸಿ, ಪ್ರಗತಿಯನ್ನು ಟ್ರ್ಯಾಕ್ ಮಾಡಿ ಮತ್ತು ಕಾಲಾನಂತರದಲ್ಲಿ ನಿಮ್ಮ ವಾಕಿಂಗ್ ಇತಿಹಾಸವನ್ನು ವೀಕ್ಷಿಸಿ.")</f>
        <v>ದೈನಂದಿನ ಗುರಿಗಳನ್ನು ಹೊಂದಿಸಿ, ಪ್ರಗತಿಯನ್ನು ಟ್ರ್ಯಾಕ್ ಮಾಡಿ ಮತ್ತು ಕಾಲಾನಂತರದಲ್ಲಿ ನಿಮ್ಮ ವಾಕಿಂಗ್ ಇತಿಹಾಸವನ್ನು ವೀಕ್ಷಿಸಿ.</v>
      </c>
      <c r="W538" s="4" t="str">
        <f>IFERROR(__xludf.DUMMYFUNCTION("GOOGLETRANSLATE(B538,""en"",""ml"")"),"ദൈനംദിന ലക്ഷ്യങ്ങൾ സജ്ജീകരിക്കുക, പുരോഗതി ട്രാക്ക് ചെയ്യുക, കാലക്രമേണ നിങ്ങളുടെ നടത്ത ചരിത്രം കാണുക.")</f>
        <v>ദൈനംദിന ലക്ഷ്യങ്ങൾ സജ്ജീകരിക്കുക, പുരോഗതി ട്രാക്ക് ചെയ്യുക, കാലക്രമേണ നിങ്ങളുടെ നടത്ത ചരിത്രം കാണുക.</v>
      </c>
      <c r="X538" s="4" t="str">
        <f>IFERROR(__xludf.DUMMYFUNCTION("GOOGLETRANSLATE(B538,""en"",""th"")"),"ตั้งเป้าหมายรายวัน ติดตามความคืบหน้า และดูประวัติการเดินของคุณในแต่ละช่วงเวลา")</f>
        <v>ตั้งเป้าหมายรายวัน ติดตามความคืบหน้า และดูประวัติการเดินของคุณในแต่ละช่วงเวลา</v>
      </c>
      <c r="Y538" s="4" t="str">
        <f>IFERROR(__xludf.DUMMYFUNCTION("GOOGLETRANSLATE(B538,""en"",""ko"")"),"매일 목표를 설정하고, 진행 상황을 추적하고, 시간에 따른 걷기 기록을 확인하세요.")</f>
        <v>매일 목표를 설정하고, 진행 상황을 추적하고, 시간에 따른 걷기 기록을 확인하세요.</v>
      </c>
      <c r="Z538" s="4" t="str">
        <f>IFERROR(__xludf.DUMMYFUNCTION("GOOGLETRANSLATE(B538,""en"",""zh"")"),"设定每日目标、跟踪进度并查看一段时间内的步行历史。")</f>
        <v>设定每日目标、跟踪进度并查看一段时间内的步行历史。</v>
      </c>
      <c r="AA538" s="4" t="str">
        <f>IFERROR(__xludf.DUMMYFUNCTION("GOOGLETRANSLATE(B538,""en"",""zh-TW"")"),"設定每日目標、追蹤進度並查看一段時間內的步行歷史。")</f>
        <v>設定每日目標、追蹤進度並查看一段時間內的步行歷史。</v>
      </c>
      <c r="AB538" s="4" t="str">
        <f>IFERROR(__xludf.DUMMYFUNCTION("GOOGLETRANSLATE(B538,""en"",""ja"")"),"毎日の目標を設定し、進捗状況を追跡し、時間の経過に伴うウォーキング履歴を表示します。")</f>
        <v>毎日の目標を設定し、進捗状況を追跡し、時間の経過に伴うウォーキング履歴を表示します。</v>
      </c>
      <c r="AC538" s="4" t="str">
        <f>IFERROR(__xludf.DUMMYFUNCTION("GOOGLETRANSLATE(B538,""en"",""bg"")"),"Задайте ежедневни цели, следете напредъка и преглеждайте историята на ходенето си във времето.")</f>
        <v>Задайте ежедневни цели, следете напредъка и преглеждайте историята на ходенето си във времето.</v>
      </c>
      <c r="AD538" s="4" t="str">
        <f>IFERROR(__xludf.DUMMYFUNCTION("GOOGLETRANSLATE(B538,""en"",""cs"")"),"Stanovte si denní cíle, sledujte pokrok a prohlížejte si historii chůze v průběhu času.")</f>
        <v>Stanovte si denní cíle, sledujte pokrok a prohlížejte si historii chůze v průběhu času.</v>
      </c>
      <c r="AE538" s="4" t="str">
        <f>IFERROR(__xludf.DUMMYFUNCTION("GOOGLETRANSLATE(B538,""en"",""da"")"),"Sæt daglige mål, spor fremskridt, og se din ganghistorik over tid.")</f>
        <v>Sæt daglige mål, spor fremskridt, og se din ganghistorik over tid.</v>
      </c>
      <c r="AF538" s="4" t="str">
        <f>IFERROR(__xludf.DUMMYFUNCTION("GOOGLETRANSLATE(B538,""en"",""el"")"),"Θέστε καθημερινούς στόχους, παρακολουθήστε την πρόοδο και προβάλετε το ιστορικό πεζοπορίας σας με την πάροδο του χρόνου.")</f>
        <v>Θέστε καθημερινούς στόχους, παρακολουθήστε την πρόοδο και προβάλετε το ιστορικό πεζοπορίας σας με την πάροδο του χρόνου.</v>
      </c>
      <c r="AG538" s="4" t="str">
        <f>IFERROR(__xludf.DUMMYFUNCTION("GOOGLETRANSLATE(B538,""en"",""et"")"),"Seadistage igapäevased eesmärgid, jälgige edenemist ja vaadake oma kõndimisajalugu aja jooksul.")</f>
        <v>Seadistage igapäevased eesmärgid, jälgige edenemist ja vaadake oma kõndimisajalugu aja jooksul.</v>
      </c>
      <c r="AH538" s="4" t="str">
        <f>IFERROR(__xludf.DUMMYFUNCTION("GOOGLETRANSLATE(B538,""en"",""fi"")"),"Aseta päivittäisiä tavoitteita, seuraa edistymistä ja tarkastele kävelyhistoriaasi ajan mittaan.")</f>
        <v>Aseta päivittäisiä tavoitteita, seuraa edistymistä ja tarkastele kävelyhistoriaasi ajan mittaan.</v>
      </c>
      <c r="AI538" s="4" t="str">
        <f>IFERROR(__xludf.DUMMYFUNCTION("GOOGLETRANSLATE(B538,""en"",""hr"")"),"Postavite dnevne ciljeve, pratite napredak i pregledajte svoju povijest hodanja tijekom vremena.")</f>
        <v>Postavite dnevne ciljeve, pratite napredak i pregledajte svoju povijest hodanja tijekom vremena.</v>
      </c>
      <c r="AJ538" s="4" t="str">
        <f>IFERROR(__xludf.DUMMYFUNCTION("GOOGLETRANSLATE(B538,""en"",""hu"")"),"Állítson be napi célokat, kövesse nyomon az előrehaladást, és tekintse meg gyaloglási előzményeit az idő múlásával.")</f>
        <v>Állítson be napi célokat, kövesse nyomon az előrehaladást, és tekintse meg gyaloglási előzményeit az idő múlásával.</v>
      </c>
      <c r="AK538" s="4" t="str">
        <f>IFERROR(__xludf.DUMMYFUNCTION("GOOGLETRANSLATE(B538,""en"",""hy"")"),"Սահմանեք ամենօրյա նպատակներ, հետևեք առաջընթացին և դիտեք ձեր քայլելու պատմությունը ժամանակի ընթացքում:")</f>
        <v>Սահմանեք ամենօրյա նպատակներ, հետևեք առաջընթացին և դիտեք ձեր քայլելու պատմությունը ժամանակի ընթացքում:</v>
      </c>
      <c r="AL538" s="4" t="str">
        <f>IFERROR(__xludf.DUMMYFUNCTION("GOOGLETRANSLATE(B538,""en"",""ca"")"),"Establiu objectius diaris, feu un seguiment del progrés i visualitzeu el vostre historial de caminades al llarg del temps.")</f>
        <v>Establiu objectius diaris, feu un seguiment del progrés i visualitzeu el vostre historial de caminades al llarg del temps.</v>
      </c>
      <c r="AM538" s="4" t="str">
        <f>IFERROR(__xludf.DUMMYFUNCTION("GOOGLETRANSLATE(B538,""en"",""nl"")"),"Stel dagelijkse doelen in, volg uw voortgang en bekijk uw wandelgeschiedenis in de loop van de tijd.")</f>
        <v>Stel dagelijkse doelen in, volg uw voortgang en bekijk uw wandelgeschiedenis in de loop van de tijd.</v>
      </c>
      <c r="AN538" s="4" t="str">
        <f>IFERROR(__xludf.DUMMYFUNCTION("GOOGLETRANSLATE(B538,""en"",""he"")"),"הגדר יעדים יומיים, עקוב אחר ההתקדמות והצג את היסטוריית ההליכה שלך לאורך זמן.")</f>
        <v>הגדר יעדים יומיים, עקוב אחר ההתקדמות והצג את היסטוריית ההליכה שלך לאורך זמן.</v>
      </c>
      <c r="AO538" s="4" t="str">
        <f>IFERROR(__xludf.DUMMYFUNCTION("GOOGLETRANSLATE(B538,""en"",""is"")"),"Settu dagleg markmið, fylgdu framförum og skoðaðu gönguferilinn þinn með tímanum.")</f>
        <v>Settu dagleg markmið, fylgdu framförum og skoðaðu gönguferilinn þinn með tímanum.</v>
      </c>
      <c r="AP538" s="4" t="str">
        <f>IFERROR(__xludf.DUMMYFUNCTION("GOOGLETRANSLATE(B538,""en"",""no"")"),"Sett daglige mål, spor fremgang og se ganghistorikken din over tid.")</f>
        <v>Sett daglige mål, spor fremgang og se ganghistorikken din over tid.</v>
      </c>
      <c r="AQ538" s="4" t="str">
        <f>IFERROR(__xludf.DUMMYFUNCTION("GOOGLETRANSLATE(B538,""en"",""fa"")"),"اهداف روزانه را تنظیم کنید، پیشرفت را دنبال کنید و سابقه پیاده روی خود را در طول زمان مشاهده کنید.")</f>
        <v>اهداف روزانه را تنظیم کنید، پیشرفت را دنبال کنید و سابقه پیاده روی خود را در طول زمان مشاهده کنید.</v>
      </c>
      <c r="AR538" s="4" t="str">
        <f>IFERROR(__xludf.DUMMYFUNCTION("GOOGLETRANSLATE(B538,""en"",""pl"")"),"Wyznaczaj sobie codzienne cele, śledź postępy i przeglądaj historię swoich spacerów na przestrzeni czasu.")</f>
        <v>Wyznaczaj sobie codzienne cele, śledź postępy i przeglądaj historię swoich spacerów na przestrzeni czasu.</v>
      </c>
      <c r="AS538" s="4" t="str">
        <f>IFERROR(__xludf.DUMMYFUNCTION("GOOGLETRANSLATE(B538,""en"",""sv"")"),"Sätt dagliga mål, spåra framsteg och se din gånghistorik över tid.")</f>
        <v>Sätt dagliga mål, spåra framsteg och se din gånghistorik över tid.</v>
      </c>
      <c r="AT538" s="4" t="str">
        <f>IFERROR(__xludf.DUMMYFUNCTION("GOOGLETRANSLATE(B538,""en"",""uk"")"),"Ставте щоденні цілі, відстежуйте прогрес і переглядайте історію ходьби за певний час.")</f>
        <v>Ставте щоденні цілі, відстежуйте прогрес і переглядайте історію ходьби за певний час.</v>
      </c>
      <c r="AU538" s="4" t="str">
        <f>IFERROR(__xludf.DUMMYFUNCTION("GOOGLETRANSLATE(B538,""en"",""zu"")"),"Zibekele imigomo yansuku zonke, ulandelele ukuqhubeka, futhi ubuke umlando wakho wokuhamba ngokuhamba kwesikhathi.")</f>
        <v>Zibekele imigomo yansuku zonke, ulandelele ukuqhubeka, futhi ubuke umlando wakho wokuhamba ngokuhamba kwesikhathi.</v>
      </c>
      <c r="AV538" s="4" t="str">
        <f>IFERROR(__xludf.DUMMYFUNCTION("GOOGLETRANSLATE(B538,""en"",""sr"")"),"Поставите дневне циљеве, пратите напредак и прегледајте историју ходања током времена.")</f>
        <v>Поставите дневне циљеве, пратите напредак и прегледајте историју ходања током времена.</v>
      </c>
    </row>
    <row r="539">
      <c r="A539" s="3" t="s">
        <v>1031</v>
      </c>
      <c r="B539" s="3" t="s">
        <v>1032</v>
      </c>
      <c r="C539" s="4" t="str">
        <f>IFERROR(__xludf.DUMMYFUNCTION("GOOGLETRANSLATE(B539,""en"",""ta"")"),"தினசரி இலக்கு")</f>
        <v>தினசரி இலக்கு</v>
      </c>
      <c r="D539" s="4" t="str">
        <f>IFERROR(__xludf.DUMMYFUNCTION("GOOGLETRANSLATE(B539,""en"",""hi"")"),"दैनिक लक्ष्य")</f>
        <v>दैनिक लक्ष्य</v>
      </c>
      <c r="E539" s="4" t="str">
        <f>IFERROR(__xludf.DUMMYFUNCTION("GOOGLETRANSLATE(B539,""en"",""id"")"),"Tujuan Harian")</f>
        <v>Tujuan Harian</v>
      </c>
      <c r="F539" s="4" t="str">
        <f>IFERROR(__xludf.DUMMYFUNCTION("GOOGLETRANSLATE(B539,""en"",""ms"")"),"Matlamat Harian")</f>
        <v>Matlamat Harian</v>
      </c>
      <c r="G539" s="4" t="str">
        <f>IFERROR(__xludf.DUMMYFUNCTION("GOOGLETRANSLATE(B539,""en"",""de"")"),"Tagesziel")</f>
        <v>Tagesziel</v>
      </c>
      <c r="H539" s="4" t="str">
        <f>IFERROR(__xludf.DUMMYFUNCTION("GOOGLETRANSLATE(B539,""en"",""es"")"),"Objetivo diario")</f>
        <v>Objetivo diario</v>
      </c>
      <c r="I539" s="4" t="str">
        <f>IFERROR(__xludf.DUMMYFUNCTION("GOOGLETRANSLATE(B539,""en"",""fr"")"),"Objectif quotidien")</f>
        <v>Objectif quotidien</v>
      </c>
      <c r="J539" s="4" t="str">
        <f>IFERROR(__xludf.DUMMYFUNCTION("GOOGLETRANSLATE(B539,""en"",""it"")"),"Obiettivo giornaliero")</f>
        <v>Obiettivo giornaliero</v>
      </c>
      <c r="K539" s="4" t="str">
        <f>IFERROR(__xludf.DUMMYFUNCTION("GOOGLETRANSLATE(B539,""en"",""pt"")"),"Meta diária")</f>
        <v>Meta diária</v>
      </c>
      <c r="L539" s="4" t="str">
        <f>IFERROR(__xludf.DUMMYFUNCTION("GOOGLETRANSLATE(B539,""en"",""ro"")"),"Obiectivul zilnic")</f>
        <v>Obiectivul zilnic</v>
      </c>
      <c r="M539" s="4" t="str">
        <f>IFERROR(__xludf.DUMMYFUNCTION("GOOGLETRANSLATE(B539,""en"",""vi"")"),"Mục tiêu hằng ngày")</f>
        <v>Mục tiêu hằng ngày</v>
      </c>
      <c r="N539" s="4" t="str">
        <f>IFERROR(__xludf.DUMMYFUNCTION("GOOGLETRANSLATE(B539,""en"",""ru"")"),"Ежедневная цель")</f>
        <v>Ежедневная цель</v>
      </c>
      <c r="O539" s="4" t="str">
        <f>IFERROR(__xludf.DUMMYFUNCTION("GOOGLETRANSLATE(B539,""en"",""tr"")"),"Günlük Hedef")</f>
        <v>Günlük Hedef</v>
      </c>
      <c r="P539" s="4" t="str">
        <f>IFERROR(__xludf.DUMMYFUNCTION("GOOGLETRANSLATE(B539,""en"",""ar"")"),"الهدف اليومي")</f>
        <v>الهدف اليومي</v>
      </c>
      <c r="Q539" s="4" t="str">
        <f>IFERROR(__xludf.DUMMYFUNCTION("GOOGLETRANSLATE(B539,""en"",""mr"")"),"दैनिक ध्येय")</f>
        <v>दैनिक ध्येय</v>
      </c>
      <c r="R539" s="4" t="str">
        <f>IFERROR(__xludf.DUMMYFUNCTION("GOOGLETRANSLATE(B539,""en"",""gu"")"),"દૈનિક ધ્યેય")</f>
        <v>દૈનિક ધ્યેય</v>
      </c>
      <c r="S539" s="4" t="str">
        <f>IFERROR(__xludf.DUMMYFUNCTION("GOOGLETRANSLATE(B539,""en"",""bn"")"),"দৈনিক লক্ষ্য")</f>
        <v>দৈনিক লক্ষ্য</v>
      </c>
      <c r="T539" s="4" t="str">
        <f>IFERROR(__xludf.DUMMYFUNCTION("GOOGLETRANSLATE(B539,""en"",""pa"")"),"ਰੋਜ਼ਾਨਾ ਟੀਚਾ")</f>
        <v>ਰੋਜ਼ਾਨਾ ਟੀਚਾ</v>
      </c>
      <c r="U539" s="4" t="str">
        <f>IFERROR(__xludf.DUMMYFUNCTION("GOOGLETRANSLATE(B539,""en"",""te"")"),"రోజువారీ లక్ష్యం")</f>
        <v>రోజువారీ లక్ష్యం</v>
      </c>
      <c r="V539" s="4" t="str">
        <f>IFERROR(__xludf.DUMMYFUNCTION("GOOGLETRANSLATE(B539,""en"",""kn"")"),"ದೈನಂದಿನ ಗುರಿ")</f>
        <v>ದೈನಂದಿನ ಗುರಿ</v>
      </c>
      <c r="W539" s="4" t="str">
        <f>IFERROR(__xludf.DUMMYFUNCTION("GOOGLETRANSLATE(B539,""en"",""ml"")"),"പ്രതിദിന ലക്ഷ്യം")</f>
        <v>പ്രതിദിന ലക്ഷ്യം</v>
      </c>
      <c r="X539" s="4" t="str">
        <f>IFERROR(__xludf.DUMMYFUNCTION("GOOGLETRANSLATE(B539,""en"",""th"")"),"เป้าหมายรายวัน")</f>
        <v>เป้าหมายรายวัน</v>
      </c>
      <c r="Y539" s="4" t="str">
        <f>IFERROR(__xludf.DUMMYFUNCTION("GOOGLETRANSLATE(B539,""en"",""ko"")"),"일일 목표")</f>
        <v>일일 목표</v>
      </c>
      <c r="Z539" s="4" t="str">
        <f>IFERROR(__xludf.DUMMYFUNCTION("GOOGLETRANSLATE(B539,""en"",""zh"")"),"每日目标")</f>
        <v>每日目标</v>
      </c>
      <c r="AA539" s="4" t="str">
        <f>IFERROR(__xludf.DUMMYFUNCTION("GOOGLETRANSLATE(B539,""en"",""zh-TW"")"),"每日目標")</f>
        <v>每日目標</v>
      </c>
      <c r="AB539" s="4" t="str">
        <f>IFERROR(__xludf.DUMMYFUNCTION("GOOGLETRANSLATE(B539,""en"",""ja"")"),"毎日の目標")</f>
        <v>毎日の目標</v>
      </c>
      <c r="AC539" s="4" t="str">
        <f>IFERROR(__xludf.DUMMYFUNCTION("GOOGLETRANSLATE(B539,""en"",""bg"")"),"Дневна цел")</f>
        <v>Дневна цел</v>
      </c>
      <c r="AD539" s="4" t="str">
        <f>IFERROR(__xludf.DUMMYFUNCTION("GOOGLETRANSLATE(B539,""en"",""cs"")"),"Denní cíl")</f>
        <v>Denní cíl</v>
      </c>
      <c r="AE539" s="4" t="str">
        <f>IFERROR(__xludf.DUMMYFUNCTION("GOOGLETRANSLATE(B539,""en"",""da"")"),"Dagligt mål")</f>
        <v>Dagligt mål</v>
      </c>
      <c r="AF539" s="4" t="str">
        <f>IFERROR(__xludf.DUMMYFUNCTION("GOOGLETRANSLATE(B539,""en"",""el"")"),"Καθημερινός στόχος")</f>
        <v>Καθημερινός στόχος</v>
      </c>
      <c r="AG539" s="4" t="str">
        <f>IFERROR(__xludf.DUMMYFUNCTION("GOOGLETRANSLATE(B539,""en"",""et"")"),"Päevane eesmärk")</f>
        <v>Päevane eesmärk</v>
      </c>
      <c r="AH539" s="4" t="str">
        <f>IFERROR(__xludf.DUMMYFUNCTION("GOOGLETRANSLATE(B539,""en"",""fi"")"),"Päivittäinen tavoite")</f>
        <v>Päivittäinen tavoite</v>
      </c>
      <c r="AI539" s="4" t="str">
        <f>IFERROR(__xludf.DUMMYFUNCTION("GOOGLETRANSLATE(B539,""en"",""hr"")"),"Dnevni cilj")</f>
        <v>Dnevni cilj</v>
      </c>
      <c r="AJ539" s="4" t="str">
        <f>IFERROR(__xludf.DUMMYFUNCTION("GOOGLETRANSLATE(B539,""en"",""hu"")"),"Napi cél")</f>
        <v>Napi cél</v>
      </c>
      <c r="AK539" s="4" t="str">
        <f>IFERROR(__xludf.DUMMYFUNCTION("GOOGLETRANSLATE(B539,""en"",""hy"")"),"Ամենօրյա գոլ")</f>
        <v>Ամենօրյա գոլ</v>
      </c>
      <c r="AL539" s="4" t="str">
        <f>IFERROR(__xludf.DUMMYFUNCTION("GOOGLETRANSLATE(B539,""en"",""ca"")"),"Objectiu diari")</f>
        <v>Objectiu diari</v>
      </c>
      <c r="AM539" s="4" t="str">
        <f>IFERROR(__xludf.DUMMYFUNCTION("GOOGLETRANSLATE(B539,""en"",""nl"")"),"Dagelijks doel")</f>
        <v>Dagelijks doel</v>
      </c>
      <c r="AN539" s="4" t="str">
        <f>IFERROR(__xludf.DUMMYFUNCTION("GOOGLETRANSLATE(B539,""en"",""he"")"),"יעד יומי")</f>
        <v>יעד יומי</v>
      </c>
      <c r="AO539" s="4" t="str">
        <f>IFERROR(__xludf.DUMMYFUNCTION("GOOGLETRANSLATE(B539,""en"",""is"")"),"Daglegt markmið")</f>
        <v>Daglegt markmið</v>
      </c>
      <c r="AP539" s="4" t="str">
        <f>IFERROR(__xludf.DUMMYFUNCTION("GOOGLETRANSLATE(B539,""en"",""no"")"),"Daglig mål")</f>
        <v>Daglig mål</v>
      </c>
      <c r="AQ539" s="4" t="str">
        <f>IFERROR(__xludf.DUMMYFUNCTION("GOOGLETRANSLATE(B539,""en"",""fa"")"),"هدف روزانه")</f>
        <v>هدف روزانه</v>
      </c>
      <c r="AR539" s="4" t="str">
        <f>IFERROR(__xludf.DUMMYFUNCTION("GOOGLETRANSLATE(B539,""en"",""pl"")"),"Cel dzienny")</f>
        <v>Cel dzienny</v>
      </c>
      <c r="AS539" s="4" t="str">
        <f>IFERROR(__xludf.DUMMYFUNCTION("GOOGLETRANSLATE(B539,""en"",""sv"")"),"Dagligt mål")</f>
        <v>Dagligt mål</v>
      </c>
      <c r="AT539" s="4" t="str">
        <f>IFERROR(__xludf.DUMMYFUNCTION("GOOGLETRANSLATE(B539,""en"",""uk"")"),"Щоденна мета")</f>
        <v>Щоденна мета</v>
      </c>
      <c r="AU539" s="4" t="str">
        <f>IFERROR(__xludf.DUMMYFUNCTION("GOOGLETRANSLATE(B539,""en"",""zu"")"),"Umgomo Wansuku zonke")</f>
        <v>Umgomo Wansuku zonke</v>
      </c>
      <c r="AV539" s="4" t="str">
        <f>IFERROR(__xludf.DUMMYFUNCTION("GOOGLETRANSLATE(B539,""en"",""sr"")"),"Дневни циљ")</f>
        <v>Дневни циљ</v>
      </c>
    </row>
    <row r="540">
      <c r="A540" s="3" t="s">
        <v>1033</v>
      </c>
      <c r="B540" s="3" t="s">
        <v>1034</v>
      </c>
      <c r="C540" s="4" t="str">
        <f>IFERROR(__xludf.DUMMYFUNCTION("GOOGLETRANSLATE(B540,""en"",""ta"")"),"படிகள்/நாள்")</f>
        <v>படிகள்/நாள்</v>
      </c>
      <c r="D540" s="4" t="str">
        <f>IFERROR(__xludf.DUMMYFUNCTION("GOOGLETRANSLATE(B540,""en"",""hi"")"),"कदम/दिन")</f>
        <v>कदम/दिन</v>
      </c>
      <c r="E540" s="4" t="str">
        <f>IFERROR(__xludf.DUMMYFUNCTION("GOOGLETRANSLATE(B540,""en"",""id"")"),"Langkah/Hari")</f>
        <v>Langkah/Hari</v>
      </c>
      <c r="F540" s="4" t="str">
        <f>IFERROR(__xludf.DUMMYFUNCTION("GOOGLETRANSLATE(B540,""en"",""ms"")"),"Langkah/Hari")</f>
        <v>Langkah/Hari</v>
      </c>
      <c r="G540" s="4" t="str">
        <f>IFERROR(__xludf.DUMMYFUNCTION("GOOGLETRANSLATE(B540,""en"",""de"")"),"Schritte/Tag")</f>
        <v>Schritte/Tag</v>
      </c>
      <c r="H540" s="4" t="str">
        <f>IFERROR(__xludf.DUMMYFUNCTION("GOOGLETRANSLATE(B540,""en"",""es"")"),"Pasos/Día")</f>
        <v>Pasos/Día</v>
      </c>
      <c r="I540" s="4" t="str">
        <f>IFERROR(__xludf.DUMMYFUNCTION("GOOGLETRANSLATE(B540,""en"",""fr"")"),"Pas/jour")</f>
        <v>Pas/jour</v>
      </c>
      <c r="J540" s="4" t="str">
        <f>IFERROR(__xludf.DUMMYFUNCTION("GOOGLETRANSLATE(B540,""en"",""it"")"),"Passi/giorno")</f>
        <v>Passi/giorno</v>
      </c>
      <c r="K540" s="4" t="str">
        <f>IFERROR(__xludf.DUMMYFUNCTION("GOOGLETRANSLATE(B540,""en"",""pt"")"),"Passos/Dia")</f>
        <v>Passos/Dia</v>
      </c>
      <c r="L540" s="4" t="str">
        <f>IFERROR(__xludf.DUMMYFUNCTION("GOOGLETRANSLATE(B540,""en"",""ro"")"),"Pași/Zi")</f>
        <v>Pași/Zi</v>
      </c>
      <c r="M540" s="4" t="str">
        <f>IFERROR(__xludf.DUMMYFUNCTION("GOOGLETRANSLATE(B540,""en"",""vi"")"),"Bước/Ngày")</f>
        <v>Bước/Ngày</v>
      </c>
      <c r="N540" s="4" t="str">
        <f>IFERROR(__xludf.DUMMYFUNCTION("GOOGLETRANSLATE(B540,""en"",""ru"")"),"Шагов/день")</f>
        <v>Шагов/день</v>
      </c>
      <c r="O540" s="4" t="str">
        <f>IFERROR(__xludf.DUMMYFUNCTION("GOOGLETRANSLATE(B540,""en"",""tr"")"),"Adımlar/Gün")</f>
        <v>Adımlar/Gün</v>
      </c>
      <c r="P540" s="4" t="str">
        <f>IFERROR(__xludf.DUMMYFUNCTION("GOOGLETRANSLATE(B540,""en"",""ar"")"),"خطوات/يوم")</f>
        <v>خطوات/يوم</v>
      </c>
      <c r="Q540" s="4" t="str">
        <f>IFERROR(__xludf.DUMMYFUNCTION("GOOGLETRANSLATE(B540,""en"",""mr"")"),"पावले/दिवस")</f>
        <v>पावले/दिवस</v>
      </c>
      <c r="R540" s="4" t="str">
        <f>IFERROR(__xludf.DUMMYFUNCTION("GOOGLETRANSLATE(B540,""en"",""gu"")"),"પગલાં/દિવસ")</f>
        <v>પગલાં/દિવસ</v>
      </c>
      <c r="S540" s="4" t="str">
        <f>IFERROR(__xludf.DUMMYFUNCTION("GOOGLETRANSLATE(B540,""en"",""bn"")"),"ধাপ/দিন")</f>
        <v>ধাপ/দিন</v>
      </c>
      <c r="T540" s="4" t="str">
        <f>IFERROR(__xludf.DUMMYFUNCTION("GOOGLETRANSLATE(B540,""en"",""pa"")"),"ਕਦਮ/ਦਿਨ")</f>
        <v>ਕਦਮ/ਦਿਨ</v>
      </c>
      <c r="U540" s="4" t="str">
        <f>IFERROR(__xludf.DUMMYFUNCTION("GOOGLETRANSLATE(B540,""en"",""te"")"),"దశలు/రోజు")</f>
        <v>దశలు/రోజు</v>
      </c>
      <c r="V540" s="4" t="str">
        <f>IFERROR(__xludf.DUMMYFUNCTION("GOOGLETRANSLATE(B540,""en"",""kn"")"),"ಹಂತಗಳು/ದಿನ")</f>
        <v>ಹಂತಗಳು/ದಿನ</v>
      </c>
      <c r="W540" s="4" t="str">
        <f>IFERROR(__xludf.DUMMYFUNCTION("GOOGLETRANSLATE(B540,""en"",""ml"")"),"ഘട്ടങ്ങൾ/ദിവസം")</f>
        <v>ഘട്ടങ്ങൾ/ദിവസം</v>
      </c>
      <c r="X540" s="4" t="str">
        <f>IFERROR(__xludf.DUMMYFUNCTION("GOOGLETRANSLATE(B540,""en"",""th"")"),"ก้าว/วัน")</f>
        <v>ก้าว/วัน</v>
      </c>
      <c r="Y540" s="4" t="str">
        <f>IFERROR(__xludf.DUMMYFUNCTION("GOOGLETRANSLATE(B540,""en"",""ko"")"),"걸음 수/일")</f>
        <v>걸음 수/일</v>
      </c>
      <c r="Z540" s="4" t="str">
        <f>IFERROR(__xludf.DUMMYFUNCTION("GOOGLETRANSLATE(B540,""en"",""zh"")"),"每日步数")</f>
        <v>每日步数</v>
      </c>
      <c r="AA540" s="4" t="str">
        <f>IFERROR(__xludf.DUMMYFUNCTION("GOOGLETRANSLATE(B540,""en"",""zh-TW"")"),"每日步數")</f>
        <v>每日步數</v>
      </c>
      <c r="AB540" s="4" t="str">
        <f>IFERROR(__xludf.DUMMYFUNCTION("GOOGLETRANSLATE(B540,""en"",""ja"")"),"歩数/日")</f>
        <v>歩数/日</v>
      </c>
      <c r="AC540" s="4" t="str">
        <f>IFERROR(__xludf.DUMMYFUNCTION("GOOGLETRANSLATE(B540,""en"",""bg"")"),"Стъпки/ден")</f>
        <v>Стъпки/ден</v>
      </c>
      <c r="AD540" s="4" t="str">
        <f>IFERROR(__xludf.DUMMYFUNCTION("GOOGLETRANSLATE(B540,""en"",""cs"")"),"Kroky/den")</f>
        <v>Kroky/den</v>
      </c>
      <c r="AE540" s="4" t="str">
        <f>IFERROR(__xludf.DUMMYFUNCTION("GOOGLETRANSLATE(B540,""en"",""da"")"),"Skridt/dag")</f>
        <v>Skridt/dag</v>
      </c>
      <c r="AF540" s="4" t="str">
        <f>IFERROR(__xludf.DUMMYFUNCTION("GOOGLETRANSLATE(B540,""en"",""el"")"),"Βήματα/Ημέρα")</f>
        <v>Βήματα/Ημέρα</v>
      </c>
      <c r="AG540" s="4" t="str">
        <f>IFERROR(__xludf.DUMMYFUNCTION("GOOGLETRANSLATE(B540,""en"",""et"")"),"Sammud/päev")</f>
        <v>Sammud/päev</v>
      </c>
      <c r="AH540" s="4" t="str">
        <f>IFERROR(__xludf.DUMMYFUNCTION("GOOGLETRANSLATE(B540,""en"",""fi"")"),"Askeleita/päivä")</f>
        <v>Askeleita/päivä</v>
      </c>
      <c r="AI540" s="4" t="str">
        <f>IFERROR(__xludf.DUMMYFUNCTION("GOOGLETRANSLATE(B540,""en"",""hr"")"),"Koraci/dan")</f>
        <v>Koraci/dan</v>
      </c>
      <c r="AJ540" s="4" t="str">
        <f>IFERROR(__xludf.DUMMYFUNCTION("GOOGLETRANSLATE(B540,""en"",""hu"")"),"Lépések/nap")</f>
        <v>Lépések/nap</v>
      </c>
      <c r="AK540" s="4" t="str">
        <f>IFERROR(__xludf.DUMMYFUNCTION("GOOGLETRANSLATE(B540,""en"",""hy"")"),"Քայլեր/օր")</f>
        <v>Քայլեր/օր</v>
      </c>
      <c r="AL540" s="4" t="str">
        <f>IFERROR(__xludf.DUMMYFUNCTION("GOOGLETRANSLATE(B540,""en"",""ca"")"),"Passos/Dia")</f>
        <v>Passos/Dia</v>
      </c>
      <c r="AM540" s="4" t="str">
        <f>IFERROR(__xludf.DUMMYFUNCTION("GOOGLETRANSLATE(B540,""en"",""nl"")"),"Stappen/dag")</f>
        <v>Stappen/dag</v>
      </c>
      <c r="AN540" s="4" t="str">
        <f>IFERROR(__xludf.DUMMYFUNCTION("GOOGLETRANSLATE(B540,""en"",""he"")"),"צעדים/יום")</f>
        <v>צעדים/יום</v>
      </c>
      <c r="AO540" s="4" t="str">
        <f>IFERROR(__xludf.DUMMYFUNCTION("GOOGLETRANSLATE(B540,""en"",""is"")"),"Skref/Dagur")</f>
        <v>Skref/Dagur</v>
      </c>
      <c r="AP540" s="4" t="str">
        <f>IFERROR(__xludf.DUMMYFUNCTION("GOOGLETRANSLATE(B540,""en"",""no"")"),"Trinn/Dag")</f>
        <v>Trinn/Dag</v>
      </c>
      <c r="AQ540" s="4" t="str">
        <f>IFERROR(__xludf.DUMMYFUNCTION("GOOGLETRANSLATE(B540,""en"",""fa"")"),"مراحل/روز")</f>
        <v>مراحل/روز</v>
      </c>
      <c r="AR540" s="4" t="str">
        <f>IFERROR(__xludf.DUMMYFUNCTION("GOOGLETRANSLATE(B540,""en"",""pl"")"),"Kroki/dzień")</f>
        <v>Kroki/dzień</v>
      </c>
      <c r="AS540" s="4" t="str">
        <f>IFERROR(__xludf.DUMMYFUNCTION("GOOGLETRANSLATE(B540,""en"",""sv"")"),"Steg/Dag")</f>
        <v>Steg/Dag</v>
      </c>
      <c r="AT540" s="4" t="str">
        <f>IFERROR(__xludf.DUMMYFUNCTION("GOOGLETRANSLATE(B540,""en"",""uk"")"),"Кроки/день")</f>
        <v>Кроки/день</v>
      </c>
      <c r="AU540" s="4" t="str">
        <f>IFERROR(__xludf.DUMMYFUNCTION("GOOGLETRANSLATE(B540,""en"",""zu"")"),"Izinyathelo/Usuku")</f>
        <v>Izinyathelo/Usuku</v>
      </c>
      <c r="AV540" s="4" t="str">
        <f>IFERROR(__xludf.DUMMYFUNCTION("GOOGLETRANSLATE(B540,""en"",""sr"")"),"Кораци/дан")</f>
        <v>Кораци/дан</v>
      </c>
    </row>
    <row r="541">
      <c r="A541" s="3" t="s">
        <v>1035</v>
      </c>
      <c r="B541" s="3" t="s">
        <v>1036</v>
      </c>
      <c r="C541" s="4" t="str">
        <f>IFERROR(__xludf.DUMMYFUNCTION("GOOGLETRANSLATE(B541,""en"",""ta"")"),"திருத்தவும்")</f>
        <v>திருத்தவும்</v>
      </c>
      <c r="D541" s="4" t="str">
        <f>IFERROR(__xludf.DUMMYFUNCTION("GOOGLETRANSLATE(B541,""en"",""hi"")"),"संपादन करना")</f>
        <v>संपादन करना</v>
      </c>
      <c r="E541" s="4" t="str">
        <f>IFERROR(__xludf.DUMMYFUNCTION("GOOGLETRANSLATE(B541,""en"",""id"")"),"Sunting")</f>
        <v>Sunting</v>
      </c>
      <c r="F541" s="4" t="str">
        <f>IFERROR(__xludf.DUMMYFUNCTION("GOOGLETRANSLATE(B541,""en"",""ms"")"),"Sunting")</f>
        <v>Sunting</v>
      </c>
      <c r="G541" s="4" t="str">
        <f>IFERROR(__xludf.DUMMYFUNCTION("GOOGLETRANSLATE(B541,""en"",""de"")"),"Bearbeiten")</f>
        <v>Bearbeiten</v>
      </c>
      <c r="H541" s="4" t="str">
        <f>IFERROR(__xludf.DUMMYFUNCTION("GOOGLETRANSLATE(B541,""en"",""es"")"),"Editar")</f>
        <v>Editar</v>
      </c>
      <c r="I541" s="4" t="str">
        <f>IFERROR(__xludf.DUMMYFUNCTION("GOOGLETRANSLATE(B541,""en"",""fr"")"),"Modifier")</f>
        <v>Modifier</v>
      </c>
      <c r="J541" s="4" t="str">
        <f>IFERROR(__xludf.DUMMYFUNCTION("GOOGLETRANSLATE(B541,""en"",""it"")"),"Modificare")</f>
        <v>Modificare</v>
      </c>
      <c r="K541" s="4" t="str">
        <f>IFERROR(__xludf.DUMMYFUNCTION("GOOGLETRANSLATE(B541,""en"",""pt"")"),"Editar")</f>
        <v>Editar</v>
      </c>
      <c r="L541" s="4" t="str">
        <f>IFERROR(__xludf.DUMMYFUNCTION("GOOGLETRANSLATE(B541,""en"",""ro"")"),"Edita")</f>
        <v>Edita</v>
      </c>
      <c r="M541" s="4" t="str">
        <f>IFERROR(__xludf.DUMMYFUNCTION("GOOGLETRANSLATE(B541,""en"",""vi"")"),"Biên tập")</f>
        <v>Biên tập</v>
      </c>
      <c r="N541" s="4" t="str">
        <f>IFERROR(__xludf.DUMMYFUNCTION("GOOGLETRANSLATE(B541,""en"",""ru"")"),"Редактировать")</f>
        <v>Редактировать</v>
      </c>
      <c r="O541" s="4" t="str">
        <f>IFERROR(__xludf.DUMMYFUNCTION("GOOGLETRANSLATE(B541,""en"",""tr"")"),"Düzenlemek")</f>
        <v>Düzenlemek</v>
      </c>
      <c r="P541" s="4" t="str">
        <f>IFERROR(__xludf.DUMMYFUNCTION("GOOGLETRANSLATE(B541,""en"",""ar"")"),"يحرر")</f>
        <v>يحرر</v>
      </c>
      <c r="Q541" s="4" t="str">
        <f>IFERROR(__xludf.DUMMYFUNCTION("GOOGLETRANSLATE(B541,""en"",""mr"")"),"संपादित करा")</f>
        <v>संपादित करा</v>
      </c>
      <c r="R541" s="4" t="str">
        <f>IFERROR(__xludf.DUMMYFUNCTION("GOOGLETRANSLATE(B541,""en"",""gu"")"),"સંપાદિત કરો")</f>
        <v>સંપાદિત કરો</v>
      </c>
      <c r="S541" s="4" t="str">
        <f>IFERROR(__xludf.DUMMYFUNCTION("GOOGLETRANSLATE(B541,""en"",""bn"")"),"সম্পাদনা করুন")</f>
        <v>সম্পাদনা করুন</v>
      </c>
      <c r="T541" s="4" t="str">
        <f>IFERROR(__xludf.DUMMYFUNCTION("GOOGLETRANSLATE(B541,""en"",""pa"")"),"ਸੰਪਾਦਿਤ ਕਰੋ")</f>
        <v>ਸੰਪਾਦਿਤ ਕਰੋ</v>
      </c>
      <c r="U541" s="4" t="str">
        <f>IFERROR(__xludf.DUMMYFUNCTION("GOOGLETRANSLATE(B541,""en"",""te"")"),"సవరించు")</f>
        <v>సవరించు</v>
      </c>
      <c r="V541" s="4" t="str">
        <f>IFERROR(__xludf.DUMMYFUNCTION("GOOGLETRANSLATE(B541,""en"",""kn"")"),"ಸಂಪಾದಿಸು")</f>
        <v>ಸಂಪಾದಿಸು</v>
      </c>
      <c r="W541" s="4" t="str">
        <f>IFERROR(__xludf.DUMMYFUNCTION("GOOGLETRANSLATE(B541,""en"",""ml"")"),"എഡിറ്റ് ചെയ്യുക")</f>
        <v>എഡിറ്റ് ചെയ്യുക</v>
      </c>
      <c r="X541" s="4" t="str">
        <f>IFERROR(__xludf.DUMMYFUNCTION("GOOGLETRANSLATE(B541,""en"",""th"")"),"แก้ไข")</f>
        <v>แก้ไข</v>
      </c>
      <c r="Y541" s="4" t="str">
        <f>IFERROR(__xludf.DUMMYFUNCTION("GOOGLETRANSLATE(B541,""en"",""ko"")"),"편집하다")</f>
        <v>편집하다</v>
      </c>
      <c r="Z541" s="4" t="str">
        <f>IFERROR(__xludf.DUMMYFUNCTION("GOOGLETRANSLATE(B541,""en"",""zh"")"),"编辑")</f>
        <v>编辑</v>
      </c>
      <c r="AA541" s="4" t="str">
        <f>IFERROR(__xludf.DUMMYFUNCTION("GOOGLETRANSLATE(B541,""en"",""zh-TW"")"),"編輯")</f>
        <v>編輯</v>
      </c>
      <c r="AB541" s="4" t="str">
        <f>IFERROR(__xludf.DUMMYFUNCTION("GOOGLETRANSLATE(B541,""en"",""ja"")"),"編集")</f>
        <v>編集</v>
      </c>
      <c r="AC541" s="4" t="str">
        <f>IFERROR(__xludf.DUMMYFUNCTION("GOOGLETRANSLATE(B541,""en"",""bg"")"),"Редактиране")</f>
        <v>Редактиране</v>
      </c>
      <c r="AD541" s="4" t="str">
        <f>IFERROR(__xludf.DUMMYFUNCTION("GOOGLETRANSLATE(B541,""en"",""cs"")"),"Upravit")</f>
        <v>Upravit</v>
      </c>
      <c r="AE541" s="4" t="str">
        <f>IFERROR(__xludf.DUMMYFUNCTION("GOOGLETRANSLATE(B541,""en"",""da"")"),"Redigere")</f>
        <v>Redigere</v>
      </c>
      <c r="AF541" s="4" t="str">
        <f>IFERROR(__xludf.DUMMYFUNCTION("GOOGLETRANSLATE(B541,""en"",""el"")"),"Εκδίδω")</f>
        <v>Εκδίδω</v>
      </c>
      <c r="AG541" s="4" t="str">
        <f>IFERROR(__xludf.DUMMYFUNCTION("GOOGLETRANSLATE(B541,""en"",""et"")"),"Muuda")</f>
        <v>Muuda</v>
      </c>
      <c r="AH541" s="4" t="str">
        <f>IFERROR(__xludf.DUMMYFUNCTION("GOOGLETRANSLATE(B541,""en"",""fi"")"),"Muokata")</f>
        <v>Muokata</v>
      </c>
      <c r="AI541" s="4" t="str">
        <f>IFERROR(__xludf.DUMMYFUNCTION("GOOGLETRANSLATE(B541,""en"",""hr"")"),"Uredi")</f>
        <v>Uredi</v>
      </c>
      <c r="AJ541" s="4" t="str">
        <f>IFERROR(__xludf.DUMMYFUNCTION("GOOGLETRANSLATE(B541,""en"",""hu"")"),"Szerkesztés")</f>
        <v>Szerkesztés</v>
      </c>
      <c r="AK541" s="4" t="str">
        <f>IFERROR(__xludf.DUMMYFUNCTION("GOOGLETRANSLATE(B541,""en"",""hy"")"),"Խմբագրել")</f>
        <v>Խմբագրել</v>
      </c>
      <c r="AL541" s="4" t="str">
        <f>IFERROR(__xludf.DUMMYFUNCTION("GOOGLETRANSLATE(B541,""en"",""ca"")"),"Edita")</f>
        <v>Edita</v>
      </c>
      <c r="AM541" s="4" t="str">
        <f>IFERROR(__xludf.DUMMYFUNCTION("GOOGLETRANSLATE(B541,""en"",""nl"")"),"Bewerking")</f>
        <v>Bewerking</v>
      </c>
      <c r="AN541" s="4" t="str">
        <f>IFERROR(__xludf.DUMMYFUNCTION("GOOGLETRANSLATE(B541,""en"",""he"")"),"לַעֲרוֹך")</f>
        <v>לַעֲרוֹך</v>
      </c>
      <c r="AO541" s="4" t="str">
        <f>IFERROR(__xludf.DUMMYFUNCTION("GOOGLETRANSLATE(B541,""en"",""is"")"),"Breyta")</f>
        <v>Breyta</v>
      </c>
      <c r="AP541" s="4" t="str">
        <f>IFERROR(__xludf.DUMMYFUNCTION("GOOGLETRANSLATE(B541,""en"",""no"")"),"Redigere")</f>
        <v>Redigere</v>
      </c>
      <c r="AQ541" s="4" t="str">
        <f>IFERROR(__xludf.DUMMYFUNCTION("GOOGLETRANSLATE(B541,""en"",""fa"")"),"ویرایش کنید")</f>
        <v>ویرایش کنید</v>
      </c>
      <c r="AR541" s="4" t="str">
        <f>IFERROR(__xludf.DUMMYFUNCTION("GOOGLETRANSLATE(B541,""en"",""pl"")"),"Redagować")</f>
        <v>Redagować</v>
      </c>
      <c r="AS541" s="4" t="str">
        <f>IFERROR(__xludf.DUMMYFUNCTION("GOOGLETRANSLATE(B541,""en"",""sv"")"),"Redigera")</f>
        <v>Redigera</v>
      </c>
      <c r="AT541" s="4" t="str">
        <f>IFERROR(__xludf.DUMMYFUNCTION("GOOGLETRANSLATE(B541,""en"",""uk"")"),"Редагувати")</f>
        <v>Редагувати</v>
      </c>
      <c r="AU541" s="4" t="str">
        <f>IFERROR(__xludf.DUMMYFUNCTION("GOOGLETRANSLATE(B541,""en"",""zu"")"),"Hlela")</f>
        <v>Hlela</v>
      </c>
      <c r="AV541" s="4" t="str">
        <f>IFERROR(__xludf.DUMMYFUNCTION("GOOGLETRANSLATE(B541,""en"",""sr"")"),"Уреди")</f>
        <v>Уреди</v>
      </c>
    </row>
    <row r="542">
      <c r="A542" s="3" t="s">
        <v>1037</v>
      </c>
      <c r="B542" s="3" t="s">
        <v>1038</v>
      </c>
      <c r="C542" s="4" t="str">
        <f>IFERROR(__xludf.DUMMYFUNCTION("GOOGLETRANSLATE(B542,""en"",""ta"")"),"செயலில் நாட்கள்")</f>
        <v>செயலில் நாட்கள்</v>
      </c>
      <c r="D542" s="4" t="str">
        <f>IFERROR(__xludf.DUMMYFUNCTION("GOOGLETRANSLATE(B542,""en"",""hi"")"),"सक्रिय दिन")</f>
        <v>सक्रिय दिन</v>
      </c>
      <c r="E542" s="4" t="str">
        <f>IFERROR(__xludf.DUMMYFUNCTION("GOOGLETRANSLATE(B542,""en"",""id"")"),"Hari Aktif")</f>
        <v>Hari Aktif</v>
      </c>
      <c r="F542" s="4" t="str">
        <f>IFERROR(__xludf.DUMMYFUNCTION("GOOGLETRANSLATE(B542,""en"",""ms"")"),"Hari Aktif")</f>
        <v>Hari Aktif</v>
      </c>
      <c r="G542" s="4" t="str">
        <f>IFERROR(__xludf.DUMMYFUNCTION("GOOGLETRANSLATE(B542,""en"",""de"")"),"Aktive Tage")</f>
        <v>Aktive Tage</v>
      </c>
      <c r="H542" s="4" t="str">
        <f>IFERROR(__xludf.DUMMYFUNCTION("GOOGLETRANSLATE(B542,""en"",""es"")"),"Días activos")</f>
        <v>Días activos</v>
      </c>
      <c r="I542" s="4" t="str">
        <f>IFERROR(__xludf.DUMMYFUNCTION("GOOGLETRANSLATE(B542,""en"",""fr"")"),"Journées actives")</f>
        <v>Journées actives</v>
      </c>
      <c r="J542" s="4" t="str">
        <f>IFERROR(__xludf.DUMMYFUNCTION("GOOGLETRANSLATE(B542,""en"",""it"")"),"Giorni attivi")</f>
        <v>Giorni attivi</v>
      </c>
      <c r="K542" s="4" t="str">
        <f>IFERROR(__xludf.DUMMYFUNCTION("GOOGLETRANSLATE(B542,""en"",""pt"")"),"Dias Ativos")</f>
        <v>Dias Ativos</v>
      </c>
      <c r="L542" s="4" t="str">
        <f>IFERROR(__xludf.DUMMYFUNCTION("GOOGLETRANSLATE(B542,""en"",""ro"")"),"Zilele active")</f>
        <v>Zilele active</v>
      </c>
      <c r="M542" s="4" t="str">
        <f>IFERROR(__xludf.DUMMYFUNCTION("GOOGLETRANSLATE(B542,""en"",""vi"")"),"Ngày hoạt động")</f>
        <v>Ngày hoạt động</v>
      </c>
      <c r="N542" s="4" t="str">
        <f>IFERROR(__xludf.DUMMYFUNCTION("GOOGLETRANSLATE(B542,""en"",""ru"")"),"Активные дни")</f>
        <v>Активные дни</v>
      </c>
      <c r="O542" s="4" t="str">
        <f>IFERROR(__xludf.DUMMYFUNCTION("GOOGLETRANSLATE(B542,""en"",""tr"")"),"Aktif Günler")</f>
        <v>Aktif Günler</v>
      </c>
      <c r="P542" s="4" t="str">
        <f>IFERROR(__xludf.DUMMYFUNCTION("GOOGLETRANSLATE(B542,""en"",""ar"")"),"الأيام النشطة")</f>
        <v>الأيام النشطة</v>
      </c>
      <c r="Q542" s="4" t="str">
        <f>IFERROR(__xludf.DUMMYFUNCTION("GOOGLETRANSLATE(B542,""en"",""mr"")"),"सक्रिय दिवस")</f>
        <v>सक्रिय दिवस</v>
      </c>
      <c r="R542" s="4" t="str">
        <f>IFERROR(__xludf.DUMMYFUNCTION("GOOGLETRANSLATE(B542,""en"",""gu"")"),"સક્રિય દિવસો")</f>
        <v>સક્રિય દિવસો</v>
      </c>
      <c r="S542" s="4" t="str">
        <f>IFERROR(__xludf.DUMMYFUNCTION("GOOGLETRANSLATE(B542,""en"",""bn"")"),"সক্রিয় দিন")</f>
        <v>সক্রিয় দিন</v>
      </c>
      <c r="T542" s="4" t="str">
        <f>IFERROR(__xludf.DUMMYFUNCTION("GOOGLETRANSLATE(B542,""en"",""pa"")"),"ਸਰਗਰਮ ਦਿਨ")</f>
        <v>ਸਰਗਰਮ ਦਿਨ</v>
      </c>
      <c r="U542" s="4" t="str">
        <f>IFERROR(__xludf.DUMMYFUNCTION("GOOGLETRANSLATE(B542,""en"",""te"")"),"యాక్టివ్ డేస్")</f>
        <v>యాక్టివ్ డేస్</v>
      </c>
      <c r="V542" s="4" t="str">
        <f>IFERROR(__xludf.DUMMYFUNCTION("GOOGLETRANSLATE(B542,""en"",""kn"")"),"ಸಕ್ರಿಯ ದಿನಗಳು")</f>
        <v>ಸಕ್ರಿಯ ದಿನಗಳು</v>
      </c>
      <c r="W542" s="4" t="str">
        <f>IFERROR(__xludf.DUMMYFUNCTION("GOOGLETRANSLATE(B542,""en"",""ml"")"),"സജീവമായ ദിവസങ്ങൾ")</f>
        <v>സജീവമായ ദിവസങ്ങൾ</v>
      </c>
      <c r="X542" s="4" t="str">
        <f>IFERROR(__xludf.DUMMYFUNCTION("GOOGLETRANSLATE(B542,""en"",""th"")"),"วันแอ็คทีฟ")</f>
        <v>วันแอ็คทีฟ</v>
      </c>
      <c r="Y542" s="4" t="str">
        <f>IFERROR(__xludf.DUMMYFUNCTION("GOOGLETRANSLATE(B542,""en"",""ko"")"),"활동적인 날들")</f>
        <v>활동적인 날들</v>
      </c>
      <c r="Z542" s="4" t="str">
        <f>IFERROR(__xludf.DUMMYFUNCTION("GOOGLETRANSLATE(B542,""en"",""zh"")"),"活跃天数")</f>
        <v>活跃天数</v>
      </c>
      <c r="AA542" s="4" t="str">
        <f>IFERROR(__xludf.DUMMYFUNCTION("GOOGLETRANSLATE(B542,""en"",""zh-TW"")"),"活躍天數")</f>
        <v>活躍天數</v>
      </c>
      <c r="AB542" s="4" t="str">
        <f>IFERROR(__xludf.DUMMYFUNCTION("GOOGLETRANSLATE(B542,""en"",""ja"")"),"アクティブデイズ")</f>
        <v>アクティブデイズ</v>
      </c>
      <c r="AC542" s="4" t="str">
        <f>IFERROR(__xludf.DUMMYFUNCTION("GOOGLETRANSLATE(B542,""en"",""bg"")"),"Активни дни")</f>
        <v>Активни дни</v>
      </c>
      <c r="AD542" s="4" t="str">
        <f>IFERROR(__xludf.DUMMYFUNCTION("GOOGLETRANSLATE(B542,""en"",""cs"")"),"Aktivní dny")</f>
        <v>Aktivní dny</v>
      </c>
      <c r="AE542" s="4" t="str">
        <f>IFERROR(__xludf.DUMMYFUNCTION("GOOGLETRANSLATE(B542,""en"",""da"")"),"Aktive dage")</f>
        <v>Aktive dage</v>
      </c>
      <c r="AF542" s="4" t="str">
        <f>IFERROR(__xludf.DUMMYFUNCTION("GOOGLETRANSLATE(B542,""en"",""el"")"),"Ενεργές Ημέρες")</f>
        <v>Ενεργές Ημέρες</v>
      </c>
      <c r="AG542" s="4" t="str">
        <f>IFERROR(__xludf.DUMMYFUNCTION("GOOGLETRANSLATE(B542,""en"",""et"")"),"Aktiivsed päevad")</f>
        <v>Aktiivsed päevad</v>
      </c>
      <c r="AH542" s="4" t="str">
        <f>IFERROR(__xludf.DUMMYFUNCTION("GOOGLETRANSLATE(B542,""en"",""fi"")"),"Aktiiviset päivät")</f>
        <v>Aktiiviset päivät</v>
      </c>
      <c r="AI542" s="4" t="str">
        <f>IFERROR(__xludf.DUMMYFUNCTION("GOOGLETRANSLATE(B542,""en"",""hr"")"),"Aktivni dani")</f>
        <v>Aktivni dani</v>
      </c>
      <c r="AJ542" s="4" t="str">
        <f>IFERROR(__xludf.DUMMYFUNCTION("GOOGLETRANSLATE(B542,""en"",""hu"")"),"Aktív napok")</f>
        <v>Aktív napok</v>
      </c>
      <c r="AK542" s="4" t="str">
        <f>IFERROR(__xludf.DUMMYFUNCTION("GOOGLETRANSLATE(B542,""en"",""hy"")"),"Ակտիվ օրեր")</f>
        <v>Ակտիվ օրեր</v>
      </c>
      <c r="AL542" s="4" t="str">
        <f>IFERROR(__xludf.DUMMYFUNCTION("GOOGLETRANSLATE(B542,""en"",""ca"")"),"Jornades actives")</f>
        <v>Jornades actives</v>
      </c>
      <c r="AM542" s="4" t="str">
        <f>IFERROR(__xludf.DUMMYFUNCTION("GOOGLETRANSLATE(B542,""en"",""nl"")"),"Actieve dagen")</f>
        <v>Actieve dagen</v>
      </c>
      <c r="AN542" s="4" t="str">
        <f>IFERROR(__xludf.DUMMYFUNCTION("GOOGLETRANSLATE(B542,""en"",""he"")"),"ימים פעילים")</f>
        <v>ימים פעילים</v>
      </c>
      <c r="AO542" s="4" t="str">
        <f>IFERROR(__xludf.DUMMYFUNCTION("GOOGLETRANSLATE(B542,""en"",""is"")"),"Virkir dagar")</f>
        <v>Virkir dagar</v>
      </c>
      <c r="AP542" s="4" t="str">
        <f>IFERROR(__xludf.DUMMYFUNCTION("GOOGLETRANSLATE(B542,""en"",""no"")"),"Aktive dager")</f>
        <v>Aktive dager</v>
      </c>
      <c r="AQ542" s="4" t="str">
        <f>IFERROR(__xludf.DUMMYFUNCTION("GOOGLETRANSLATE(B542,""en"",""fa"")"),"روزهای فعال")</f>
        <v>روزهای فعال</v>
      </c>
      <c r="AR542" s="4" t="str">
        <f>IFERROR(__xludf.DUMMYFUNCTION("GOOGLETRANSLATE(B542,""en"",""pl"")"),"Aktywne dni")</f>
        <v>Aktywne dni</v>
      </c>
      <c r="AS542" s="4" t="str">
        <f>IFERROR(__xludf.DUMMYFUNCTION("GOOGLETRANSLATE(B542,""en"",""sv"")"),"Aktiva dagar")</f>
        <v>Aktiva dagar</v>
      </c>
      <c r="AT542" s="4" t="str">
        <f>IFERROR(__xludf.DUMMYFUNCTION("GOOGLETRANSLATE(B542,""en"",""uk"")"),"Активні дні")</f>
        <v>Активні дні</v>
      </c>
      <c r="AU542" s="4" t="str">
        <f>IFERROR(__xludf.DUMMYFUNCTION("GOOGLETRANSLATE(B542,""en"",""zu"")"),"Izinsuku Ezisebenzayo")</f>
        <v>Izinsuku Ezisebenzayo</v>
      </c>
      <c r="AV542" s="4" t="str">
        <f>IFERROR(__xludf.DUMMYFUNCTION("GOOGLETRANSLATE(B542,""en"",""sr"")"),"Активни дани")</f>
        <v>Активни дани</v>
      </c>
    </row>
    <row r="543">
      <c r="A543" s="3" t="s">
        <v>1039</v>
      </c>
      <c r="B543" s="3" t="s">
        <v>1040</v>
      </c>
      <c r="C543" s="4" t="str">
        <f>IFERROR(__xludf.DUMMYFUNCTION("GOOGLETRANSLATE(B543,""en"",""ta"")"),"நாள் முழுவதும்")</f>
        <v>நாள் முழுவதும்</v>
      </c>
      <c r="D543" s="4" t="str">
        <f>IFERROR(__xludf.DUMMYFUNCTION("GOOGLETRANSLATE(B543,""en"",""hi"")"),"पूरे दिन")</f>
        <v>पूरे दिन</v>
      </c>
      <c r="E543" s="4" t="str">
        <f>IFERROR(__xludf.DUMMYFUNCTION("GOOGLETRANSLATE(B543,""en"",""id"")"),"Sepanjang hari")</f>
        <v>Sepanjang hari</v>
      </c>
      <c r="F543" s="4" t="str">
        <f>IFERROR(__xludf.DUMMYFUNCTION("GOOGLETRANSLATE(B543,""en"",""ms"")"),"Sepanjang Hari")</f>
        <v>Sepanjang Hari</v>
      </c>
      <c r="G543" s="4" t="str">
        <f>IFERROR(__xludf.DUMMYFUNCTION("GOOGLETRANSLATE(B543,""en"",""de"")"),"Ganztägig")</f>
        <v>Ganztägig</v>
      </c>
      <c r="H543" s="4" t="str">
        <f>IFERROR(__xludf.DUMMYFUNCTION("GOOGLETRANSLATE(B543,""en"",""es"")"),"Todo el día")</f>
        <v>Todo el día</v>
      </c>
      <c r="I543" s="4" t="str">
        <f>IFERROR(__xludf.DUMMYFUNCTION("GOOGLETRANSLATE(B543,""en"",""fr"")"),"Toute la journée")</f>
        <v>Toute la journée</v>
      </c>
      <c r="J543" s="4" t="str">
        <f>IFERROR(__xludf.DUMMYFUNCTION("GOOGLETRANSLATE(B543,""en"",""it"")"),"Tutto il giorno")</f>
        <v>Tutto il giorno</v>
      </c>
      <c r="K543" s="4" t="str">
        <f>IFERROR(__xludf.DUMMYFUNCTION("GOOGLETRANSLATE(B543,""en"",""pt"")"),"O dia todo")</f>
        <v>O dia todo</v>
      </c>
      <c r="L543" s="4" t="str">
        <f>IFERROR(__xludf.DUMMYFUNCTION("GOOGLETRANSLATE(B543,""en"",""ro"")"),"Toată ziua")</f>
        <v>Toată ziua</v>
      </c>
      <c r="M543" s="4" t="str">
        <f>IFERROR(__xludf.DUMMYFUNCTION("GOOGLETRANSLATE(B543,""en"",""vi"")"),"Cả ngày")</f>
        <v>Cả ngày</v>
      </c>
      <c r="N543" s="4" t="str">
        <f>IFERROR(__xludf.DUMMYFUNCTION("GOOGLETRANSLATE(B543,""en"",""ru"")"),"Весь день")</f>
        <v>Весь день</v>
      </c>
      <c r="O543" s="4" t="str">
        <f>IFERROR(__xludf.DUMMYFUNCTION("GOOGLETRANSLATE(B543,""en"",""tr"")"),"Bütün gün")</f>
        <v>Bütün gün</v>
      </c>
      <c r="P543" s="4" t="str">
        <f>IFERROR(__xludf.DUMMYFUNCTION("GOOGLETRANSLATE(B543,""en"",""ar"")"),"طوال اليوم")</f>
        <v>طوال اليوم</v>
      </c>
      <c r="Q543" s="4" t="str">
        <f>IFERROR(__xludf.DUMMYFUNCTION("GOOGLETRANSLATE(B543,""en"",""mr"")"),"दिवसभर")</f>
        <v>दिवसभर</v>
      </c>
      <c r="R543" s="4" t="str">
        <f>IFERROR(__xludf.DUMMYFUNCTION("GOOGLETRANSLATE(B543,""en"",""gu"")"),"આખો દિવસ")</f>
        <v>આખો દિવસ</v>
      </c>
      <c r="S543" s="4" t="str">
        <f>IFERROR(__xludf.DUMMYFUNCTION("GOOGLETRANSLATE(B543,""en"",""bn"")"),"সারাদিন")</f>
        <v>সারাদিন</v>
      </c>
      <c r="T543" s="4" t="str">
        <f>IFERROR(__xludf.DUMMYFUNCTION("GOOGLETRANSLATE(B543,""en"",""pa"")"),"ਸਾਰਾ ਦਿਨ")</f>
        <v>ਸਾਰਾ ਦਿਨ</v>
      </c>
      <c r="U543" s="4" t="str">
        <f>IFERROR(__xludf.DUMMYFUNCTION("GOOGLETRANSLATE(B543,""en"",""te"")"),"రోజంతా")</f>
        <v>రోజంతా</v>
      </c>
      <c r="V543" s="4" t="str">
        <f>IFERROR(__xludf.DUMMYFUNCTION("GOOGLETRANSLATE(B543,""en"",""kn"")"),"ಎಲ್ಲಾ ದಿನ")</f>
        <v>ಎಲ್ಲಾ ದಿನ</v>
      </c>
      <c r="W543" s="4" t="str">
        <f>IFERROR(__xludf.DUMMYFUNCTION("GOOGLETRANSLATE(B543,""en"",""ml"")"),"ദിവസം മുഴുവൻ")</f>
        <v>ദിവസം മുഴുവൻ</v>
      </c>
      <c r="X543" s="4" t="str">
        <f>IFERROR(__xludf.DUMMYFUNCTION("GOOGLETRANSLATE(B543,""en"",""th"")"),"ตลอดทั้งวัน")</f>
        <v>ตลอดทั้งวัน</v>
      </c>
      <c r="Y543" s="4" t="str">
        <f>IFERROR(__xludf.DUMMYFUNCTION("GOOGLETRANSLATE(B543,""en"",""ko"")"),"하루 종일")</f>
        <v>하루 종일</v>
      </c>
      <c r="Z543" s="4" t="str">
        <f>IFERROR(__xludf.DUMMYFUNCTION("GOOGLETRANSLATE(B543,""en"",""zh"")"),"全天")</f>
        <v>全天</v>
      </c>
      <c r="AA543" s="4" t="str">
        <f>IFERROR(__xludf.DUMMYFUNCTION("GOOGLETRANSLATE(B543,""en"",""zh-TW"")"),"全天")</f>
        <v>全天</v>
      </c>
      <c r="AB543" s="4" t="str">
        <f>IFERROR(__xludf.DUMMYFUNCTION("GOOGLETRANSLATE(B543,""en"",""ja"")"),"終日")</f>
        <v>終日</v>
      </c>
      <c r="AC543" s="4" t="str">
        <f>IFERROR(__xludf.DUMMYFUNCTION("GOOGLETRANSLATE(B543,""en"",""bg"")"),"Цял ден")</f>
        <v>Цял ден</v>
      </c>
      <c r="AD543" s="4" t="str">
        <f>IFERROR(__xludf.DUMMYFUNCTION("GOOGLETRANSLATE(B543,""en"",""cs"")"),"Celý den")</f>
        <v>Celý den</v>
      </c>
      <c r="AE543" s="4" t="str">
        <f>IFERROR(__xludf.DUMMYFUNCTION("GOOGLETRANSLATE(B543,""en"",""da"")"),"Hele Dagen")</f>
        <v>Hele Dagen</v>
      </c>
      <c r="AF543" s="4" t="str">
        <f>IFERROR(__xludf.DUMMYFUNCTION("GOOGLETRANSLATE(B543,""en"",""el"")"),"Όλη την ημέρα")</f>
        <v>Όλη την ημέρα</v>
      </c>
      <c r="AG543" s="4" t="str">
        <f>IFERROR(__xludf.DUMMYFUNCTION("GOOGLETRANSLATE(B543,""en"",""et"")"),"Terve päev")</f>
        <v>Terve päev</v>
      </c>
      <c r="AH543" s="4" t="str">
        <f>IFERROR(__xludf.DUMMYFUNCTION("GOOGLETRANSLATE(B543,""en"",""fi"")"),"Koko päivän")</f>
        <v>Koko päivän</v>
      </c>
      <c r="AI543" s="4" t="str">
        <f>IFERROR(__xludf.DUMMYFUNCTION("GOOGLETRANSLATE(B543,""en"",""hr"")"),"Cijeli dan")</f>
        <v>Cijeli dan</v>
      </c>
      <c r="AJ543" s="4" t="str">
        <f>IFERROR(__xludf.DUMMYFUNCTION("GOOGLETRANSLATE(B543,""en"",""hu"")"),"Egész nap")</f>
        <v>Egész nap</v>
      </c>
      <c r="AK543" s="4" t="str">
        <f>IFERROR(__xludf.DUMMYFUNCTION("GOOGLETRANSLATE(B543,""en"",""hy"")"),"Ամբողջ օրը")</f>
        <v>Ամբողջ օրը</v>
      </c>
      <c r="AL543" s="4" t="str">
        <f>IFERROR(__xludf.DUMMYFUNCTION("GOOGLETRANSLATE(B543,""en"",""ca"")"),"Tot el dia")</f>
        <v>Tot el dia</v>
      </c>
      <c r="AM543" s="4" t="str">
        <f>IFERROR(__xludf.DUMMYFUNCTION("GOOGLETRANSLATE(B543,""en"",""nl"")"),"De hele dag")</f>
        <v>De hele dag</v>
      </c>
      <c r="AN543" s="4" t="str">
        <f>IFERROR(__xludf.DUMMYFUNCTION("GOOGLETRANSLATE(B543,""en"",""he"")"),"כל היום")</f>
        <v>כל היום</v>
      </c>
      <c r="AO543" s="4" t="str">
        <f>IFERROR(__xludf.DUMMYFUNCTION("GOOGLETRANSLATE(B543,""en"",""is"")"),"Allan daginn")</f>
        <v>Allan daginn</v>
      </c>
      <c r="AP543" s="4" t="str">
        <f>IFERROR(__xludf.DUMMYFUNCTION("GOOGLETRANSLATE(B543,""en"",""no"")"),"Hele dagen")</f>
        <v>Hele dagen</v>
      </c>
      <c r="AQ543" s="4" t="str">
        <f>IFERROR(__xludf.DUMMYFUNCTION("GOOGLETRANSLATE(B543,""en"",""fa"")"),"تمام روز")</f>
        <v>تمام روز</v>
      </c>
      <c r="AR543" s="4" t="str">
        <f>IFERROR(__xludf.DUMMYFUNCTION("GOOGLETRANSLATE(B543,""en"",""pl"")"),"Cały dzień")</f>
        <v>Cały dzień</v>
      </c>
      <c r="AS543" s="4" t="str">
        <f>IFERROR(__xludf.DUMMYFUNCTION("GOOGLETRANSLATE(B543,""en"",""sv"")"),"Hela dagen")</f>
        <v>Hela dagen</v>
      </c>
      <c r="AT543" s="4" t="str">
        <f>IFERROR(__xludf.DUMMYFUNCTION("GOOGLETRANSLATE(B543,""en"",""uk"")"),"Весь день")</f>
        <v>Весь день</v>
      </c>
      <c r="AU543" s="4" t="str">
        <f>IFERROR(__xludf.DUMMYFUNCTION("GOOGLETRANSLATE(B543,""en"",""zu"")"),"Usuku Lonke")</f>
        <v>Usuku Lonke</v>
      </c>
      <c r="AV543" s="4" t="str">
        <f>IFERROR(__xludf.DUMMYFUNCTION("GOOGLETRANSLATE(B543,""en"",""sr"")"),"Цео дан")</f>
        <v>Цео дан</v>
      </c>
    </row>
    <row r="544">
      <c r="A544" s="3" t="s">
        <v>1041</v>
      </c>
      <c r="B544" s="3" t="s">
        <v>1042</v>
      </c>
      <c r="C544" s="4" t="str">
        <f>IFERROR(__xludf.DUMMYFUNCTION("GOOGLETRANSLATE(B544,""en"",""ta"")"),"வாக் டைம்ஸ்")</f>
        <v>வாக் டைம்ஸ்</v>
      </c>
      <c r="D544" s="4" t="str">
        <f>IFERROR(__xludf.DUMMYFUNCTION("GOOGLETRANSLATE(B544,""en"",""hi"")"),"पैदल यात्रा का समय")</f>
        <v>पैदल यात्रा का समय</v>
      </c>
      <c r="E544" s="4" t="str">
        <f>IFERROR(__xludf.DUMMYFUNCTION("GOOGLETRANSLATE(B544,""en"",""id"")"),"Waktu Berjalan")</f>
        <v>Waktu Berjalan</v>
      </c>
      <c r="F544" s="4" t="str">
        <f>IFERROR(__xludf.DUMMYFUNCTION("GOOGLETRANSLATE(B544,""en"",""ms"")"),"Masa Berjalan")</f>
        <v>Masa Berjalan</v>
      </c>
      <c r="G544" s="4" t="str">
        <f>IFERROR(__xludf.DUMMYFUNCTION("GOOGLETRANSLATE(B544,""en"",""de"")"),"Gehzeiten")</f>
        <v>Gehzeiten</v>
      </c>
      <c r="H544" s="4" t="str">
        <f>IFERROR(__xludf.DUMMYFUNCTION("GOOGLETRANSLATE(B544,""en"",""es"")"),"Tiempos de caminata")</f>
        <v>Tiempos de caminata</v>
      </c>
      <c r="I544" s="4" t="str">
        <f>IFERROR(__xludf.DUMMYFUNCTION("GOOGLETRANSLATE(B544,""en"",""fr"")"),"Horaires de marche")</f>
        <v>Horaires de marche</v>
      </c>
      <c r="J544" s="4" t="str">
        <f>IFERROR(__xludf.DUMMYFUNCTION("GOOGLETRANSLATE(B544,""en"",""it"")"),"Tempi di percorrenza")</f>
        <v>Tempi di percorrenza</v>
      </c>
      <c r="K544" s="4" t="str">
        <f>IFERROR(__xludf.DUMMYFUNCTION("GOOGLETRANSLATE(B544,""en"",""pt"")"),"Tempos de caminhada")</f>
        <v>Tempos de caminhada</v>
      </c>
      <c r="L544" s="4" t="str">
        <f>IFERROR(__xludf.DUMMYFUNCTION("GOOGLETRANSLATE(B544,""en"",""ro"")"),"Timp de plimbare")</f>
        <v>Timp de plimbare</v>
      </c>
      <c r="M544" s="4" t="str">
        <f>IFERROR(__xludf.DUMMYFUNCTION("GOOGLETRANSLATE(B544,""en"",""vi"")"),"Thời gian đi bộ")</f>
        <v>Thời gian đi bộ</v>
      </c>
      <c r="N544" s="4" t="str">
        <f>IFERROR(__xludf.DUMMYFUNCTION("GOOGLETRANSLATE(B544,""en"",""ru"")"),"Время прогулки")</f>
        <v>Время прогулки</v>
      </c>
      <c r="O544" s="4" t="str">
        <f>IFERROR(__xludf.DUMMYFUNCTION("GOOGLETRANSLATE(B544,""en"",""tr"")"),"Yürüyüş Zamanları")</f>
        <v>Yürüyüş Zamanları</v>
      </c>
      <c r="P544" s="4" t="str">
        <f>IFERROR(__xludf.DUMMYFUNCTION("GOOGLETRANSLATE(B544,""en"",""ar"")"),"أوقات المشي")</f>
        <v>أوقات المشي</v>
      </c>
      <c r="Q544" s="4" t="str">
        <f>IFERROR(__xludf.DUMMYFUNCTION("GOOGLETRANSLATE(B544,""en"",""mr"")"),"चाला वेळ")</f>
        <v>चाला वेळ</v>
      </c>
      <c r="R544" s="4" t="str">
        <f>IFERROR(__xludf.DUMMYFUNCTION("GOOGLETRANSLATE(B544,""en"",""gu"")"),"વૉક ટાઇમ્સ")</f>
        <v>વૉક ટાઇમ્સ</v>
      </c>
      <c r="S544" s="4" t="str">
        <f>IFERROR(__xludf.DUMMYFUNCTION("GOOGLETRANSLATE(B544,""en"",""bn"")"),"ওয়াক টাইমস")</f>
        <v>ওয়াক টাইমস</v>
      </c>
      <c r="T544" s="4" t="str">
        <f>IFERROR(__xludf.DUMMYFUNCTION("GOOGLETRANSLATE(B544,""en"",""pa"")"),"ਵਾਕ ਟਾਈਮਜ਼")</f>
        <v>ਵਾਕ ਟਾਈਮਜ਼</v>
      </c>
      <c r="U544" s="4" t="str">
        <f>IFERROR(__xludf.DUMMYFUNCTION("GOOGLETRANSLATE(B544,""en"",""te"")"),"వాక్ టైమ్స్")</f>
        <v>వాక్ టైమ్స్</v>
      </c>
      <c r="V544" s="4" t="str">
        <f>IFERROR(__xludf.DUMMYFUNCTION("GOOGLETRANSLATE(B544,""en"",""kn"")"),"ವಾಕ್ ಟೈಮ್ಸ್")</f>
        <v>ವಾಕ್ ಟೈಮ್ಸ್</v>
      </c>
      <c r="W544" s="4" t="str">
        <f>IFERROR(__xludf.DUMMYFUNCTION("GOOGLETRANSLATE(B544,""en"",""ml"")"),"വാക്ക് ടൈംസ്")</f>
        <v>വാക്ക് ടൈംസ്</v>
      </c>
      <c r="X544" s="4" t="str">
        <f>IFERROR(__xludf.DUMMYFUNCTION("GOOGLETRANSLATE(B544,""en"",""th"")"),"เวลาเดิน")</f>
        <v>เวลาเดิน</v>
      </c>
      <c r="Y544" s="4" t="str">
        <f>IFERROR(__xludf.DUMMYFUNCTION("GOOGLETRANSLATE(B544,""en"",""ko"")"),"산책 시간")</f>
        <v>산책 시간</v>
      </c>
      <c r="Z544" s="4" t="str">
        <f>IFERROR(__xludf.DUMMYFUNCTION("GOOGLETRANSLATE(B544,""en"",""zh"")"),"步行时间")</f>
        <v>步行时间</v>
      </c>
      <c r="AA544" s="4" t="str">
        <f>IFERROR(__xludf.DUMMYFUNCTION("GOOGLETRANSLATE(B544,""en"",""zh-TW"")"),"步行時間")</f>
        <v>步行時間</v>
      </c>
      <c r="AB544" s="4" t="str">
        <f>IFERROR(__xludf.DUMMYFUNCTION("GOOGLETRANSLATE(B544,""en"",""ja"")"),"散歩時間")</f>
        <v>散歩時間</v>
      </c>
      <c r="AC544" s="4" t="str">
        <f>IFERROR(__xludf.DUMMYFUNCTION("GOOGLETRANSLATE(B544,""en"",""bg"")"),"Време за разходка")</f>
        <v>Време за разходка</v>
      </c>
      <c r="AD544" s="4" t="str">
        <f>IFERROR(__xludf.DUMMYFUNCTION("GOOGLETRANSLATE(B544,""en"",""cs"")"),"Walk Times")</f>
        <v>Walk Times</v>
      </c>
      <c r="AE544" s="4" t="str">
        <f>IFERROR(__xludf.DUMMYFUNCTION("GOOGLETRANSLATE(B544,""en"",""da"")"),"Gangtider")</f>
        <v>Gangtider</v>
      </c>
      <c r="AF544" s="4" t="str">
        <f>IFERROR(__xludf.DUMMYFUNCTION("GOOGLETRANSLATE(B544,""en"",""el"")"),"Walk Times")</f>
        <v>Walk Times</v>
      </c>
      <c r="AG544" s="4" t="str">
        <f>IFERROR(__xludf.DUMMYFUNCTION("GOOGLETRANSLATE(B544,""en"",""et"")"),"Kõndimise ajad")</f>
        <v>Kõndimise ajad</v>
      </c>
      <c r="AH544" s="4" t="str">
        <f>IFERROR(__xludf.DUMMYFUNCTION("GOOGLETRANSLATE(B544,""en"",""fi"")"),"Kävelyajat")</f>
        <v>Kävelyajat</v>
      </c>
      <c r="AI544" s="4" t="str">
        <f>IFERROR(__xludf.DUMMYFUNCTION("GOOGLETRANSLATE(B544,""en"",""hr"")"),"Vrijeme šetnje")</f>
        <v>Vrijeme šetnje</v>
      </c>
      <c r="AJ544" s="4" t="str">
        <f>IFERROR(__xludf.DUMMYFUNCTION("GOOGLETRANSLATE(B544,""en"",""hu"")"),"Walk Times")</f>
        <v>Walk Times</v>
      </c>
      <c r="AK544" s="4" t="str">
        <f>IFERROR(__xludf.DUMMYFUNCTION("GOOGLETRANSLATE(B544,""en"",""hy"")"),"Walk Times")</f>
        <v>Walk Times</v>
      </c>
      <c r="AL544" s="4" t="str">
        <f>IFERROR(__xludf.DUMMYFUNCTION("GOOGLETRANSLATE(B544,""en"",""ca"")"),"Temps de caminada")</f>
        <v>Temps de caminada</v>
      </c>
      <c r="AM544" s="4" t="str">
        <f>IFERROR(__xludf.DUMMYFUNCTION("GOOGLETRANSLATE(B544,""en"",""nl"")"),"Wandeltijden")</f>
        <v>Wandeltijden</v>
      </c>
      <c r="AN544" s="4" t="str">
        <f>IFERROR(__xludf.DUMMYFUNCTION("GOOGLETRANSLATE(B544,""en"",""he"")"),"Walk Times")</f>
        <v>Walk Times</v>
      </c>
      <c r="AO544" s="4" t="str">
        <f>IFERROR(__xludf.DUMMYFUNCTION("GOOGLETRANSLATE(B544,""en"",""is"")"),"Göngutímar")</f>
        <v>Göngutímar</v>
      </c>
      <c r="AP544" s="4" t="str">
        <f>IFERROR(__xludf.DUMMYFUNCTION("GOOGLETRANSLATE(B544,""en"",""no"")"),"Gangtider")</f>
        <v>Gangtider</v>
      </c>
      <c r="AQ544" s="4" t="str">
        <f>IFERROR(__xludf.DUMMYFUNCTION("GOOGLETRANSLATE(B544,""en"",""fa"")"),"واک تایمز")</f>
        <v>واک تایمز</v>
      </c>
      <c r="AR544" s="4" t="str">
        <f>IFERROR(__xludf.DUMMYFUNCTION("GOOGLETRANSLATE(B544,""en"",""pl"")"),"Czasy spacerów")</f>
        <v>Czasy spacerów</v>
      </c>
      <c r="AS544" s="4" t="str">
        <f>IFERROR(__xludf.DUMMYFUNCTION("GOOGLETRANSLATE(B544,""en"",""sv"")"),"Gåtider")</f>
        <v>Gåtider</v>
      </c>
      <c r="AT544" s="4" t="str">
        <f>IFERROR(__xludf.DUMMYFUNCTION("GOOGLETRANSLATE(B544,""en"",""uk"")"),"Час прогулянки")</f>
        <v>Час прогулянки</v>
      </c>
      <c r="AU544" s="4" t="str">
        <f>IFERROR(__xludf.DUMMYFUNCTION("GOOGLETRANSLATE(B544,""en"",""zu"")"),"Izikhathi Zokuhamba")</f>
        <v>Izikhathi Zokuhamba</v>
      </c>
      <c r="AV544" s="4" t="str">
        <f>IFERROR(__xludf.DUMMYFUNCTION("GOOGLETRANSLATE(B544,""en"",""sr"")"),"Валк Тимес")</f>
        <v>Валк Тимес</v>
      </c>
    </row>
    <row r="545">
      <c r="A545" s="3" t="s">
        <v>1043</v>
      </c>
      <c r="B545" s="3" t="s">
        <v>1044</v>
      </c>
      <c r="C545" s="4" t="str">
        <f>IFERROR(__xludf.DUMMYFUNCTION("GOOGLETRANSLATE(B545,""en"",""ta"")"),"முழு நாள்")</f>
        <v>முழு நாள்</v>
      </c>
      <c r="D545" s="4" t="str">
        <f>IFERROR(__xludf.DUMMYFUNCTION("GOOGLETRANSLATE(B545,""en"",""hi"")"),"पूरा दिन")</f>
        <v>पूरा दिन</v>
      </c>
      <c r="E545" s="4" t="str">
        <f>IFERROR(__xludf.DUMMYFUNCTION("GOOGLETRANSLATE(B545,""en"",""id"")"),"Sehari Penuh")</f>
        <v>Sehari Penuh</v>
      </c>
      <c r="F545" s="4" t="str">
        <f>IFERROR(__xludf.DUMMYFUNCTION("GOOGLETRANSLATE(B545,""en"",""ms"")"),"Hari Penuh")</f>
        <v>Hari Penuh</v>
      </c>
      <c r="G545" s="4" t="str">
        <f>IFERROR(__xludf.DUMMYFUNCTION("GOOGLETRANSLATE(B545,""en"",""de"")"),"Ganzer Tag")</f>
        <v>Ganzer Tag</v>
      </c>
      <c r="H545" s="4" t="str">
        <f>IFERROR(__xludf.DUMMYFUNCTION("GOOGLETRANSLATE(B545,""en"",""es"")"),"Día completo")</f>
        <v>Día completo</v>
      </c>
      <c r="I545" s="4" t="str">
        <f>IFERROR(__xludf.DUMMYFUNCTION("GOOGLETRANSLATE(B545,""en"",""fr"")"),"Journée complète")</f>
        <v>Journée complète</v>
      </c>
      <c r="J545" s="4" t="str">
        <f>IFERROR(__xludf.DUMMYFUNCTION("GOOGLETRANSLATE(B545,""en"",""it"")"),"Giornata intera")</f>
        <v>Giornata intera</v>
      </c>
      <c r="K545" s="4" t="str">
        <f>IFERROR(__xludf.DUMMYFUNCTION("GOOGLETRANSLATE(B545,""en"",""pt"")"),"Dia inteiro")</f>
        <v>Dia inteiro</v>
      </c>
      <c r="L545" s="4" t="str">
        <f>IFERROR(__xludf.DUMMYFUNCTION("GOOGLETRANSLATE(B545,""en"",""ro"")"),"Zi întreagă")</f>
        <v>Zi întreagă</v>
      </c>
      <c r="M545" s="4" t="str">
        <f>IFERROR(__xludf.DUMMYFUNCTION("GOOGLETRANSLATE(B545,""en"",""vi"")"),"Ngày trọn vẹn")</f>
        <v>Ngày trọn vẹn</v>
      </c>
      <c r="N545" s="4" t="str">
        <f>IFERROR(__xludf.DUMMYFUNCTION("GOOGLETRANSLATE(B545,""en"",""ru"")"),"Полный день")</f>
        <v>Полный день</v>
      </c>
      <c r="O545" s="4" t="str">
        <f>IFERROR(__xludf.DUMMYFUNCTION("GOOGLETRANSLATE(B545,""en"",""tr"")"),"Tam Gün")</f>
        <v>Tam Gün</v>
      </c>
      <c r="P545" s="4" t="str">
        <f>IFERROR(__xludf.DUMMYFUNCTION("GOOGLETRANSLATE(B545,""en"",""ar"")"),"يوم كامل")</f>
        <v>يوم كامل</v>
      </c>
      <c r="Q545" s="4" t="str">
        <f>IFERROR(__xludf.DUMMYFUNCTION("GOOGLETRANSLATE(B545,""en"",""mr"")"),"पूर्ण दिवस")</f>
        <v>पूर्ण दिवस</v>
      </c>
      <c r="R545" s="4" t="str">
        <f>IFERROR(__xludf.DUMMYFUNCTION("GOOGLETRANSLATE(B545,""en"",""gu"")"),"આખો દિવસ")</f>
        <v>આખો દિવસ</v>
      </c>
      <c r="S545" s="4" t="str">
        <f>IFERROR(__xludf.DUMMYFUNCTION("GOOGLETRANSLATE(B545,""en"",""bn"")"),"পুরো দিন")</f>
        <v>পুরো দিন</v>
      </c>
      <c r="T545" s="4" t="str">
        <f>IFERROR(__xludf.DUMMYFUNCTION("GOOGLETRANSLATE(B545,""en"",""pa"")"),"ਪੂਰਾ ਦਿਨ")</f>
        <v>ਪੂਰਾ ਦਿਨ</v>
      </c>
      <c r="U545" s="4" t="str">
        <f>IFERROR(__xludf.DUMMYFUNCTION("GOOGLETRANSLATE(B545,""en"",""te"")"),"పూర్తి రోజు")</f>
        <v>పూర్తి రోజు</v>
      </c>
      <c r="V545" s="4" t="str">
        <f>IFERROR(__xludf.DUMMYFUNCTION("GOOGLETRANSLATE(B545,""en"",""kn"")"),"ಪೂರ್ಣ ದಿನ")</f>
        <v>ಪೂರ್ಣ ದಿನ</v>
      </c>
      <c r="W545" s="4" t="str">
        <f>IFERROR(__xludf.DUMMYFUNCTION("GOOGLETRANSLATE(B545,""en"",""ml"")"),"മുഴുവൻ ദിവസം")</f>
        <v>മുഴുവൻ ദിവസം</v>
      </c>
      <c r="X545" s="4" t="str">
        <f>IFERROR(__xludf.DUMMYFUNCTION("GOOGLETRANSLATE(B545,""en"",""th"")"),"เต็มวัน")</f>
        <v>เต็มวัน</v>
      </c>
      <c r="Y545" s="4" t="str">
        <f>IFERROR(__xludf.DUMMYFUNCTION("GOOGLETRANSLATE(B545,""en"",""ko"")"),"하루 종일")</f>
        <v>하루 종일</v>
      </c>
      <c r="Z545" s="4" t="str">
        <f>IFERROR(__xludf.DUMMYFUNCTION("GOOGLETRANSLATE(B545,""en"",""zh"")"),"全天")</f>
        <v>全天</v>
      </c>
      <c r="AA545" s="4" t="str">
        <f>IFERROR(__xludf.DUMMYFUNCTION("GOOGLETRANSLATE(B545,""en"",""zh-TW"")"),"全天")</f>
        <v>全天</v>
      </c>
      <c r="AB545" s="4" t="str">
        <f>IFERROR(__xludf.DUMMYFUNCTION("GOOGLETRANSLATE(B545,""en"",""ja"")"),"終日")</f>
        <v>終日</v>
      </c>
      <c r="AC545" s="4" t="str">
        <f>IFERROR(__xludf.DUMMYFUNCTION("GOOGLETRANSLATE(B545,""en"",""bg"")"),"Пълен ден")</f>
        <v>Пълен ден</v>
      </c>
      <c r="AD545" s="4" t="str">
        <f>IFERROR(__xludf.DUMMYFUNCTION("GOOGLETRANSLATE(B545,""en"",""cs"")"),"Celý den")</f>
        <v>Celý den</v>
      </c>
      <c r="AE545" s="4" t="str">
        <f>IFERROR(__xludf.DUMMYFUNCTION("GOOGLETRANSLATE(B545,""en"",""da"")"),"Hel dag")</f>
        <v>Hel dag</v>
      </c>
      <c r="AF545" s="4" t="str">
        <f>IFERROR(__xludf.DUMMYFUNCTION("GOOGLETRANSLATE(B545,""en"",""el"")"),"Ολοήμερο")</f>
        <v>Ολοήμερο</v>
      </c>
      <c r="AG545" s="4" t="str">
        <f>IFERROR(__xludf.DUMMYFUNCTION("GOOGLETRANSLATE(B545,""en"",""et"")"),"Terve päev")</f>
        <v>Terve päev</v>
      </c>
      <c r="AH545" s="4" t="str">
        <f>IFERROR(__xludf.DUMMYFUNCTION("GOOGLETRANSLATE(B545,""en"",""fi"")"),"Koko päivä")</f>
        <v>Koko päivä</v>
      </c>
      <c r="AI545" s="4" t="str">
        <f>IFERROR(__xludf.DUMMYFUNCTION("GOOGLETRANSLATE(B545,""en"",""hr"")"),"Cijeli dan")</f>
        <v>Cijeli dan</v>
      </c>
      <c r="AJ545" s="4" t="str">
        <f>IFERROR(__xludf.DUMMYFUNCTION("GOOGLETRANSLATE(B545,""en"",""hu"")"),"Teljes nap")</f>
        <v>Teljes nap</v>
      </c>
      <c r="AK545" s="4" t="str">
        <f>IFERROR(__xludf.DUMMYFUNCTION("GOOGLETRANSLATE(B545,""en"",""hy"")"),"Ամբողջ օր")</f>
        <v>Ամբողջ օր</v>
      </c>
      <c r="AL545" s="4" t="str">
        <f>IFERROR(__xludf.DUMMYFUNCTION("GOOGLETRANSLATE(B545,""en"",""ca"")"),"Jornada completa")</f>
        <v>Jornada completa</v>
      </c>
      <c r="AM545" s="4" t="str">
        <f>IFERROR(__xludf.DUMMYFUNCTION("GOOGLETRANSLATE(B545,""en"",""nl"")"),"Hele dag")</f>
        <v>Hele dag</v>
      </c>
      <c r="AN545" s="4" t="str">
        <f>IFERROR(__xludf.DUMMYFUNCTION("GOOGLETRANSLATE(B545,""en"",""he"")"),"יום שלם")</f>
        <v>יום שלם</v>
      </c>
      <c r="AO545" s="4" t="str">
        <f>IFERROR(__xludf.DUMMYFUNCTION("GOOGLETRANSLATE(B545,""en"",""is"")"),"Fullur dagur")</f>
        <v>Fullur dagur</v>
      </c>
      <c r="AP545" s="4" t="str">
        <f>IFERROR(__xludf.DUMMYFUNCTION("GOOGLETRANSLATE(B545,""en"",""no"")"),"Hel dag")</f>
        <v>Hel dag</v>
      </c>
      <c r="AQ545" s="4" t="str">
        <f>IFERROR(__xludf.DUMMYFUNCTION("GOOGLETRANSLATE(B545,""en"",""fa"")"),"تمام روز")</f>
        <v>تمام روز</v>
      </c>
      <c r="AR545" s="4" t="str">
        <f>IFERROR(__xludf.DUMMYFUNCTION("GOOGLETRANSLATE(B545,""en"",""pl"")"),"Cały dzień")</f>
        <v>Cały dzień</v>
      </c>
      <c r="AS545" s="4" t="str">
        <f>IFERROR(__xludf.DUMMYFUNCTION("GOOGLETRANSLATE(B545,""en"",""sv"")"),"Hel dag")</f>
        <v>Hel dag</v>
      </c>
      <c r="AT545" s="4" t="str">
        <f>IFERROR(__xludf.DUMMYFUNCTION("GOOGLETRANSLATE(B545,""en"",""uk"")"),"Повний день")</f>
        <v>Повний день</v>
      </c>
      <c r="AU545" s="4" t="str">
        <f>IFERROR(__xludf.DUMMYFUNCTION("GOOGLETRANSLATE(B545,""en"",""zu"")"),"Usuku Olugcwele")</f>
        <v>Usuku Olugcwele</v>
      </c>
      <c r="AV545" s="4" t="str">
        <f>IFERROR(__xludf.DUMMYFUNCTION("GOOGLETRANSLATE(B545,""en"",""sr"")"),"Фулл Даи")</f>
        <v>Фулл Даи</v>
      </c>
    </row>
    <row r="546">
      <c r="A546" s="3" t="s">
        <v>1045</v>
      </c>
      <c r="B546" s="3" t="s">
        <v>1046</v>
      </c>
      <c r="C546" s="4" t="str">
        <f>IFERROR(__xludf.DUMMYFUNCTION("GOOGLETRANSLATE(B546,""en"",""ta"")"),"+ நடையைச் சேர்க்கவும்")</f>
        <v>+ நடையைச் சேர்க்கவும்</v>
      </c>
      <c r="D546" s="4" t="str">
        <f>IFERROR(__xludf.DUMMYFUNCTION("GOOGLETRANSLATE(B546,""en"",""hi"")"),"+ वॉक जोड़ें")</f>
        <v>+ वॉक जोड़ें</v>
      </c>
      <c r="E546" s="4" t="str">
        <f>IFERROR(__xludf.DUMMYFUNCTION("GOOGLETRANSLATE(B546,""en"",""id"")"),"+ Tambahkan Jalan Kaki")</f>
        <v>+ Tambahkan Jalan Kaki</v>
      </c>
      <c r="F546" s="4" t="str">
        <f>IFERROR(__xludf.DUMMYFUNCTION("GOOGLETRANSLATE(B546,""en"",""ms"")"),"+ Tambah Berjalan")</f>
        <v>+ Tambah Berjalan</v>
      </c>
      <c r="G546" s="4" t="str">
        <f>IFERROR(__xludf.DUMMYFUNCTION("GOOGLETRANSLATE(B546,""en"",""de"")"),"+ Spaziergang hinzufügen")</f>
        <v>+ Spaziergang hinzufügen</v>
      </c>
      <c r="H546" s="4" t="str">
        <f>IFERROR(__xludf.DUMMYFUNCTION("GOOGLETRANSLATE(B546,""en"",""es"")"),"+ Agregar paseo")</f>
        <v>+ Agregar paseo</v>
      </c>
      <c r="I546" s="4" t="str">
        <f>IFERROR(__xludf.DUMMYFUNCTION("GOOGLETRANSLATE(B546,""en"",""fr"")"),"+ Ajouter une promenade")</f>
        <v>+ Ajouter une promenade</v>
      </c>
      <c r="J546" s="4" t="str">
        <f>IFERROR(__xludf.DUMMYFUNCTION("GOOGLETRANSLATE(B546,""en"",""it"")"),"+ Aggiungi passeggiata")</f>
        <v>+ Aggiungi passeggiata</v>
      </c>
      <c r="K546" s="4" t="str">
        <f>IFERROR(__xludf.DUMMYFUNCTION("GOOGLETRANSLATE(B546,""en"",""pt"")"),"+ Adicionar Caminhada")</f>
        <v>+ Adicionar Caminhada</v>
      </c>
      <c r="L546" s="4" t="str">
        <f>IFERROR(__xludf.DUMMYFUNCTION("GOOGLETRANSLATE(B546,""en"",""ro"")"),"+ Adăugați Walk")</f>
        <v>+ Adăugați Walk</v>
      </c>
      <c r="M546" s="4" t="str">
        <f>IFERROR(__xludf.DUMMYFUNCTION("GOOGLETRANSLATE(B546,""en"",""vi"")"),"+ Thêm Đi bộ")</f>
        <v>+ Thêm Đi bộ</v>
      </c>
      <c r="N546" s="4" t="str">
        <f>IFERROR(__xludf.DUMMYFUNCTION("GOOGLETRANSLATE(B546,""en"",""ru"")"),"+ Добавить Прогулку")</f>
        <v>+ Добавить Прогулку</v>
      </c>
      <c r="O546" s="4" t="str">
        <f>IFERROR(__xludf.DUMMYFUNCTION("GOOGLETRANSLATE(B546,""en"",""tr"")"),"+ Yürüyüş Ekle")</f>
        <v>+ Yürüyüş Ekle</v>
      </c>
      <c r="P546" s="4" t="str">
        <f>IFERROR(__xludf.DUMMYFUNCTION("GOOGLETRANSLATE(B546,""en"",""ar"")"),"+ إضافة المشي")</f>
        <v>+ إضافة المشي</v>
      </c>
      <c r="Q546" s="4" t="str">
        <f>IFERROR(__xludf.DUMMYFUNCTION("GOOGLETRANSLATE(B546,""en"",""mr"")"),"+ चाला जोडा")</f>
        <v>+ चाला जोडा</v>
      </c>
      <c r="R546" s="4" t="str">
        <f>IFERROR(__xludf.DUMMYFUNCTION("GOOGLETRANSLATE(B546,""en"",""gu"")"),"+ વોક ઉમેરો")</f>
        <v>+ વોક ઉમેરો</v>
      </c>
      <c r="S546" s="4" t="str">
        <f>IFERROR(__xludf.DUMMYFUNCTION("GOOGLETRANSLATE(B546,""en"",""bn"")"),"+ হাঁটা যোগ করুন")</f>
        <v>+ হাঁটা যোগ করুন</v>
      </c>
      <c r="T546" s="4" t="str">
        <f>IFERROR(__xludf.DUMMYFUNCTION("GOOGLETRANSLATE(B546,""en"",""pa"")"),"+ ਵਾਕ ਸ਼ਾਮਲ ਕਰੋ")</f>
        <v>+ ਵਾਕ ਸ਼ਾਮਲ ਕਰੋ</v>
      </c>
      <c r="U546" s="4" t="str">
        <f>IFERROR(__xludf.DUMMYFUNCTION("GOOGLETRANSLATE(B546,""en"",""te"")"),"+ నడకను జోడించండి")</f>
        <v>+ నడకను జోడించండి</v>
      </c>
      <c r="V546" s="4" t="str">
        <f>IFERROR(__xludf.DUMMYFUNCTION("GOOGLETRANSLATE(B546,""en"",""kn"")"),"+ ವಾಕ್ ಸೇರಿಸಿ")</f>
        <v>+ ವಾಕ್ ಸೇರಿಸಿ</v>
      </c>
      <c r="W546" s="4" t="str">
        <f>IFERROR(__xludf.DUMMYFUNCTION("GOOGLETRANSLATE(B546,""en"",""ml"")"),"+ നടത്തം ചേർക്കുക")</f>
        <v>+ നടത്തം ചേർക്കുക</v>
      </c>
      <c r="X546" s="4" t="str">
        <f>IFERROR(__xludf.DUMMYFUNCTION("GOOGLETRANSLATE(B546,""en"",""th"")"),"+ เพิ่มการเดิน")</f>
        <v>+ เพิ่มการเดิน</v>
      </c>
      <c r="Y546" s="4" t="str">
        <f>IFERROR(__xludf.DUMMYFUNCTION("GOOGLETRANSLATE(B546,""en"",""ko"")"),"+ 산책 추가")</f>
        <v>+ 산책 추가</v>
      </c>
      <c r="Z546" s="4" t="str">
        <f>IFERROR(__xludf.DUMMYFUNCTION("GOOGLETRANSLATE(B546,""en"",""zh"")"),"+ 添加步行")</f>
        <v>+ 添加步行</v>
      </c>
      <c r="AA546" s="4" t="str">
        <f>IFERROR(__xludf.DUMMYFUNCTION("GOOGLETRANSLATE(B546,""en"",""zh-TW"")"),"+ 增加步行")</f>
        <v>+ 增加步行</v>
      </c>
      <c r="AB546" s="4" t="str">
        <f>IFERROR(__xludf.DUMMYFUNCTION("GOOGLETRANSLATE(B546,""en"",""ja"")"),"+ ウォーキングを追加")</f>
        <v>+ ウォーキングを追加</v>
      </c>
      <c r="AC546" s="4" t="str">
        <f>IFERROR(__xludf.DUMMYFUNCTION("GOOGLETRANSLATE(B546,""en"",""bg"")"),"+ Добавете пеша")</f>
        <v>+ Добавете пеша</v>
      </c>
      <c r="AD546" s="4" t="str">
        <f>IFERROR(__xludf.DUMMYFUNCTION("GOOGLETRANSLATE(B546,""en"",""cs"")"),"+ Přidat Procházku")</f>
        <v>+ Přidat Procházku</v>
      </c>
      <c r="AE546" s="4" t="str">
        <f>IFERROR(__xludf.DUMMYFUNCTION("GOOGLETRANSLATE(B546,""en"",""da"")"),"+ Tilføj gåtur")</f>
        <v>+ Tilføj gåtur</v>
      </c>
      <c r="AF546" s="4" t="str">
        <f>IFERROR(__xludf.DUMMYFUNCTION("GOOGLETRANSLATE(B546,""en"",""el"")"),"+ Προσθήκη Walk")</f>
        <v>+ Προσθήκη Walk</v>
      </c>
      <c r="AG546" s="4" t="str">
        <f>IFERROR(__xludf.DUMMYFUNCTION("GOOGLETRANSLATE(B546,""en"",""et"")"),"+ Lisa jalutuskäik")</f>
        <v>+ Lisa jalutuskäik</v>
      </c>
      <c r="AH546" s="4" t="str">
        <f>IFERROR(__xludf.DUMMYFUNCTION("GOOGLETRANSLATE(B546,""en"",""fi"")"),"+ Lisää kävely")</f>
        <v>+ Lisää kävely</v>
      </c>
      <c r="AI546" s="4" t="str">
        <f>IFERROR(__xludf.DUMMYFUNCTION("GOOGLETRANSLATE(B546,""en"",""hr"")"),"+ Dodaj Hod")</f>
        <v>+ Dodaj Hod</v>
      </c>
      <c r="AJ546" s="4" t="str">
        <f>IFERROR(__xludf.DUMMYFUNCTION("GOOGLETRANSLATE(B546,""en"",""hu"")"),"+ Séta hozzáadása")</f>
        <v>+ Séta hozzáadása</v>
      </c>
      <c r="AK546" s="4" t="str">
        <f>IFERROR(__xludf.DUMMYFUNCTION("GOOGLETRANSLATE(B546,""en"",""hy"")"),"+ Ավելացնել Walk")</f>
        <v>+ Ավելացնել Walk</v>
      </c>
      <c r="AL546" s="4" t="str">
        <f>IFERROR(__xludf.DUMMYFUNCTION("GOOGLETRANSLATE(B546,""en"",""ca"")"),"+ Afegeix caminada")</f>
        <v>+ Afegeix caminada</v>
      </c>
      <c r="AM546" s="4" t="str">
        <f>IFERROR(__xludf.DUMMYFUNCTION("GOOGLETRANSLATE(B546,""en"",""nl"")"),"+ Wandeling toevoegen")</f>
        <v>+ Wandeling toevoegen</v>
      </c>
      <c r="AN546" s="4" t="str">
        <f>IFERROR(__xludf.DUMMYFUNCTION("GOOGLETRANSLATE(B546,""en"",""he"")"),"+ הוסף הליכה")</f>
        <v>+ הוסף הליכה</v>
      </c>
      <c r="AO546" s="4" t="str">
        <f>IFERROR(__xludf.DUMMYFUNCTION("GOOGLETRANSLATE(B546,""en"",""is"")"),"+ Bæta við Walk")</f>
        <v>+ Bæta við Walk</v>
      </c>
      <c r="AP546" s="4" t="str">
        <f>IFERROR(__xludf.DUMMYFUNCTION("GOOGLETRANSLATE(B546,""en"",""no"")"),"+ Legg til Walk")</f>
        <v>+ Legg til Walk</v>
      </c>
      <c r="AQ546" s="4" t="str">
        <f>IFERROR(__xludf.DUMMYFUNCTION("GOOGLETRANSLATE(B546,""en"",""fa"")"),"+ پیاده روی را اضافه کنید")</f>
        <v>+ پیاده روی را اضافه کنید</v>
      </c>
      <c r="AR546" s="4" t="str">
        <f>IFERROR(__xludf.DUMMYFUNCTION("GOOGLETRANSLATE(B546,""en"",""pl"")"),"+ Dodaj spacer")</f>
        <v>+ Dodaj spacer</v>
      </c>
      <c r="AS546" s="4" t="str">
        <f>IFERROR(__xludf.DUMMYFUNCTION("GOOGLETRANSLATE(B546,""en"",""sv"")"),"+ Lägg till Walk")</f>
        <v>+ Lägg till Walk</v>
      </c>
      <c r="AT546" s="4" t="str">
        <f>IFERROR(__xludf.DUMMYFUNCTION("GOOGLETRANSLATE(B546,""en"",""uk"")"),"+ Додати ходьбу")</f>
        <v>+ Додати ходьбу</v>
      </c>
      <c r="AU546" s="4" t="str">
        <f>IFERROR(__xludf.DUMMYFUNCTION("GOOGLETRANSLATE(B546,""en"",""zu"")"),"+ Engeza i-Walk")</f>
        <v>+ Engeza i-Walk</v>
      </c>
      <c r="AV546" s="4" t="str">
        <f>IFERROR(__xludf.DUMMYFUNCTION("GOOGLETRANSLATE(B546,""en"",""sr"")"),"+ Додај шетњу")</f>
        <v>+ Додај шетњу</v>
      </c>
    </row>
    <row r="547">
      <c r="A547" s="3" t="s">
        <v>1047</v>
      </c>
      <c r="B547" s="3" t="s">
        <v>1048</v>
      </c>
      <c r="C547" s="4" t="str">
        <f>IFERROR(__xludf.DUMMYFUNCTION("GOOGLETRANSLATE(B547,""en"",""ta"")"),"நடை நேரத்தைச் சேர்க்க முழு நாளையும் முடக்கவும்")</f>
        <v>நடை நேரத்தைச் சேர்க்க முழு நாளையும் முடக்கவும்</v>
      </c>
      <c r="D547" s="4" t="str">
        <f>IFERROR(__xludf.DUMMYFUNCTION("GOOGLETRANSLATE(B547,""en"",""hi"")"),"पैदल चलने का समय जोड़ने के लिए पूरा दिन अक्षम करें")</f>
        <v>पैदल चलने का समय जोड़ने के लिए पूरा दिन अक्षम करें</v>
      </c>
      <c r="E547" s="4" t="str">
        <f>IFERROR(__xludf.DUMMYFUNCTION("GOOGLETRANSLATE(B547,""en"",""id"")"),"Nonaktifkan hari penuh untuk menambah waktu berjalan")</f>
        <v>Nonaktifkan hari penuh untuk menambah waktu berjalan</v>
      </c>
      <c r="F547" s="4" t="str">
        <f>IFERROR(__xludf.DUMMYFUNCTION("GOOGLETRANSLATE(B547,""en"",""ms"")"),"Lumpuhkan hari penuh untuk menambah masa berjalan")</f>
        <v>Lumpuhkan hari penuh untuk menambah masa berjalan</v>
      </c>
      <c r="G547" s="4" t="str">
        <f>IFERROR(__xludf.DUMMYFUNCTION("GOOGLETRANSLATE(B547,""en"",""de"")"),"Deaktivieren Sie den ganzen Tag, um die Gehzeit zu verlängern")</f>
        <v>Deaktivieren Sie den ganzen Tag, um die Gehzeit zu verlängern</v>
      </c>
      <c r="H547" s="4" t="str">
        <f>IFERROR(__xludf.DUMMYFUNCTION("GOOGLETRANSLATE(B547,""en"",""es"")"),"Desactivar día completo para agregar tiempo de caminata")</f>
        <v>Desactivar día completo para agregar tiempo de caminata</v>
      </c>
      <c r="I547" s="4" t="str">
        <f>IFERROR(__xludf.DUMMYFUNCTION("GOOGLETRANSLATE(B547,""en"",""fr"")"),"Désactiver la journée complète pour ajouter du temps de marche")</f>
        <v>Désactiver la journée complète pour ajouter du temps de marche</v>
      </c>
      <c r="J547" s="4" t="str">
        <f>IFERROR(__xludf.DUMMYFUNCTION("GOOGLETRANSLATE(B547,""en"",""it"")"),"Disabilita l'intera giornata per aggiungere il tempo di camminata")</f>
        <v>Disabilita l'intera giornata per aggiungere il tempo di camminata</v>
      </c>
      <c r="K547" s="4" t="str">
        <f>IFERROR(__xludf.DUMMYFUNCTION("GOOGLETRANSLATE(B547,""en"",""pt"")"),"Desabilite o dia inteiro para adicionar tempo de caminhada")</f>
        <v>Desabilite o dia inteiro para adicionar tempo de caminhada</v>
      </c>
      <c r="L547" s="4" t="str">
        <f>IFERROR(__xludf.DUMMYFUNCTION("GOOGLETRANSLATE(B547,""en"",""ro"")"),"Dezactivați ziua întreagă pentru a adăuga timpul de mers pe jos")</f>
        <v>Dezactivați ziua întreagă pentru a adăuga timpul de mers pe jos</v>
      </c>
      <c r="M547" s="4" t="str">
        <f>IFERROR(__xludf.DUMMYFUNCTION("GOOGLETRANSLATE(B547,""en"",""vi"")"),"Tắt toàn bộ ngày để thêm thời gian đi bộ")</f>
        <v>Tắt toàn bộ ngày để thêm thời gian đi bộ</v>
      </c>
      <c r="N547" s="4" t="str">
        <f>IFERROR(__xludf.DUMMYFUNCTION("GOOGLETRANSLATE(B547,""en"",""ru"")"),"Отключите полный день, чтобы добавить время прогулки")</f>
        <v>Отключите полный день, чтобы добавить время прогулки</v>
      </c>
      <c r="O547" s="4" t="str">
        <f>IFERROR(__xludf.DUMMYFUNCTION("GOOGLETRANSLATE(B547,""en"",""tr"")"),"Yürüyüş süresi eklemek için tam günü devre dışı bırakın")</f>
        <v>Yürüyüş süresi eklemek için tam günü devre dışı bırakın</v>
      </c>
      <c r="P547" s="4" t="str">
        <f>IFERROR(__xludf.DUMMYFUNCTION("GOOGLETRANSLATE(B547,""en"",""ar"")"),"تعطيل اليوم الكامل لإضافة وقت المشي")</f>
        <v>تعطيل اليوم الكامل لإضافة وقت المشي</v>
      </c>
      <c r="Q547" s="4" t="str">
        <f>IFERROR(__xludf.DUMMYFUNCTION("GOOGLETRANSLATE(B547,""en"",""mr"")"),"चालण्याची वेळ जोडण्यासाठी पूर्ण दिवस अक्षम करा")</f>
        <v>चालण्याची वेळ जोडण्यासाठी पूर्ण दिवस अक्षम करा</v>
      </c>
      <c r="R547" s="4" t="str">
        <f>IFERROR(__xludf.DUMMYFUNCTION("GOOGLETRANSLATE(B547,""en"",""gu"")"),"ચાલવાનો સમય ઉમેરવા માટે આખો દિવસ અક્ષમ કરો")</f>
        <v>ચાલવાનો સમય ઉમેરવા માટે આખો દિવસ અક્ષમ કરો</v>
      </c>
      <c r="S547" s="4" t="str">
        <f>IFERROR(__xludf.DUMMYFUNCTION("GOOGLETRANSLATE(B547,""en"",""bn"")"),"হাঁটার সময় যোগ করতে পুরো দিন অক্ষম করুন")</f>
        <v>হাঁটার সময় যোগ করতে পুরো দিন অক্ষম করুন</v>
      </c>
      <c r="T547" s="4" t="str">
        <f>IFERROR(__xludf.DUMMYFUNCTION("GOOGLETRANSLATE(B547,""en"",""pa"")"),"ਸੈਰ ਦਾ ਸਮਾਂ ਜੋੜਨ ਲਈ ਪੂਰਾ ਦਿਨ ਅਯੋਗ ਕਰੋ")</f>
        <v>ਸੈਰ ਦਾ ਸਮਾਂ ਜੋੜਨ ਲਈ ਪੂਰਾ ਦਿਨ ਅਯੋਗ ਕਰੋ</v>
      </c>
      <c r="U547" s="4" t="str">
        <f>IFERROR(__xludf.DUMMYFUNCTION("GOOGLETRANSLATE(B547,""en"",""te"")"),"నడక సమయాన్ని జోడించడానికి పూర్తి రోజుని నిలిపివేయండి")</f>
        <v>నడక సమయాన్ని జోడించడానికి పూర్తి రోజుని నిలిపివేయండి</v>
      </c>
      <c r="V547" s="4" t="str">
        <f>IFERROR(__xludf.DUMMYFUNCTION("GOOGLETRANSLATE(B547,""en"",""kn"")"),"ನಡಿಗೆಯ ಸಮಯವನ್ನು ಸೇರಿಸಲು ಪೂರ್ಣ ದಿನವನ್ನು ನಿಷ್ಕ್ರಿಯಗೊಳಿಸಿ")</f>
        <v>ನಡಿಗೆಯ ಸಮಯವನ್ನು ಸೇರಿಸಲು ಪೂರ್ಣ ದಿನವನ್ನು ನಿಷ್ಕ್ರಿಯಗೊಳಿಸಿ</v>
      </c>
      <c r="W547" s="4" t="str">
        <f>IFERROR(__xludf.DUMMYFUNCTION("GOOGLETRANSLATE(B547,""en"",""ml"")"),"നടത്ത സമയം ചേർക്കാൻ ദിവസം മുഴുവൻ പ്രവർത്തനരഹിതമാക്കുക")</f>
        <v>നടത്ത സമയം ചേർക്കാൻ ദിവസം മുഴുവൻ പ്രവർത്തനരഹിതമാക്കുക</v>
      </c>
      <c r="X547" s="4" t="str">
        <f>IFERROR(__xludf.DUMMYFUNCTION("GOOGLETRANSLATE(B547,""en"",""th"")"),"ปิดใช้งานทั้งวันเพื่อเพิ่มเวลาเดิน")</f>
        <v>ปิดใช้งานทั้งวันเพื่อเพิ่มเวลาเดิน</v>
      </c>
      <c r="Y547" s="4" t="str">
        <f>IFERROR(__xludf.DUMMYFUNCTION("GOOGLETRANSLATE(B547,""en"",""ko"")"),"산책 시간을 추가하려면 하루 종일을 비활성화하세요.")</f>
        <v>산책 시간을 추가하려면 하루 종일을 비활성화하세요.</v>
      </c>
      <c r="Z547" s="4" t="str">
        <f>IFERROR(__xludf.DUMMYFUNCTION("GOOGLETRANSLATE(B547,""en"",""zh"")"),"禁用全天以添加步行时间")</f>
        <v>禁用全天以添加步行时间</v>
      </c>
      <c r="AA547" s="4" t="str">
        <f>IFERROR(__xludf.DUMMYFUNCTION("GOOGLETRANSLATE(B547,""en"",""zh-TW"")"),"禁用全天以新增步行時間")</f>
        <v>禁用全天以新增步行時間</v>
      </c>
      <c r="AB547" s="4" t="str">
        <f>IFERROR(__xludf.DUMMYFUNCTION("GOOGLETRANSLATE(B547,""en"",""ja"")"),"ウォーキング時間を追加するには、終日を無効にする必要があります")</f>
        <v>ウォーキング時間を追加するには、終日を無効にする必要があります</v>
      </c>
      <c r="AC547" s="4" t="str">
        <f>IFERROR(__xludf.DUMMYFUNCTION("GOOGLETRANSLATE(B547,""en"",""bg"")"),"Деактивирайте целия ден, за да добавите време за ходене")</f>
        <v>Деактивирайте целия ден, за да добавите време за ходене</v>
      </c>
      <c r="AD547" s="4" t="str">
        <f>IFERROR(__xludf.DUMMYFUNCTION("GOOGLETRANSLATE(B547,""en"",""cs"")"),"Chcete-li přidat čas chůze, deaktivujte celý den")</f>
        <v>Chcete-li přidat čas chůze, deaktivujte celý den</v>
      </c>
      <c r="AE547" s="4" t="str">
        <f>IFERROR(__xludf.DUMMYFUNCTION("GOOGLETRANSLATE(B547,""en"",""da"")"),"Deaktiver hel dag for at tilføje gangtid")</f>
        <v>Deaktiver hel dag for at tilføje gangtid</v>
      </c>
      <c r="AF547" s="4" t="str">
        <f>IFERROR(__xludf.DUMMYFUNCTION("GOOGLETRANSLATE(B547,""en"",""el"")"),"Απενεργοποιήστε την πλήρη ημέρα για να προσθέσετε χρόνο περπατήματος")</f>
        <v>Απενεργοποιήστε την πλήρη ημέρα για να προσθέσετε χρόνο περπατήματος</v>
      </c>
      <c r="AG547" s="4" t="str">
        <f>IFERROR(__xludf.DUMMYFUNCTION("GOOGLETRANSLATE(B547,""en"",""et"")"),"Jalutusaja lisamiseks keelake terve päev")</f>
        <v>Jalutusaja lisamiseks keelake terve päev</v>
      </c>
      <c r="AH547" s="4" t="str">
        <f>IFERROR(__xludf.DUMMYFUNCTION("GOOGLETRANSLATE(B547,""en"",""fi"")"),"Poista koko päivä käytöstä lisätäksesi kävelyaikaa")</f>
        <v>Poista koko päivä käytöstä lisätäksesi kävelyaikaa</v>
      </c>
      <c r="AI547" s="4" t="str">
        <f>IFERROR(__xludf.DUMMYFUNCTION("GOOGLETRANSLATE(B547,""en"",""hr"")"),"Onemogućite cijeli dan da dodate vrijeme hodanja")</f>
        <v>Onemogućite cijeli dan da dodate vrijeme hodanja</v>
      </c>
      <c r="AJ547" s="4" t="str">
        <f>IFERROR(__xludf.DUMMYFUNCTION("GOOGLETRANSLATE(B547,""en"",""hu"")"),"Sétaidő hozzáadásához kapcsolja ki a teljes napot")</f>
        <v>Sétaidő hozzáadásához kapcsolja ki a teljes napot</v>
      </c>
      <c r="AK547" s="4" t="str">
        <f>IFERROR(__xludf.DUMMYFUNCTION("GOOGLETRANSLATE(B547,""en"",""hy"")"),"Անջատեք ամբողջ օրը՝ զբոսանքի ժամանակ ավելացնելու համար")</f>
        <v>Անջատեք ամբողջ օրը՝ զբոսանքի ժամանակ ավելացնելու համար</v>
      </c>
      <c r="AL547" s="4" t="str">
        <f>IFERROR(__xludf.DUMMYFUNCTION("GOOGLETRANSLATE(B547,""en"",""ca"")"),"Desactiva el dia sencer per afegir temps de caminada")</f>
        <v>Desactiva el dia sencer per afegir temps de caminada</v>
      </c>
      <c r="AM547" s="4" t="str">
        <f>IFERROR(__xludf.DUMMYFUNCTION("GOOGLETRANSLATE(B547,""en"",""nl"")"),"Schakel de volledige dag uit om wandeltijd toe te voegen")</f>
        <v>Schakel de volledige dag uit om wandeltijd toe te voegen</v>
      </c>
      <c r="AN547" s="4" t="str">
        <f>IFERROR(__xludf.DUMMYFUNCTION("GOOGLETRANSLATE(B547,""en"",""he"")"),"השבת יום שלם כדי להוסיף זמן הליכה")</f>
        <v>השבת יום שלם כדי להוסיף זמן הליכה</v>
      </c>
      <c r="AO547" s="4" t="str">
        <f>IFERROR(__xludf.DUMMYFUNCTION("GOOGLETRANSLATE(B547,""en"",""is"")"),"Slökktu á fullum degi til að bæta við göngutíma")</f>
        <v>Slökktu á fullum degi til að bæta við göngutíma</v>
      </c>
      <c r="AP547" s="4" t="str">
        <f>IFERROR(__xludf.DUMMYFUNCTION("GOOGLETRANSLATE(B547,""en"",""no"")"),"Deaktiver hel dag for å legge til gangtid")</f>
        <v>Deaktiver hel dag for å legge til gangtid</v>
      </c>
      <c r="AQ547" s="4" t="str">
        <f>IFERROR(__xludf.DUMMYFUNCTION("GOOGLETRANSLATE(B547,""en"",""fa"")"),"برای اضافه کردن زمان پیاده‌روی، روز کامل را غیرفعال کنید")</f>
        <v>برای اضافه کردن زمان پیاده‌روی، روز کامل را غیرفعال کنید</v>
      </c>
      <c r="AR547" s="4" t="str">
        <f>IFERROR(__xludf.DUMMYFUNCTION("GOOGLETRANSLATE(B547,""en"",""pl"")"),"Wyłącz cały dzień, aby dodać czas marszu")</f>
        <v>Wyłącz cały dzień, aby dodać czas marszu</v>
      </c>
      <c r="AS547" s="4" t="str">
        <f>IFERROR(__xludf.DUMMYFUNCTION("GOOGLETRANSLATE(B547,""en"",""sv"")"),"Inaktivera hel dag för att lägga till promenadtid")</f>
        <v>Inaktivera hel dag för att lägga till promenadtid</v>
      </c>
      <c r="AT547" s="4" t="str">
        <f>IFERROR(__xludf.DUMMYFUNCTION("GOOGLETRANSLATE(B547,""en"",""uk"")"),"Вимкніть повний день, щоб додати час прогулянки")</f>
        <v>Вимкніть повний день, щоб додати час прогулянки</v>
      </c>
      <c r="AU547" s="4" t="str">
        <f>IFERROR(__xludf.DUMMYFUNCTION("GOOGLETRANSLATE(B547,""en"",""zu"")"),"Khubaza usuku olugcwele ukuze ungeze isikhathi sokuhamba")</f>
        <v>Khubaza usuku olugcwele ukuze ungeze isikhathi sokuhamba</v>
      </c>
      <c r="AV547" s="4" t="str">
        <f>IFERROR(__xludf.DUMMYFUNCTION("GOOGLETRANSLATE(B547,""en"",""sr"")"),"Онемогућите цео дан да додате време шетње")</f>
        <v>Онемогућите цео дан да додате време шетње</v>
      </c>
    </row>
    <row r="548">
      <c r="A548" s="3" t="s">
        <v>1049</v>
      </c>
      <c r="B548" s="3" t="s">
        <v>1050</v>
      </c>
      <c r="C548" s="4" t="str">
        <f>IFERROR(__xludf.DUMMYFUNCTION("GOOGLETRANSLATE(B548,""en"",""ta"")"),"திட்டத்தை சேமிக்கவும்")</f>
        <v>திட்டத்தை சேமிக்கவும்</v>
      </c>
      <c r="D548" s="4" t="str">
        <f>IFERROR(__xludf.DUMMYFUNCTION("GOOGLETRANSLATE(B548,""en"",""hi"")"),"योजना सहेजें")</f>
        <v>योजना सहेजें</v>
      </c>
      <c r="E548" s="4" t="str">
        <f>IFERROR(__xludf.DUMMYFUNCTION("GOOGLETRANSLATE(B548,""en"",""id"")"),"Simpan Rencana")</f>
        <v>Simpan Rencana</v>
      </c>
      <c r="F548" s="4" t="str">
        <f>IFERROR(__xludf.DUMMYFUNCTION("GOOGLETRANSLATE(B548,""en"",""ms"")"),"Simpan Pelan")</f>
        <v>Simpan Pelan</v>
      </c>
      <c r="G548" s="4" t="str">
        <f>IFERROR(__xludf.DUMMYFUNCTION("GOOGLETRANSLATE(B548,""en"",""de"")"),"Plan speichern")</f>
        <v>Plan speichern</v>
      </c>
      <c r="H548" s="4" t="str">
        <f>IFERROR(__xludf.DUMMYFUNCTION("GOOGLETRANSLATE(B548,""en"",""es"")"),"Plan de ahorro")</f>
        <v>Plan de ahorro</v>
      </c>
      <c r="I548" s="4" t="str">
        <f>IFERROR(__xludf.DUMMYFUNCTION("GOOGLETRANSLATE(B548,""en"",""fr"")"),"Enregistrer le plan")</f>
        <v>Enregistrer le plan</v>
      </c>
      <c r="J548" s="4" t="str">
        <f>IFERROR(__xludf.DUMMYFUNCTION("GOOGLETRANSLATE(B548,""en"",""it"")"),"Salva il piano")</f>
        <v>Salva il piano</v>
      </c>
      <c r="K548" s="4" t="str">
        <f>IFERROR(__xludf.DUMMYFUNCTION("GOOGLETRANSLATE(B548,""en"",""pt"")"),"Plano de economia")</f>
        <v>Plano de economia</v>
      </c>
      <c r="L548" s="4" t="str">
        <f>IFERROR(__xludf.DUMMYFUNCTION("GOOGLETRANSLATE(B548,""en"",""ro"")"),"Salvați planul")</f>
        <v>Salvați planul</v>
      </c>
      <c r="M548" s="4" t="str">
        <f>IFERROR(__xludf.DUMMYFUNCTION("GOOGLETRANSLATE(B548,""en"",""vi"")"),"Lưu Kế hoạch")</f>
        <v>Lưu Kế hoạch</v>
      </c>
      <c r="N548" s="4" t="str">
        <f>IFERROR(__xludf.DUMMYFUNCTION("GOOGLETRANSLATE(B548,""en"",""ru"")"),"Сохранить план")</f>
        <v>Сохранить план</v>
      </c>
      <c r="O548" s="4" t="str">
        <f>IFERROR(__xludf.DUMMYFUNCTION("GOOGLETRANSLATE(B548,""en"",""tr"")"),"Planı Kaydet")</f>
        <v>Planı Kaydet</v>
      </c>
      <c r="P548" s="4" t="str">
        <f>IFERROR(__xludf.DUMMYFUNCTION("GOOGLETRANSLATE(B548,""en"",""ar"")"),"خطة التوفير")</f>
        <v>خطة التوفير</v>
      </c>
      <c r="Q548" s="4" t="str">
        <f>IFERROR(__xludf.DUMMYFUNCTION("GOOGLETRANSLATE(B548,""en"",""mr"")"),"योजना जतन करा")</f>
        <v>योजना जतन करा</v>
      </c>
      <c r="R548" s="4" t="str">
        <f>IFERROR(__xludf.DUMMYFUNCTION("GOOGLETRANSLATE(B548,""en"",""gu"")"),"યોજના સાચવો")</f>
        <v>યોજના સાચવો</v>
      </c>
      <c r="S548" s="4" t="str">
        <f>IFERROR(__xludf.DUMMYFUNCTION("GOOGLETRANSLATE(B548,""en"",""bn"")"),"পরিকল্পনা সংরক্ষণ করুন")</f>
        <v>পরিকল্পনা সংরক্ষণ করুন</v>
      </c>
      <c r="T548" s="4" t="str">
        <f>IFERROR(__xludf.DUMMYFUNCTION("GOOGLETRANSLATE(B548,""en"",""pa"")"),"ਯੋਜਨਾ ਨੂੰ ਸੁਰੱਖਿਅਤ ਕਰੋ")</f>
        <v>ਯੋਜਨਾ ਨੂੰ ਸੁਰੱਖਿਅਤ ਕਰੋ</v>
      </c>
      <c r="U548" s="4" t="str">
        <f>IFERROR(__xludf.DUMMYFUNCTION("GOOGLETRANSLATE(B548,""en"",""te"")"),"ప్లాన్‌ను సేవ్ చేయండి")</f>
        <v>ప్లాన్‌ను సేవ్ చేయండి</v>
      </c>
      <c r="V548" s="4" t="str">
        <f>IFERROR(__xludf.DUMMYFUNCTION("GOOGLETRANSLATE(B548,""en"",""kn"")"),"ಯೋಜನೆಯನ್ನು ಉಳಿಸಿ")</f>
        <v>ಯೋಜನೆಯನ್ನು ಉಳಿಸಿ</v>
      </c>
      <c r="W548" s="4" t="str">
        <f>IFERROR(__xludf.DUMMYFUNCTION("GOOGLETRANSLATE(B548,""en"",""ml"")"),"പദ്ധതി സംരക്ഷിക്കുക")</f>
        <v>പദ്ധതി സംരക്ഷിക്കുക</v>
      </c>
      <c r="X548" s="4" t="str">
        <f>IFERROR(__xludf.DUMMYFUNCTION("GOOGLETRANSLATE(B548,""en"",""th"")"),"บันทึกแผนการ")</f>
        <v>บันทึกแผนการ</v>
      </c>
      <c r="Y548" s="4" t="str">
        <f>IFERROR(__xludf.DUMMYFUNCTION("GOOGLETRANSLATE(B548,""en"",""ko"")"),"저장 계획")</f>
        <v>저장 계획</v>
      </c>
      <c r="Z548" s="4" t="str">
        <f>IFERROR(__xludf.DUMMYFUNCTION("GOOGLETRANSLATE(B548,""en"",""zh"")"),"保存计划")</f>
        <v>保存计划</v>
      </c>
      <c r="AA548" s="4" t="str">
        <f>IFERROR(__xludf.DUMMYFUNCTION("GOOGLETRANSLATE(B548,""en"",""zh-TW"")"),"保存計劃")</f>
        <v>保存計劃</v>
      </c>
      <c r="AB548" s="4" t="str">
        <f>IFERROR(__xludf.DUMMYFUNCTION("GOOGLETRANSLATE(B548,""en"",""ja"")"),"プランを保存")</f>
        <v>プランを保存</v>
      </c>
      <c r="AC548" s="4" t="str">
        <f>IFERROR(__xludf.DUMMYFUNCTION("GOOGLETRANSLATE(B548,""en"",""bg"")"),"Запазване на плана")</f>
        <v>Запазване на плана</v>
      </c>
      <c r="AD548" s="4" t="str">
        <f>IFERROR(__xludf.DUMMYFUNCTION("GOOGLETRANSLATE(B548,""en"",""cs"")"),"Uložit plán")</f>
        <v>Uložit plán</v>
      </c>
      <c r="AE548" s="4" t="str">
        <f>IFERROR(__xludf.DUMMYFUNCTION("GOOGLETRANSLATE(B548,""en"",""da"")"),"Gem plan")</f>
        <v>Gem plan</v>
      </c>
      <c r="AF548" s="4" t="str">
        <f>IFERROR(__xludf.DUMMYFUNCTION("GOOGLETRANSLATE(B548,""en"",""el"")"),"Αποθήκευση σχεδίου")</f>
        <v>Αποθήκευση σχεδίου</v>
      </c>
      <c r="AG548" s="4" t="str">
        <f>IFERROR(__xludf.DUMMYFUNCTION("GOOGLETRANSLATE(B548,""en"",""et"")"),"Salvesta plaan")</f>
        <v>Salvesta plaan</v>
      </c>
      <c r="AH548" s="4" t="str">
        <f>IFERROR(__xludf.DUMMYFUNCTION("GOOGLETRANSLATE(B548,""en"",""fi"")"),"Tallenna suunnitelma")</f>
        <v>Tallenna suunnitelma</v>
      </c>
      <c r="AI548" s="4" t="str">
        <f>IFERROR(__xludf.DUMMYFUNCTION("GOOGLETRANSLATE(B548,""en"",""hr"")"),"Spremi plan")</f>
        <v>Spremi plan</v>
      </c>
      <c r="AJ548" s="4" t="str">
        <f>IFERROR(__xludf.DUMMYFUNCTION("GOOGLETRANSLATE(B548,""en"",""hu"")"),"Terv mentése")</f>
        <v>Terv mentése</v>
      </c>
      <c r="AK548" s="4" t="str">
        <f>IFERROR(__xludf.DUMMYFUNCTION("GOOGLETRANSLATE(B548,""en"",""hy"")"),"Պահպանել պլանը")</f>
        <v>Պահպանել պլանը</v>
      </c>
      <c r="AL548" s="4" t="str">
        <f>IFERROR(__xludf.DUMMYFUNCTION("GOOGLETRANSLATE(B548,""en"",""ca"")"),"Desa el pla")</f>
        <v>Desa el pla</v>
      </c>
      <c r="AM548" s="4" t="str">
        <f>IFERROR(__xludf.DUMMYFUNCTION("GOOGLETRANSLATE(B548,""en"",""nl"")"),"Plan opslaan")</f>
        <v>Plan opslaan</v>
      </c>
      <c r="AN548" s="4" t="str">
        <f>IFERROR(__xludf.DUMMYFUNCTION("GOOGLETRANSLATE(B548,""en"",""he"")"),"שמור תוכנית")</f>
        <v>שמור תוכנית</v>
      </c>
      <c r="AO548" s="4" t="str">
        <f>IFERROR(__xludf.DUMMYFUNCTION("GOOGLETRANSLATE(B548,""en"",""is"")"),"Vista áætlun")</f>
        <v>Vista áætlun</v>
      </c>
      <c r="AP548" s="4" t="str">
        <f>IFERROR(__xludf.DUMMYFUNCTION("GOOGLETRANSLATE(B548,""en"",""no"")"),"Lagre plan")</f>
        <v>Lagre plan</v>
      </c>
      <c r="AQ548" s="4" t="str">
        <f>IFERROR(__xludf.DUMMYFUNCTION("GOOGLETRANSLATE(B548,""en"",""fa"")"),"ذخیره طرح")</f>
        <v>ذخیره طرح</v>
      </c>
      <c r="AR548" s="4" t="str">
        <f>IFERROR(__xludf.DUMMYFUNCTION("GOOGLETRANSLATE(B548,""en"",""pl"")"),"Zapisz plan")</f>
        <v>Zapisz plan</v>
      </c>
      <c r="AS548" s="4" t="str">
        <f>IFERROR(__xludf.DUMMYFUNCTION("GOOGLETRANSLATE(B548,""en"",""sv"")"),"Spara plan")</f>
        <v>Spara plan</v>
      </c>
      <c r="AT548" s="4" t="str">
        <f>IFERROR(__xludf.DUMMYFUNCTION("GOOGLETRANSLATE(B548,""en"",""uk"")"),"Зберегти план")</f>
        <v>Зберегти план</v>
      </c>
      <c r="AU548" s="4" t="str">
        <f>IFERROR(__xludf.DUMMYFUNCTION("GOOGLETRANSLATE(B548,""en"",""zu"")"),"Londoloza Uhlelo")</f>
        <v>Londoloza Uhlelo</v>
      </c>
      <c r="AV548" s="4" t="str">
        <f>IFERROR(__xludf.DUMMYFUNCTION("GOOGLETRANSLATE(B548,""en"",""sr"")"),"Сачувај план")</f>
        <v>Сачувај план</v>
      </c>
    </row>
    <row r="549">
      <c r="A549" s="3" t="s">
        <v>1051</v>
      </c>
      <c r="B549" s="3" t="s">
        <v>1052</v>
      </c>
      <c r="C549" s="4" t="str">
        <f>IFERROR(__xludf.DUMMYFUNCTION("GOOGLETRANSLATE(B549,""en"",""ta"")"),"நடையைச் சேர்க்கவும்")</f>
        <v>நடையைச் சேர்க்கவும்</v>
      </c>
      <c r="D549" s="4" t="str">
        <f>IFERROR(__xludf.DUMMYFUNCTION("GOOGLETRANSLATE(B549,""en"",""hi"")"),"वॉक जोड़ें")</f>
        <v>वॉक जोड़ें</v>
      </c>
      <c r="E549" s="4" t="str">
        <f>IFERROR(__xludf.DUMMYFUNCTION("GOOGLETRANSLATE(B549,""en"",""id"")"),"Tambahkan Jalan Kaki")</f>
        <v>Tambahkan Jalan Kaki</v>
      </c>
      <c r="F549" s="4" t="str">
        <f>IFERROR(__xludf.DUMMYFUNCTION("GOOGLETRANSLATE(B549,""en"",""ms"")"),"Tambah Berjalan")</f>
        <v>Tambah Berjalan</v>
      </c>
      <c r="G549" s="4" t="str">
        <f>IFERROR(__xludf.DUMMYFUNCTION("GOOGLETRANSLATE(B549,""en"",""de"")"),"Spaziergang hinzufügen")</f>
        <v>Spaziergang hinzufügen</v>
      </c>
      <c r="H549" s="4" t="str">
        <f>IFERROR(__xludf.DUMMYFUNCTION("GOOGLETRANSLATE(B549,""en"",""es"")"),"Agregar paseo")</f>
        <v>Agregar paseo</v>
      </c>
      <c r="I549" s="4" t="str">
        <f>IFERROR(__xludf.DUMMYFUNCTION("GOOGLETRANSLATE(B549,""en"",""fr"")"),"Ajouter une promenade")</f>
        <v>Ajouter une promenade</v>
      </c>
      <c r="J549" s="4" t="str">
        <f>IFERROR(__xludf.DUMMYFUNCTION("GOOGLETRANSLATE(B549,""en"",""it"")"),"Aggiungi passeggiata")</f>
        <v>Aggiungi passeggiata</v>
      </c>
      <c r="K549" s="4" t="str">
        <f>IFERROR(__xludf.DUMMYFUNCTION("GOOGLETRANSLATE(B549,""en"",""pt"")"),"Adicionar Caminhada")</f>
        <v>Adicionar Caminhada</v>
      </c>
      <c r="L549" s="4" t="str">
        <f>IFERROR(__xludf.DUMMYFUNCTION("GOOGLETRANSLATE(B549,""en"",""ro"")"),"Adăugați Walk")</f>
        <v>Adăugați Walk</v>
      </c>
      <c r="M549" s="4" t="str">
        <f>IFERROR(__xludf.DUMMYFUNCTION("GOOGLETRANSLATE(B549,""en"",""vi"")"),"Thêm Đi bộ")</f>
        <v>Thêm Đi bộ</v>
      </c>
      <c r="N549" s="4" t="str">
        <f>IFERROR(__xludf.DUMMYFUNCTION("GOOGLETRANSLATE(B549,""en"",""ru"")"),"Добавить Прогулку")</f>
        <v>Добавить Прогулку</v>
      </c>
      <c r="O549" s="4" t="str">
        <f>IFERROR(__xludf.DUMMYFUNCTION("GOOGLETRANSLATE(B549,""en"",""tr"")"),"Yürüyüş Ekle")</f>
        <v>Yürüyüş Ekle</v>
      </c>
      <c r="P549" s="4" t="str">
        <f>IFERROR(__xludf.DUMMYFUNCTION("GOOGLETRANSLATE(B549,""en"",""ar"")"),"إضافة المشي")</f>
        <v>إضافة المشي</v>
      </c>
      <c r="Q549" s="4" t="str">
        <f>IFERROR(__xludf.DUMMYFUNCTION("GOOGLETRANSLATE(B549,""en"",""mr"")"),"वॉक जोडा")</f>
        <v>वॉक जोडा</v>
      </c>
      <c r="R549" s="4" t="str">
        <f>IFERROR(__xludf.DUMMYFUNCTION("GOOGLETRANSLATE(B549,""en"",""gu"")"),"વોક ઉમેરો")</f>
        <v>વોક ઉમેરો</v>
      </c>
      <c r="S549" s="4" t="str">
        <f>IFERROR(__xludf.DUMMYFUNCTION("GOOGLETRANSLATE(B549,""en"",""bn"")"),"হাঁটা যোগ করুন")</f>
        <v>হাঁটা যোগ করুন</v>
      </c>
      <c r="T549" s="4" t="str">
        <f>IFERROR(__xludf.DUMMYFUNCTION("GOOGLETRANSLATE(B549,""en"",""pa"")"),"ਵਾਕ ਸ਼ਾਮਲ ਕਰੋ")</f>
        <v>ਵਾਕ ਸ਼ਾਮਲ ਕਰੋ</v>
      </c>
      <c r="U549" s="4" t="str">
        <f>IFERROR(__xludf.DUMMYFUNCTION("GOOGLETRANSLATE(B549,""en"",""te"")"),"నడకను జోడించండి")</f>
        <v>నడకను జోడించండి</v>
      </c>
      <c r="V549" s="4" t="str">
        <f>IFERROR(__xludf.DUMMYFUNCTION("GOOGLETRANSLATE(B549,""en"",""kn"")"),"ವಾಕ್ ಸೇರಿಸಿ")</f>
        <v>ವಾಕ್ ಸೇರಿಸಿ</v>
      </c>
      <c r="W549" s="4" t="str">
        <f>IFERROR(__xludf.DUMMYFUNCTION("GOOGLETRANSLATE(B549,""en"",""ml"")"),"നടത്തം ചേർക്കുക")</f>
        <v>നടത്തം ചേർക്കുക</v>
      </c>
      <c r="X549" s="4" t="str">
        <f>IFERROR(__xludf.DUMMYFUNCTION("GOOGLETRANSLATE(B549,""en"",""th"")"),"เพิ่มการเดิน")</f>
        <v>เพิ่มการเดิน</v>
      </c>
      <c r="Y549" s="4" t="str">
        <f>IFERROR(__xludf.DUMMYFUNCTION("GOOGLETRANSLATE(B549,""en"",""ko"")"),"산책 추가")</f>
        <v>산책 추가</v>
      </c>
      <c r="Z549" s="4" t="str">
        <f>IFERROR(__xludf.DUMMYFUNCTION("GOOGLETRANSLATE(B549,""en"",""zh"")"),"添加步行")</f>
        <v>添加步行</v>
      </c>
      <c r="AA549" s="4" t="str">
        <f>IFERROR(__xludf.DUMMYFUNCTION("GOOGLETRANSLATE(B549,""en"",""zh-TW"")"),"添加步行")</f>
        <v>添加步行</v>
      </c>
      <c r="AB549" s="4" t="str">
        <f>IFERROR(__xludf.DUMMYFUNCTION("GOOGLETRANSLATE(B549,""en"",""ja"")"),"ウォークを追加")</f>
        <v>ウォークを追加</v>
      </c>
      <c r="AC549" s="4" t="str">
        <f>IFERROR(__xludf.DUMMYFUNCTION("GOOGLETRANSLATE(B549,""en"",""bg"")"),"Добавете разходка")</f>
        <v>Добавете разходка</v>
      </c>
      <c r="AD549" s="4" t="str">
        <f>IFERROR(__xludf.DUMMYFUNCTION("GOOGLETRANSLATE(B549,""en"",""cs"")"),"Přidejte Procházku")</f>
        <v>Přidejte Procházku</v>
      </c>
      <c r="AE549" s="4" t="str">
        <f>IFERROR(__xludf.DUMMYFUNCTION("GOOGLETRANSLATE(B549,""en"",""da"")"),"Tilføj Walk")</f>
        <v>Tilføj Walk</v>
      </c>
      <c r="AF549" s="4" t="str">
        <f>IFERROR(__xludf.DUMMYFUNCTION("GOOGLETRANSLATE(B549,""en"",""el"")"),"Προσθήκη Walk")</f>
        <v>Προσθήκη Walk</v>
      </c>
      <c r="AG549" s="4" t="str">
        <f>IFERROR(__xludf.DUMMYFUNCTION("GOOGLETRANSLATE(B549,""en"",""et"")"),"Lisage Walk")</f>
        <v>Lisage Walk</v>
      </c>
      <c r="AH549" s="4" t="str">
        <f>IFERROR(__xludf.DUMMYFUNCTION("GOOGLETRANSLATE(B549,""en"",""fi"")"),"Lisää kävely")</f>
        <v>Lisää kävely</v>
      </c>
      <c r="AI549" s="4" t="str">
        <f>IFERROR(__xludf.DUMMYFUNCTION("GOOGLETRANSLATE(B549,""en"",""hr"")"),"Dodaj Hod")</f>
        <v>Dodaj Hod</v>
      </c>
      <c r="AJ549" s="4" t="str">
        <f>IFERROR(__xludf.DUMMYFUNCTION("GOOGLETRANSLATE(B549,""en"",""hu"")"),"Séta hozzáadása")</f>
        <v>Séta hozzáadása</v>
      </c>
      <c r="AK549" s="4" t="str">
        <f>IFERROR(__xludf.DUMMYFUNCTION("GOOGLETRANSLATE(B549,""en"",""hy"")"),"Ավելացնել Walk")</f>
        <v>Ավելացնել Walk</v>
      </c>
      <c r="AL549" s="4" t="str">
        <f>IFERROR(__xludf.DUMMYFUNCTION("GOOGLETRANSLATE(B549,""en"",""ca"")"),"Afegeix Caminada")</f>
        <v>Afegeix Caminada</v>
      </c>
      <c r="AM549" s="4" t="str">
        <f>IFERROR(__xludf.DUMMYFUNCTION("GOOGLETRANSLATE(B549,""en"",""nl"")"),"Wandeling toevoegen")</f>
        <v>Wandeling toevoegen</v>
      </c>
      <c r="AN549" s="4" t="str">
        <f>IFERROR(__xludf.DUMMYFUNCTION("GOOGLETRANSLATE(B549,""en"",""he"")"),"הוסף Walk")</f>
        <v>הוסף Walk</v>
      </c>
      <c r="AO549" s="4" t="str">
        <f>IFERROR(__xludf.DUMMYFUNCTION("GOOGLETRANSLATE(B549,""en"",""is"")"),"Bæta við Walk")</f>
        <v>Bæta við Walk</v>
      </c>
      <c r="AP549" s="4" t="str">
        <f>IFERROR(__xludf.DUMMYFUNCTION("GOOGLETRANSLATE(B549,""en"",""no"")"),"Legg til Walk")</f>
        <v>Legg til Walk</v>
      </c>
      <c r="AQ549" s="4" t="str">
        <f>IFERROR(__xludf.DUMMYFUNCTION("GOOGLETRANSLATE(B549,""en"",""fa"")"),"پیاده روی را اضافه کنید")</f>
        <v>پیاده روی را اضافه کنید</v>
      </c>
      <c r="AR549" s="4" t="str">
        <f>IFERROR(__xludf.DUMMYFUNCTION("GOOGLETRANSLATE(B549,""en"",""pl"")"),"Dodaj spacer")</f>
        <v>Dodaj spacer</v>
      </c>
      <c r="AS549" s="4" t="str">
        <f>IFERROR(__xludf.DUMMYFUNCTION("GOOGLETRANSLATE(B549,""en"",""sv"")"),"Lägg till Walk")</f>
        <v>Lägg till Walk</v>
      </c>
      <c r="AT549" s="4" t="str">
        <f>IFERROR(__xludf.DUMMYFUNCTION("GOOGLETRANSLATE(B549,""en"",""uk"")"),"Додати прогулянку")</f>
        <v>Додати прогулянку</v>
      </c>
      <c r="AU549" s="4" t="str">
        <f>IFERROR(__xludf.DUMMYFUNCTION("GOOGLETRANSLATE(B549,""en"",""zu"")"),"Engeza i-Walk")</f>
        <v>Engeza i-Walk</v>
      </c>
      <c r="AV549" s="4" t="str">
        <f>IFERROR(__xludf.DUMMYFUNCTION("GOOGLETRANSLATE(B549,""en"",""sr"")"),"Додај шетњу")</f>
        <v>Додај шетњу</v>
      </c>
    </row>
    <row r="550">
      <c r="A550" s="3" t="s">
        <v>1053</v>
      </c>
      <c r="B550" s="3" t="s">
        <v>1054</v>
      </c>
      <c r="C550" s="4" t="str">
        <f>IFERROR(__xludf.DUMMYFUNCTION("GOOGLETRANSLATE(B550,""en"",""ta"")"),"பெயர்")</f>
        <v>பெயர்</v>
      </c>
      <c r="D550" s="4" t="str">
        <f>IFERROR(__xludf.DUMMYFUNCTION("GOOGLETRANSLATE(B550,""en"",""hi"")"),"नाम")</f>
        <v>नाम</v>
      </c>
      <c r="E550" s="4" t="str">
        <f>IFERROR(__xludf.DUMMYFUNCTION("GOOGLETRANSLATE(B550,""en"",""id"")"),"Nama")</f>
        <v>Nama</v>
      </c>
      <c r="F550" s="4" t="str">
        <f>IFERROR(__xludf.DUMMYFUNCTION("GOOGLETRANSLATE(B550,""en"",""ms"")"),"Nama")</f>
        <v>Nama</v>
      </c>
      <c r="G550" s="4" t="str">
        <f>IFERROR(__xludf.DUMMYFUNCTION("GOOGLETRANSLATE(B550,""en"",""de"")"),"Name")</f>
        <v>Name</v>
      </c>
      <c r="H550" s="4" t="str">
        <f>IFERROR(__xludf.DUMMYFUNCTION("GOOGLETRANSLATE(B550,""en"",""es"")"),"Nombre")</f>
        <v>Nombre</v>
      </c>
      <c r="I550" s="4" t="str">
        <f>IFERROR(__xludf.DUMMYFUNCTION("GOOGLETRANSLATE(B550,""en"",""fr"")"),"Nom")</f>
        <v>Nom</v>
      </c>
      <c r="J550" s="4" t="str">
        <f>IFERROR(__xludf.DUMMYFUNCTION("GOOGLETRANSLATE(B550,""en"",""it"")"),"Nome")</f>
        <v>Nome</v>
      </c>
      <c r="K550" s="4" t="str">
        <f>IFERROR(__xludf.DUMMYFUNCTION("GOOGLETRANSLATE(B550,""en"",""pt"")"),"Nome")</f>
        <v>Nome</v>
      </c>
      <c r="L550" s="4" t="str">
        <f>IFERROR(__xludf.DUMMYFUNCTION("GOOGLETRANSLATE(B550,""en"",""ro"")"),"Nume")</f>
        <v>Nume</v>
      </c>
      <c r="M550" s="4" t="str">
        <f>IFERROR(__xludf.DUMMYFUNCTION("GOOGLETRANSLATE(B550,""en"",""vi"")"),"Tên")</f>
        <v>Tên</v>
      </c>
      <c r="N550" s="4" t="str">
        <f>IFERROR(__xludf.DUMMYFUNCTION("GOOGLETRANSLATE(B550,""en"",""ru"")"),"Имя")</f>
        <v>Имя</v>
      </c>
      <c r="O550" s="4" t="str">
        <f>IFERROR(__xludf.DUMMYFUNCTION("GOOGLETRANSLATE(B550,""en"",""tr"")"),"İsim")</f>
        <v>İsim</v>
      </c>
      <c r="P550" s="4" t="str">
        <f>IFERROR(__xludf.DUMMYFUNCTION("GOOGLETRANSLATE(B550,""en"",""ar"")"),"اسم")</f>
        <v>اسم</v>
      </c>
      <c r="Q550" s="4" t="str">
        <f>IFERROR(__xludf.DUMMYFUNCTION("GOOGLETRANSLATE(B550,""en"",""mr"")"),"नाव")</f>
        <v>नाव</v>
      </c>
      <c r="R550" s="4" t="str">
        <f>IFERROR(__xludf.DUMMYFUNCTION("GOOGLETRANSLATE(B550,""en"",""gu"")"),"નામ")</f>
        <v>નામ</v>
      </c>
      <c r="S550" s="4" t="str">
        <f>IFERROR(__xludf.DUMMYFUNCTION("GOOGLETRANSLATE(B550,""en"",""bn"")"),"নাম")</f>
        <v>নাম</v>
      </c>
      <c r="T550" s="4" t="str">
        <f>IFERROR(__xludf.DUMMYFUNCTION("GOOGLETRANSLATE(B550,""en"",""pa"")"),"ਨਾਮ")</f>
        <v>ਨਾਮ</v>
      </c>
      <c r="U550" s="4" t="str">
        <f>IFERROR(__xludf.DUMMYFUNCTION("GOOGLETRANSLATE(B550,""en"",""te"")"),"పేరు")</f>
        <v>పేరు</v>
      </c>
      <c r="V550" s="4" t="str">
        <f>IFERROR(__xludf.DUMMYFUNCTION("GOOGLETRANSLATE(B550,""en"",""kn"")"),"ಹೆಸರು")</f>
        <v>ಹೆಸರು</v>
      </c>
      <c r="W550" s="4" t="str">
        <f>IFERROR(__xludf.DUMMYFUNCTION("GOOGLETRANSLATE(B550,""en"",""ml"")"),"പേര്")</f>
        <v>പേര്</v>
      </c>
      <c r="X550" s="4" t="str">
        <f>IFERROR(__xludf.DUMMYFUNCTION("GOOGLETRANSLATE(B550,""en"",""th"")"),"ชื่อ")</f>
        <v>ชื่อ</v>
      </c>
      <c r="Y550" s="4" t="str">
        <f>IFERROR(__xludf.DUMMYFUNCTION("GOOGLETRANSLATE(B550,""en"",""ko"")"),"이름")</f>
        <v>이름</v>
      </c>
      <c r="Z550" s="4" t="str">
        <f>IFERROR(__xludf.DUMMYFUNCTION("GOOGLETRANSLATE(B550,""en"",""zh"")"),"姓名")</f>
        <v>姓名</v>
      </c>
      <c r="AA550" s="4" t="str">
        <f>IFERROR(__xludf.DUMMYFUNCTION("GOOGLETRANSLATE(B550,""en"",""zh-TW"")"),"姓名")</f>
        <v>姓名</v>
      </c>
      <c r="AB550" s="4" t="str">
        <f>IFERROR(__xludf.DUMMYFUNCTION("GOOGLETRANSLATE(B550,""en"",""ja"")"),"名前")</f>
        <v>名前</v>
      </c>
      <c r="AC550" s="4" t="str">
        <f>IFERROR(__xludf.DUMMYFUNCTION("GOOGLETRANSLATE(B550,""en"",""bg"")"),"Име")</f>
        <v>Име</v>
      </c>
      <c r="AD550" s="4" t="str">
        <f>IFERROR(__xludf.DUMMYFUNCTION("GOOGLETRANSLATE(B550,""en"",""cs"")"),"Jméno")</f>
        <v>Jméno</v>
      </c>
      <c r="AE550" s="4" t="str">
        <f>IFERROR(__xludf.DUMMYFUNCTION("GOOGLETRANSLATE(B550,""en"",""da"")"),"Navn")</f>
        <v>Navn</v>
      </c>
      <c r="AF550" s="4" t="str">
        <f>IFERROR(__xludf.DUMMYFUNCTION("GOOGLETRANSLATE(B550,""en"",""el"")"),"Ονομα")</f>
        <v>Ονομα</v>
      </c>
      <c r="AG550" s="4" t="str">
        <f>IFERROR(__xludf.DUMMYFUNCTION("GOOGLETRANSLATE(B550,""en"",""et"")"),"Nimi")</f>
        <v>Nimi</v>
      </c>
      <c r="AH550" s="4" t="str">
        <f>IFERROR(__xludf.DUMMYFUNCTION("GOOGLETRANSLATE(B550,""en"",""fi"")"),"Nimi")</f>
        <v>Nimi</v>
      </c>
      <c r="AI550" s="4" t="str">
        <f>IFERROR(__xludf.DUMMYFUNCTION("GOOGLETRANSLATE(B550,""en"",""hr"")"),"Ime")</f>
        <v>Ime</v>
      </c>
      <c r="AJ550" s="4" t="str">
        <f>IFERROR(__xludf.DUMMYFUNCTION("GOOGLETRANSLATE(B550,""en"",""hu"")"),"Név")</f>
        <v>Név</v>
      </c>
      <c r="AK550" s="4" t="str">
        <f>IFERROR(__xludf.DUMMYFUNCTION("GOOGLETRANSLATE(B550,""en"",""hy"")"),"Անուն")</f>
        <v>Անուն</v>
      </c>
      <c r="AL550" s="4" t="str">
        <f>IFERROR(__xludf.DUMMYFUNCTION("GOOGLETRANSLATE(B550,""en"",""ca"")"),"Nom")</f>
        <v>Nom</v>
      </c>
      <c r="AM550" s="4" t="str">
        <f>IFERROR(__xludf.DUMMYFUNCTION("GOOGLETRANSLATE(B550,""en"",""nl"")"),"Naam")</f>
        <v>Naam</v>
      </c>
      <c r="AN550" s="4" t="str">
        <f>IFERROR(__xludf.DUMMYFUNCTION("GOOGLETRANSLATE(B550,""en"",""he"")"),"שֵׁם")</f>
        <v>שֵׁם</v>
      </c>
      <c r="AO550" s="4" t="str">
        <f>IFERROR(__xludf.DUMMYFUNCTION("GOOGLETRANSLATE(B550,""en"",""is"")"),"Nafn")</f>
        <v>Nafn</v>
      </c>
      <c r="AP550" s="4" t="str">
        <f>IFERROR(__xludf.DUMMYFUNCTION("GOOGLETRANSLATE(B550,""en"",""no"")"),"Navn")</f>
        <v>Navn</v>
      </c>
      <c r="AQ550" s="4" t="str">
        <f>IFERROR(__xludf.DUMMYFUNCTION("GOOGLETRANSLATE(B550,""en"",""fa"")"),"نام")</f>
        <v>نام</v>
      </c>
      <c r="AR550" s="4" t="str">
        <f>IFERROR(__xludf.DUMMYFUNCTION("GOOGLETRANSLATE(B550,""en"",""pl"")"),"Nazwa")</f>
        <v>Nazwa</v>
      </c>
      <c r="AS550" s="4" t="str">
        <f>IFERROR(__xludf.DUMMYFUNCTION("GOOGLETRANSLATE(B550,""en"",""sv"")"),"Namn")</f>
        <v>Namn</v>
      </c>
      <c r="AT550" s="4" t="str">
        <f>IFERROR(__xludf.DUMMYFUNCTION("GOOGLETRANSLATE(B550,""en"",""uk"")"),"Ім'я")</f>
        <v>Ім'я</v>
      </c>
      <c r="AU550" s="4" t="str">
        <f>IFERROR(__xludf.DUMMYFUNCTION("GOOGLETRANSLATE(B550,""en"",""zu"")"),"Igama")</f>
        <v>Igama</v>
      </c>
      <c r="AV550" s="4" t="str">
        <f>IFERROR(__xludf.DUMMYFUNCTION("GOOGLETRANSLATE(B550,""en"",""sr"")"),"Име")</f>
        <v>Име</v>
      </c>
    </row>
    <row r="551">
      <c r="A551" s="3" t="s">
        <v>1055</v>
      </c>
      <c r="B551" s="3" t="s">
        <v>1056</v>
      </c>
      <c r="C551" s="4" t="str">
        <f>IFERROR(__xludf.DUMMYFUNCTION("GOOGLETRANSLATE(B551,""en"",""ta"")"),"பெயரை உள்ளிடவும்")</f>
        <v>பெயரை உள்ளிடவும்</v>
      </c>
      <c r="D551" s="4" t="str">
        <f>IFERROR(__xludf.DUMMYFUNCTION("GOOGLETRANSLATE(B551,""en"",""hi"")"),"नाम दर्ज करें")</f>
        <v>नाम दर्ज करें</v>
      </c>
      <c r="E551" s="4" t="str">
        <f>IFERROR(__xludf.DUMMYFUNCTION("GOOGLETRANSLATE(B551,""en"",""id"")"),"Masukkan nama")</f>
        <v>Masukkan nama</v>
      </c>
      <c r="F551" s="4" t="str">
        <f>IFERROR(__xludf.DUMMYFUNCTION("GOOGLETRANSLATE(B551,""en"",""ms"")"),"Masukkan nama")</f>
        <v>Masukkan nama</v>
      </c>
      <c r="G551" s="4" t="str">
        <f>IFERROR(__xludf.DUMMYFUNCTION("GOOGLETRANSLATE(B551,""en"",""de"")"),"Namen eingeben")</f>
        <v>Namen eingeben</v>
      </c>
      <c r="H551" s="4" t="str">
        <f>IFERROR(__xludf.DUMMYFUNCTION("GOOGLETRANSLATE(B551,""en"",""es"")"),"Introducir nombre")</f>
        <v>Introducir nombre</v>
      </c>
      <c r="I551" s="4" t="str">
        <f>IFERROR(__xludf.DUMMYFUNCTION("GOOGLETRANSLATE(B551,""en"",""fr"")"),"Entrez le nom")</f>
        <v>Entrez le nom</v>
      </c>
      <c r="J551" s="4" t="str">
        <f>IFERROR(__xludf.DUMMYFUNCTION("GOOGLETRANSLATE(B551,""en"",""it"")"),"Inserisci il nome")</f>
        <v>Inserisci il nome</v>
      </c>
      <c r="K551" s="4" t="str">
        <f>IFERROR(__xludf.DUMMYFUNCTION("GOOGLETRANSLATE(B551,""en"",""pt"")"),"Digite o nome")</f>
        <v>Digite o nome</v>
      </c>
      <c r="L551" s="4" t="str">
        <f>IFERROR(__xludf.DUMMYFUNCTION("GOOGLETRANSLATE(B551,""en"",""ro"")"),"Introduceți numele")</f>
        <v>Introduceți numele</v>
      </c>
      <c r="M551" s="4" t="str">
        <f>IFERROR(__xludf.DUMMYFUNCTION("GOOGLETRANSLATE(B551,""en"",""vi"")"),"Nhập tên")</f>
        <v>Nhập tên</v>
      </c>
      <c r="N551" s="4" t="str">
        <f>IFERROR(__xludf.DUMMYFUNCTION("GOOGLETRANSLATE(B551,""en"",""ru"")"),"Введите имя")</f>
        <v>Введите имя</v>
      </c>
      <c r="O551" s="4" t="str">
        <f>IFERROR(__xludf.DUMMYFUNCTION("GOOGLETRANSLATE(B551,""en"",""tr"")"),"Adınızı girin")</f>
        <v>Adınızı girin</v>
      </c>
      <c r="P551" s="4" t="str">
        <f>IFERROR(__xludf.DUMMYFUNCTION("GOOGLETRANSLATE(B551,""en"",""ar"")"),"أدخل الاسم")</f>
        <v>أدخل الاسم</v>
      </c>
      <c r="Q551" s="4" t="str">
        <f>IFERROR(__xludf.DUMMYFUNCTION("GOOGLETRANSLATE(B551,""en"",""mr"")"),"नाव प्रविष्ट करा")</f>
        <v>नाव प्रविष्ट करा</v>
      </c>
      <c r="R551" s="4" t="str">
        <f>IFERROR(__xludf.DUMMYFUNCTION("GOOGLETRANSLATE(B551,""en"",""gu"")"),"નામ દાખલ કરો")</f>
        <v>નામ દાખલ કરો</v>
      </c>
      <c r="S551" s="4" t="str">
        <f>IFERROR(__xludf.DUMMYFUNCTION("GOOGLETRANSLATE(B551,""en"",""bn"")"),"নাম লিখুন")</f>
        <v>নাম লিখুন</v>
      </c>
      <c r="T551" s="4" t="str">
        <f>IFERROR(__xludf.DUMMYFUNCTION("GOOGLETRANSLATE(B551,""en"",""pa"")"),"ਨਾਮ ਦਰਜ ਕਰੋ")</f>
        <v>ਨਾਮ ਦਰਜ ਕਰੋ</v>
      </c>
      <c r="U551" s="4" t="str">
        <f>IFERROR(__xludf.DUMMYFUNCTION("GOOGLETRANSLATE(B551,""en"",""te"")"),"పేరు నమోదు చేయండి")</f>
        <v>పేరు నమోదు చేయండి</v>
      </c>
      <c r="V551" s="4" t="str">
        <f>IFERROR(__xludf.DUMMYFUNCTION("GOOGLETRANSLATE(B551,""en"",""kn"")"),"ಹೆಸರನ್ನು ನಮೂದಿಸಿ")</f>
        <v>ಹೆಸರನ್ನು ನಮೂದಿಸಿ</v>
      </c>
      <c r="W551" s="4" t="str">
        <f>IFERROR(__xludf.DUMMYFUNCTION("GOOGLETRANSLATE(B551,""en"",""ml"")"),"പേര് നൽകുക")</f>
        <v>പേര് നൽകുക</v>
      </c>
      <c r="X551" s="4" t="str">
        <f>IFERROR(__xludf.DUMMYFUNCTION("GOOGLETRANSLATE(B551,""en"",""th"")"),"กรอกชื่อ")</f>
        <v>กรอกชื่อ</v>
      </c>
      <c r="Y551" s="4" t="str">
        <f>IFERROR(__xludf.DUMMYFUNCTION("GOOGLETRANSLATE(B551,""en"",""ko"")"),"이름을 입력하세요")</f>
        <v>이름을 입력하세요</v>
      </c>
      <c r="Z551" s="4" t="str">
        <f>IFERROR(__xludf.DUMMYFUNCTION("GOOGLETRANSLATE(B551,""en"",""zh"")"),"输入姓名")</f>
        <v>输入姓名</v>
      </c>
      <c r="AA551" s="4" t="str">
        <f>IFERROR(__xludf.DUMMYFUNCTION("GOOGLETRANSLATE(B551,""en"",""zh-TW"")"),"輸入姓名")</f>
        <v>輸入姓名</v>
      </c>
      <c r="AB551" s="4" t="str">
        <f>IFERROR(__xludf.DUMMYFUNCTION("GOOGLETRANSLATE(B551,""en"",""ja"")"),"名前を入力")</f>
        <v>名前を入力</v>
      </c>
      <c r="AC551" s="4" t="str">
        <f>IFERROR(__xludf.DUMMYFUNCTION("GOOGLETRANSLATE(B551,""en"",""bg"")"),"Въведете име")</f>
        <v>Въведете име</v>
      </c>
      <c r="AD551" s="4" t="str">
        <f>IFERROR(__xludf.DUMMYFUNCTION("GOOGLETRANSLATE(B551,""en"",""cs"")"),"Zadejte jméno")</f>
        <v>Zadejte jméno</v>
      </c>
      <c r="AE551" s="4" t="str">
        <f>IFERROR(__xludf.DUMMYFUNCTION("GOOGLETRANSLATE(B551,""en"",""da"")"),"Indtast navn")</f>
        <v>Indtast navn</v>
      </c>
      <c r="AF551" s="4" t="str">
        <f>IFERROR(__xludf.DUMMYFUNCTION("GOOGLETRANSLATE(B551,""en"",""el"")"),"Εισαγάγετε όνομα")</f>
        <v>Εισαγάγετε όνομα</v>
      </c>
      <c r="AG551" s="4" t="str">
        <f>IFERROR(__xludf.DUMMYFUNCTION("GOOGLETRANSLATE(B551,""en"",""et"")"),"Sisestage nimi")</f>
        <v>Sisestage nimi</v>
      </c>
      <c r="AH551" s="4" t="str">
        <f>IFERROR(__xludf.DUMMYFUNCTION("GOOGLETRANSLATE(B551,""en"",""fi"")"),"Kirjoita nimi")</f>
        <v>Kirjoita nimi</v>
      </c>
      <c r="AI551" s="4" t="str">
        <f>IFERROR(__xludf.DUMMYFUNCTION("GOOGLETRANSLATE(B551,""en"",""hr"")"),"Unesite ime")</f>
        <v>Unesite ime</v>
      </c>
      <c r="AJ551" s="4" t="str">
        <f>IFERROR(__xludf.DUMMYFUNCTION("GOOGLETRANSLATE(B551,""en"",""hu"")"),"Írja be a nevet")</f>
        <v>Írja be a nevet</v>
      </c>
      <c r="AK551" s="4" t="str">
        <f>IFERROR(__xludf.DUMMYFUNCTION("GOOGLETRANSLATE(B551,""en"",""hy"")"),"Մուտքագրեք անունը")</f>
        <v>Մուտքագրեք անունը</v>
      </c>
      <c r="AL551" s="4" t="str">
        <f>IFERROR(__xludf.DUMMYFUNCTION("GOOGLETRANSLATE(B551,""en"",""ca"")"),"Introduïu el nom")</f>
        <v>Introduïu el nom</v>
      </c>
      <c r="AM551" s="4" t="str">
        <f>IFERROR(__xludf.DUMMYFUNCTION("GOOGLETRANSLATE(B551,""en"",""nl"")"),"Voer naam in")</f>
        <v>Voer naam in</v>
      </c>
      <c r="AN551" s="4" t="str">
        <f>IFERROR(__xludf.DUMMYFUNCTION("GOOGLETRANSLATE(B551,""en"",""he"")"),"הזן שם")</f>
        <v>הזן שם</v>
      </c>
      <c r="AO551" s="4" t="str">
        <f>IFERROR(__xludf.DUMMYFUNCTION("GOOGLETRANSLATE(B551,""en"",""is"")"),"Sláðu inn nafn")</f>
        <v>Sláðu inn nafn</v>
      </c>
      <c r="AP551" s="4" t="str">
        <f>IFERROR(__xludf.DUMMYFUNCTION("GOOGLETRANSLATE(B551,""en"",""no"")"),"Skriv inn navn")</f>
        <v>Skriv inn navn</v>
      </c>
      <c r="AQ551" s="4" t="str">
        <f>IFERROR(__xludf.DUMMYFUNCTION("GOOGLETRANSLATE(B551,""en"",""fa"")"),"نام را وارد کنید")</f>
        <v>نام را وارد کنید</v>
      </c>
      <c r="AR551" s="4" t="str">
        <f>IFERROR(__xludf.DUMMYFUNCTION("GOOGLETRANSLATE(B551,""en"",""pl"")"),"Wprowadź nazwę")</f>
        <v>Wprowadź nazwę</v>
      </c>
      <c r="AS551" s="4" t="str">
        <f>IFERROR(__xludf.DUMMYFUNCTION("GOOGLETRANSLATE(B551,""en"",""sv"")"),"Ange namn")</f>
        <v>Ange namn</v>
      </c>
      <c r="AT551" s="4" t="str">
        <f>IFERROR(__xludf.DUMMYFUNCTION("GOOGLETRANSLATE(B551,""en"",""uk"")"),"Введіть ім'я")</f>
        <v>Введіть ім'я</v>
      </c>
      <c r="AU551" s="4" t="str">
        <f>IFERROR(__xludf.DUMMYFUNCTION("GOOGLETRANSLATE(B551,""en"",""zu"")"),"Faka igama")</f>
        <v>Faka igama</v>
      </c>
      <c r="AV551" s="4" t="str">
        <f>IFERROR(__xludf.DUMMYFUNCTION("GOOGLETRANSLATE(B551,""en"",""sr"")"),"Унесите име")</f>
        <v>Унесите име</v>
      </c>
    </row>
    <row r="552">
      <c r="A552" s="3" t="s">
        <v>1057</v>
      </c>
      <c r="B552" s="3" t="s">
        <v>1058</v>
      </c>
      <c r="C552" s="4" t="str">
        <f>IFERROR(__xludf.DUMMYFUNCTION("GOOGLETRANSLATE(B552,""en"",""ta"")"),"தொடக்க நேரம்")</f>
        <v>தொடக்க நேரம்</v>
      </c>
      <c r="D552" s="4" t="str">
        <f>IFERROR(__xludf.DUMMYFUNCTION("GOOGLETRANSLATE(B552,""en"",""hi"")"),"समय शुरू")</f>
        <v>समय शुरू</v>
      </c>
      <c r="E552" s="4" t="str">
        <f>IFERROR(__xludf.DUMMYFUNCTION("GOOGLETRANSLATE(B552,""en"",""id"")"),"Waktu Mulai")</f>
        <v>Waktu Mulai</v>
      </c>
      <c r="F552" s="4" t="str">
        <f>IFERROR(__xludf.DUMMYFUNCTION("GOOGLETRANSLATE(B552,""en"",""ms"")"),"Masa Mula")</f>
        <v>Masa Mula</v>
      </c>
      <c r="G552" s="4" t="str">
        <f>IFERROR(__xludf.DUMMYFUNCTION("GOOGLETRANSLATE(B552,""en"",""de"")"),"Startzeit")</f>
        <v>Startzeit</v>
      </c>
      <c r="H552" s="4" t="str">
        <f>IFERROR(__xludf.DUMMYFUNCTION("GOOGLETRANSLATE(B552,""en"",""es"")"),"Hora de inicio")</f>
        <v>Hora de inicio</v>
      </c>
      <c r="I552" s="4" t="str">
        <f>IFERROR(__xludf.DUMMYFUNCTION("GOOGLETRANSLATE(B552,""en"",""fr"")"),"Heure de début")</f>
        <v>Heure de début</v>
      </c>
      <c r="J552" s="4" t="str">
        <f>IFERROR(__xludf.DUMMYFUNCTION("GOOGLETRANSLATE(B552,""en"",""it"")"),"Ora di inizio")</f>
        <v>Ora di inizio</v>
      </c>
      <c r="K552" s="4" t="str">
        <f>IFERROR(__xludf.DUMMYFUNCTION("GOOGLETRANSLATE(B552,""en"",""pt"")"),"Hora de início")</f>
        <v>Hora de início</v>
      </c>
      <c r="L552" s="4" t="str">
        <f>IFERROR(__xludf.DUMMYFUNCTION("GOOGLETRANSLATE(B552,""en"",""ro"")"),"Ora de începere")</f>
        <v>Ora de începere</v>
      </c>
      <c r="M552" s="4" t="str">
        <f>IFERROR(__xludf.DUMMYFUNCTION("GOOGLETRANSLATE(B552,""en"",""vi"")"),"Thời gian bắt đầu")</f>
        <v>Thời gian bắt đầu</v>
      </c>
      <c r="N552" s="4" t="str">
        <f>IFERROR(__xludf.DUMMYFUNCTION("GOOGLETRANSLATE(B552,""en"",""ru"")"),"Время начала")</f>
        <v>Время начала</v>
      </c>
      <c r="O552" s="4" t="str">
        <f>IFERROR(__xludf.DUMMYFUNCTION("GOOGLETRANSLATE(B552,""en"",""tr"")"),"Başlangıç ​​Zamanı")</f>
        <v>Başlangıç ​​Zamanı</v>
      </c>
      <c r="P552" s="4" t="str">
        <f>IFERROR(__xludf.DUMMYFUNCTION("GOOGLETRANSLATE(B552,""en"",""ar"")"),"وقت البدء")</f>
        <v>وقت البدء</v>
      </c>
      <c r="Q552" s="4" t="str">
        <f>IFERROR(__xludf.DUMMYFUNCTION("GOOGLETRANSLATE(B552,""en"",""mr"")"),"प्रारंभ वेळ")</f>
        <v>प्रारंभ वेळ</v>
      </c>
      <c r="R552" s="4" t="str">
        <f>IFERROR(__xludf.DUMMYFUNCTION("GOOGLETRANSLATE(B552,""en"",""gu"")"),"પ્રારંભ સમય")</f>
        <v>પ્રારંભ સમય</v>
      </c>
      <c r="S552" s="4" t="str">
        <f>IFERROR(__xludf.DUMMYFUNCTION("GOOGLETRANSLATE(B552,""en"",""bn"")"),"শুরুর সময়")</f>
        <v>শুরুর সময়</v>
      </c>
      <c r="T552" s="4" t="str">
        <f>IFERROR(__xludf.DUMMYFUNCTION("GOOGLETRANSLATE(B552,""en"",""pa"")"),"ਸ਼ੁਰੂਆਤੀ ਸਮਾਂ")</f>
        <v>ਸ਼ੁਰੂਆਤੀ ਸਮਾਂ</v>
      </c>
      <c r="U552" s="4" t="str">
        <f>IFERROR(__xludf.DUMMYFUNCTION("GOOGLETRANSLATE(B552,""en"",""te"")"),"ప్రారంభ సమయం")</f>
        <v>ప్రారంభ సమయం</v>
      </c>
      <c r="V552" s="4" t="str">
        <f>IFERROR(__xludf.DUMMYFUNCTION("GOOGLETRANSLATE(B552,""en"",""kn"")"),"ಪ್ರಾರಂಭ ಸಮಯ")</f>
        <v>ಪ್ರಾರಂಭ ಸಮಯ</v>
      </c>
      <c r="W552" s="4" t="str">
        <f>IFERROR(__xludf.DUMMYFUNCTION("GOOGLETRANSLATE(B552,""en"",""ml"")"),"ആരംഭിക്കുന്ന സമയം")</f>
        <v>ആരംഭിക്കുന്ന സമയം</v>
      </c>
      <c r="X552" s="4" t="str">
        <f>IFERROR(__xludf.DUMMYFUNCTION("GOOGLETRANSLATE(B552,""en"",""th"")"),"เวลาเริ่มต้น")</f>
        <v>เวลาเริ่มต้น</v>
      </c>
      <c r="Y552" s="4" t="str">
        <f>IFERROR(__xludf.DUMMYFUNCTION("GOOGLETRANSLATE(B552,""en"",""ko"")"),"시작 시간")</f>
        <v>시작 시간</v>
      </c>
      <c r="Z552" s="4" t="str">
        <f>IFERROR(__xludf.DUMMYFUNCTION("GOOGLETRANSLATE(B552,""en"",""zh"")"),"开始时间")</f>
        <v>开始时间</v>
      </c>
      <c r="AA552" s="4" t="str">
        <f>IFERROR(__xludf.DUMMYFUNCTION("GOOGLETRANSLATE(B552,""en"",""zh-TW"")"),"開始時間")</f>
        <v>開始時間</v>
      </c>
      <c r="AB552" s="4" t="str">
        <f>IFERROR(__xludf.DUMMYFUNCTION("GOOGLETRANSLATE(B552,""en"",""ja"")"),"開始時間")</f>
        <v>開始時間</v>
      </c>
      <c r="AC552" s="4" t="str">
        <f>IFERROR(__xludf.DUMMYFUNCTION("GOOGLETRANSLATE(B552,""en"",""bg"")"),"Начален час")</f>
        <v>Начален час</v>
      </c>
      <c r="AD552" s="4" t="str">
        <f>IFERROR(__xludf.DUMMYFUNCTION("GOOGLETRANSLATE(B552,""en"",""cs"")"),"Čas zahájení")</f>
        <v>Čas zahájení</v>
      </c>
      <c r="AE552" s="4" t="str">
        <f>IFERROR(__xludf.DUMMYFUNCTION("GOOGLETRANSLATE(B552,""en"",""da"")"),"Starttid")</f>
        <v>Starttid</v>
      </c>
      <c r="AF552" s="4" t="str">
        <f>IFERROR(__xludf.DUMMYFUNCTION("GOOGLETRANSLATE(B552,""en"",""el"")"),"Ώρα έναρξης")</f>
        <v>Ώρα έναρξης</v>
      </c>
      <c r="AG552" s="4" t="str">
        <f>IFERROR(__xludf.DUMMYFUNCTION("GOOGLETRANSLATE(B552,""en"",""et"")"),"Algusaeg")</f>
        <v>Algusaeg</v>
      </c>
      <c r="AH552" s="4" t="str">
        <f>IFERROR(__xludf.DUMMYFUNCTION("GOOGLETRANSLATE(B552,""en"",""fi"")"),"Aloitusaika")</f>
        <v>Aloitusaika</v>
      </c>
      <c r="AI552" s="4" t="str">
        <f>IFERROR(__xludf.DUMMYFUNCTION("GOOGLETRANSLATE(B552,""en"",""hr"")"),"Vrijeme početka")</f>
        <v>Vrijeme početka</v>
      </c>
      <c r="AJ552" s="4" t="str">
        <f>IFERROR(__xludf.DUMMYFUNCTION("GOOGLETRANSLATE(B552,""en"",""hu"")"),"Kezdési idő")</f>
        <v>Kezdési idő</v>
      </c>
      <c r="AK552" s="4" t="str">
        <f>IFERROR(__xludf.DUMMYFUNCTION("GOOGLETRANSLATE(B552,""en"",""hy"")"),"Մեկնարկի ժամանակը")</f>
        <v>Մեկնարկի ժամանակը</v>
      </c>
      <c r="AL552" s="4" t="str">
        <f>IFERROR(__xludf.DUMMYFUNCTION("GOOGLETRANSLATE(B552,""en"",""ca"")"),"Hora d'inici")</f>
        <v>Hora d'inici</v>
      </c>
      <c r="AM552" s="4" t="str">
        <f>IFERROR(__xludf.DUMMYFUNCTION("GOOGLETRANSLATE(B552,""en"",""nl"")"),"Starttijd")</f>
        <v>Starttijd</v>
      </c>
      <c r="AN552" s="4" t="str">
        <f>IFERROR(__xludf.DUMMYFUNCTION("GOOGLETRANSLATE(B552,""en"",""he"")"),"זמן התחלה")</f>
        <v>זמן התחלה</v>
      </c>
      <c r="AO552" s="4" t="str">
        <f>IFERROR(__xludf.DUMMYFUNCTION("GOOGLETRANSLATE(B552,""en"",""is"")"),"Upphafstími")</f>
        <v>Upphafstími</v>
      </c>
      <c r="AP552" s="4" t="str">
        <f>IFERROR(__xludf.DUMMYFUNCTION("GOOGLETRANSLATE(B552,""en"",""no"")"),"Starttid")</f>
        <v>Starttid</v>
      </c>
      <c r="AQ552" s="4" t="str">
        <f>IFERROR(__xludf.DUMMYFUNCTION("GOOGLETRANSLATE(B552,""en"",""fa"")"),"زمان شروع")</f>
        <v>زمان شروع</v>
      </c>
      <c r="AR552" s="4" t="str">
        <f>IFERROR(__xludf.DUMMYFUNCTION("GOOGLETRANSLATE(B552,""en"",""pl"")"),"Czas rozpoczęcia")</f>
        <v>Czas rozpoczęcia</v>
      </c>
      <c r="AS552" s="4" t="str">
        <f>IFERROR(__xludf.DUMMYFUNCTION("GOOGLETRANSLATE(B552,""en"",""sv"")"),"Starttid")</f>
        <v>Starttid</v>
      </c>
      <c r="AT552" s="4" t="str">
        <f>IFERROR(__xludf.DUMMYFUNCTION("GOOGLETRANSLATE(B552,""en"",""uk"")"),"Час початку")</f>
        <v>Час початку</v>
      </c>
      <c r="AU552" s="4" t="str">
        <f>IFERROR(__xludf.DUMMYFUNCTION("GOOGLETRANSLATE(B552,""en"",""zu"")"),"Isikhathi sokuqala")</f>
        <v>Isikhathi sokuqala</v>
      </c>
      <c r="AV552" s="4" t="str">
        <f>IFERROR(__xludf.DUMMYFUNCTION("GOOGLETRANSLATE(B552,""en"",""sr"")"),"Време почетка")</f>
        <v>Време почетка</v>
      </c>
    </row>
    <row r="553">
      <c r="A553" s="3" t="s">
        <v>1059</v>
      </c>
      <c r="B553" s="3" t="s">
        <v>1060</v>
      </c>
      <c r="C553" s="4" t="str">
        <f>IFERROR(__xludf.DUMMYFUNCTION("GOOGLETRANSLATE(B553,""en"",""ta"")"),"முடிவு நேரம்")</f>
        <v>முடிவு நேரம்</v>
      </c>
      <c r="D553" s="4" t="str">
        <f>IFERROR(__xludf.DUMMYFUNCTION("GOOGLETRANSLATE(B553,""en"",""hi"")"),"अंत समय")</f>
        <v>अंत समय</v>
      </c>
      <c r="E553" s="4" t="str">
        <f>IFERROR(__xludf.DUMMYFUNCTION("GOOGLETRANSLATE(B553,""en"",""id"")"),"Akhir Zaman")</f>
        <v>Akhir Zaman</v>
      </c>
      <c r="F553" s="4" t="str">
        <f>IFERROR(__xludf.DUMMYFUNCTION("GOOGLETRANSLATE(B553,""en"",""ms"")"),"Masa Tamat")</f>
        <v>Masa Tamat</v>
      </c>
      <c r="G553" s="4" t="str">
        <f>IFERROR(__xludf.DUMMYFUNCTION("GOOGLETRANSLATE(B553,""en"",""de"")"),"Endzeit")</f>
        <v>Endzeit</v>
      </c>
      <c r="H553" s="4" t="str">
        <f>IFERROR(__xludf.DUMMYFUNCTION("GOOGLETRANSLATE(B553,""en"",""es"")"),"Fin de los tiempos")</f>
        <v>Fin de los tiempos</v>
      </c>
      <c r="I553" s="4" t="str">
        <f>IFERROR(__xludf.DUMMYFUNCTION("GOOGLETRANSLATE(B553,""en"",""fr"")"),"Fin des temps")</f>
        <v>Fin des temps</v>
      </c>
      <c r="J553" s="4" t="str">
        <f>IFERROR(__xludf.DUMMYFUNCTION("GOOGLETRANSLATE(B553,""en"",""it"")"),"Ora di fine")</f>
        <v>Ora di fine</v>
      </c>
      <c r="K553" s="4" t="str">
        <f>IFERROR(__xludf.DUMMYFUNCTION("GOOGLETRANSLATE(B553,""en"",""pt"")"),"Fim dos tempos")</f>
        <v>Fim dos tempos</v>
      </c>
      <c r="L553" s="4" t="str">
        <f>IFERROR(__xludf.DUMMYFUNCTION("GOOGLETRANSLATE(B553,""en"",""ro"")"),"Ora Sfârșitului")</f>
        <v>Ora Sfârșitului</v>
      </c>
      <c r="M553" s="4" t="str">
        <f>IFERROR(__xludf.DUMMYFUNCTION("GOOGLETRANSLATE(B553,""en"",""vi"")"),"Thời gian kết thúc")</f>
        <v>Thời gian kết thúc</v>
      </c>
      <c r="N553" s="4" t="str">
        <f>IFERROR(__xludf.DUMMYFUNCTION("GOOGLETRANSLATE(B553,""en"",""ru"")"),"Время окончания")</f>
        <v>Время окончания</v>
      </c>
      <c r="O553" s="4" t="str">
        <f>IFERROR(__xludf.DUMMYFUNCTION("GOOGLETRANSLATE(B553,""en"",""tr"")"),"Son Zaman")</f>
        <v>Son Zaman</v>
      </c>
      <c r="P553" s="4" t="str">
        <f>IFERROR(__xludf.DUMMYFUNCTION("GOOGLETRANSLATE(B553,""en"",""ar"")"),"وقت النهاية")</f>
        <v>وقت النهاية</v>
      </c>
      <c r="Q553" s="4" t="str">
        <f>IFERROR(__xludf.DUMMYFUNCTION("GOOGLETRANSLATE(B553,""en"",""mr"")"),"समाप्ती वेळ")</f>
        <v>समाप्ती वेळ</v>
      </c>
      <c r="R553" s="4" t="str">
        <f>IFERROR(__xludf.DUMMYFUNCTION("GOOGLETRANSLATE(B553,""en"",""gu"")"),"સમાપ્તિ સમય")</f>
        <v>સમાપ્તિ સમય</v>
      </c>
      <c r="S553" s="4" t="str">
        <f>IFERROR(__xludf.DUMMYFUNCTION("GOOGLETRANSLATE(B553,""en"",""bn"")"),"শেষ সময়")</f>
        <v>শেষ সময়</v>
      </c>
      <c r="T553" s="4" t="str">
        <f>IFERROR(__xludf.DUMMYFUNCTION("GOOGLETRANSLATE(B553,""en"",""pa"")"),"ਸਮਾਪਤੀ ਸਮਾਂ")</f>
        <v>ਸਮਾਪਤੀ ਸਮਾਂ</v>
      </c>
      <c r="U553" s="4" t="str">
        <f>IFERROR(__xludf.DUMMYFUNCTION("GOOGLETRANSLATE(B553,""en"",""te"")"),"ముగింపు సమయం")</f>
        <v>ముగింపు సమయం</v>
      </c>
      <c r="V553" s="4" t="str">
        <f>IFERROR(__xludf.DUMMYFUNCTION("GOOGLETRANSLATE(B553,""en"",""kn"")"),"ಅಂತಿಮ ಸಮಯ")</f>
        <v>ಅಂತಿಮ ಸಮಯ</v>
      </c>
      <c r="W553" s="4" t="str">
        <f>IFERROR(__xludf.DUMMYFUNCTION("GOOGLETRANSLATE(B553,""en"",""ml"")"),"അവസാന സമയം")</f>
        <v>അവസാന സമയം</v>
      </c>
      <c r="X553" s="4" t="str">
        <f>IFERROR(__xludf.DUMMYFUNCTION("GOOGLETRANSLATE(B553,""en"",""th"")"),"เวลาสิ้นสุด")</f>
        <v>เวลาสิ้นสุด</v>
      </c>
      <c r="Y553" s="4" t="str">
        <f>IFERROR(__xludf.DUMMYFUNCTION("GOOGLETRANSLATE(B553,""en"",""ko"")"),"종료 시간")</f>
        <v>종료 시간</v>
      </c>
      <c r="Z553" s="4" t="str">
        <f>IFERROR(__xludf.DUMMYFUNCTION("GOOGLETRANSLATE(B553,""en"",""zh"")"),"结束时间")</f>
        <v>结束时间</v>
      </c>
      <c r="AA553" s="4" t="str">
        <f>IFERROR(__xludf.DUMMYFUNCTION("GOOGLETRANSLATE(B553,""en"",""zh-TW"")"),"結束時間")</f>
        <v>結束時間</v>
      </c>
      <c r="AB553" s="4" t="str">
        <f>IFERROR(__xludf.DUMMYFUNCTION("GOOGLETRANSLATE(B553,""en"",""ja"")"),"終了時間")</f>
        <v>終了時間</v>
      </c>
      <c r="AC553" s="4" t="str">
        <f>IFERROR(__xludf.DUMMYFUNCTION("GOOGLETRANSLATE(B553,""en"",""bg"")"),"Краен час")</f>
        <v>Краен час</v>
      </c>
      <c r="AD553" s="4" t="str">
        <f>IFERROR(__xludf.DUMMYFUNCTION("GOOGLETRANSLATE(B553,""en"",""cs"")"),"Čas ukončení")</f>
        <v>Čas ukončení</v>
      </c>
      <c r="AE553" s="4" t="str">
        <f>IFERROR(__xludf.DUMMYFUNCTION("GOOGLETRANSLATE(B553,""en"",""da"")"),"Sluttid")</f>
        <v>Sluttid</v>
      </c>
      <c r="AF553" s="4" t="str">
        <f>IFERROR(__xludf.DUMMYFUNCTION("GOOGLETRANSLATE(B553,""en"",""el"")"),"Ώρα λήξης")</f>
        <v>Ώρα λήξης</v>
      </c>
      <c r="AG553" s="4" t="str">
        <f>IFERROR(__xludf.DUMMYFUNCTION("GOOGLETRANSLATE(B553,""en"",""et"")"),"Lõpuaeg")</f>
        <v>Lõpuaeg</v>
      </c>
      <c r="AH553" s="4" t="str">
        <f>IFERROR(__xludf.DUMMYFUNCTION("GOOGLETRANSLATE(B553,""en"",""fi"")"),"Päättymisaika")</f>
        <v>Päättymisaika</v>
      </c>
      <c r="AI553" s="4" t="str">
        <f>IFERROR(__xludf.DUMMYFUNCTION("GOOGLETRANSLATE(B553,""en"",""hr"")"),"Vrijeme završetka")</f>
        <v>Vrijeme završetka</v>
      </c>
      <c r="AJ553" s="4" t="str">
        <f>IFERROR(__xludf.DUMMYFUNCTION("GOOGLETRANSLATE(B553,""en"",""hu"")"),"Vége")</f>
        <v>Vége</v>
      </c>
      <c r="AK553" s="4" t="str">
        <f>IFERROR(__xludf.DUMMYFUNCTION("GOOGLETRANSLATE(B553,""en"",""hy"")"),"Ավարտի ժամանակը")</f>
        <v>Ավարտի ժամանակը</v>
      </c>
      <c r="AL553" s="4" t="str">
        <f>IFERROR(__xludf.DUMMYFUNCTION("GOOGLETRANSLATE(B553,""en"",""ca"")"),"Temps de finalització")</f>
        <v>Temps de finalització</v>
      </c>
      <c r="AM553" s="4" t="str">
        <f>IFERROR(__xludf.DUMMYFUNCTION("GOOGLETRANSLATE(B553,""en"",""nl"")"),"Eindtijd")</f>
        <v>Eindtijd</v>
      </c>
      <c r="AN553" s="4" t="str">
        <f>IFERROR(__xludf.DUMMYFUNCTION("GOOGLETRANSLATE(B553,""en"",""he"")"),"שעת סיום")</f>
        <v>שעת סיום</v>
      </c>
      <c r="AO553" s="4" t="str">
        <f>IFERROR(__xludf.DUMMYFUNCTION("GOOGLETRANSLATE(B553,""en"",""is"")"),"Lokatími")</f>
        <v>Lokatími</v>
      </c>
      <c r="AP553" s="4" t="str">
        <f>IFERROR(__xludf.DUMMYFUNCTION("GOOGLETRANSLATE(B553,""en"",""no"")"),"Slutttid")</f>
        <v>Slutttid</v>
      </c>
      <c r="AQ553" s="4" t="str">
        <f>IFERROR(__xludf.DUMMYFUNCTION("GOOGLETRANSLATE(B553,""en"",""fa"")"),"زمان پایان")</f>
        <v>زمان پایان</v>
      </c>
      <c r="AR553" s="4" t="str">
        <f>IFERROR(__xludf.DUMMYFUNCTION("GOOGLETRANSLATE(B553,""en"",""pl"")"),"Czas zakończenia")</f>
        <v>Czas zakończenia</v>
      </c>
      <c r="AS553" s="4" t="str">
        <f>IFERROR(__xludf.DUMMYFUNCTION("GOOGLETRANSLATE(B553,""en"",""sv"")"),"Sluttid")</f>
        <v>Sluttid</v>
      </c>
      <c r="AT553" s="4" t="str">
        <f>IFERROR(__xludf.DUMMYFUNCTION("GOOGLETRANSLATE(B553,""en"",""uk"")"),"Час закінчення")</f>
        <v>Час закінчення</v>
      </c>
      <c r="AU553" s="4" t="str">
        <f>IFERROR(__xludf.DUMMYFUNCTION("GOOGLETRANSLATE(B553,""en"",""zu"")"),"Isikhathi Sokuphela")</f>
        <v>Isikhathi Sokuphela</v>
      </c>
      <c r="AV553" s="4" t="str">
        <f>IFERROR(__xludf.DUMMYFUNCTION("GOOGLETRANSLATE(B553,""en"",""sr"")"),"Време завршетка")</f>
        <v>Време завршетка</v>
      </c>
    </row>
    <row r="554">
      <c r="A554" s="3" t="s">
        <v>1061</v>
      </c>
      <c r="B554" s="3" t="s">
        <v>357</v>
      </c>
      <c r="C554" s="4" t="str">
        <f>IFERROR(__xludf.DUMMYFUNCTION("GOOGLETRANSLATE(B554,""en"",""ta"")"),"ரத்து செய்")</f>
        <v>ரத்து செய்</v>
      </c>
      <c r="D554" s="4" t="str">
        <f>IFERROR(__xludf.DUMMYFUNCTION("GOOGLETRANSLATE(B554,""en"",""hi"")"),"रद्द करना")</f>
        <v>रद्द करना</v>
      </c>
      <c r="E554" s="4" t="str">
        <f>IFERROR(__xludf.DUMMYFUNCTION("GOOGLETRANSLATE(B554,""en"",""id"")"),"Membatalkan")</f>
        <v>Membatalkan</v>
      </c>
      <c r="F554" s="4" t="str">
        <f>IFERROR(__xludf.DUMMYFUNCTION("GOOGLETRANSLATE(B554,""en"",""ms"")"),"Batal")</f>
        <v>Batal</v>
      </c>
      <c r="G554" s="4" t="str">
        <f>IFERROR(__xludf.DUMMYFUNCTION("GOOGLETRANSLATE(B554,""en"",""de"")"),"Stornieren")</f>
        <v>Stornieren</v>
      </c>
      <c r="H554" s="4" t="str">
        <f>IFERROR(__xludf.DUMMYFUNCTION("GOOGLETRANSLATE(B554,""en"",""es"")"),"Cancelar")</f>
        <v>Cancelar</v>
      </c>
      <c r="I554" s="4" t="str">
        <f>IFERROR(__xludf.DUMMYFUNCTION("GOOGLETRANSLATE(B554,""en"",""fr"")"),"Annuler")</f>
        <v>Annuler</v>
      </c>
      <c r="J554" s="4" t="str">
        <f>IFERROR(__xludf.DUMMYFUNCTION("GOOGLETRANSLATE(B554,""en"",""it"")"),"Cancellare")</f>
        <v>Cancellare</v>
      </c>
      <c r="K554" s="4" t="str">
        <f>IFERROR(__xludf.DUMMYFUNCTION("GOOGLETRANSLATE(B554,""en"",""pt"")"),"Cancelar")</f>
        <v>Cancelar</v>
      </c>
      <c r="L554" s="4" t="str">
        <f>IFERROR(__xludf.DUMMYFUNCTION("GOOGLETRANSLATE(B554,""en"",""ro"")"),"Anula")</f>
        <v>Anula</v>
      </c>
      <c r="M554" s="4" t="str">
        <f>IFERROR(__xludf.DUMMYFUNCTION("GOOGLETRANSLATE(B554,""en"",""vi"")"),"Hủy bỏ")</f>
        <v>Hủy bỏ</v>
      </c>
      <c r="N554" s="4" t="str">
        <f>IFERROR(__xludf.DUMMYFUNCTION("GOOGLETRANSLATE(B554,""en"",""ru"")"),"Отмена")</f>
        <v>Отмена</v>
      </c>
      <c r="O554" s="4" t="str">
        <f>IFERROR(__xludf.DUMMYFUNCTION("GOOGLETRANSLATE(B554,""en"",""tr"")"),"İptal etmek")</f>
        <v>İptal etmek</v>
      </c>
      <c r="P554" s="4" t="str">
        <f>IFERROR(__xludf.DUMMYFUNCTION("GOOGLETRANSLATE(B554,""en"",""ar"")"),"يلغي")</f>
        <v>يلغي</v>
      </c>
      <c r="Q554" s="4" t="str">
        <f>IFERROR(__xludf.DUMMYFUNCTION("GOOGLETRANSLATE(B554,""en"",""mr"")"),"रद्द करा")</f>
        <v>रद्द करा</v>
      </c>
      <c r="R554" s="4" t="str">
        <f>IFERROR(__xludf.DUMMYFUNCTION("GOOGLETRANSLATE(B554,""en"",""gu"")"),"રદ કરો")</f>
        <v>રદ કરો</v>
      </c>
      <c r="S554" s="4" t="str">
        <f>IFERROR(__xludf.DUMMYFUNCTION("GOOGLETRANSLATE(B554,""en"",""bn"")"),"বাতিল করুন")</f>
        <v>বাতিল করুন</v>
      </c>
      <c r="T554" s="4" t="str">
        <f>IFERROR(__xludf.DUMMYFUNCTION("GOOGLETRANSLATE(B554,""en"",""pa"")"),"ਰੱਦ ਕਰੋ")</f>
        <v>ਰੱਦ ਕਰੋ</v>
      </c>
      <c r="U554" s="4" t="str">
        <f>IFERROR(__xludf.DUMMYFUNCTION("GOOGLETRANSLATE(B554,""en"",""te"")"),"రద్దు చేయి")</f>
        <v>రద్దు చేయి</v>
      </c>
      <c r="V554" s="4" t="str">
        <f>IFERROR(__xludf.DUMMYFUNCTION("GOOGLETRANSLATE(B554,""en"",""kn"")"),"ರದ್ದುಮಾಡು")</f>
        <v>ರದ್ದುಮಾಡು</v>
      </c>
      <c r="W554" s="4" t="str">
        <f>IFERROR(__xludf.DUMMYFUNCTION("GOOGLETRANSLATE(B554,""en"",""ml"")"),"റദ്ദാക്കുക")</f>
        <v>റദ്ദാക്കുക</v>
      </c>
      <c r="X554" s="4" t="str">
        <f>IFERROR(__xludf.DUMMYFUNCTION("GOOGLETRANSLATE(B554,""en"",""th"")"),"ยกเลิก")</f>
        <v>ยกเลิก</v>
      </c>
      <c r="Y554" s="4" t="str">
        <f>IFERROR(__xludf.DUMMYFUNCTION("GOOGLETRANSLATE(B554,""en"",""ko"")"),"취소")</f>
        <v>취소</v>
      </c>
      <c r="Z554" s="4" t="str">
        <f>IFERROR(__xludf.DUMMYFUNCTION("GOOGLETRANSLATE(B554,""en"",""zh"")"),"取消")</f>
        <v>取消</v>
      </c>
      <c r="AA554" s="4" t="str">
        <f>IFERROR(__xludf.DUMMYFUNCTION("GOOGLETRANSLATE(B554,""en"",""zh-TW"")"),"取消")</f>
        <v>取消</v>
      </c>
      <c r="AB554" s="4" t="str">
        <f>IFERROR(__xludf.DUMMYFUNCTION("GOOGLETRANSLATE(B554,""en"",""ja"")"),"キャンセル")</f>
        <v>キャンセル</v>
      </c>
      <c r="AC554" s="4" t="str">
        <f>IFERROR(__xludf.DUMMYFUNCTION("GOOGLETRANSLATE(B554,""en"",""bg"")"),"Отказ")</f>
        <v>Отказ</v>
      </c>
      <c r="AD554" s="4" t="str">
        <f>IFERROR(__xludf.DUMMYFUNCTION("GOOGLETRANSLATE(B554,""en"",""cs"")"),"Zrušit")</f>
        <v>Zrušit</v>
      </c>
      <c r="AE554" s="4" t="str">
        <f>IFERROR(__xludf.DUMMYFUNCTION("GOOGLETRANSLATE(B554,""en"",""da"")"),"Ophæve")</f>
        <v>Ophæve</v>
      </c>
      <c r="AF554" s="4" t="str">
        <f>IFERROR(__xludf.DUMMYFUNCTION("GOOGLETRANSLATE(B554,""en"",""el"")"),"Ματαίωση")</f>
        <v>Ματαίωση</v>
      </c>
      <c r="AG554" s="4" t="str">
        <f>IFERROR(__xludf.DUMMYFUNCTION("GOOGLETRANSLATE(B554,""en"",""et"")"),"Tühista")</f>
        <v>Tühista</v>
      </c>
      <c r="AH554" s="4" t="str">
        <f>IFERROR(__xludf.DUMMYFUNCTION("GOOGLETRANSLATE(B554,""en"",""fi"")"),"Peruuttaa")</f>
        <v>Peruuttaa</v>
      </c>
      <c r="AI554" s="4" t="str">
        <f>IFERROR(__xludf.DUMMYFUNCTION("GOOGLETRANSLATE(B554,""en"",""hr"")"),"Otkazati")</f>
        <v>Otkazati</v>
      </c>
      <c r="AJ554" s="4" t="str">
        <f>IFERROR(__xludf.DUMMYFUNCTION("GOOGLETRANSLATE(B554,""en"",""hu"")"),"Mégsem")</f>
        <v>Mégsem</v>
      </c>
      <c r="AK554" s="4" t="str">
        <f>IFERROR(__xludf.DUMMYFUNCTION("GOOGLETRANSLATE(B554,""en"",""hy"")"),"Չեղարկել")</f>
        <v>Չեղարկել</v>
      </c>
      <c r="AL554" s="4" t="str">
        <f>IFERROR(__xludf.DUMMYFUNCTION("GOOGLETRANSLATE(B554,""en"",""ca"")"),"Cancel·la")</f>
        <v>Cancel·la</v>
      </c>
      <c r="AM554" s="4" t="str">
        <f>IFERROR(__xludf.DUMMYFUNCTION("GOOGLETRANSLATE(B554,""en"",""nl"")"),"Annuleren")</f>
        <v>Annuleren</v>
      </c>
      <c r="AN554" s="4" t="str">
        <f>IFERROR(__xludf.DUMMYFUNCTION("GOOGLETRANSLATE(B554,""en"",""he"")"),"לְבַטֵל")</f>
        <v>לְבַטֵל</v>
      </c>
      <c r="AO554" s="4" t="str">
        <f>IFERROR(__xludf.DUMMYFUNCTION("GOOGLETRANSLATE(B554,""en"",""is"")"),"Hætta við")</f>
        <v>Hætta við</v>
      </c>
      <c r="AP554" s="4" t="str">
        <f>IFERROR(__xludf.DUMMYFUNCTION("GOOGLETRANSLATE(B554,""en"",""no"")"),"Kansellere")</f>
        <v>Kansellere</v>
      </c>
      <c r="AQ554" s="4" t="str">
        <f>IFERROR(__xludf.DUMMYFUNCTION("GOOGLETRANSLATE(B554,""en"",""fa"")"),"لغو کنید")</f>
        <v>لغو کنید</v>
      </c>
      <c r="AR554" s="4" t="str">
        <f>IFERROR(__xludf.DUMMYFUNCTION("GOOGLETRANSLATE(B554,""en"",""pl"")"),"Anulować")</f>
        <v>Anulować</v>
      </c>
      <c r="AS554" s="4" t="str">
        <f>IFERROR(__xludf.DUMMYFUNCTION("GOOGLETRANSLATE(B554,""en"",""sv"")"),"Avboka")</f>
        <v>Avboka</v>
      </c>
      <c r="AT554" s="4" t="str">
        <f>IFERROR(__xludf.DUMMYFUNCTION("GOOGLETRANSLATE(B554,""en"",""uk"")"),"Скасувати")</f>
        <v>Скасувати</v>
      </c>
      <c r="AU554" s="4" t="str">
        <f>IFERROR(__xludf.DUMMYFUNCTION("GOOGLETRANSLATE(B554,""en"",""zu"")"),"Khansela")</f>
        <v>Khansela</v>
      </c>
      <c r="AV554" s="4" t="str">
        <f>IFERROR(__xludf.DUMMYFUNCTION("GOOGLETRANSLATE(B554,""en"",""sr"")"),"Откажи")</f>
        <v>Откажи</v>
      </c>
    </row>
    <row r="555">
      <c r="A555" s="3" t="s">
        <v>1062</v>
      </c>
      <c r="B555" s="3" t="s">
        <v>79</v>
      </c>
      <c r="C555" s="4" t="str">
        <f>IFERROR(__xludf.DUMMYFUNCTION("GOOGLETRANSLATE(B555,""en"",""ta"")"),"சேமிக்கவும்")</f>
        <v>சேமிக்கவும்</v>
      </c>
      <c r="D555" s="4" t="str">
        <f>IFERROR(__xludf.DUMMYFUNCTION("GOOGLETRANSLATE(B555,""en"",""hi"")"),"बचाना")</f>
        <v>बचाना</v>
      </c>
      <c r="E555" s="4" t="str">
        <f>IFERROR(__xludf.DUMMYFUNCTION("GOOGLETRANSLATE(B555,""en"",""id"")"),"Menyimpan")</f>
        <v>Menyimpan</v>
      </c>
      <c r="F555" s="4" t="str">
        <f>IFERROR(__xludf.DUMMYFUNCTION("GOOGLETRANSLATE(B555,""en"",""ms"")"),"Jimat")</f>
        <v>Jimat</v>
      </c>
      <c r="G555" s="4" t="str">
        <f>IFERROR(__xludf.DUMMYFUNCTION("GOOGLETRANSLATE(B555,""en"",""de"")"),"Speichern")</f>
        <v>Speichern</v>
      </c>
      <c r="H555" s="4" t="str">
        <f>IFERROR(__xludf.DUMMYFUNCTION("GOOGLETRANSLATE(B555,""en"",""es"")"),"Ahorrar")</f>
        <v>Ahorrar</v>
      </c>
      <c r="I555" s="4" t="str">
        <f>IFERROR(__xludf.DUMMYFUNCTION("GOOGLETRANSLATE(B555,""en"",""fr"")"),"Sauvegarder")</f>
        <v>Sauvegarder</v>
      </c>
      <c r="J555" s="4" t="str">
        <f>IFERROR(__xludf.DUMMYFUNCTION("GOOGLETRANSLATE(B555,""en"",""it"")"),"Salva")</f>
        <v>Salva</v>
      </c>
      <c r="K555" s="4" t="str">
        <f>IFERROR(__xludf.DUMMYFUNCTION("GOOGLETRANSLATE(B555,""en"",""pt"")"),"Salvar")</f>
        <v>Salvar</v>
      </c>
      <c r="L555" s="4" t="str">
        <f>IFERROR(__xludf.DUMMYFUNCTION("GOOGLETRANSLATE(B555,""en"",""ro"")"),"Salva")</f>
        <v>Salva</v>
      </c>
      <c r="M555" s="4" t="str">
        <f>IFERROR(__xludf.DUMMYFUNCTION("GOOGLETRANSLATE(B555,""en"",""vi"")"),"Cứu")</f>
        <v>Cứu</v>
      </c>
      <c r="N555" s="4" t="str">
        <f>IFERROR(__xludf.DUMMYFUNCTION("GOOGLETRANSLATE(B555,""en"",""ru"")"),"Сохранять")</f>
        <v>Сохранять</v>
      </c>
      <c r="O555" s="4" t="str">
        <f>IFERROR(__xludf.DUMMYFUNCTION("GOOGLETRANSLATE(B555,""en"",""tr"")"),"Kaydetmek")</f>
        <v>Kaydetmek</v>
      </c>
      <c r="P555" s="4" t="str">
        <f>IFERROR(__xludf.DUMMYFUNCTION("GOOGLETRANSLATE(B555,""en"",""ar"")"),"يحفظ")</f>
        <v>يحفظ</v>
      </c>
      <c r="Q555" s="4" t="str">
        <f>IFERROR(__xludf.DUMMYFUNCTION("GOOGLETRANSLATE(B555,""en"",""mr"")"),"जतन करा")</f>
        <v>जतन करा</v>
      </c>
      <c r="R555" s="4" t="str">
        <f>IFERROR(__xludf.DUMMYFUNCTION("GOOGLETRANSLATE(B555,""en"",""gu"")"),"સાચવો")</f>
        <v>સાચવો</v>
      </c>
      <c r="S555" s="4" t="str">
        <f>IFERROR(__xludf.DUMMYFUNCTION("GOOGLETRANSLATE(B555,""en"",""bn"")"),"সংরক্ষণ করুন")</f>
        <v>সংরক্ষণ করুন</v>
      </c>
      <c r="T555" s="4" t="str">
        <f>IFERROR(__xludf.DUMMYFUNCTION("GOOGLETRANSLATE(B555,""en"",""pa"")"),"ਸੇਵ ਕਰੋ")</f>
        <v>ਸੇਵ ਕਰੋ</v>
      </c>
      <c r="U555" s="4" t="str">
        <f>IFERROR(__xludf.DUMMYFUNCTION("GOOGLETRANSLATE(B555,""en"",""te"")"),"సేవ్ చేయండి")</f>
        <v>సేవ్ చేయండి</v>
      </c>
      <c r="V555" s="4" t="str">
        <f>IFERROR(__xludf.DUMMYFUNCTION("GOOGLETRANSLATE(B555,""en"",""kn"")"),"ಉಳಿಸಿ")</f>
        <v>ಉಳಿಸಿ</v>
      </c>
      <c r="W555" s="4" t="str">
        <f>IFERROR(__xludf.DUMMYFUNCTION("GOOGLETRANSLATE(B555,""en"",""ml"")"),"സംരക്ഷിക്കുക")</f>
        <v>സംരക്ഷിക്കുക</v>
      </c>
      <c r="X555" s="4" t="str">
        <f>IFERROR(__xludf.DUMMYFUNCTION("GOOGLETRANSLATE(B555,""en"",""th"")"),"บันทึก")</f>
        <v>บันทึก</v>
      </c>
      <c r="Y555" s="4" t="str">
        <f>IFERROR(__xludf.DUMMYFUNCTION("GOOGLETRANSLATE(B555,""en"",""ko"")"),"구하다")</f>
        <v>구하다</v>
      </c>
      <c r="Z555" s="4" t="str">
        <f>IFERROR(__xludf.DUMMYFUNCTION("GOOGLETRANSLATE(B555,""en"",""zh"")"),"节省")</f>
        <v>节省</v>
      </c>
      <c r="AA555" s="4" t="str">
        <f>IFERROR(__xludf.DUMMYFUNCTION("GOOGLETRANSLATE(B555,""en"",""zh-TW"")"),"節省")</f>
        <v>節省</v>
      </c>
      <c r="AB555" s="4" t="str">
        <f>IFERROR(__xludf.DUMMYFUNCTION("GOOGLETRANSLATE(B555,""en"",""ja"")"),"保存")</f>
        <v>保存</v>
      </c>
      <c r="AC555" s="4" t="str">
        <f>IFERROR(__xludf.DUMMYFUNCTION("GOOGLETRANSLATE(B555,""en"",""bg"")"),"Запазване")</f>
        <v>Запазване</v>
      </c>
      <c r="AD555" s="4" t="str">
        <f>IFERROR(__xludf.DUMMYFUNCTION("GOOGLETRANSLATE(B555,""en"",""cs"")"),"Uložit")</f>
        <v>Uložit</v>
      </c>
      <c r="AE555" s="4" t="str">
        <f>IFERROR(__xludf.DUMMYFUNCTION("GOOGLETRANSLATE(B555,""en"",""da"")"),"Spare")</f>
        <v>Spare</v>
      </c>
      <c r="AF555" s="4" t="str">
        <f>IFERROR(__xludf.DUMMYFUNCTION("GOOGLETRANSLATE(B555,""en"",""el"")"),"Εκτός")</f>
        <v>Εκτός</v>
      </c>
      <c r="AG555" s="4" t="str">
        <f>IFERROR(__xludf.DUMMYFUNCTION("GOOGLETRANSLATE(B555,""en"",""et"")"),"Salvesta")</f>
        <v>Salvesta</v>
      </c>
      <c r="AH555" s="4" t="str">
        <f>IFERROR(__xludf.DUMMYFUNCTION("GOOGLETRANSLATE(B555,""en"",""fi"")"),"Tallentaa")</f>
        <v>Tallentaa</v>
      </c>
      <c r="AI555" s="4" t="str">
        <f>IFERROR(__xludf.DUMMYFUNCTION("GOOGLETRANSLATE(B555,""en"",""hr"")"),"Uštedjeti")</f>
        <v>Uštedjeti</v>
      </c>
      <c r="AJ555" s="4" t="str">
        <f>IFERROR(__xludf.DUMMYFUNCTION("GOOGLETRANSLATE(B555,""en"",""hu"")"),"Megtakarítás")</f>
        <v>Megtakarítás</v>
      </c>
      <c r="AK555" s="4" t="str">
        <f>IFERROR(__xludf.DUMMYFUNCTION("GOOGLETRANSLATE(B555,""en"",""hy"")"),"Պահպանել")</f>
        <v>Պահպանել</v>
      </c>
      <c r="AL555" s="4" t="str">
        <f>IFERROR(__xludf.DUMMYFUNCTION("GOOGLETRANSLATE(B555,""en"",""ca"")"),"Desa")</f>
        <v>Desa</v>
      </c>
      <c r="AM555" s="4" t="str">
        <f>IFERROR(__xludf.DUMMYFUNCTION("GOOGLETRANSLATE(B555,""en"",""nl"")"),"Redden")</f>
        <v>Redden</v>
      </c>
      <c r="AN555" s="4" t="str">
        <f>IFERROR(__xludf.DUMMYFUNCTION("GOOGLETRANSLATE(B555,""en"",""he"")"),"לְהַצִיל")</f>
        <v>לְהַצִיל</v>
      </c>
      <c r="AO555" s="4" t="str">
        <f>IFERROR(__xludf.DUMMYFUNCTION("GOOGLETRANSLATE(B555,""en"",""is"")"),"Vista")</f>
        <v>Vista</v>
      </c>
      <c r="AP555" s="4" t="str">
        <f>IFERROR(__xludf.DUMMYFUNCTION("GOOGLETRANSLATE(B555,""en"",""no"")"),"Spare")</f>
        <v>Spare</v>
      </c>
      <c r="AQ555" s="4" t="str">
        <f>IFERROR(__xludf.DUMMYFUNCTION("GOOGLETRANSLATE(B555,""en"",""fa"")"),"ذخیره کنید")</f>
        <v>ذخیره کنید</v>
      </c>
      <c r="AR555" s="4" t="str">
        <f>IFERROR(__xludf.DUMMYFUNCTION("GOOGLETRANSLATE(B555,""en"",""pl"")"),"Ratować")</f>
        <v>Ratować</v>
      </c>
      <c r="AS555" s="4" t="str">
        <f>IFERROR(__xludf.DUMMYFUNCTION("GOOGLETRANSLATE(B555,""en"",""sv"")"),"Spara")</f>
        <v>Spara</v>
      </c>
      <c r="AT555" s="4" t="str">
        <f>IFERROR(__xludf.DUMMYFUNCTION("GOOGLETRANSLATE(B555,""en"",""uk"")"),"зберегти")</f>
        <v>зберегти</v>
      </c>
      <c r="AU555" s="4" t="str">
        <f>IFERROR(__xludf.DUMMYFUNCTION("GOOGLETRANSLATE(B555,""en"",""zu"")"),"Londoloza")</f>
        <v>Londoloza</v>
      </c>
      <c r="AV555" s="4" t="str">
        <f>IFERROR(__xludf.DUMMYFUNCTION("GOOGLETRANSLATE(B555,""en"",""sr"")"),"Сачувај")</f>
        <v>Сачувај</v>
      </c>
    </row>
    <row r="556">
      <c r="A556" s="3" t="s">
        <v>1063</v>
      </c>
      <c r="B556" s="3" t="s">
        <v>1064</v>
      </c>
      <c r="C556" s="4" t="str">
        <f>IFERROR(__xludf.DUMMYFUNCTION("GOOGLETRANSLATE(B556,""en"",""ta"")"),"சேமிக்கப்படாத மாற்றங்கள்")</f>
        <v>சேமிக்கப்படாத மாற்றங்கள்</v>
      </c>
      <c r="D556" s="4" t="str">
        <f>IFERROR(__xludf.DUMMYFUNCTION("GOOGLETRANSLATE(B556,""en"",""hi"")"),"सहेजे न गए परिवर्तन")</f>
        <v>सहेजे न गए परिवर्तन</v>
      </c>
      <c r="E556" s="4" t="str">
        <f>IFERROR(__xludf.DUMMYFUNCTION("GOOGLETRANSLATE(B556,""en"",""id"")"),"Perubahan yang Belum Disimpan")</f>
        <v>Perubahan yang Belum Disimpan</v>
      </c>
      <c r="F556" s="4" t="str">
        <f>IFERROR(__xludf.DUMMYFUNCTION("GOOGLETRANSLATE(B556,""en"",""ms"")"),"Perubahan Tidak Disimpan")</f>
        <v>Perubahan Tidak Disimpan</v>
      </c>
      <c r="G556" s="4" t="str">
        <f>IFERROR(__xludf.DUMMYFUNCTION("GOOGLETRANSLATE(B556,""en"",""de"")"),"Nicht gespeicherte Änderungen")</f>
        <v>Nicht gespeicherte Änderungen</v>
      </c>
      <c r="H556" s="4" t="str">
        <f>IFERROR(__xludf.DUMMYFUNCTION("GOOGLETRANSLATE(B556,""en"",""es"")"),"Cambios no guardados")</f>
        <v>Cambios no guardados</v>
      </c>
      <c r="I556" s="4" t="str">
        <f>IFERROR(__xludf.DUMMYFUNCTION("GOOGLETRANSLATE(B556,""en"",""fr"")"),"Modifications non enregistrées")</f>
        <v>Modifications non enregistrées</v>
      </c>
      <c r="J556" s="4" t="str">
        <f>IFERROR(__xludf.DUMMYFUNCTION("GOOGLETRANSLATE(B556,""en"",""it"")"),"Modifiche non salvate")</f>
        <v>Modifiche non salvate</v>
      </c>
      <c r="K556" s="4" t="str">
        <f>IFERROR(__xludf.DUMMYFUNCTION("GOOGLETRANSLATE(B556,""en"",""pt"")"),"Alterações não salvas")</f>
        <v>Alterações não salvas</v>
      </c>
      <c r="L556" s="4" t="str">
        <f>IFERROR(__xludf.DUMMYFUNCTION("GOOGLETRANSLATE(B556,""en"",""ro"")"),"Modificări nesalvate")</f>
        <v>Modificări nesalvate</v>
      </c>
      <c r="M556" s="4" t="str">
        <f>IFERROR(__xludf.DUMMYFUNCTION("GOOGLETRANSLATE(B556,""en"",""vi"")"),"Thay đổi chưa lưu")</f>
        <v>Thay đổi chưa lưu</v>
      </c>
      <c r="N556" s="4" t="str">
        <f>IFERROR(__xludf.DUMMYFUNCTION("GOOGLETRANSLATE(B556,""en"",""ru"")"),"Несохраненные изменения")</f>
        <v>Несохраненные изменения</v>
      </c>
      <c r="O556" s="4" t="str">
        <f>IFERROR(__xludf.DUMMYFUNCTION("GOOGLETRANSLATE(B556,""en"",""tr"")"),"Kaydedilmemiş Değişiklikler")</f>
        <v>Kaydedilmemiş Değişiklikler</v>
      </c>
      <c r="P556" s="4" t="str">
        <f>IFERROR(__xludf.DUMMYFUNCTION("GOOGLETRANSLATE(B556,""en"",""ar"")"),"التغييرات غير المحفوظة")</f>
        <v>التغييرات غير المحفوظة</v>
      </c>
      <c r="Q556" s="4" t="str">
        <f>IFERROR(__xludf.DUMMYFUNCTION("GOOGLETRANSLATE(B556,""en"",""mr"")"),"जतन न केलेले बदल")</f>
        <v>जतन न केलेले बदल</v>
      </c>
      <c r="R556" s="4" t="str">
        <f>IFERROR(__xludf.DUMMYFUNCTION("GOOGLETRANSLATE(B556,""en"",""gu"")"),"વણસાચવેલા ફેરફારો")</f>
        <v>વણસાચવેલા ફેરફારો</v>
      </c>
      <c r="S556" s="4" t="str">
        <f>IFERROR(__xludf.DUMMYFUNCTION("GOOGLETRANSLATE(B556,""en"",""bn"")"),"অসংরক্ষিত পরিবর্তন")</f>
        <v>অসংরক্ষিত পরিবর্তন</v>
      </c>
      <c r="T556" s="4" t="str">
        <f>IFERROR(__xludf.DUMMYFUNCTION("GOOGLETRANSLATE(B556,""en"",""pa"")"),"ਅਣਰੱਖਿਅਤ ਤਬਦੀਲੀਆਂ")</f>
        <v>ਅਣਰੱਖਿਅਤ ਤਬਦੀਲੀਆਂ</v>
      </c>
      <c r="U556" s="4" t="str">
        <f>IFERROR(__xludf.DUMMYFUNCTION("GOOGLETRANSLATE(B556,""en"",""te"")"),"సేవ్ చేయని మార్పులు")</f>
        <v>సేవ్ చేయని మార్పులు</v>
      </c>
      <c r="V556" s="4" t="str">
        <f>IFERROR(__xludf.DUMMYFUNCTION("GOOGLETRANSLATE(B556,""en"",""kn"")"),"ಉಳಿಸದ ಬದಲಾವಣೆಗಳು")</f>
        <v>ಉಳಿಸದ ಬದಲಾವಣೆಗಳು</v>
      </c>
      <c r="W556" s="4" t="str">
        <f>IFERROR(__xludf.DUMMYFUNCTION("GOOGLETRANSLATE(B556,""en"",""ml"")"),"സംരക്ഷിക്കാത്ത മാറ്റങ്ങൾ")</f>
        <v>സംരക്ഷിക്കാത്ത മാറ്റങ്ങൾ</v>
      </c>
      <c r="X556" s="4" t="str">
        <f>IFERROR(__xludf.DUMMYFUNCTION("GOOGLETRANSLATE(B556,""en"",""th"")"),"การเปลี่ยนแปลงที่ไม่ได้บันทึก")</f>
        <v>การเปลี่ยนแปลงที่ไม่ได้บันทึก</v>
      </c>
      <c r="Y556" s="4" t="str">
        <f>IFERROR(__xludf.DUMMYFUNCTION("GOOGLETRANSLATE(B556,""en"",""ko"")"),"저장되지 않은 변경 사항")</f>
        <v>저장되지 않은 변경 사항</v>
      </c>
      <c r="Z556" s="4" t="str">
        <f>IFERROR(__xludf.DUMMYFUNCTION("GOOGLETRANSLATE(B556,""en"",""zh"")"),"未保存的更改")</f>
        <v>未保存的更改</v>
      </c>
      <c r="AA556" s="4" t="str">
        <f>IFERROR(__xludf.DUMMYFUNCTION("GOOGLETRANSLATE(B556,""en"",""zh-TW"")"),"未儲存的更改")</f>
        <v>未儲存的更改</v>
      </c>
      <c r="AB556" s="4" t="str">
        <f>IFERROR(__xludf.DUMMYFUNCTION("GOOGLETRANSLATE(B556,""en"",""ja"")"),"保存されていない変更")</f>
        <v>保存されていない変更</v>
      </c>
      <c r="AC556" s="4" t="str">
        <f>IFERROR(__xludf.DUMMYFUNCTION("GOOGLETRANSLATE(B556,""en"",""bg"")"),"Незапазени промени")</f>
        <v>Незапазени промени</v>
      </c>
      <c r="AD556" s="4" t="str">
        <f>IFERROR(__xludf.DUMMYFUNCTION("GOOGLETRANSLATE(B556,""en"",""cs"")"),"Neuložené změny")</f>
        <v>Neuložené změny</v>
      </c>
      <c r="AE556" s="4" t="str">
        <f>IFERROR(__xludf.DUMMYFUNCTION("GOOGLETRANSLATE(B556,""en"",""da"")"),"Ikke-gemte ændringer")</f>
        <v>Ikke-gemte ændringer</v>
      </c>
      <c r="AF556" s="4" t="str">
        <f>IFERROR(__xludf.DUMMYFUNCTION("GOOGLETRANSLATE(B556,""en"",""el"")"),"Μη αποθηκευμένες αλλαγές")</f>
        <v>Μη αποθηκευμένες αλλαγές</v>
      </c>
      <c r="AG556" s="4" t="str">
        <f>IFERROR(__xludf.DUMMYFUNCTION("GOOGLETRANSLATE(B556,""en"",""et"")"),"Salvestamata muudatused")</f>
        <v>Salvestamata muudatused</v>
      </c>
      <c r="AH556" s="4" t="str">
        <f>IFERROR(__xludf.DUMMYFUNCTION("GOOGLETRANSLATE(B556,""en"",""fi"")"),"Tallentamattomat muutokset")</f>
        <v>Tallentamattomat muutokset</v>
      </c>
      <c r="AI556" s="4" t="str">
        <f>IFERROR(__xludf.DUMMYFUNCTION("GOOGLETRANSLATE(B556,""en"",""hr"")"),"Nespremljene promjene")</f>
        <v>Nespremljene promjene</v>
      </c>
      <c r="AJ556" s="4" t="str">
        <f>IFERROR(__xludf.DUMMYFUNCTION("GOOGLETRANSLATE(B556,""en"",""hu"")"),"Nem mentett módosítások")</f>
        <v>Nem mentett módosítások</v>
      </c>
      <c r="AK556" s="4" t="str">
        <f>IFERROR(__xludf.DUMMYFUNCTION("GOOGLETRANSLATE(B556,""en"",""hy"")"),"Չպահված փոփոխություններ")</f>
        <v>Չպահված փոփոխություններ</v>
      </c>
      <c r="AL556" s="4" t="str">
        <f>IFERROR(__xludf.DUMMYFUNCTION("GOOGLETRANSLATE(B556,""en"",""ca"")"),"Canvis no desats")</f>
        <v>Canvis no desats</v>
      </c>
      <c r="AM556" s="4" t="str">
        <f>IFERROR(__xludf.DUMMYFUNCTION("GOOGLETRANSLATE(B556,""en"",""nl"")"),"Niet-opgeslagen wijzigingen")</f>
        <v>Niet-opgeslagen wijzigingen</v>
      </c>
      <c r="AN556" s="4" t="str">
        <f>IFERROR(__xludf.DUMMYFUNCTION("GOOGLETRANSLATE(B556,""en"",""he"")"),"שינויים שלא נשמרו")</f>
        <v>שינויים שלא נשמרו</v>
      </c>
      <c r="AO556" s="4" t="str">
        <f>IFERROR(__xludf.DUMMYFUNCTION("GOOGLETRANSLATE(B556,""en"",""is"")"),"Óvistaðar breytingar")</f>
        <v>Óvistaðar breytingar</v>
      </c>
      <c r="AP556" s="4" t="str">
        <f>IFERROR(__xludf.DUMMYFUNCTION("GOOGLETRANSLATE(B556,""en"",""no"")"),"Ulagrede endringer")</f>
        <v>Ulagrede endringer</v>
      </c>
      <c r="AQ556" s="4" t="str">
        <f>IFERROR(__xludf.DUMMYFUNCTION("GOOGLETRANSLATE(B556,""en"",""fa"")"),"تغییرات ذخیره نشده")</f>
        <v>تغییرات ذخیره نشده</v>
      </c>
      <c r="AR556" s="4" t="str">
        <f>IFERROR(__xludf.DUMMYFUNCTION("GOOGLETRANSLATE(B556,""en"",""pl"")"),"Niezapisane zmiany")</f>
        <v>Niezapisane zmiany</v>
      </c>
      <c r="AS556" s="4" t="str">
        <f>IFERROR(__xludf.DUMMYFUNCTION("GOOGLETRANSLATE(B556,""en"",""sv"")"),"Osparade ändringar")</f>
        <v>Osparade ändringar</v>
      </c>
      <c r="AT556" s="4" t="str">
        <f>IFERROR(__xludf.DUMMYFUNCTION("GOOGLETRANSLATE(B556,""en"",""uk"")"),"Незбережені зміни")</f>
        <v>Незбережені зміни</v>
      </c>
      <c r="AU556" s="4" t="str">
        <f>IFERROR(__xludf.DUMMYFUNCTION("GOOGLETRANSLATE(B556,""en"",""zu"")"),"Izinguquko ezingalondoloziwe")</f>
        <v>Izinguquko ezingalondoloziwe</v>
      </c>
      <c r="AV556" s="4" t="str">
        <f>IFERROR(__xludf.DUMMYFUNCTION("GOOGLETRANSLATE(B556,""en"",""sr"")"),"Несачуване промене")</f>
        <v>Несачуване промене</v>
      </c>
    </row>
    <row r="557">
      <c r="A557" s="3" t="s">
        <v>1065</v>
      </c>
      <c r="B557" s="3" t="s">
        <v>1066</v>
      </c>
      <c r="C557" s="4" t="str">
        <f>IFERROR(__xludf.DUMMYFUNCTION("GOOGLETRANSLATE(B557,""en"",""ta"")"),"வெளியேறும் முன் மாற்றங்களைச் சேமிக்கவா?")</f>
        <v>வெளியேறும் முன் மாற்றங்களைச் சேமிக்கவா?</v>
      </c>
      <c r="D557" s="4" t="str">
        <f>IFERROR(__xludf.DUMMYFUNCTION("GOOGLETRANSLATE(B557,""en"",""hi"")"),"जाने से पहले परिवर्तन सहेजें?")</f>
        <v>जाने से पहले परिवर्तन सहेजें?</v>
      </c>
      <c r="E557" s="4" t="str">
        <f>IFERROR(__xludf.DUMMYFUNCTION("GOOGLETRANSLATE(B557,""en"",""id"")"),"Simpan perubahan sebelum pergi?")</f>
        <v>Simpan perubahan sebelum pergi?</v>
      </c>
      <c r="F557" s="4" t="str">
        <f>IFERROR(__xludf.DUMMYFUNCTION("GOOGLETRANSLATE(B557,""en"",""ms"")"),"Simpan perubahan sebelum pergi?")</f>
        <v>Simpan perubahan sebelum pergi?</v>
      </c>
      <c r="G557" s="4" t="str">
        <f>IFERROR(__xludf.DUMMYFUNCTION("GOOGLETRANSLATE(B557,""en"",""de"")"),"Änderungen vor dem Verlassen speichern?")</f>
        <v>Änderungen vor dem Verlassen speichern?</v>
      </c>
      <c r="H557" s="4" t="str">
        <f>IFERROR(__xludf.DUMMYFUNCTION("GOOGLETRANSLATE(B557,""en"",""es"")"),"¿Guardar cambios antes de salir?")</f>
        <v>¿Guardar cambios antes de salir?</v>
      </c>
      <c r="I557" s="4" t="str">
        <f>IFERROR(__xludf.DUMMYFUNCTION("GOOGLETRANSLATE(B557,""en"",""fr"")"),"Enregistrer les modifications avant de quitter ?")</f>
        <v>Enregistrer les modifications avant de quitter ?</v>
      </c>
      <c r="J557" s="4" t="str">
        <f>IFERROR(__xludf.DUMMYFUNCTION("GOOGLETRANSLATE(B557,""en"",""it"")"),"Vuoi salvare le modifiche prima di uscire?")</f>
        <v>Vuoi salvare le modifiche prima di uscire?</v>
      </c>
      <c r="K557" s="4" t="str">
        <f>IFERROR(__xludf.DUMMYFUNCTION("GOOGLETRANSLATE(B557,""en"",""pt"")"),"Salvar alterações antes de sair?")</f>
        <v>Salvar alterações antes de sair?</v>
      </c>
      <c r="L557" s="4" t="str">
        <f>IFERROR(__xludf.DUMMYFUNCTION("GOOGLETRANSLATE(B557,""en"",""ro"")"),"Salvați modificările înainte de a pleca?")</f>
        <v>Salvați modificările înainte de a pleca?</v>
      </c>
      <c r="M557" s="4" t="str">
        <f>IFERROR(__xludf.DUMMYFUNCTION("GOOGLETRANSLATE(B557,""en"",""vi"")"),"Lưu thay đổi trước khi rời đi?")</f>
        <v>Lưu thay đổi trước khi rời đi?</v>
      </c>
      <c r="N557" s="4" t="str">
        <f>IFERROR(__xludf.DUMMYFUNCTION("GOOGLETRANSLATE(B557,""en"",""ru"")"),"Сохранить изменения перед выходом?")</f>
        <v>Сохранить изменения перед выходом?</v>
      </c>
      <c r="O557" s="4" t="str">
        <f>IFERROR(__xludf.DUMMYFUNCTION("GOOGLETRANSLATE(B557,""en"",""tr"")"),"Ayrılmadan önce değişiklikleri kaydetmek ister misiniz?")</f>
        <v>Ayrılmadan önce değişiklikleri kaydetmek ister misiniz?</v>
      </c>
      <c r="P557" s="4" t="str">
        <f>IFERROR(__xludf.DUMMYFUNCTION("GOOGLETRANSLATE(B557,""en"",""ar"")"),"حفظ التغييرات قبل المغادرة؟")</f>
        <v>حفظ التغييرات قبل المغادرة؟</v>
      </c>
      <c r="Q557" s="4" t="str">
        <f>IFERROR(__xludf.DUMMYFUNCTION("GOOGLETRANSLATE(B557,""en"",""mr"")"),"जाण्यापूर्वी बदल जतन करायचे?")</f>
        <v>जाण्यापूर्वी बदल जतन करायचे?</v>
      </c>
      <c r="R557" s="4" t="str">
        <f>IFERROR(__xludf.DUMMYFUNCTION("GOOGLETRANSLATE(B557,""en"",""gu"")"),"છોડતા પહેલા ફેરફારો સાચવીએ?")</f>
        <v>છોડતા પહેલા ફેરફારો સાચવીએ?</v>
      </c>
      <c r="S557" s="4" t="str">
        <f>IFERROR(__xludf.DUMMYFUNCTION("GOOGLETRANSLATE(B557,""en"",""bn"")"),"যাওয়ার আগে পরিবর্তনগুলি সংরক্ষণ করবেন?")</f>
        <v>যাওয়ার আগে পরিবর্তনগুলি সংরক্ষণ করবেন?</v>
      </c>
      <c r="T557" s="4" t="str">
        <f>IFERROR(__xludf.DUMMYFUNCTION("GOOGLETRANSLATE(B557,""en"",""pa"")"),"ਜਾਣ ਤੋਂ ਪਹਿਲਾਂ ਤਬਦੀਲੀਆਂ ਨੂੰ ਸੁਰੱਖਿਅਤ ਕਰਨਾ ਹੈ?")</f>
        <v>ਜਾਣ ਤੋਂ ਪਹਿਲਾਂ ਤਬਦੀਲੀਆਂ ਨੂੰ ਸੁਰੱਖਿਅਤ ਕਰਨਾ ਹੈ?</v>
      </c>
      <c r="U557" s="4" t="str">
        <f>IFERROR(__xludf.DUMMYFUNCTION("GOOGLETRANSLATE(B557,""en"",""te"")"),"నిష్క్రమించే ముందు మార్పులను సేవ్ చేయాలా?")</f>
        <v>నిష్క్రమించే ముందు మార్పులను సేవ్ చేయాలా?</v>
      </c>
      <c r="V557" s="4" t="str">
        <f>IFERROR(__xludf.DUMMYFUNCTION("GOOGLETRANSLATE(B557,""en"",""kn"")"),"ಹೊರಡುವ ಮೊದಲು ಬದಲಾವಣೆಗಳನ್ನು ಉಳಿಸುವುದೇ?")</f>
        <v>ಹೊರಡುವ ಮೊದಲು ಬದಲಾವಣೆಗಳನ್ನು ಉಳಿಸುವುದೇ?</v>
      </c>
      <c r="W557" s="4" t="str">
        <f>IFERROR(__xludf.DUMMYFUNCTION("GOOGLETRANSLATE(B557,""en"",""ml"")"),"പോകുന്നതിന് മുമ്പ് മാറ്റങ്ങൾ സംരക്ഷിക്കണോ?")</f>
        <v>പോകുന്നതിന് മുമ്പ് മാറ്റങ്ങൾ സംരക്ഷിക്കണോ?</v>
      </c>
      <c r="X557" s="4" t="str">
        <f>IFERROR(__xludf.DUMMYFUNCTION("GOOGLETRANSLATE(B557,""en"",""th"")"),"บันทึกการเปลี่ยนแปลงก่อนออก?")</f>
        <v>บันทึกการเปลี่ยนแปลงก่อนออก?</v>
      </c>
      <c r="Y557" s="4" t="str">
        <f>IFERROR(__xludf.DUMMYFUNCTION("GOOGLETRANSLATE(B557,""en"",""ko"")"),"떠나기 전에 변경 사항을 저장하시겠습니까?")</f>
        <v>떠나기 전에 변경 사항을 저장하시겠습니까?</v>
      </c>
      <c r="Z557" s="4" t="str">
        <f>IFERROR(__xludf.DUMMYFUNCTION("GOOGLETRANSLATE(B557,""en"",""zh"")"),"离开之前保存更改吗？")</f>
        <v>离开之前保存更改吗？</v>
      </c>
      <c r="AA557" s="4" t="str">
        <f>IFERROR(__xludf.DUMMYFUNCTION("GOOGLETRANSLATE(B557,""en"",""zh-TW"")"),"離開前儲存變更嗎？")</f>
        <v>離開前儲存變更嗎？</v>
      </c>
      <c r="AB557" s="4" t="str">
        <f>IFERROR(__xludf.DUMMYFUNCTION("GOOGLETRANSLATE(B557,""en"",""ja"")"),"終了する前に変更を保存しますか?")</f>
        <v>終了する前に変更を保存しますか?</v>
      </c>
      <c r="AC557" s="4" t="str">
        <f>IFERROR(__xludf.DUMMYFUNCTION("GOOGLETRANSLATE(B557,""en"",""bg"")"),"Запазване на промените преди напускане?")</f>
        <v>Запазване на промените преди напускане?</v>
      </c>
      <c r="AD557" s="4" t="str">
        <f>IFERROR(__xludf.DUMMYFUNCTION("GOOGLETRANSLATE(B557,""en"",""cs"")"),"Uložit změny před odjezdem?")</f>
        <v>Uložit změny před odjezdem?</v>
      </c>
      <c r="AE557" s="4" t="str">
        <f>IFERROR(__xludf.DUMMYFUNCTION("GOOGLETRANSLATE(B557,""en"",""da"")"),"Vil du gemme ændringer, før du rejser?")</f>
        <v>Vil du gemme ændringer, før du rejser?</v>
      </c>
      <c r="AF557" s="4" t="str">
        <f>IFERROR(__xludf.DUMMYFUNCTION("GOOGLETRANSLATE(B557,""en"",""el"")"),"Αποθήκευση αλλαγών πριν φύγετε;")</f>
        <v>Αποθήκευση αλλαγών πριν φύγετε;</v>
      </c>
      <c r="AG557" s="4" t="str">
        <f>IFERROR(__xludf.DUMMYFUNCTION("GOOGLETRANSLATE(B557,""en"",""et"")"),"Kas salvestada muudatused enne lahkumist?")</f>
        <v>Kas salvestada muudatused enne lahkumist?</v>
      </c>
      <c r="AH557" s="4" t="str">
        <f>IFERROR(__xludf.DUMMYFUNCTION("GOOGLETRANSLATE(B557,""en"",""fi"")"),"Tallennetaanko muutokset ennen lähtöä?")</f>
        <v>Tallennetaanko muutokset ennen lähtöä?</v>
      </c>
      <c r="AI557" s="4" t="str">
        <f>IFERROR(__xludf.DUMMYFUNCTION("GOOGLETRANSLATE(B557,""en"",""hr"")"),"Spremiti promjene prije odlaska?")</f>
        <v>Spremiti promjene prije odlaska?</v>
      </c>
      <c r="AJ557" s="4" t="str">
        <f>IFERROR(__xludf.DUMMYFUNCTION("GOOGLETRANSLATE(B557,""en"",""hu"")"),"Menti a változtatásokat indulás előtt?")</f>
        <v>Menti a változtatásokat indulás előtt?</v>
      </c>
      <c r="AK557" s="4" t="str">
        <f>IFERROR(__xludf.DUMMYFUNCTION("GOOGLETRANSLATE(B557,""en"",""hy"")"),"Պահե՞լ փոփոխությունները մեկնելուց առաջ:")</f>
        <v>Պահե՞լ փոփոխությունները մեկնելուց առաջ:</v>
      </c>
      <c r="AL557" s="4" t="str">
        <f>IFERROR(__xludf.DUMMYFUNCTION("GOOGLETRANSLATE(B557,""en"",""ca"")"),"Desar els canvis abans de marxar?")</f>
        <v>Desar els canvis abans de marxar?</v>
      </c>
      <c r="AM557" s="4" t="str">
        <f>IFERROR(__xludf.DUMMYFUNCTION("GOOGLETRANSLATE(B557,""en"",""nl"")"),"Wijzigingen opslaan voordat u vertrekt?")</f>
        <v>Wijzigingen opslaan voordat u vertrekt?</v>
      </c>
      <c r="AN557" s="4" t="str">
        <f>IFERROR(__xludf.DUMMYFUNCTION("GOOGLETRANSLATE(B557,""en"",""he"")"),"לשמור שינויים לפני היציאה?")</f>
        <v>לשמור שינויים לפני היציאה?</v>
      </c>
      <c r="AO557" s="4" t="str">
        <f>IFERROR(__xludf.DUMMYFUNCTION("GOOGLETRANSLATE(B557,""en"",""is"")"),"Vista breytingar áður en þú ferð?")</f>
        <v>Vista breytingar áður en þú ferð?</v>
      </c>
      <c r="AP557" s="4" t="str">
        <f>IFERROR(__xludf.DUMMYFUNCTION("GOOGLETRANSLATE(B557,""en"",""no"")"),"Lagre endringer før du drar?")</f>
        <v>Lagre endringer før du drar?</v>
      </c>
      <c r="AQ557" s="4" t="str">
        <f>IFERROR(__xludf.DUMMYFUNCTION("GOOGLETRANSLATE(B557,""en"",""fa"")"),"تغییرات قبل از خروج ذخیره شود؟")</f>
        <v>تغییرات قبل از خروج ذخیره شود؟</v>
      </c>
      <c r="AR557" s="4" t="str">
        <f>IFERROR(__xludf.DUMMYFUNCTION("GOOGLETRANSLATE(B557,""en"",""pl"")"),"Zapisać zmiany przed wyjściem?")</f>
        <v>Zapisać zmiany przed wyjściem?</v>
      </c>
      <c r="AS557" s="4" t="str">
        <f>IFERROR(__xludf.DUMMYFUNCTION("GOOGLETRANSLATE(B557,""en"",""sv"")"),"Spara ändringar innan du lämnar?")</f>
        <v>Spara ändringar innan du lämnar?</v>
      </c>
      <c r="AT557" s="4" t="str">
        <f>IFERROR(__xludf.DUMMYFUNCTION("GOOGLETRANSLATE(B557,""en"",""uk"")"),"Зберегти зміни перед виходом?")</f>
        <v>Зберегти зміни перед виходом?</v>
      </c>
      <c r="AU557" s="4" t="str">
        <f>IFERROR(__xludf.DUMMYFUNCTION("GOOGLETRANSLATE(B557,""en"",""zu"")"),"Londoloza izinguquko ngaphambi kokuhamba?")</f>
        <v>Londoloza izinguquko ngaphambi kokuhamba?</v>
      </c>
      <c r="AV557" s="4" t="str">
        <f>IFERROR(__xludf.DUMMYFUNCTION("GOOGLETRANSLATE(B557,""en"",""sr"")"),"Да сачувате промене пре одласка?")</f>
        <v>Да сачувате промене пре одласка?</v>
      </c>
    </row>
    <row r="558">
      <c r="A558" s="3" t="s">
        <v>1067</v>
      </c>
      <c r="B558" s="3" t="s">
        <v>1068</v>
      </c>
      <c r="C558" s="4" t="str">
        <f>IFERROR(__xludf.DUMMYFUNCTION("GOOGLETRANSLATE(B558,""en"",""ta"")"),"சேமிக்க வேண்டாம்")</f>
        <v>சேமிக்க வேண்டாம்</v>
      </c>
      <c r="D558" s="4" t="str">
        <f>IFERROR(__xludf.DUMMYFUNCTION("GOOGLETRANSLATE(B558,""en"",""hi"")"),"सहेजें नहीं")</f>
        <v>सहेजें नहीं</v>
      </c>
      <c r="E558" s="4" t="str">
        <f>IFERROR(__xludf.DUMMYFUNCTION("GOOGLETRANSLATE(B558,""en"",""id"")"),"Jangan Simpan")</f>
        <v>Jangan Simpan</v>
      </c>
      <c r="F558" s="4" t="str">
        <f>IFERROR(__xludf.DUMMYFUNCTION("GOOGLETRANSLATE(B558,""en"",""ms"")"),"Jangan Simpan")</f>
        <v>Jangan Simpan</v>
      </c>
      <c r="G558" s="4" t="str">
        <f>IFERROR(__xludf.DUMMYFUNCTION("GOOGLETRANSLATE(B558,""en"",""de"")"),"Nicht speichern")</f>
        <v>Nicht speichern</v>
      </c>
      <c r="H558" s="4" t="str">
        <f>IFERROR(__xludf.DUMMYFUNCTION("GOOGLETRANSLATE(B558,""en"",""es"")"),"No guardar")</f>
        <v>No guardar</v>
      </c>
      <c r="I558" s="4" t="str">
        <f>IFERROR(__xludf.DUMMYFUNCTION("GOOGLETRANSLATE(B558,""en"",""fr"")"),"Ne pas enregistrer")</f>
        <v>Ne pas enregistrer</v>
      </c>
      <c r="J558" s="4" t="str">
        <f>IFERROR(__xludf.DUMMYFUNCTION("GOOGLETRANSLATE(B558,""en"",""it"")"),"Non salvare")</f>
        <v>Non salvare</v>
      </c>
      <c r="K558" s="4" t="str">
        <f>IFERROR(__xludf.DUMMYFUNCTION("GOOGLETRANSLATE(B558,""en"",""pt"")"),"Não salvar")</f>
        <v>Não salvar</v>
      </c>
      <c r="L558" s="4" t="str">
        <f>IFERROR(__xludf.DUMMYFUNCTION("GOOGLETRANSLATE(B558,""en"",""ro"")"),"Nu salvați")</f>
        <v>Nu salvați</v>
      </c>
      <c r="M558" s="4" t="str">
        <f>IFERROR(__xludf.DUMMYFUNCTION("GOOGLETRANSLATE(B558,""en"",""vi"")"),"Không lưu")</f>
        <v>Không lưu</v>
      </c>
      <c r="N558" s="4" t="str">
        <f>IFERROR(__xludf.DUMMYFUNCTION("GOOGLETRANSLATE(B558,""en"",""ru"")"),"Не сохранять")</f>
        <v>Не сохранять</v>
      </c>
      <c r="O558" s="4" t="str">
        <f>IFERROR(__xludf.DUMMYFUNCTION("GOOGLETRANSLATE(B558,""en"",""tr"")"),"Kaydetmeyin")</f>
        <v>Kaydetmeyin</v>
      </c>
      <c r="P558" s="4" t="str">
        <f>IFERROR(__xludf.DUMMYFUNCTION("GOOGLETRANSLATE(B558,""en"",""ar"")"),"لا تحفظ")</f>
        <v>لا تحفظ</v>
      </c>
      <c r="Q558" s="4" t="str">
        <f>IFERROR(__xludf.DUMMYFUNCTION("GOOGLETRANSLATE(B558,""en"",""mr"")"),"जतन करू नका")</f>
        <v>जतन करू नका</v>
      </c>
      <c r="R558" s="4" t="str">
        <f>IFERROR(__xludf.DUMMYFUNCTION("GOOGLETRANSLATE(B558,""en"",""gu"")"),"સાચવશો નહીં")</f>
        <v>સાચવશો નહીં</v>
      </c>
      <c r="S558" s="4" t="str">
        <f>IFERROR(__xludf.DUMMYFUNCTION("GOOGLETRANSLATE(B558,""en"",""bn"")"),"সংরক্ষণ করবেন না")</f>
        <v>সংরক্ষণ করবেন না</v>
      </c>
      <c r="T558" s="4" t="str">
        <f>IFERROR(__xludf.DUMMYFUNCTION("GOOGLETRANSLATE(B558,""en"",""pa"")"),"ਸੇਵ ਨਾ ਕਰੋ")</f>
        <v>ਸੇਵ ਨਾ ਕਰੋ</v>
      </c>
      <c r="U558" s="4" t="str">
        <f>IFERROR(__xludf.DUMMYFUNCTION("GOOGLETRANSLATE(B558,""en"",""te"")"),"సేవ్ చేయవద్దు")</f>
        <v>సేవ్ చేయవద్దు</v>
      </c>
      <c r="V558" s="4" t="str">
        <f>IFERROR(__xludf.DUMMYFUNCTION("GOOGLETRANSLATE(B558,""en"",""kn"")"),"ಉಳಿಸಬೇಡಿ")</f>
        <v>ಉಳಿಸಬೇಡಿ</v>
      </c>
      <c r="W558" s="4" t="str">
        <f>IFERROR(__xludf.DUMMYFUNCTION("GOOGLETRANSLATE(B558,""en"",""ml"")"),"സംരക്ഷിക്കരുത്")</f>
        <v>സംരക്ഷിക്കരുത്</v>
      </c>
      <c r="X558" s="4" t="str">
        <f>IFERROR(__xludf.DUMMYFUNCTION("GOOGLETRANSLATE(B558,""en"",""th"")"),"อย่าบันทึก")</f>
        <v>อย่าบันทึก</v>
      </c>
      <c r="Y558" s="4" t="str">
        <f>IFERROR(__xludf.DUMMYFUNCTION("GOOGLETRANSLATE(B558,""en"",""ko"")"),"저장하지 마세요")</f>
        <v>저장하지 마세요</v>
      </c>
      <c r="Z558" s="4" t="str">
        <f>IFERROR(__xludf.DUMMYFUNCTION("GOOGLETRANSLATE(B558,""en"",""zh"")"),"不要保存")</f>
        <v>不要保存</v>
      </c>
      <c r="AA558" s="4" t="str">
        <f>IFERROR(__xludf.DUMMYFUNCTION("GOOGLETRANSLATE(B558,""en"",""zh-TW"")"),"不要保存")</f>
        <v>不要保存</v>
      </c>
      <c r="AB558" s="4" t="str">
        <f>IFERROR(__xludf.DUMMYFUNCTION("GOOGLETRANSLATE(B558,""en"",""ja"")"),"保存しない")</f>
        <v>保存しない</v>
      </c>
      <c r="AC558" s="4" t="str">
        <f>IFERROR(__xludf.DUMMYFUNCTION("GOOGLETRANSLATE(B558,""en"",""bg"")"),"Не спестявайте")</f>
        <v>Не спестявайте</v>
      </c>
      <c r="AD558" s="4" t="str">
        <f>IFERROR(__xludf.DUMMYFUNCTION("GOOGLETRANSLATE(B558,""en"",""cs"")"),"Neukládat")</f>
        <v>Neukládat</v>
      </c>
      <c r="AE558" s="4" t="str">
        <f>IFERROR(__xludf.DUMMYFUNCTION("GOOGLETRANSLATE(B558,""en"",""da"")"),"Gem ikke")</f>
        <v>Gem ikke</v>
      </c>
      <c r="AF558" s="4" t="str">
        <f>IFERROR(__xludf.DUMMYFUNCTION("GOOGLETRANSLATE(B558,""en"",""el"")"),"Μην Αποθήκευση")</f>
        <v>Μην Αποθήκευση</v>
      </c>
      <c r="AG558" s="4" t="str">
        <f>IFERROR(__xludf.DUMMYFUNCTION("GOOGLETRANSLATE(B558,""en"",""et"")"),"Ära salvesta")</f>
        <v>Ära salvesta</v>
      </c>
      <c r="AH558" s="4" t="str">
        <f>IFERROR(__xludf.DUMMYFUNCTION("GOOGLETRANSLATE(B558,""en"",""fi"")"),"Älä Tallenna")</f>
        <v>Älä Tallenna</v>
      </c>
      <c r="AI558" s="4" t="str">
        <f>IFERROR(__xludf.DUMMYFUNCTION("GOOGLETRANSLATE(B558,""en"",""hr"")"),"Ne štedi")</f>
        <v>Ne štedi</v>
      </c>
      <c r="AJ558" s="4" t="str">
        <f>IFERROR(__xludf.DUMMYFUNCTION("GOOGLETRANSLATE(B558,""en"",""hu"")"),"Ne mentse")</f>
        <v>Ne mentse</v>
      </c>
      <c r="AK558" s="4" t="str">
        <f>IFERROR(__xludf.DUMMYFUNCTION("GOOGLETRANSLATE(B558,""en"",""hy"")"),"Մի պահիր")</f>
        <v>Մի պահիր</v>
      </c>
      <c r="AL558" s="4" t="str">
        <f>IFERROR(__xludf.DUMMYFUNCTION("GOOGLETRANSLATE(B558,""en"",""ca"")"),"No deseu")</f>
        <v>No deseu</v>
      </c>
      <c r="AM558" s="4" t="str">
        <f>IFERROR(__xludf.DUMMYFUNCTION("GOOGLETRANSLATE(B558,""en"",""nl"")"),"Niet opslaan")</f>
        <v>Niet opslaan</v>
      </c>
      <c r="AN558" s="4" t="str">
        <f>IFERROR(__xludf.DUMMYFUNCTION("GOOGLETRANSLATE(B558,""en"",""he"")"),"אל תחסוך")</f>
        <v>אל תחסוך</v>
      </c>
      <c r="AO558" s="4" t="str">
        <f>IFERROR(__xludf.DUMMYFUNCTION("GOOGLETRANSLATE(B558,""en"",""is"")"),"Ekki spara")</f>
        <v>Ekki spara</v>
      </c>
      <c r="AP558" s="4" t="str">
        <f>IFERROR(__xludf.DUMMYFUNCTION("GOOGLETRANSLATE(B558,""en"",""no"")"),"Ikke lagre")</f>
        <v>Ikke lagre</v>
      </c>
      <c r="AQ558" s="4" t="str">
        <f>IFERROR(__xludf.DUMMYFUNCTION("GOOGLETRANSLATE(B558,""en"",""fa"")"),"ذخیره نکنید")</f>
        <v>ذخیره نکنید</v>
      </c>
      <c r="AR558" s="4" t="str">
        <f>IFERROR(__xludf.DUMMYFUNCTION("GOOGLETRANSLATE(B558,""en"",""pl"")"),"Nie zapisuj")</f>
        <v>Nie zapisuj</v>
      </c>
      <c r="AS558" s="4" t="str">
        <f>IFERROR(__xludf.DUMMYFUNCTION("GOOGLETRANSLATE(B558,""en"",""sv"")"),"Spara inte")</f>
        <v>Spara inte</v>
      </c>
      <c r="AT558" s="4" t="str">
        <f>IFERROR(__xludf.DUMMYFUNCTION("GOOGLETRANSLATE(B558,""en"",""uk"")"),"Не зберігайте")</f>
        <v>Не зберігайте</v>
      </c>
      <c r="AU558" s="4" t="str">
        <f>IFERROR(__xludf.DUMMYFUNCTION("GOOGLETRANSLATE(B558,""en"",""zu"")"),"Ungalondolozi")</f>
        <v>Ungalondolozi</v>
      </c>
      <c r="AV558" s="4" t="str">
        <f>IFERROR(__xludf.DUMMYFUNCTION("GOOGLETRANSLATE(B558,""en"",""sr"")"),"Не штеди")</f>
        <v>Не штеди</v>
      </c>
    </row>
    <row r="559">
      <c r="A559" s="3" t="s">
        <v>1069</v>
      </c>
      <c r="B559" s="3" t="s">
        <v>1070</v>
      </c>
      <c r="C559" s="4" t="str">
        <f>IFERROR(__xludf.DUMMYFUNCTION("GOOGLETRANSLATE(B559,""en"",""ta"")"),"குறிப்பு")</f>
        <v>குறிப்பு</v>
      </c>
      <c r="D559" s="4" t="str">
        <f>IFERROR(__xludf.DUMMYFUNCTION("GOOGLETRANSLATE(B559,""en"",""hi"")"),"टिप्पणी")</f>
        <v>टिप्पणी</v>
      </c>
      <c r="E559" s="4" t="str">
        <f>IFERROR(__xludf.DUMMYFUNCTION("GOOGLETRANSLATE(B559,""en"",""id"")"),"Catatan")</f>
        <v>Catatan</v>
      </c>
      <c r="F559" s="4" t="str">
        <f>IFERROR(__xludf.DUMMYFUNCTION("GOOGLETRANSLATE(B559,""en"",""ms"")"),"Nota")</f>
        <v>Nota</v>
      </c>
      <c r="G559" s="4" t="str">
        <f>IFERROR(__xludf.DUMMYFUNCTION("GOOGLETRANSLATE(B559,""en"",""de"")"),"Notiz")</f>
        <v>Notiz</v>
      </c>
      <c r="H559" s="4" t="str">
        <f>IFERROR(__xludf.DUMMYFUNCTION("GOOGLETRANSLATE(B559,""en"",""es"")"),"Nota")</f>
        <v>Nota</v>
      </c>
      <c r="I559" s="4" t="str">
        <f>IFERROR(__xludf.DUMMYFUNCTION("GOOGLETRANSLATE(B559,""en"",""fr"")"),"Note")</f>
        <v>Note</v>
      </c>
      <c r="J559" s="4" t="str">
        <f>IFERROR(__xludf.DUMMYFUNCTION("GOOGLETRANSLATE(B559,""en"",""it"")"),"Nota")</f>
        <v>Nota</v>
      </c>
      <c r="K559" s="4" t="str">
        <f>IFERROR(__xludf.DUMMYFUNCTION("GOOGLETRANSLATE(B559,""en"",""pt"")"),"Observação")</f>
        <v>Observação</v>
      </c>
      <c r="L559" s="4" t="str">
        <f>IFERROR(__xludf.DUMMYFUNCTION("GOOGLETRANSLATE(B559,""en"",""ro"")"),"Nota")</f>
        <v>Nota</v>
      </c>
      <c r="M559" s="4" t="str">
        <f>IFERROR(__xludf.DUMMYFUNCTION("GOOGLETRANSLATE(B559,""en"",""vi"")"),"Ghi chú")</f>
        <v>Ghi chú</v>
      </c>
      <c r="N559" s="4" t="str">
        <f>IFERROR(__xludf.DUMMYFUNCTION("GOOGLETRANSLATE(B559,""en"",""ru"")"),"Примечание")</f>
        <v>Примечание</v>
      </c>
      <c r="O559" s="4" t="str">
        <f>IFERROR(__xludf.DUMMYFUNCTION("GOOGLETRANSLATE(B559,""en"",""tr"")"),"Not")</f>
        <v>Not</v>
      </c>
      <c r="P559" s="4" t="str">
        <f>IFERROR(__xludf.DUMMYFUNCTION("GOOGLETRANSLATE(B559,""en"",""ar"")"),"ملحوظة")</f>
        <v>ملحوظة</v>
      </c>
      <c r="Q559" s="4" t="str">
        <f>IFERROR(__xludf.DUMMYFUNCTION("GOOGLETRANSLATE(B559,""en"",""mr"")"),"नोंद")</f>
        <v>नोंद</v>
      </c>
      <c r="R559" s="4" t="str">
        <f>IFERROR(__xludf.DUMMYFUNCTION("GOOGLETRANSLATE(B559,""en"",""gu"")"),"નોંધ")</f>
        <v>નોંધ</v>
      </c>
      <c r="S559" s="4" t="str">
        <f>IFERROR(__xludf.DUMMYFUNCTION("GOOGLETRANSLATE(B559,""en"",""bn"")"),"দ্রষ্টব্য")</f>
        <v>দ্রষ্টব্য</v>
      </c>
      <c r="T559" s="4" t="str">
        <f>IFERROR(__xludf.DUMMYFUNCTION("GOOGLETRANSLATE(B559,""en"",""pa"")"),"ਨੋਟ ਕਰੋ")</f>
        <v>ਨੋਟ ਕਰੋ</v>
      </c>
      <c r="U559" s="4" t="str">
        <f>IFERROR(__xludf.DUMMYFUNCTION("GOOGLETRANSLATE(B559,""en"",""te"")"),"గమనిక")</f>
        <v>గమనిక</v>
      </c>
      <c r="V559" s="4" t="str">
        <f>IFERROR(__xludf.DUMMYFUNCTION("GOOGLETRANSLATE(B559,""en"",""kn"")"),"ಗಮನಿಸಿ")</f>
        <v>ಗಮನಿಸಿ</v>
      </c>
      <c r="W559" s="4" t="str">
        <f>IFERROR(__xludf.DUMMYFUNCTION("GOOGLETRANSLATE(B559,""en"",""ml"")"),"കുറിപ്പ്")</f>
        <v>കുറിപ്പ്</v>
      </c>
      <c r="X559" s="4" t="str">
        <f>IFERROR(__xludf.DUMMYFUNCTION("GOOGLETRANSLATE(B559,""en"",""th"")"),"บันทึก")</f>
        <v>บันทึก</v>
      </c>
      <c r="Y559" s="4" t="str">
        <f>IFERROR(__xludf.DUMMYFUNCTION("GOOGLETRANSLATE(B559,""en"",""ko"")"),"메모")</f>
        <v>메모</v>
      </c>
      <c r="Z559" s="4" t="str">
        <f>IFERROR(__xludf.DUMMYFUNCTION("GOOGLETRANSLATE(B559,""en"",""zh"")"),"笔记")</f>
        <v>笔记</v>
      </c>
      <c r="AA559" s="4" t="str">
        <f>IFERROR(__xludf.DUMMYFUNCTION("GOOGLETRANSLATE(B559,""en"",""zh-TW"")"),"筆記")</f>
        <v>筆記</v>
      </c>
      <c r="AB559" s="4" t="str">
        <f>IFERROR(__xludf.DUMMYFUNCTION("GOOGLETRANSLATE(B559,""en"",""ja"")"),"注記")</f>
        <v>注記</v>
      </c>
      <c r="AC559" s="4" t="str">
        <f>IFERROR(__xludf.DUMMYFUNCTION("GOOGLETRANSLATE(B559,""en"",""bg"")"),"Забележка")</f>
        <v>Забележка</v>
      </c>
      <c r="AD559" s="4" t="str">
        <f>IFERROR(__xludf.DUMMYFUNCTION("GOOGLETRANSLATE(B559,""en"",""cs"")"),"Poznámka")</f>
        <v>Poznámka</v>
      </c>
      <c r="AE559" s="4" t="str">
        <f>IFERROR(__xludf.DUMMYFUNCTION("GOOGLETRANSLATE(B559,""en"",""da"")"),"Note")</f>
        <v>Note</v>
      </c>
      <c r="AF559" s="4" t="str">
        <f>IFERROR(__xludf.DUMMYFUNCTION("GOOGLETRANSLATE(B559,""en"",""el"")"),"Σημείωμα")</f>
        <v>Σημείωμα</v>
      </c>
      <c r="AG559" s="4" t="str">
        <f>IFERROR(__xludf.DUMMYFUNCTION("GOOGLETRANSLATE(B559,""en"",""et"")"),"Märkus")</f>
        <v>Märkus</v>
      </c>
      <c r="AH559" s="4" t="str">
        <f>IFERROR(__xludf.DUMMYFUNCTION("GOOGLETRANSLATE(B559,""en"",""fi"")"),"Huom")</f>
        <v>Huom</v>
      </c>
      <c r="AI559" s="4" t="str">
        <f>IFERROR(__xludf.DUMMYFUNCTION("GOOGLETRANSLATE(B559,""en"",""hr"")"),"Bilješka")</f>
        <v>Bilješka</v>
      </c>
      <c r="AJ559" s="4" t="str">
        <f>IFERROR(__xludf.DUMMYFUNCTION("GOOGLETRANSLATE(B559,""en"",""hu"")"),"Jegyzet")</f>
        <v>Jegyzet</v>
      </c>
      <c r="AK559" s="4" t="str">
        <f>IFERROR(__xludf.DUMMYFUNCTION("GOOGLETRANSLATE(B559,""en"",""hy"")"),"Նշում")</f>
        <v>Նշում</v>
      </c>
      <c r="AL559" s="4" t="str">
        <f>IFERROR(__xludf.DUMMYFUNCTION("GOOGLETRANSLATE(B559,""en"",""ca"")"),"Nota")</f>
        <v>Nota</v>
      </c>
      <c r="AM559" s="4" t="str">
        <f>IFERROR(__xludf.DUMMYFUNCTION("GOOGLETRANSLATE(B559,""en"",""nl"")"),"Opmerking")</f>
        <v>Opmerking</v>
      </c>
      <c r="AN559" s="4" t="str">
        <f>IFERROR(__xludf.DUMMYFUNCTION("GOOGLETRANSLATE(B559,""en"",""he"")"),"פֶּתֶק")</f>
        <v>פֶּתֶק</v>
      </c>
      <c r="AO559" s="4" t="str">
        <f>IFERROR(__xludf.DUMMYFUNCTION("GOOGLETRANSLATE(B559,""en"",""is"")"),"Athugið")</f>
        <v>Athugið</v>
      </c>
      <c r="AP559" s="4" t="str">
        <f>IFERROR(__xludf.DUMMYFUNCTION("GOOGLETRANSLATE(B559,""en"",""no"")"),"Note")</f>
        <v>Note</v>
      </c>
      <c r="AQ559" s="4" t="str">
        <f>IFERROR(__xludf.DUMMYFUNCTION("GOOGLETRANSLATE(B559,""en"",""fa"")"),"توجه داشته باشید")</f>
        <v>توجه داشته باشید</v>
      </c>
      <c r="AR559" s="4" t="str">
        <f>IFERROR(__xludf.DUMMYFUNCTION("GOOGLETRANSLATE(B559,""en"",""pl"")"),"Notatka")</f>
        <v>Notatka</v>
      </c>
      <c r="AS559" s="4" t="str">
        <f>IFERROR(__xludf.DUMMYFUNCTION("GOOGLETRANSLATE(B559,""en"",""sv"")"),"Notera")</f>
        <v>Notera</v>
      </c>
      <c r="AT559" s="4" t="str">
        <f>IFERROR(__xludf.DUMMYFUNCTION("GOOGLETRANSLATE(B559,""en"",""uk"")"),"Примітка")</f>
        <v>Примітка</v>
      </c>
      <c r="AU559" s="4" t="str">
        <f>IFERROR(__xludf.DUMMYFUNCTION("GOOGLETRANSLATE(B559,""en"",""zu"")"),"Qaphela")</f>
        <v>Qaphela</v>
      </c>
      <c r="AV559" s="4" t="str">
        <f>IFERROR(__xludf.DUMMYFUNCTION("GOOGLETRANSLATE(B559,""en"",""sr"")"),"Напомена")</f>
        <v>Напомена</v>
      </c>
    </row>
    <row r="560">
      <c r="A560" s="3" t="s">
        <v>1071</v>
      </c>
      <c r="B560" s="3" t="s">
        <v>1072</v>
      </c>
      <c r="C560" s="4" t="str">
        <f>IFERROR(__xludf.DUMMYFUNCTION("GOOGLETRANSLATE(B560,""en"",""ta"")"),"படி பரிந்துரைகள் பொது சுகாதார வழிகாட்டுதல்கள் மற்றும் பிஎம்ஐ அடிப்படையிலானவை. மருத்துவ ஆலோசனை அல்ல. தனிப்பயனாக்கப்பட்ட வழிகாட்டுதலுக்கு சுகாதார நிபுணரை அணுகவும்.")</f>
        <v>படி பரிந்துரைகள் பொது சுகாதார வழிகாட்டுதல்கள் மற்றும் பிஎம்ஐ அடிப்படையிலானவை. மருத்துவ ஆலோசனை அல்ல. தனிப்பயனாக்கப்பட்ட வழிகாட்டுதலுக்கு சுகாதார நிபுணரை அணுகவும்.</v>
      </c>
      <c r="D560" s="4" t="str">
        <f>IFERROR(__xludf.DUMMYFUNCTION("GOOGLETRANSLATE(B560,""en"",""hi"")"),"चरण अनुशंसाएँ सामान्य स्वास्थ्य दिशा-निर्देशों और बीएमआई पर आधारित हैं। चिकित्सा सलाह नहीं। व्यक्तिगत मार्गदर्शन के लिए स्वास्थ्य सेवा पेशेवर से परामर्श करें।")</f>
        <v>चरण अनुशंसाएँ सामान्य स्वास्थ्य दिशा-निर्देशों और बीएमआई पर आधारित हैं। चिकित्सा सलाह नहीं। व्यक्तिगत मार्गदर्शन के लिए स्वास्थ्य सेवा पेशेवर से परामर्श करें।</v>
      </c>
      <c r="E560" s="4" t="str">
        <f>IFERROR(__xludf.DUMMYFUNCTION("GOOGLETRANSLATE(B560,""en"",""id"")"),"Rekomendasi langkah-langkah didasarkan pada pedoman kesehatan umum dan BMI. Bukan saran medis. Konsultasikan dengan tenaga kesehatan profesional untuk panduan yang lebih personal.")</f>
        <v>Rekomendasi langkah-langkah didasarkan pada pedoman kesehatan umum dan BMI. Bukan saran medis. Konsultasikan dengan tenaga kesehatan profesional untuk panduan yang lebih personal.</v>
      </c>
      <c r="F560" s="4" t="str">
        <f>IFERROR(__xludf.DUMMYFUNCTION("GOOGLETRANSLATE(B560,""en"",""ms"")"),"Cadangan langkah adalah berdasarkan garis panduan kesihatan am dan BMI. Bukan nasihat perubatan. Rujuk profesional penjagaan kesihatan untuk mendapatkan bimbingan yang diperibadikan.")</f>
        <v>Cadangan langkah adalah berdasarkan garis panduan kesihatan am dan BMI. Bukan nasihat perubatan. Rujuk profesional penjagaan kesihatan untuk mendapatkan bimbingan yang diperibadikan.</v>
      </c>
      <c r="G560" s="4" t="str">
        <f>IFERROR(__xludf.DUMMYFUNCTION("GOOGLETRANSLATE(B560,""en"",""de"")"),"Die Schrittempfehlungen basieren auf allgemeinen Gesundheitsrichtlinien und dem BMI. Sie stellen keine medizinische Beratung dar. Wenden Sie sich für eine individuelle Beratung an einen Arzt.")</f>
        <v>Die Schrittempfehlungen basieren auf allgemeinen Gesundheitsrichtlinien und dem BMI. Sie stellen keine medizinische Beratung dar. Wenden Sie sich für eine individuelle Beratung an einen Arzt.</v>
      </c>
      <c r="H560" s="4" t="str">
        <f>IFERROR(__xludf.DUMMYFUNCTION("GOOGLETRANSLATE(B560,""en"",""es"")"),"Las recomendaciones de pasos se basan en pautas generales de salud y el IMC. No son recomendaciones médicas. Consulte con un profesional de la salud para obtener orientación personalizada.")</f>
        <v>Las recomendaciones de pasos se basan en pautas generales de salud y el IMC. No son recomendaciones médicas. Consulte con un profesional de la salud para obtener orientación personalizada.</v>
      </c>
      <c r="I560" s="4" t="str">
        <f>IFERROR(__xludf.DUMMYFUNCTION("GOOGLETRANSLATE(B560,""en"",""fr"")"),"Les recommandations en matière de pas sont basées sur les recommandations générales de santé et l'IMC. Elles ne sont pas fondées sur un avis médical. Consultez un professionnel de santé pour un suivi personnalisé.")</f>
        <v>Les recommandations en matière de pas sont basées sur les recommandations générales de santé et l'IMC. Elles ne sont pas fondées sur un avis médical. Consultez un professionnel de santé pour un suivi personnalisé.</v>
      </c>
      <c r="J560" s="4" t="str">
        <f>IFERROR(__xludf.DUMMYFUNCTION("GOOGLETRANSLATE(B560,""en"",""it"")"),"I consigli sui passi da compiere si basano sulle linee guida generali sulla salute e sull'IMC. Non sono consigli medici. Consultare un medico per una consulenza personalizzata.")</f>
        <v>I consigli sui passi da compiere si basano sulle linee guida generali sulla salute e sull'IMC. Non sono consigli medici. Consultare un medico per una consulenza personalizzata.</v>
      </c>
      <c r="K560" s="4" t="str">
        <f>IFERROR(__xludf.DUMMYFUNCTION("GOOGLETRANSLATE(B560,""en"",""pt"")"),"As recomendações de medidas são baseadas em diretrizes gerais de saúde e no IMC. Não se referem a aconselhamento médico. Consulte um profissional de saúde para obter orientação personalizada.")</f>
        <v>As recomendações de medidas são baseadas em diretrizes gerais de saúde e no IMC. Não se referem a aconselhamento médico. Consulte um profissional de saúde para obter orientação personalizada.</v>
      </c>
      <c r="L560" s="4" t="str">
        <f>IFERROR(__xludf.DUMMYFUNCTION("GOOGLETRANSLATE(B560,""en"",""ro"")"),"Recomandările de pași se bazează pe liniile directoare generale de sănătate și pe IMC. Nu sfatul medical. Consultați un profesionist din domeniul sănătății pentru îndrumări personalizate.")</f>
        <v>Recomandările de pași se bazează pe liniile directoare generale de sănătate și pe IMC. Nu sfatul medical. Consultați un profesionist din domeniul sănătății pentru îndrumări personalizate.</v>
      </c>
      <c r="M560" s="4" t="str">
        <f>IFERROR(__xludf.DUMMYFUNCTION("GOOGLETRANSLATE(B560,""en"",""vi"")"),"Khuyến nghị về số bước dựa trên hướng dẫn sức khỏe chung và BMI. Không phải lời khuyên y khoa. Tham khảo ý kiến ​​chuyên gia chăm sóc sức khỏe để được hướng dẫn cá nhân.")</f>
        <v>Khuyến nghị về số bước dựa trên hướng dẫn sức khỏe chung và BMI. Không phải lời khuyên y khoa. Tham khảo ý kiến ​​chuyên gia chăm sóc sức khỏe để được hướng dẫn cá nhân.</v>
      </c>
      <c r="N560" s="4" t="str">
        <f>IFERROR(__xludf.DUMMYFUNCTION("GOOGLETRANSLATE(B560,""en"",""ru"")"),"Рекомендации по шагам основаны на общих рекомендациях по здоровью и ИМТ. Не являются медицинскими рекомендациями. Проконсультируйтесь с врачом для получения персонализированных рекомендаций.")</f>
        <v>Рекомендации по шагам основаны на общих рекомендациях по здоровью и ИМТ. Не являются медицинскими рекомендациями. Проконсультируйтесь с врачом для получения персонализированных рекомендаций.</v>
      </c>
      <c r="O560" s="4" t="str">
        <f>IFERROR(__xludf.DUMMYFUNCTION("GOOGLETRANSLATE(B560,""en"",""tr"")"),"Adım önerileri genel sağlık yönergelerine ve BMI'ye dayanmaktadır. Tıbbi tavsiye değildir. Kişiselleştirilmiş rehberlik için sağlık uzmanına danışın.")</f>
        <v>Adım önerileri genel sağlık yönergelerine ve BMI'ye dayanmaktadır. Tıbbi tavsiye değildir. Kişiselleştirilmiş rehberlik için sağlık uzmanına danışın.</v>
      </c>
      <c r="P560" s="4" t="str">
        <f>IFERROR(__xludf.DUMMYFUNCTION("GOOGLETRANSLATE(B560,""en"",""ar"")"),"تعتمد توصيات الخطوات على إرشادات الصحة العامة ومؤشر كتلة الجسم. وليست نصيحة طبية. استشر أخصائي الرعاية الصحية للحصول على إرشادات شخصية.")</f>
        <v>تعتمد توصيات الخطوات على إرشادات الصحة العامة ومؤشر كتلة الجسم. وليست نصيحة طبية. استشر أخصائي الرعاية الصحية للحصول على إرشادات شخصية.</v>
      </c>
      <c r="Q560" s="4" t="str">
        <f>IFERROR(__xludf.DUMMYFUNCTION("GOOGLETRANSLATE(B560,""en"",""mr"")"),"चरण शिफारसी सामान्य आरोग्य मार्गदर्शक तत्त्वे आणि BMI वर आधारित आहेत. वैद्यकीय सल्ला नाही. वैयक्तिक मार्गदर्शनासाठी आरोग्यसेवा व्यावसायिकांचा सल्ला घ्या.")</f>
        <v>चरण शिफारसी सामान्य आरोग्य मार्गदर्शक तत्त्वे आणि BMI वर आधारित आहेत. वैद्यकीय सल्ला नाही. वैयक्तिक मार्गदर्शनासाठी आरोग्यसेवा व्यावसायिकांचा सल्ला घ्या.</v>
      </c>
      <c r="R560" s="4" t="str">
        <f>IFERROR(__xludf.DUMMYFUNCTION("GOOGLETRANSLATE(B560,""en"",""gu"")"),"પગલાંની ભલામણો સામાન્ય આરોગ્ય માર્ગદર્શિકા અને BMI પર આધારિત છે. તબીબી સલાહ નથી. વ્યક્તિગત માર્ગદર્શન માટે હેલ્થકેર પ્રોફેશનલની સલાહ લો.")</f>
        <v>પગલાંની ભલામણો સામાન્ય આરોગ્ય માર્ગદર્શિકા અને BMI પર આધારિત છે. તબીબી સલાહ નથી. વ્યક્તિગત માર્ગદર્શન માટે હેલ્થકેર પ્રોફેશનલની સલાહ લો.</v>
      </c>
      <c r="S560" s="4" t="str">
        <f>IFERROR(__xludf.DUMMYFUNCTION("GOOGLETRANSLATE(B560,""en"",""bn"")"),"ধাপের সুপারিশগুলি সাধারণ স্বাস্থ্য নির্দেশিকা এবং BMI এর উপর ভিত্তি করে। ডাক্তারি পরামর্শ নয়। ব্যক্তিগত নির্দেশনার জন্য স্বাস্থ্যসেবা পেশাদারের সাথে পরামর্শ করুন।")</f>
        <v>ধাপের সুপারিশগুলি সাধারণ স্বাস্থ্য নির্দেশিকা এবং BMI এর উপর ভিত্তি করে। ডাক্তারি পরামর্শ নয়। ব্যক্তিগত নির্দেশনার জন্য স্বাস্থ্যসেবা পেশাদারের সাথে পরামর্শ করুন।</v>
      </c>
      <c r="T560" s="4" t="str">
        <f>IFERROR(__xludf.DUMMYFUNCTION("GOOGLETRANSLATE(B560,""en"",""pa"")"),"ਕਦਮ ਦੀਆਂ ਸਿਫ਼ਾਰਸ਼ਾਂ ਆਮ ਸਿਹਤ ਦਿਸ਼ਾ-ਨਿਰਦੇਸ਼ਾਂ ਅਤੇ BMI 'ਤੇ ਆਧਾਰਿਤ ਹਨ। ਡਾਕਟਰੀ ਸਲਾਹ ਨਹੀਂ। ਵਿਅਕਤੀਗਤ ਮਾਰਗਦਰਸ਼ਨ ਲਈ ਸਿਹਤ ਸੰਭਾਲ ਪੇਸ਼ੇਵਰ ਨਾਲ ਸਲਾਹ ਕਰੋ।")</f>
        <v>ਕਦਮ ਦੀਆਂ ਸਿਫ਼ਾਰਸ਼ਾਂ ਆਮ ਸਿਹਤ ਦਿਸ਼ਾ-ਨਿਰਦੇਸ਼ਾਂ ਅਤੇ BMI 'ਤੇ ਆਧਾਰਿਤ ਹਨ। ਡਾਕਟਰੀ ਸਲਾਹ ਨਹੀਂ। ਵਿਅਕਤੀਗਤ ਮਾਰਗਦਰਸ਼ਨ ਲਈ ਸਿਹਤ ਸੰਭਾਲ ਪੇਸ਼ੇਵਰ ਨਾਲ ਸਲਾਹ ਕਰੋ।</v>
      </c>
      <c r="U560" s="4" t="str">
        <f>IFERROR(__xludf.DUMMYFUNCTION("GOOGLETRANSLATE(B560,""en"",""te"")"),"దశల సిఫార్సులు సాధారణ ఆరోగ్య మార్గదర్శకాలు మరియు BMI ఆధారంగా ఉంటాయి. వైద్య సలహా కాదు. వ్యక్తిగతీకరించిన మార్గదర్శకత్వం కోసం ఆరోగ్య సంరక్షణ నిపుణులను సంప్రదించండి.")</f>
        <v>దశల సిఫార్సులు సాధారణ ఆరోగ్య మార్గదర్శకాలు మరియు BMI ఆధారంగా ఉంటాయి. వైద్య సలహా కాదు. వ్యక్తిగతీకరించిన మార్గదర్శకత్వం కోసం ఆరోగ్య సంరక్షణ నిపుణులను సంప్రదించండి.</v>
      </c>
      <c r="V560" s="4" t="str">
        <f>IFERROR(__xludf.DUMMYFUNCTION("GOOGLETRANSLATE(B560,""en"",""kn"")"),"ಹಂತದ ಶಿಫಾರಸುಗಳು ಸಾಮಾನ್ಯ ಆರೋಗ್ಯ ಮಾರ್ಗಸೂಚಿಗಳು ಮತ್ತು BMI ಅನ್ನು ಆಧರಿಸಿವೆ. ವೈದ್ಯಕೀಯ ಸಲಹೆಯಲ್ಲ. ವೈಯಕ್ತೀಕರಿಸಿದ ಮಾರ್ಗದರ್ಶನಕ್ಕಾಗಿ ಆರೋಗ್ಯ ವೃತ್ತಿಪರರನ್ನು ಸಂಪರ್ಕಿಸಿ.")</f>
        <v>ಹಂತದ ಶಿಫಾರಸುಗಳು ಸಾಮಾನ್ಯ ಆರೋಗ್ಯ ಮಾರ್ಗಸೂಚಿಗಳು ಮತ್ತು BMI ಅನ್ನು ಆಧರಿಸಿವೆ. ವೈದ್ಯಕೀಯ ಸಲಹೆಯಲ್ಲ. ವೈಯಕ್ತೀಕರಿಸಿದ ಮಾರ್ಗದರ್ಶನಕ್ಕಾಗಿ ಆರೋಗ್ಯ ವೃತ್ತಿಪರರನ್ನು ಸಂಪರ್ಕಿಸಿ.</v>
      </c>
      <c r="W560" s="4" t="str">
        <f>IFERROR(__xludf.DUMMYFUNCTION("GOOGLETRANSLATE(B560,""en"",""ml"")"),"പൊതു ആരോഗ്യ മാർഗ്ഗനിർദ്ദേശങ്ങളെയും ബിഎംഐയെയും അടിസ്ഥാനമാക്കിയുള്ളതാണ് ഘട്ട നിർദ്ദേശങ്ങൾ. മെഡിക്കൽ ഉപദേശമല്ല. വ്യക്തിഗത മാർഗനിർദേശത്തിനായി ആരോഗ്യപരിചരണ വിദഗ്ധനെ സമീപിക്കുക.")</f>
        <v>പൊതു ആരോഗ്യ മാർഗ്ഗനിർദ്ദേശങ്ങളെയും ബിഎംഐയെയും അടിസ്ഥാനമാക്കിയുള്ളതാണ് ഘട്ട നിർദ്ദേശങ്ങൾ. മെഡിക്കൽ ഉപദേശമല്ല. വ്യക്തിഗത മാർഗനിർദേശത്തിനായി ആരോഗ്യപരിചരണ വിദഗ്ധനെ സമീപിക്കുക.</v>
      </c>
      <c r="X560" s="4" t="str">
        <f>IFERROR(__xludf.DUMMYFUNCTION("GOOGLETRANSLATE(B560,""en"",""th"")"),"คำแนะนำในการก้าวเดินนั้นขึ้นอยู่กับหลักเกณฑ์ด้านสุขภาพทั่วไปและดัชนีมวลกาย ไม่ใช่คำแนะนำทางการแพทย์ โปรดปรึกษาผู้เชี่ยวชาญด้านการดูแลสุขภาพเพื่อขอคำแนะนำเฉพาะบุคคล")</f>
        <v>คำแนะนำในการก้าวเดินนั้นขึ้นอยู่กับหลักเกณฑ์ด้านสุขภาพทั่วไปและดัชนีมวลกาย ไม่ใช่คำแนะนำทางการแพทย์ โปรดปรึกษาผู้เชี่ยวชาญด้านการดูแลสุขภาพเพื่อขอคำแนะนำเฉพาะบุคคล</v>
      </c>
      <c r="Y560" s="4" t="str">
        <f>IFERROR(__xludf.DUMMYFUNCTION("GOOGLETRANSLATE(B560,""en"",""ko"")"),"걸음걸이 권장 사항은 일반적인 건강 지침과 체질량 지수(BMI)를 기준으로 합니다. 의학적 조언이 아닙니다. 개인별 맞춤 지침은 의료 전문가와 상담하세요.")</f>
        <v>걸음걸이 권장 사항은 일반적인 건강 지침과 체질량 지수(BMI)를 기준으로 합니다. 의학적 조언이 아닙니다. 개인별 맞춤 지침은 의료 전문가와 상담하세요.</v>
      </c>
      <c r="Z560" s="4" t="str">
        <f>IFERROR(__xludf.DUMMYFUNCTION("GOOGLETRANSLATE(B560,""en"",""zh"")"),"步数建议基于一般健康指南和 BMI，并非医疗建议。请咨询医疗保健专业人士，获取个性化指导。")</f>
        <v>步数建议基于一般健康指南和 BMI，并非医疗建议。请咨询医疗保健专业人士，获取个性化指导。</v>
      </c>
      <c r="AA560" s="4" t="str">
        <f>IFERROR(__xludf.DUMMYFUNCTION("GOOGLETRANSLATE(B560,""en"",""zh-TW"")"),"步數建議基於一般健康指南和 BMI，並非醫療建議。請諮詢醫療保健專業人士，以取得個人化指導。")</f>
        <v>步數建議基於一般健康指南和 BMI，並非醫療建議。請諮詢醫療保健專業人士，以取得個人化指導。</v>
      </c>
      <c r="AB560" s="4" t="str">
        <f>IFERROR(__xludf.DUMMYFUNCTION("GOOGLETRANSLATE(B560,""en"",""ja"")"),"推奨歩数は一般的な健康ガイドラインとBMIに基づいています。医学的なアドバイスではありません。個別のガイダンスについては、医療専門家にご相談ください。")</f>
        <v>推奨歩数は一般的な健康ガイドラインとBMIに基づいています。医学的なアドバイスではありません。個別のガイダンスについては、医療専門家にご相談ください。</v>
      </c>
      <c r="AC560" s="4" t="str">
        <f>IFERROR(__xludf.DUMMYFUNCTION("GOOGLETRANSLATE(B560,""en"",""bg"")"),"Препоръките за стъпки се основават на общи здравни указания и ИТМ. Не медицински съвет. Консултирайте се със здравен специалист за персонализирани насоки.")</f>
        <v>Препоръките за стъпки се основават на общи здравни указания и ИТМ. Не медицински съвет. Консултирайте се със здравен специалист за персонализирани насоки.</v>
      </c>
      <c r="AD560" s="4" t="str">
        <f>IFERROR(__xludf.DUMMYFUNCTION("GOOGLETRANSLATE(B560,""en"",""cs"")"),"Doporučení kroků jsou založena na obecných zdravotních pokynech a BMI. Ne lékařskou radu. Poraďte se se zdravotníkem, který vám poskytne individuální poradenství.")</f>
        <v>Doporučení kroků jsou založena na obecných zdravotních pokynech a BMI. Ne lékařskou radu. Poraďte se se zdravotníkem, který vám poskytne individuální poradenství.</v>
      </c>
      <c r="AE560" s="4" t="str">
        <f>IFERROR(__xludf.DUMMYFUNCTION("GOOGLETRANSLATE(B560,""en"",""da"")"),"Trinanbefalinger er baseret på generelle sundhedsretningslinjer og BMI. Ikke lægeråd. Kontakt sundhedspersonalet for personlig vejledning.")</f>
        <v>Trinanbefalinger er baseret på generelle sundhedsretningslinjer og BMI. Ikke lægeråd. Kontakt sundhedspersonalet for personlig vejledning.</v>
      </c>
      <c r="AF560" s="4" t="str">
        <f>IFERROR(__xludf.DUMMYFUNCTION("GOOGLETRANSLATE(B560,""en"",""el"")"),"Οι συστάσεις για τα βήματα βασίζονται σε γενικές οδηγίες υγείας και ΔΜΣ. Όχι ιατρική συμβουλή. Συμβουλευτείτε έναν επαγγελματία υγείας για εξατομικευμένη καθοδήγηση.")</f>
        <v>Οι συστάσεις για τα βήματα βασίζονται σε γενικές οδηγίες υγείας και ΔΜΣ. Όχι ιατρική συμβουλή. Συμβουλευτείτε έναν επαγγελματία υγείας για εξατομικευμένη καθοδήγηση.</v>
      </c>
      <c r="AG560" s="4" t="str">
        <f>IFERROR(__xludf.DUMMYFUNCTION("GOOGLETRANSLATE(B560,""en"",""et"")"),"Sammusoovitused põhinevad üldistel tervisejuhistel ja KMI-l. Mitte meditsiiniline nõuanne. Isikupärastatud juhiste saamiseks konsulteerige tervishoiutöötajaga.")</f>
        <v>Sammusoovitused põhinevad üldistel tervisejuhistel ja KMI-l. Mitte meditsiiniline nõuanne. Isikupärastatud juhiste saamiseks konsulteerige tervishoiutöötajaga.</v>
      </c>
      <c r="AH560" s="4" t="str">
        <f>IFERROR(__xludf.DUMMYFUNCTION("GOOGLETRANSLATE(B560,""en"",""fi"")"),"Askelsuositukset perustuvat yleisiin terveyssuosituksiin ja BMI:hen. Ei lääkärin neuvoja. Pyydä henkilökohtaista ohjausta terveydenhuollon ammattilaiselta.")</f>
        <v>Askelsuositukset perustuvat yleisiin terveyssuosituksiin ja BMI:hen. Ei lääkärin neuvoja. Pyydä henkilökohtaista ohjausta terveydenhuollon ammattilaiselta.</v>
      </c>
      <c r="AI560" s="4" t="str">
        <f>IFERROR(__xludf.DUMMYFUNCTION("GOOGLETRANSLATE(B560,""en"",""hr"")"),"Preporuke koraka temelje se na općim zdravstvenim smjernicama i BMI-u. Ne medicinski savjet. Obratite se zdravstvenom djelatniku za personalizirane upute.")</f>
        <v>Preporuke koraka temelje se na općim zdravstvenim smjernicama i BMI-u. Ne medicinski savjet. Obratite se zdravstvenom djelatniku za personalizirane upute.</v>
      </c>
      <c r="AJ560" s="4" t="str">
        <f>IFERROR(__xludf.DUMMYFUNCTION("GOOGLETRANSLATE(B560,""en"",""hu"")"),"A lépésekre vonatkozó ajánlások az általános egészségügyi irányelveken és a BMI-n alapulnak. Nem orvosi tanács. Személyre szabott útmutatásért forduljon egészségügyi szakemberhez.")</f>
        <v>A lépésekre vonatkozó ajánlások az általános egészségügyi irányelveken és a BMI-n alapulnak. Nem orvosi tanács. Személyre szabott útmutatásért forduljon egészségügyi szakemberhez.</v>
      </c>
      <c r="AK560" s="4" t="str">
        <f>IFERROR(__xludf.DUMMYFUNCTION("GOOGLETRANSLATE(B560,""en"",""hy"")"),"Քայլերի առաջարկությունները հիմնված են ընդհանուր առողջության ուղեցույցների և BMI-ի վրա: Ոչ բժշկական խորհրդատվություն: Անհատականացված առաջնորդության համար դիմեք առողջապահության մասնագետին:")</f>
        <v>Քայլերի առաջարկությունները հիմնված են ընդհանուր առողջության ուղեցույցների և BMI-ի վրա: Ոչ բժշկական խորհրդատվություն: Անհատականացված առաջնորդության համար դիմեք առողջապահության մասնագետին:</v>
      </c>
      <c r="AL560" s="4" t="str">
        <f>IFERROR(__xludf.DUMMYFUNCTION("GOOGLETRANSLATE(B560,""en"",""ca"")"),"Les recomanacions de passos es basen en les directrius generals de salut i l'IMC. No consell mèdic. Consulteu un professional sanitari per a una orientació personalitzada.")</f>
        <v>Les recomanacions de passos es basen en les directrius generals de salut i l'IMC. No consell mèdic. Consulteu un professional sanitari per a una orientació personalitzada.</v>
      </c>
      <c r="AM560" s="4" t="str">
        <f>IFERROR(__xludf.DUMMYFUNCTION("GOOGLETRANSLATE(B560,""en"",""nl"")"),"De stappenaanbevelingen zijn gebaseerd op algemene gezondheidsrichtlijnen en BMI. Geen medisch advies. Raadpleeg een zorgverlener voor persoonlijk advies.")</f>
        <v>De stappenaanbevelingen zijn gebaseerd op algemene gezondheidsrichtlijnen en BMI. Geen medisch advies. Raadpleeg een zorgverlener voor persoonlijk advies.</v>
      </c>
      <c r="AN560" s="4" t="str">
        <f>IFERROR(__xludf.DUMMYFUNCTION("GOOGLETRANSLATE(B560,""en"",""he"")"),"המלצות השלבים מבוססות על הנחיות בריאות כלליות ו-BMI. לא ייעוץ רפואי. התייעץ עם איש מקצוע בתחום הבריאות לקבלת הדרכה מותאמת אישית.")</f>
        <v>המלצות השלבים מבוססות על הנחיות בריאות כלליות ו-BMI. לא ייעוץ רפואי. התייעץ עם איש מקצוע בתחום הבריאות לקבלת הדרכה מותאמת אישית.</v>
      </c>
      <c r="AO560" s="4" t="str">
        <f>IFERROR(__xludf.DUMMYFUNCTION("GOOGLETRANSLATE(B560,""en"",""is"")"),"Ráðleggingar um skref eru byggðar á almennum heilsufarsleiðbeiningum og BMI. Ekki læknisráð. Hafðu samband við heilbrigðisstarfsmann til að fá persónulega leiðbeiningar.")</f>
        <v>Ráðleggingar um skref eru byggðar á almennum heilsufarsleiðbeiningum og BMI. Ekki læknisráð. Hafðu samband við heilbrigðisstarfsmann til að fá persónulega leiðbeiningar.</v>
      </c>
      <c r="AP560" s="4" t="str">
        <f>IFERROR(__xludf.DUMMYFUNCTION("GOOGLETRANSLATE(B560,""en"",""no"")"),"Trinnanbefalinger er basert på generelle helseretningslinjer og BMI. Ikke medisinsk råd. Rådfør deg med helsepersonell for personlig veiledning.")</f>
        <v>Trinnanbefalinger er basert på generelle helseretningslinjer og BMI. Ikke medisinsk råd. Rådfør deg med helsepersonell for personlig veiledning.</v>
      </c>
      <c r="AQ560" s="4" t="str">
        <f>IFERROR(__xludf.DUMMYFUNCTION("GOOGLETRANSLATE(B560,""en"",""fa"")"),"توصیه های مرحله بر اساس دستورالعمل های سلامت عمومی و BMI است. توصیه پزشکی نیست برای راهنمایی شخصی با متخصص مراقبت های بهداشتی مشورت کنید.")</f>
        <v>توصیه های مرحله بر اساس دستورالعمل های سلامت عمومی و BMI است. توصیه پزشکی نیست برای راهنمایی شخصی با متخصص مراقبت های بهداشتی مشورت کنید.</v>
      </c>
      <c r="AR560" s="4" t="str">
        <f>IFERROR(__xludf.DUMMYFUNCTION("GOOGLETRANSLATE(B560,""en"",""pl"")"),"Zalecenia dotyczące kroków opierają się na ogólnych wytycznych dotyczących zdrowia i BMI. Nie są poradą medyczną. Skonsultuj się z pracownikiem służby zdrowia, aby uzyskać spersonalizowane wskazówki.")</f>
        <v>Zalecenia dotyczące kroków opierają się na ogólnych wytycznych dotyczących zdrowia i BMI. Nie są poradą medyczną. Skonsultuj się z pracownikiem służby zdrowia, aby uzyskać spersonalizowane wskazówki.</v>
      </c>
      <c r="AS560" s="4" t="str">
        <f>IFERROR(__xludf.DUMMYFUNCTION("GOOGLETRANSLATE(B560,""en"",""sv"")"),"Stegrekommendationer baseras på allmänna hälsoriktlinjer och BMI. Inte medicinsk rådgivning. Kontakta sjukvårdspersonal för personlig vägledning.")</f>
        <v>Stegrekommendationer baseras på allmänna hälsoriktlinjer och BMI. Inte medicinsk rådgivning. Kontakta sjukvårdspersonal för personlig vägledning.</v>
      </c>
      <c r="AT560" s="4" t="str">
        <f>IFERROR(__xludf.DUMMYFUNCTION("GOOGLETRANSLATE(B560,""en"",""uk"")"),"Рекомендації щодо кроків базуються на загальних рекомендаціях щодо здоров’я та ІМТ. Не медична порада. Зверніться до медичного працівника для отримання індивідуальних рекомендацій.")</f>
        <v>Рекомендації щодо кроків базуються на загальних рекомендаціях щодо здоров’я та ІМТ. Не медична порада. Зверніться до медичного працівника для отримання індивідуальних рекомендацій.</v>
      </c>
      <c r="AU560" s="4" t="str">
        <f>IFERROR(__xludf.DUMMYFUNCTION("GOOGLETRANSLATE(B560,""en"",""zu"")"),"Izincomo zezinyathelo zisekelwe kumhlahlandlela wezempilo jikelele kanye ne-BMI. Akusona iseluleko sezokwelapha. Xhumana nochwepheshe bezokunakekelwa kwempilo ukuze uthole isiqondiso esiqondene nawe.")</f>
        <v>Izincomo zezinyathelo zisekelwe kumhlahlandlela wezempilo jikelele kanye ne-BMI. Akusona iseluleko sezokwelapha. Xhumana nochwepheshe bezokunakekelwa kwempilo ukuze uthole isiqondiso esiqondene nawe.</v>
      </c>
      <c r="AV560" s="4" t="str">
        <f>IFERROR(__xludf.DUMMYFUNCTION("GOOGLETRANSLATE(B560,""en"",""sr"")"),"Препоруке корака су засноване на општим здравственим смерницама и БМИ. Није медицински савет. Консултујте здравственог радника за персонализовано упутство.")</f>
        <v>Препоруке корака су засноване на општим здравственим смерницама и БМИ. Није медицински савет. Консултујте здравственог радника за персонализовано упутство.</v>
      </c>
    </row>
    <row r="561">
      <c r="A561" s="3" t="s">
        <v>1073</v>
      </c>
      <c r="B561" s="3" t="s">
        <v>1074</v>
      </c>
      <c r="C561" s="4" t="str">
        <f>IFERROR(__xludf.DUMMYFUNCTION("GOOGLETRANSLATE(B561,""en"",""ta"")"),"கிடைத்தது")</f>
        <v>கிடைத்தது</v>
      </c>
      <c r="D561" s="4" t="str">
        <f>IFERROR(__xludf.DUMMYFUNCTION("GOOGLETRANSLATE(B561,""en"",""hi"")"),"समझ गया")</f>
        <v>समझ गया</v>
      </c>
      <c r="E561" s="4" t="str">
        <f>IFERROR(__xludf.DUMMYFUNCTION("GOOGLETRANSLATE(B561,""en"",""id"")"),"Mengerti")</f>
        <v>Mengerti</v>
      </c>
      <c r="F561" s="4" t="str">
        <f>IFERROR(__xludf.DUMMYFUNCTION("GOOGLETRANSLATE(B561,""en"",""ms"")"),"faham")</f>
        <v>faham</v>
      </c>
      <c r="G561" s="4" t="str">
        <f>IFERROR(__xludf.DUMMYFUNCTION("GOOGLETRANSLATE(B561,""en"",""de"")"),"Habe es")</f>
        <v>Habe es</v>
      </c>
      <c r="H561" s="4" t="str">
        <f>IFERROR(__xludf.DUMMYFUNCTION("GOOGLETRANSLATE(B561,""en"",""es"")"),"Entiendo")</f>
        <v>Entiendo</v>
      </c>
      <c r="I561" s="4" t="str">
        <f>IFERROR(__xludf.DUMMYFUNCTION("GOOGLETRANSLATE(B561,""en"",""fr"")"),"J'ai compris")</f>
        <v>J'ai compris</v>
      </c>
      <c r="J561" s="4" t="str">
        <f>IFERROR(__xludf.DUMMYFUNCTION("GOOGLETRANSLATE(B561,""en"",""it"")"),"Fatto")</f>
        <v>Fatto</v>
      </c>
      <c r="K561" s="4" t="str">
        <f>IFERROR(__xludf.DUMMYFUNCTION("GOOGLETRANSLATE(B561,""en"",""pt"")"),"Entendi")</f>
        <v>Entendi</v>
      </c>
      <c r="L561" s="4" t="str">
        <f>IFERROR(__xludf.DUMMYFUNCTION("GOOGLETRANSLATE(B561,""en"",""ro"")"),"Am înţeles")</f>
        <v>Am înţeles</v>
      </c>
      <c r="M561" s="4" t="str">
        <f>IFERROR(__xludf.DUMMYFUNCTION("GOOGLETRANSLATE(B561,""en"",""vi"")"),"Hiểu rồi")</f>
        <v>Hiểu rồi</v>
      </c>
      <c r="N561" s="4" t="str">
        <f>IFERROR(__xludf.DUMMYFUNCTION("GOOGLETRANSLATE(B561,""en"",""ru"")"),"Понятно")</f>
        <v>Понятно</v>
      </c>
      <c r="O561" s="4" t="str">
        <f>IFERROR(__xludf.DUMMYFUNCTION("GOOGLETRANSLATE(B561,""en"",""tr"")"),"Anladım")</f>
        <v>Anladım</v>
      </c>
      <c r="P561" s="4" t="str">
        <f>IFERROR(__xludf.DUMMYFUNCTION("GOOGLETRANSLATE(B561,""en"",""ar"")"),"فهمتها")</f>
        <v>فهمتها</v>
      </c>
      <c r="Q561" s="4" t="str">
        <f>IFERROR(__xludf.DUMMYFUNCTION("GOOGLETRANSLATE(B561,""en"",""mr"")"),"समजले")</f>
        <v>समजले</v>
      </c>
      <c r="R561" s="4" t="str">
        <f>IFERROR(__xludf.DUMMYFUNCTION("GOOGLETRANSLATE(B561,""en"",""gu"")"),"સમજાયું")</f>
        <v>સમજાયું</v>
      </c>
      <c r="S561" s="4" t="str">
        <f>IFERROR(__xludf.DUMMYFUNCTION("GOOGLETRANSLATE(B561,""en"",""bn"")"),"বুঝেছি")</f>
        <v>বুঝেছি</v>
      </c>
      <c r="T561" s="4" t="str">
        <f>IFERROR(__xludf.DUMMYFUNCTION("GOOGLETRANSLATE(B561,""en"",""pa"")"),"ਮਿਲ ਗਿਆ")</f>
        <v>ਮਿਲ ਗਿਆ</v>
      </c>
      <c r="U561" s="4" t="str">
        <f>IFERROR(__xludf.DUMMYFUNCTION("GOOGLETRANSLATE(B561,""en"",""te"")"),"అర్థమైంది")</f>
        <v>అర్థమైంది</v>
      </c>
      <c r="V561" s="4" t="str">
        <f>IFERROR(__xludf.DUMMYFUNCTION("GOOGLETRANSLATE(B561,""en"",""kn"")"),"ಅರ್ಥವಾಯಿತು")</f>
        <v>ಅರ್ಥವಾಯಿತು</v>
      </c>
      <c r="W561" s="4" t="str">
        <f>IFERROR(__xludf.DUMMYFUNCTION("GOOGLETRANSLATE(B561,""en"",""ml"")"),"മനസ്സിലായി")</f>
        <v>മനസ്സിലായി</v>
      </c>
      <c r="X561" s="4" t="str">
        <f>IFERROR(__xludf.DUMMYFUNCTION("GOOGLETRANSLATE(B561,""en"",""th"")"),"เข้าใจแล้ว")</f>
        <v>เข้าใจแล้ว</v>
      </c>
      <c r="Y561" s="4" t="str">
        <f>IFERROR(__xludf.DUMMYFUNCTION("GOOGLETRANSLATE(B561,""en"",""ko"")"),"알았어요")</f>
        <v>알았어요</v>
      </c>
      <c r="Z561" s="4" t="str">
        <f>IFERROR(__xludf.DUMMYFUNCTION("GOOGLETRANSLATE(B561,""en"",""zh"")"),"知道了")</f>
        <v>知道了</v>
      </c>
      <c r="AA561" s="4" t="str">
        <f>IFERROR(__xludf.DUMMYFUNCTION("GOOGLETRANSLATE(B561,""en"",""zh-TW"")"),"知道了")</f>
        <v>知道了</v>
      </c>
      <c r="AB561" s="4" t="str">
        <f>IFERROR(__xludf.DUMMYFUNCTION("GOOGLETRANSLATE(B561,""en"",""ja"")"),"わかった")</f>
        <v>わかった</v>
      </c>
      <c r="AC561" s="4" t="str">
        <f>IFERROR(__xludf.DUMMYFUNCTION("GOOGLETRANSLATE(B561,""en"",""bg"")"),"разбрах")</f>
        <v>разбрах</v>
      </c>
      <c r="AD561" s="4" t="str">
        <f>IFERROR(__xludf.DUMMYFUNCTION("GOOGLETRANSLATE(B561,""en"",""cs"")"),"Rozumím")</f>
        <v>Rozumím</v>
      </c>
      <c r="AE561" s="4" t="str">
        <f>IFERROR(__xludf.DUMMYFUNCTION("GOOGLETRANSLATE(B561,""en"",""da"")"),"Forstår det")</f>
        <v>Forstår det</v>
      </c>
      <c r="AF561" s="4" t="str">
        <f>IFERROR(__xludf.DUMMYFUNCTION("GOOGLETRANSLATE(B561,""en"",""el"")"),"Κατάλαβα")</f>
        <v>Κατάλαβα</v>
      </c>
      <c r="AG561" s="4" t="str">
        <f>IFERROR(__xludf.DUMMYFUNCTION("GOOGLETRANSLATE(B561,""en"",""et"")"),"Sain aru")</f>
        <v>Sain aru</v>
      </c>
      <c r="AH561" s="4" t="str">
        <f>IFERROR(__xludf.DUMMYFUNCTION("GOOGLETRANSLATE(B561,""en"",""fi"")"),"Selvä")</f>
        <v>Selvä</v>
      </c>
      <c r="AI561" s="4" t="str">
        <f>IFERROR(__xludf.DUMMYFUNCTION("GOOGLETRANSLATE(B561,""en"",""hr"")"),"shvaćam")</f>
        <v>shvaćam</v>
      </c>
      <c r="AJ561" s="4" t="str">
        <f>IFERROR(__xludf.DUMMYFUNCTION("GOOGLETRANSLATE(B561,""en"",""hu"")"),"Értem")</f>
        <v>Értem</v>
      </c>
      <c r="AK561" s="4" t="str">
        <f>IFERROR(__xludf.DUMMYFUNCTION("GOOGLETRANSLATE(B561,""en"",""hy"")"),"Հասկացա")</f>
        <v>Հասկացա</v>
      </c>
      <c r="AL561" s="4" t="str">
        <f>IFERROR(__xludf.DUMMYFUNCTION("GOOGLETRANSLATE(B561,""en"",""ca"")"),"Ho entenc")</f>
        <v>Ho entenc</v>
      </c>
      <c r="AM561" s="4" t="str">
        <f>IFERROR(__xludf.DUMMYFUNCTION("GOOGLETRANSLATE(B561,""en"",""nl"")"),"Ik heb het")</f>
        <v>Ik heb het</v>
      </c>
      <c r="AN561" s="4" t="str">
        <f>IFERROR(__xludf.DUMMYFUNCTION("GOOGLETRANSLATE(B561,""en"",""he"")"),"הבנתי")</f>
        <v>הבנתי</v>
      </c>
      <c r="AO561" s="4" t="str">
        <f>IFERROR(__xludf.DUMMYFUNCTION("GOOGLETRANSLATE(B561,""en"",""is"")"),"Náði því")</f>
        <v>Náði því</v>
      </c>
      <c r="AP561" s="4" t="str">
        <f>IFERROR(__xludf.DUMMYFUNCTION("GOOGLETRANSLATE(B561,""en"",""no"")"),"Skjønner det")</f>
        <v>Skjønner det</v>
      </c>
      <c r="AQ561" s="4" t="str">
        <f>IFERROR(__xludf.DUMMYFUNCTION("GOOGLETRANSLATE(B561,""en"",""fa"")"),"متوجه شدم")</f>
        <v>متوجه شدم</v>
      </c>
      <c r="AR561" s="4" t="str">
        <f>IFERROR(__xludf.DUMMYFUNCTION("GOOGLETRANSLATE(B561,""en"",""pl"")"),"Zrozumiałem")</f>
        <v>Zrozumiałem</v>
      </c>
      <c r="AS561" s="4" t="str">
        <f>IFERROR(__xludf.DUMMYFUNCTION("GOOGLETRANSLATE(B561,""en"",""sv"")"),"Jag förstår")</f>
        <v>Jag förstår</v>
      </c>
      <c r="AT561" s="4" t="str">
        <f>IFERROR(__xludf.DUMMYFUNCTION("GOOGLETRANSLATE(B561,""en"",""uk"")"),"зрозумів")</f>
        <v>зрозумів</v>
      </c>
      <c r="AU561" s="4" t="str">
        <f>IFERROR(__xludf.DUMMYFUNCTION("GOOGLETRANSLATE(B561,""en"",""zu"")"),"Ngiyitholile")</f>
        <v>Ngiyitholile</v>
      </c>
      <c r="AV561" s="4" t="str">
        <f>IFERROR(__xludf.DUMMYFUNCTION("GOOGLETRANSLATE(B561,""en"",""sr"")"),"Схватио сам")</f>
        <v>Схватио сам</v>
      </c>
    </row>
    <row r="562">
      <c r="A562" s="3" t="s">
        <v>1075</v>
      </c>
      <c r="B562" s="3" t="s">
        <v>1076</v>
      </c>
      <c r="C562" s="4" t="str">
        <f>IFERROR(__xludf.DUMMYFUNCTION("GOOGLETRANSLATE(B562,""en"",""ta"")"),"படிகளை கணக்கிடுங்கள்")</f>
        <v>படிகளை கணக்கிடுங்கள்</v>
      </c>
      <c r="D562" s="4" t="str">
        <f>IFERROR(__xludf.DUMMYFUNCTION("GOOGLETRANSLATE(B562,""en"",""hi"")"),"चरणों की गणना करें")</f>
        <v>चरणों की गणना करें</v>
      </c>
      <c r="E562" s="4" t="str">
        <f>IFERROR(__xludf.DUMMYFUNCTION("GOOGLETRANSLATE(B562,""en"",""id"")"),"Hitung Langkah")</f>
        <v>Hitung Langkah</v>
      </c>
      <c r="F562" s="4" t="str">
        <f>IFERROR(__xludf.DUMMYFUNCTION("GOOGLETRANSLATE(B562,""en"",""ms"")"),"Kira Langkah")</f>
        <v>Kira Langkah</v>
      </c>
      <c r="G562" s="4" t="str">
        <f>IFERROR(__xludf.DUMMYFUNCTION("GOOGLETRANSLATE(B562,""en"",""de"")"),"Schritte berechnen")</f>
        <v>Schritte berechnen</v>
      </c>
      <c r="H562" s="4" t="str">
        <f>IFERROR(__xludf.DUMMYFUNCTION("GOOGLETRANSLATE(B562,""en"",""es"")"),"Calcular pasos")</f>
        <v>Calcular pasos</v>
      </c>
      <c r="I562" s="4" t="str">
        <f>IFERROR(__xludf.DUMMYFUNCTION("GOOGLETRANSLATE(B562,""en"",""fr"")"),"Calculer les pas")</f>
        <v>Calculer les pas</v>
      </c>
      <c r="J562" s="4" t="str">
        <f>IFERROR(__xludf.DUMMYFUNCTION("GOOGLETRANSLATE(B562,""en"",""it"")"),"Calcola i passaggi")</f>
        <v>Calcola i passaggi</v>
      </c>
      <c r="K562" s="4" t="str">
        <f>IFERROR(__xludf.DUMMYFUNCTION("GOOGLETRANSLATE(B562,""en"",""pt"")"),"Calcular Passos")</f>
        <v>Calcular Passos</v>
      </c>
      <c r="L562" s="4" t="str">
        <f>IFERROR(__xludf.DUMMYFUNCTION("GOOGLETRANSLATE(B562,""en"",""ro"")"),"Calculați pașii")</f>
        <v>Calculați pașii</v>
      </c>
      <c r="M562" s="4" t="str">
        <f>IFERROR(__xludf.DUMMYFUNCTION("GOOGLETRANSLATE(B562,""en"",""vi"")"),"Tính toán các bước")</f>
        <v>Tính toán các bước</v>
      </c>
      <c r="N562" s="4" t="str">
        <f>IFERROR(__xludf.DUMMYFUNCTION("GOOGLETRANSLATE(B562,""en"",""ru"")"),"Рассчитать шаги")</f>
        <v>Рассчитать шаги</v>
      </c>
      <c r="O562" s="4" t="str">
        <f>IFERROR(__xludf.DUMMYFUNCTION("GOOGLETRANSLATE(B562,""en"",""tr"")"),"Adımları Hesapla")</f>
        <v>Adımları Hesapla</v>
      </c>
      <c r="P562" s="4" t="str">
        <f>IFERROR(__xludf.DUMMYFUNCTION("GOOGLETRANSLATE(B562,""en"",""ar"")"),"حساب الخطوات")</f>
        <v>حساب الخطوات</v>
      </c>
      <c r="Q562" s="4" t="str">
        <f>IFERROR(__xludf.DUMMYFUNCTION("GOOGLETRANSLATE(B562,""en"",""mr"")"),"चरणांची गणना करा")</f>
        <v>चरणांची गणना करा</v>
      </c>
      <c r="R562" s="4" t="str">
        <f>IFERROR(__xludf.DUMMYFUNCTION("GOOGLETRANSLATE(B562,""en"",""gu"")"),"પગલાંની ગણતરી કરો")</f>
        <v>પગલાંની ગણતરી કરો</v>
      </c>
      <c r="S562" s="4" t="str">
        <f>IFERROR(__xludf.DUMMYFUNCTION("GOOGLETRANSLATE(B562,""en"",""bn"")"),"ধাপ গণনা করুন")</f>
        <v>ধাপ গণনা করুন</v>
      </c>
      <c r="T562" s="4" t="str">
        <f>IFERROR(__xludf.DUMMYFUNCTION("GOOGLETRANSLATE(B562,""en"",""pa"")"),"ਕਦਮਾਂ ਦੀ ਗਣਨਾ ਕਰੋ")</f>
        <v>ਕਦਮਾਂ ਦੀ ਗਣਨਾ ਕਰੋ</v>
      </c>
      <c r="U562" s="4" t="str">
        <f>IFERROR(__xludf.DUMMYFUNCTION("GOOGLETRANSLATE(B562,""en"",""te"")"),"దశలను లెక్కించండి")</f>
        <v>దశలను లెక్కించండి</v>
      </c>
      <c r="V562" s="4" t="str">
        <f>IFERROR(__xludf.DUMMYFUNCTION("GOOGLETRANSLATE(B562,""en"",""kn"")"),"ಹಂತಗಳನ್ನು ಲೆಕ್ಕಾಚಾರ ಮಾಡಿ")</f>
        <v>ಹಂತಗಳನ್ನು ಲೆಕ್ಕಾಚಾರ ಮಾಡಿ</v>
      </c>
      <c r="W562" s="4" t="str">
        <f>IFERROR(__xludf.DUMMYFUNCTION("GOOGLETRANSLATE(B562,""en"",""ml"")"),"ഘട്ടങ്ങൾ കണക്കാക്കുക")</f>
        <v>ഘട്ടങ്ങൾ കണക്കാക്കുക</v>
      </c>
      <c r="X562" s="4" t="str">
        <f>IFERROR(__xludf.DUMMYFUNCTION("GOOGLETRANSLATE(B562,""en"",""th"")"),"คำนวณขั้นตอน")</f>
        <v>คำนวณขั้นตอน</v>
      </c>
      <c r="Y562" s="4" t="str">
        <f>IFERROR(__xludf.DUMMYFUNCTION("GOOGLETRANSLATE(B562,""en"",""ko"")"),"단계 계산")</f>
        <v>단계 계산</v>
      </c>
      <c r="Z562" s="4" t="str">
        <f>IFERROR(__xludf.DUMMYFUNCTION("GOOGLETRANSLATE(B562,""en"",""zh"")"),"计算步数")</f>
        <v>计算步数</v>
      </c>
      <c r="AA562" s="4" t="str">
        <f>IFERROR(__xludf.DUMMYFUNCTION("GOOGLETRANSLATE(B562,""en"",""zh-TW"")"),"計算步數")</f>
        <v>計算步數</v>
      </c>
      <c r="AB562" s="4" t="str">
        <f>IFERROR(__xludf.DUMMYFUNCTION("GOOGLETRANSLATE(B562,""en"",""ja"")"),"歩数を計算する")</f>
        <v>歩数を計算する</v>
      </c>
      <c r="AC562" s="4" t="str">
        <f>IFERROR(__xludf.DUMMYFUNCTION("GOOGLETRANSLATE(B562,""en"",""bg"")"),"Изчислете стъпки")</f>
        <v>Изчислете стъпки</v>
      </c>
      <c r="AD562" s="4" t="str">
        <f>IFERROR(__xludf.DUMMYFUNCTION("GOOGLETRANSLATE(B562,""en"",""cs"")"),"Vypočítat kroky")</f>
        <v>Vypočítat kroky</v>
      </c>
      <c r="AE562" s="4" t="str">
        <f>IFERROR(__xludf.DUMMYFUNCTION("GOOGLETRANSLATE(B562,""en"",""da"")"),"Beregn trin")</f>
        <v>Beregn trin</v>
      </c>
      <c r="AF562" s="4" t="str">
        <f>IFERROR(__xludf.DUMMYFUNCTION("GOOGLETRANSLATE(B562,""en"",""el"")"),"Υπολογισμός Βημάτων")</f>
        <v>Υπολογισμός Βημάτων</v>
      </c>
      <c r="AG562" s="4" t="str">
        <f>IFERROR(__xludf.DUMMYFUNCTION("GOOGLETRANSLATE(B562,""en"",""et"")"),"Arvutage sammud")</f>
        <v>Arvutage sammud</v>
      </c>
      <c r="AH562" s="4" t="str">
        <f>IFERROR(__xludf.DUMMYFUNCTION("GOOGLETRANSLATE(B562,""en"",""fi"")"),"Laske vaiheet")</f>
        <v>Laske vaiheet</v>
      </c>
      <c r="AI562" s="4" t="str">
        <f>IFERROR(__xludf.DUMMYFUNCTION("GOOGLETRANSLATE(B562,""en"",""hr"")"),"Izračunaj korake")</f>
        <v>Izračunaj korake</v>
      </c>
      <c r="AJ562" s="4" t="str">
        <f>IFERROR(__xludf.DUMMYFUNCTION("GOOGLETRANSLATE(B562,""en"",""hu"")"),"Számolja ki a lépéseket")</f>
        <v>Számolja ki a lépéseket</v>
      </c>
      <c r="AK562" s="4" t="str">
        <f>IFERROR(__xludf.DUMMYFUNCTION("GOOGLETRANSLATE(B562,""en"",""hy"")"),"Քայլերի հաշվարկ")</f>
        <v>Քայլերի հաշվարկ</v>
      </c>
      <c r="AL562" s="4" t="str">
        <f>IFERROR(__xludf.DUMMYFUNCTION("GOOGLETRANSLATE(B562,""en"",""ca"")"),"Calcula els passos")</f>
        <v>Calcula els passos</v>
      </c>
      <c r="AM562" s="4" t="str">
        <f>IFERROR(__xludf.DUMMYFUNCTION("GOOGLETRANSLATE(B562,""en"",""nl"")"),"Stappen berekenen")</f>
        <v>Stappen berekenen</v>
      </c>
      <c r="AN562" s="4" t="str">
        <f>IFERROR(__xludf.DUMMYFUNCTION("GOOGLETRANSLATE(B562,""en"",""he"")"),"חשב שלבים")</f>
        <v>חשב שלבים</v>
      </c>
      <c r="AO562" s="4" t="str">
        <f>IFERROR(__xludf.DUMMYFUNCTION("GOOGLETRANSLATE(B562,""en"",""is"")"),"Reiknaðu skref")</f>
        <v>Reiknaðu skref</v>
      </c>
      <c r="AP562" s="4" t="str">
        <f>IFERROR(__xludf.DUMMYFUNCTION("GOOGLETRANSLATE(B562,""en"",""no"")"),"Beregn trinn")</f>
        <v>Beregn trinn</v>
      </c>
      <c r="AQ562" s="4" t="str">
        <f>IFERROR(__xludf.DUMMYFUNCTION("GOOGLETRANSLATE(B562,""en"",""fa"")"),"محاسبه مراحل")</f>
        <v>محاسبه مراحل</v>
      </c>
      <c r="AR562" s="4" t="str">
        <f>IFERROR(__xludf.DUMMYFUNCTION("GOOGLETRANSLATE(B562,""en"",""pl"")"),"Oblicz kroki")</f>
        <v>Oblicz kroki</v>
      </c>
      <c r="AS562" s="4" t="str">
        <f>IFERROR(__xludf.DUMMYFUNCTION("GOOGLETRANSLATE(B562,""en"",""sv"")"),"Beräkna steg")</f>
        <v>Beräkna steg</v>
      </c>
      <c r="AT562" s="4" t="str">
        <f>IFERROR(__xludf.DUMMYFUNCTION("GOOGLETRANSLATE(B562,""en"",""uk"")"),"Розрахунок кроків")</f>
        <v>Розрахунок кроків</v>
      </c>
      <c r="AU562" s="4" t="str">
        <f>IFERROR(__xludf.DUMMYFUNCTION("GOOGLETRANSLATE(B562,""en"",""zu"")"),"Bala Izinyathelo")</f>
        <v>Bala Izinyathelo</v>
      </c>
      <c r="AV562" s="4" t="str">
        <f>IFERROR(__xludf.DUMMYFUNCTION("GOOGLETRANSLATE(B562,""en"",""sr"")"),"Израчунајте кораке")</f>
        <v>Израчунајте кораке</v>
      </c>
    </row>
    <row r="563">
      <c r="A563" s="3" t="s">
        <v>1077</v>
      </c>
      <c r="B563" s="3" t="s">
        <v>1078</v>
      </c>
      <c r="C563" s="4" t="str">
        <f>IFERROR(__xludf.DUMMYFUNCTION("GOOGLETRANSLATE(B563,""en"",""ta"")"),"எடை (கிலோ)")</f>
        <v>எடை (கிலோ)</v>
      </c>
      <c r="D563" s="4" t="str">
        <f>IFERROR(__xludf.DUMMYFUNCTION("GOOGLETRANSLATE(B563,""en"",""hi"")"),"वजन (किलोग्राम)")</f>
        <v>वजन (किलोग्राम)</v>
      </c>
      <c r="E563" s="4" t="str">
        <f>IFERROR(__xludf.DUMMYFUNCTION("GOOGLETRANSLATE(B563,""en"",""id"")"),"Berat (kg)")</f>
        <v>Berat (kg)</v>
      </c>
      <c r="F563" s="4" t="str">
        <f>IFERROR(__xludf.DUMMYFUNCTION("GOOGLETRANSLATE(B563,""en"",""ms"")"),"Berat (kg)")</f>
        <v>Berat (kg)</v>
      </c>
      <c r="G563" s="4" t="str">
        <f>IFERROR(__xludf.DUMMYFUNCTION("GOOGLETRANSLATE(B563,""en"",""de"")"),"Gewicht (kg)")</f>
        <v>Gewicht (kg)</v>
      </c>
      <c r="H563" s="4" t="str">
        <f>IFERROR(__xludf.DUMMYFUNCTION("GOOGLETRANSLATE(B563,""en"",""es"")"),"Peso (kg)")</f>
        <v>Peso (kg)</v>
      </c>
      <c r="I563" s="4" t="str">
        <f>IFERROR(__xludf.DUMMYFUNCTION("GOOGLETRANSLATE(B563,""en"",""fr"")"),"Poids (kg)")</f>
        <v>Poids (kg)</v>
      </c>
      <c r="J563" s="4" t="str">
        <f>IFERROR(__xludf.DUMMYFUNCTION("GOOGLETRANSLATE(B563,""en"",""it"")"),"Peso (kg)")</f>
        <v>Peso (kg)</v>
      </c>
      <c r="K563" s="4" t="str">
        <f>IFERROR(__xludf.DUMMYFUNCTION("GOOGLETRANSLATE(B563,""en"",""pt"")"),"Peso (kg)")</f>
        <v>Peso (kg)</v>
      </c>
      <c r="L563" s="4" t="str">
        <f>IFERROR(__xludf.DUMMYFUNCTION("GOOGLETRANSLATE(B563,""en"",""ro"")"),"Greutate (kg)")</f>
        <v>Greutate (kg)</v>
      </c>
      <c r="M563" s="4" t="str">
        <f>IFERROR(__xludf.DUMMYFUNCTION("GOOGLETRANSLATE(B563,""en"",""vi"")"),"Trọng lượng (kg)")</f>
        <v>Trọng lượng (kg)</v>
      </c>
      <c r="N563" s="4" t="str">
        <f>IFERROR(__xludf.DUMMYFUNCTION("GOOGLETRANSLATE(B563,""en"",""ru"")"),"Вес (кг)")</f>
        <v>Вес (кг)</v>
      </c>
      <c r="O563" s="4" t="str">
        <f>IFERROR(__xludf.DUMMYFUNCTION("GOOGLETRANSLATE(B563,""en"",""tr"")"),"Ağırlık (kg)")</f>
        <v>Ağırlık (kg)</v>
      </c>
      <c r="P563" s="4" t="str">
        <f>IFERROR(__xludf.DUMMYFUNCTION("GOOGLETRANSLATE(B563,""en"",""ar"")"),"الوزن (كجم)")</f>
        <v>الوزن (كجم)</v>
      </c>
      <c r="Q563" s="4" t="str">
        <f>IFERROR(__xludf.DUMMYFUNCTION("GOOGLETRANSLATE(B563,""en"",""mr"")"),"वजन (किलो)")</f>
        <v>वजन (किलो)</v>
      </c>
      <c r="R563" s="4" t="str">
        <f>IFERROR(__xludf.DUMMYFUNCTION("GOOGLETRANSLATE(B563,""en"",""gu"")"),"વજન (કિલો)")</f>
        <v>વજન (કિલો)</v>
      </c>
      <c r="S563" s="4" t="str">
        <f>IFERROR(__xludf.DUMMYFUNCTION("GOOGLETRANSLATE(B563,""en"",""bn"")"),"ওজন (কেজি)")</f>
        <v>ওজন (কেজি)</v>
      </c>
      <c r="T563" s="4" t="str">
        <f>IFERROR(__xludf.DUMMYFUNCTION("GOOGLETRANSLATE(B563,""en"",""pa"")"),"ਭਾਰ (ਕਿਲੋ)")</f>
        <v>ਭਾਰ (ਕਿਲੋ)</v>
      </c>
      <c r="U563" s="4" t="str">
        <f>IFERROR(__xludf.DUMMYFUNCTION("GOOGLETRANSLATE(B563,""en"",""te"")"),"బరువు (కిలోలు)")</f>
        <v>బరువు (కిలోలు)</v>
      </c>
      <c r="V563" s="4" t="str">
        <f>IFERROR(__xludf.DUMMYFUNCTION("GOOGLETRANSLATE(B563,""en"",""kn"")"),"ತೂಕ (ಕೆಜಿ)")</f>
        <v>ತೂಕ (ಕೆಜಿ)</v>
      </c>
      <c r="W563" s="4" t="str">
        <f>IFERROR(__xludf.DUMMYFUNCTION("GOOGLETRANSLATE(B563,""en"",""ml"")"),"ഭാരം (കിലോ)")</f>
        <v>ഭാരം (കിലോ)</v>
      </c>
      <c r="X563" s="4" t="str">
        <f>IFERROR(__xludf.DUMMYFUNCTION("GOOGLETRANSLATE(B563,""en"",""th"")"),"น้ำหนัก (กก.)")</f>
        <v>น้ำหนัก (กก.)</v>
      </c>
      <c r="Y563" s="4" t="str">
        <f>IFERROR(__xludf.DUMMYFUNCTION("GOOGLETRANSLATE(B563,""en"",""ko"")"),"무게(kg)")</f>
        <v>무게(kg)</v>
      </c>
      <c r="Z563" s="4" t="str">
        <f>IFERROR(__xludf.DUMMYFUNCTION("GOOGLETRANSLATE(B563,""en"",""zh"")"),"重量（公斤）")</f>
        <v>重量（公斤）</v>
      </c>
      <c r="AA563" s="4" t="str">
        <f>IFERROR(__xludf.DUMMYFUNCTION("GOOGLETRANSLATE(B563,""en"",""zh-TW"")"),"重量（公斤）")</f>
        <v>重量（公斤）</v>
      </c>
      <c r="AB563" s="4" t="str">
        <f>IFERROR(__xludf.DUMMYFUNCTION("GOOGLETRANSLATE(B563,""en"",""ja"")"),"重量（kg）")</f>
        <v>重量（kg）</v>
      </c>
      <c r="AC563" s="4" t="str">
        <f>IFERROR(__xludf.DUMMYFUNCTION("GOOGLETRANSLATE(B563,""en"",""bg"")"),"Тегло (кг)")</f>
        <v>Тегло (кг)</v>
      </c>
      <c r="AD563" s="4" t="str">
        <f>IFERROR(__xludf.DUMMYFUNCTION("GOOGLETRANSLATE(B563,""en"",""cs"")"),"Hmotnost (kg)")</f>
        <v>Hmotnost (kg)</v>
      </c>
      <c r="AE563" s="4" t="str">
        <f>IFERROR(__xludf.DUMMYFUNCTION("GOOGLETRANSLATE(B563,""en"",""da"")"),"Vægt (kg)")</f>
        <v>Vægt (kg)</v>
      </c>
      <c r="AF563" s="4" t="str">
        <f>IFERROR(__xludf.DUMMYFUNCTION("GOOGLETRANSLATE(B563,""en"",""el"")"),"Βάρος (kg)")</f>
        <v>Βάρος (kg)</v>
      </c>
      <c r="AG563" s="4" t="str">
        <f>IFERROR(__xludf.DUMMYFUNCTION("GOOGLETRANSLATE(B563,""en"",""et"")"),"Kaal (kg)")</f>
        <v>Kaal (kg)</v>
      </c>
      <c r="AH563" s="4" t="str">
        <f>IFERROR(__xludf.DUMMYFUNCTION("GOOGLETRANSLATE(B563,""en"",""fi"")"),"Paino (kg)")</f>
        <v>Paino (kg)</v>
      </c>
      <c r="AI563" s="4" t="str">
        <f>IFERROR(__xludf.DUMMYFUNCTION("GOOGLETRANSLATE(B563,""en"",""hr"")"),"Težina (kg)")</f>
        <v>Težina (kg)</v>
      </c>
      <c r="AJ563" s="4" t="str">
        <f>IFERROR(__xludf.DUMMYFUNCTION("GOOGLETRANSLATE(B563,""en"",""hu"")"),"Súly (kg)")</f>
        <v>Súly (kg)</v>
      </c>
      <c r="AK563" s="4" t="str">
        <f>IFERROR(__xludf.DUMMYFUNCTION("GOOGLETRANSLATE(B563,""en"",""hy"")"),"Քաշը (կգ)")</f>
        <v>Քաշը (կգ)</v>
      </c>
      <c r="AL563" s="4" t="str">
        <f>IFERROR(__xludf.DUMMYFUNCTION("GOOGLETRANSLATE(B563,""en"",""ca"")"),"Pes (kg)")</f>
        <v>Pes (kg)</v>
      </c>
      <c r="AM563" s="4" t="str">
        <f>IFERROR(__xludf.DUMMYFUNCTION("GOOGLETRANSLATE(B563,""en"",""nl"")"),"Gewicht (kg)")</f>
        <v>Gewicht (kg)</v>
      </c>
      <c r="AN563" s="4" t="str">
        <f>IFERROR(__xludf.DUMMYFUNCTION("GOOGLETRANSLATE(B563,""en"",""he"")"),"משקל (ק""ג)")</f>
        <v>משקל (ק"ג)</v>
      </c>
      <c r="AO563" s="4" t="str">
        <f>IFERROR(__xludf.DUMMYFUNCTION("GOOGLETRANSLATE(B563,""en"",""is"")"),"Þyngd (kg)")</f>
        <v>Þyngd (kg)</v>
      </c>
      <c r="AP563" s="4" t="str">
        <f>IFERROR(__xludf.DUMMYFUNCTION("GOOGLETRANSLATE(B563,""en"",""no"")"),"Vekt (kg)")</f>
        <v>Vekt (kg)</v>
      </c>
      <c r="AQ563" s="4" t="str">
        <f>IFERROR(__xludf.DUMMYFUNCTION("GOOGLETRANSLATE(B563,""en"",""fa"")"),"وزن (کیلوگرم)")</f>
        <v>وزن (کیلوگرم)</v>
      </c>
      <c r="AR563" s="4" t="str">
        <f>IFERROR(__xludf.DUMMYFUNCTION("GOOGLETRANSLATE(B563,""en"",""pl"")"),"Waga (kg)")</f>
        <v>Waga (kg)</v>
      </c>
      <c r="AS563" s="4" t="str">
        <f>IFERROR(__xludf.DUMMYFUNCTION("GOOGLETRANSLATE(B563,""en"",""sv"")"),"Vikt (kg)")</f>
        <v>Vikt (kg)</v>
      </c>
      <c r="AT563" s="4" t="str">
        <f>IFERROR(__xludf.DUMMYFUNCTION("GOOGLETRANSLATE(B563,""en"",""uk"")"),"Вага (кг)")</f>
        <v>Вага (кг)</v>
      </c>
      <c r="AU563" s="4" t="str">
        <f>IFERROR(__xludf.DUMMYFUNCTION("GOOGLETRANSLATE(B563,""en"",""zu"")"),"Isisindo (kg)")</f>
        <v>Isisindo (kg)</v>
      </c>
      <c r="AV563" s="4" t="str">
        <f>IFERROR(__xludf.DUMMYFUNCTION("GOOGLETRANSLATE(B563,""en"",""sr"")"),"Тежина (кг)")</f>
        <v>Тежина (кг)</v>
      </c>
    </row>
    <row r="564">
      <c r="A564" s="3" t="s">
        <v>1079</v>
      </c>
      <c r="B564" s="3" t="s">
        <v>1080</v>
      </c>
      <c r="C564" s="4" t="str">
        <f>IFERROR(__xludf.DUMMYFUNCTION("GOOGLETRANSLATE(B564,""en"",""ta"")"),"எடையை கிலோவில் உள்ளிடவும்")</f>
        <v>எடையை கிலோவில் உள்ளிடவும்</v>
      </c>
      <c r="D564" s="4" t="str">
        <f>IFERROR(__xludf.DUMMYFUNCTION("GOOGLETRANSLATE(B564,""en"",""hi"")"),"वजन किलोग्राम में दर्ज करें")</f>
        <v>वजन किलोग्राम में दर्ज करें</v>
      </c>
      <c r="E564" s="4" t="str">
        <f>IFERROR(__xludf.DUMMYFUNCTION("GOOGLETRANSLATE(B564,""en"",""id"")"),"Masukkan berat dalam kg")</f>
        <v>Masukkan berat dalam kg</v>
      </c>
      <c r="F564" s="4" t="str">
        <f>IFERROR(__xludf.DUMMYFUNCTION("GOOGLETRANSLATE(B564,""en"",""ms"")"),"Masukkan berat dalam kg")</f>
        <v>Masukkan berat dalam kg</v>
      </c>
      <c r="G564" s="4" t="str">
        <f>IFERROR(__xludf.DUMMYFUNCTION("GOOGLETRANSLATE(B564,""en"",""de"")"),"Gewicht in kg eingeben")</f>
        <v>Gewicht in kg eingeben</v>
      </c>
      <c r="H564" s="4" t="str">
        <f>IFERROR(__xludf.DUMMYFUNCTION("GOOGLETRANSLATE(B564,""en"",""es"")"),"Introduzca el peso en kg")</f>
        <v>Introduzca el peso en kg</v>
      </c>
      <c r="I564" s="4" t="str">
        <f>IFERROR(__xludf.DUMMYFUNCTION("GOOGLETRANSLATE(B564,""en"",""fr"")"),"Entrez le poids en kg")</f>
        <v>Entrez le poids en kg</v>
      </c>
      <c r="J564" s="4" t="str">
        <f>IFERROR(__xludf.DUMMYFUNCTION("GOOGLETRANSLATE(B564,""en"",""it"")"),"Inserisci il peso in kg")</f>
        <v>Inserisci il peso in kg</v>
      </c>
      <c r="K564" s="4" t="str">
        <f>IFERROR(__xludf.DUMMYFUNCTION("GOOGLETRANSLATE(B564,""en"",""pt"")"),"Insira o peso em kg")</f>
        <v>Insira o peso em kg</v>
      </c>
      <c r="L564" s="4" t="str">
        <f>IFERROR(__xludf.DUMMYFUNCTION("GOOGLETRANSLATE(B564,""en"",""ro"")"),"Introduceți greutatea în kg")</f>
        <v>Introduceți greutatea în kg</v>
      </c>
      <c r="M564" s="4" t="str">
        <f>IFERROR(__xludf.DUMMYFUNCTION("GOOGLETRANSLATE(B564,""en"",""vi"")"),"Nhập trọng lượng tính bằng kg")</f>
        <v>Nhập trọng lượng tính bằng kg</v>
      </c>
      <c r="N564" s="4" t="str">
        <f>IFERROR(__xludf.DUMMYFUNCTION("GOOGLETRANSLATE(B564,""en"",""ru"")"),"Введите вес в кг.")</f>
        <v>Введите вес в кг.</v>
      </c>
      <c r="O564" s="4" t="str">
        <f>IFERROR(__xludf.DUMMYFUNCTION("GOOGLETRANSLATE(B564,""en"",""tr"")"),"Ağırlığı kg olarak girin")</f>
        <v>Ağırlığı kg olarak girin</v>
      </c>
      <c r="P564" s="4" t="str">
        <f>IFERROR(__xludf.DUMMYFUNCTION("GOOGLETRANSLATE(B564,""en"",""ar"")"),"أدخل الوزن بالكيلوجرام")</f>
        <v>أدخل الوزن بالكيلوجرام</v>
      </c>
      <c r="Q564" s="4" t="str">
        <f>IFERROR(__xludf.DUMMYFUNCTION("GOOGLETRANSLATE(B564,""en"",""mr"")"),"किलोमध्ये वजन प्रविष्ट करा")</f>
        <v>किलोमध्ये वजन प्रविष्ट करा</v>
      </c>
      <c r="R564" s="4" t="str">
        <f>IFERROR(__xludf.DUMMYFUNCTION("GOOGLETRANSLATE(B564,""en"",""gu"")"),"કિલોમાં વજન દાખલ કરો")</f>
        <v>કિલોમાં વજન દાખલ કરો</v>
      </c>
      <c r="S564" s="4" t="str">
        <f>IFERROR(__xludf.DUMMYFUNCTION("GOOGLETRANSLATE(B564,""en"",""bn"")"),"কেজিতে ওজন লিখুন")</f>
        <v>কেজিতে ওজন লিখুন</v>
      </c>
      <c r="T564" s="4" t="str">
        <f>IFERROR(__xludf.DUMMYFUNCTION("GOOGLETRANSLATE(B564,""en"",""pa"")"),"ਕਿਲੋ ਵਿੱਚ ਭਾਰ ਦਰਜ ਕਰੋ")</f>
        <v>ਕਿਲੋ ਵਿੱਚ ਭਾਰ ਦਰਜ ਕਰੋ</v>
      </c>
      <c r="U564" s="4" t="str">
        <f>IFERROR(__xludf.DUMMYFUNCTION("GOOGLETRANSLATE(B564,""en"",""te"")"),"కిలోల బరువును నమోదు చేయండి")</f>
        <v>కిలోల బరువును నమోదు చేయండి</v>
      </c>
      <c r="V564" s="4" t="str">
        <f>IFERROR(__xludf.DUMMYFUNCTION("GOOGLETRANSLATE(B564,""en"",""kn"")"),"ತೂಕವನ್ನು ಕೆಜಿಯಲ್ಲಿ ನಮೂದಿಸಿ")</f>
        <v>ತೂಕವನ್ನು ಕೆಜಿಯಲ್ಲಿ ನಮೂದಿಸಿ</v>
      </c>
      <c r="W564" s="4" t="str">
        <f>IFERROR(__xludf.DUMMYFUNCTION("GOOGLETRANSLATE(B564,""en"",""ml"")"),"ഭാരം കിലോയിൽ രേഖപ്പെടുത്തുക")</f>
        <v>ഭാരം കിലോയിൽ രേഖപ്പെടുത്തുക</v>
      </c>
      <c r="X564" s="4" t="str">
        <f>IFERROR(__xludf.DUMMYFUNCTION("GOOGLETRANSLATE(B564,""en"",""th"")"),"กรอกน้ำหนักเป็นกิโลกรัม")</f>
        <v>กรอกน้ำหนักเป็นกิโลกรัม</v>
      </c>
      <c r="Y564" s="4" t="str">
        <f>IFERROR(__xludf.DUMMYFUNCTION("GOOGLETRANSLATE(B564,""en"",""ko"")"),"체중을 kg 단위로 입력하세요")</f>
        <v>체중을 kg 단위로 입력하세요</v>
      </c>
      <c r="Z564" s="4" t="str">
        <f>IFERROR(__xludf.DUMMYFUNCTION("GOOGLETRANSLATE(B564,""en"",""zh"")"),"输入体重（公斤）")</f>
        <v>输入体重（公斤）</v>
      </c>
      <c r="AA564" s="4" t="str">
        <f>IFERROR(__xludf.DUMMYFUNCTION("GOOGLETRANSLATE(B564,""en"",""zh-TW"")"),"輸入體重（公斤）")</f>
        <v>輸入體重（公斤）</v>
      </c>
      <c r="AB564" s="4" t="str">
        <f>IFERROR(__xludf.DUMMYFUNCTION("GOOGLETRANSLATE(B564,""en"",""ja"")"),"重量をkgで入力してください")</f>
        <v>重量をkgで入力してください</v>
      </c>
      <c r="AC564" s="4" t="str">
        <f>IFERROR(__xludf.DUMMYFUNCTION("GOOGLETRANSLATE(B564,""en"",""bg"")"),"Въведете тегло в кг")</f>
        <v>Въведете тегло в кг</v>
      </c>
      <c r="AD564" s="4" t="str">
        <f>IFERROR(__xludf.DUMMYFUNCTION("GOOGLETRANSLATE(B564,""en"",""cs"")"),"Zadejte hmotnost v kg")</f>
        <v>Zadejte hmotnost v kg</v>
      </c>
      <c r="AE564" s="4" t="str">
        <f>IFERROR(__xludf.DUMMYFUNCTION("GOOGLETRANSLATE(B564,""en"",""da"")"),"Indtast vægt i kg")</f>
        <v>Indtast vægt i kg</v>
      </c>
      <c r="AF564" s="4" t="str">
        <f>IFERROR(__xludf.DUMMYFUNCTION("GOOGLETRANSLATE(B564,""en"",""el"")"),"Εισαγάγετε το βάρος σε κιλά")</f>
        <v>Εισαγάγετε το βάρος σε κιλά</v>
      </c>
      <c r="AG564" s="4" t="str">
        <f>IFERROR(__xludf.DUMMYFUNCTION("GOOGLETRANSLATE(B564,""en"",""et"")"),"Sisestage kaal kg")</f>
        <v>Sisestage kaal kg</v>
      </c>
      <c r="AH564" s="4" t="str">
        <f>IFERROR(__xludf.DUMMYFUNCTION("GOOGLETRANSLATE(B564,""en"",""fi"")"),"Syötä paino kg")</f>
        <v>Syötä paino kg</v>
      </c>
      <c r="AI564" s="4" t="str">
        <f>IFERROR(__xludf.DUMMYFUNCTION("GOOGLETRANSLATE(B564,""en"",""hr"")"),"Unesite težinu u kg")</f>
        <v>Unesite težinu u kg</v>
      </c>
      <c r="AJ564" s="4" t="str">
        <f>IFERROR(__xludf.DUMMYFUNCTION("GOOGLETRANSLATE(B564,""en"",""hu"")"),"Adja meg a súlyt kg-ban")</f>
        <v>Adja meg a súlyt kg-ban</v>
      </c>
      <c r="AK564" s="4" t="str">
        <f>IFERROR(__xludf.DUMMYFUNCTION("GOOGLETRANSLATE(B564,""en"",""hy"")"),"Մուտքագրեք քաշը կգ-ով")</f>
        <v>Մուտքագրեք քաշը կգ-ով</v>
      </c>
      <c r="AL564" s="4" t="str">
        <f>IFERROR(__xludf.DUMMYFUNCTION("GOOGLETRANSLATE(B564,""en"",""ca"")"),"Introduïu el pes en kg")</f>
        <v>Introduïu el pes en kg</v>
      </c>
      <c r="AM564" s="4" t="str">
        <f>IFERROR(__xludf.DUMMYFUNCTION("GOOGLETRANSLATE(B564,""en"",""nl"")"),"Voer het gewicht in kg in")</f>
        <v>Voer het gewicht in kg in</v>
      </c>
      <c r="AN564" s="4" t="str">
        <f>IFERROR(__xludf.DUMMYFUNCTION("GOOGLETRANSLATE(B564,""en"",""he"")"),"הזן משקל בק""ג")</f>
        <v>הזן משקל בק"ג</v>
      </c>
      <c r="AO564" s="4" t="str">
        <f>IFERROR(__xludf.DUMMYFUNCTION("GOOGLETRANSLATE(B564,""en"",""is"")"),"Sláðu inn þyngd í kg")</f>
        <v>Sláðu inn þyngd í kg</v>
      </c>
      <c r="AP564" s="4" t="str">
        <f>IFERROR(__xludf.DUMMYFUNCTION("GOOGLETRANSLATE(B564,""en"",""no"")"),"Angi vekt i kg")</f>
        <v>Angi vekt i kg</v>
      </c>
      <c r="AQ564" s="4" t="str">
        <f>IFERROR(__xludf.DUMMYFUNCTION("GOOGLETRANSLATE(B564,""en"",""fa"")"),"وزن را بر حسب کیلوگرم وارد کنید")</f>
        <v>وزن را بر حسب کیلوگرم وارد کنید</v>
      </c>
      <c r="AR564" s="4" t="str">
        <f>IFERROR(__xludf.DUMMYFUNCTION("GOOGLETRANSLATE(B564,""en"",""pl"")"),"Wprowadź wagę w kg")</f>
        <v>Wprowadź wagę w kg</v>
      </c>
      <c r="AS564" s="4" t="str">
        <f>IFERROR(__xludf.DUMMYFUNCTION("GOOGLETRANSLATE(B564,""en"",""sv"")"),"Ange vikt i kg")</f>
        <v>Ange vikt i kg</v>
      </c>
      <c r="AT564" s="4" t="str">
        <f>IFERROR(__xludf.DUMMYFUNCTION("GOOGLETRANSLATE(B564,""en"",""uk"")"),"Введіть вагу в кг")</f>
        <v>Введіть вагу в кг</v>
      </c>
      <c r="AU564" s="4" t="str">
        <f>IFERROR(__xludf.DUMMYFUNCTION("GOOGLETRANSLATE(B564,""en"",""zu"")"),"Faka isisindo ngo-kg")</f>
        <v>Faka isisindo ngo-kg</v>
      </c>
      <c r="AV564" s="4" t="str">
        <f>IFERROR(__xludf.DUMMYFUNCTION("GOOGLETRANSLATE(B564,""en"",""sr"")"),"Унесите тежину у кг")</f>
        <v>Унесите тежину у кг</v>
      </c>
    </row>
    <row r="565">
      <c r="A565" s="3" t="s">
        <v>1081</v>
      </c>
      <c r="B565" s="3" t="s">
        <v>1082</v>
      </c>
      <c r="C565" s="4" t="str">
        <f>IFERROR(__xludf.DUMMYFUNCTION("GOOGLETRANSLATE(B565,""en"",""ta"")"),"உயரம் (செ.மீ.)")</f>
        <v>உயரம் (செ.மீ.)</v>
      </c>
      <c r="D565" s="4" t="str">
        <f>IFERROR(__xludf.DUMMYFUNCTION("GOOGLETRANSLATE(B565,""en"",""hi"")"),"ऊंचाई (सेमी)")</f>
        <v>ऊंचाई (सेमी)</v>
      </c>
      <c r="E565" s="4" t="str">
        <f>IFERROR(__xludf.DUMMYFUNCTION("GOOGLETRANSLATE(B565,""en"",""id"")"),"Tinggi (cm)")</f>
        <v>Tinggi (cm)</v>
      </c>
      <c r="F565" s="4" t="str">
        <f>IFERROR(__xludf.DUMMYFUNCTION("GOOGLETRANSLATE(B565,""en"",""ms"")"),"Tinggi (cm)")</f>
        <v>Tinggi (cm)</v>
      </c>
      <c r="G565" s="4" t="str">
        <f>IFERROR(__xludf.DUMMYFUNCTION("GOOGLETRANSLATE(B565,""en"",""de"")"),"Höhe (cm)")</f>
        <v>Höhe (cm)</v>
      </c>
      <c r="H565" s="4" t="str">
        <f>IFERROR(__xludf.DUMMYFUNCTION("GOOGLETRANSLATE(B565,""en"",""es"")"),"Altura (cm)")</f>
        <v>Altura (cm)</v>
      </c>
      <c r="I565" s="4" t="str">
        <f>IFERROR(__xludf.DUMMYFUNCTION("GOOGLETRANSLATE(B565,""en"",""fr"")"),"Hauteur (cm)")</f>
        <v>Hauteur (cm)</v>
      </c>
      <c r="J565" s="4" t="str">
        <f>IFERROR(__xludf.DUMMYFUNCTION("GOOGLETRANSLATE(B565,""en"",""it"")"),"Altezza (cm)")</f>
        <v>Altezza (cm)</v>
      </c>
      <c r="K565" s="4" t="str">
        <f>IFERROR(__xludf.DUMMYFUNCTION("GOOGLETRANSLATE(B565,""en"",""pt"")"),"Altura (cm)")</f>
        <v>Altura (cm)</v>
      </c>
      <c r="L565" s="4" t="str">
        <f>IFERROR(__xludf.DUMMYFUNCTION("GOOGLETRANSLATE(B565,""en"",""ro"")"),"Înălțime (cm)")</f>
        <v>Înălțime (cm)</v>
      </c>
      <c r="M565" s="4" t="str">
        <f>IFERROR(__xludf.DUMMYFUNCTION("GOOGLETRANSLATE(B565,""en"",""vi"")"),"Chiều cao (cm)")</f>
        <v>Chiều cao (cm)</v>
      </c>
      <c r="N565" s="4" t="str">
        <f>IFERROR(__xludf.DUMMYFUNCTION("GOOGLETRANSLATE(B565,""en"",""ru"")"),"Рост (см)")</f>
        <v>Рост (см)</v>
      </c>
      <c r="O565" s="4" t="str">
        <f>IFERROR(__xludf.DUMMYFUNCTION("GOOGLETRANSLATE(B565,""en"",""tr"")"),"Yükseklik (cm)")</f>
        <v>Yükseklik (cm)</v>
      </c>
      <c r="P565" s="4" t="str">
        <f>IFERROR(__xludf.DUMMYFUNCTION("GOOGLETRANSLATE(B565,""en"",""ar"")"),"الارتفاع (سم)")</f>
        <v>الارتفاع (سم)</v>
      </c>
      <c r="Q565" s="4" t="str">
        <f>IFERROR(__xludf.DUMMYFUNCTION("GOOGLETRANSLATE(B565,""en"",""mr"")"),"उंची (सेमी)")</f>
        <v>उंची (सेमी)</v>
      </c>
      <c r="R565" s="4" t="str">
        <f>IFERROR(__xludf.DUMMYFUNCTION("GOOGLETRANSLATE(B565,""en"",""gu"")"),"ઊંચાઈ (સે.મી.)")</f>
        <v>ઊંચાઈ (સે.મી.)</v>
      </c>
      <c r="S565" s="4" t="str">
        <f>IFERROR(__xludf.DUMMYFUNCTION("GOOGLETRANSLATE(B565,""en"",""bn"")"),"উচ্চতা (সেমি)")</f>
        <v>উচ্চতা (সেমি)</v>
      </c>
      <c r="T565" s="4" t="str">
        <f>IFERROR(__xludf.DUMMYFUNCTION("GOOGLETRANSLATE(B565,""en"",""pa"")"),"ਉਚਾਈ (ਸੈ.ਮੀ.)")</f>
        <v>ਉਚਾਈ (ਸੈ.ਮੀ.)</v>
      </c>
      <c r="U565" s="4" t="str">
        <f>IFERROR(__xludf.DUMMYFUNCTION("GOOGLETRANSLATE(B565,""en"",""te"")"),"ఎత్తు (సెం.మీ.)")</f>
        <v>ఎత్తు (సెం.మీ.)</v>
      </c>
      <c r="V565" s="4" t="str">
        <f>IFERROR(__xludf.DUMMYFUNCTION("GOOGLETRANSLATE(B565,""en"",""kn"")"),"ಎತ್ತರ (ಸೆಂ)")</f>
        <v>ಎತ್ತರ (ಸೆಂ)</v>
      </c>
      <c r="W565" s="4" t="str">
        <f>IFERROR(__xludf.DUMMYFUNCTION("GOOGLETRANSLATE(B565,""en"",""ml"")"),"ഉയരം (സെ.മീ.)")</f>
        <v>ഉയരം (സെ.മീ.)</v>
      </c>
      <c r="X565" s="4" t="str">
        <f>IFERROR(__xludf.DUMMYFUNCTION("GOOGLETRANSLATE(B565,""en"",""th"")"),"ส่วนสูง (ซม.)")</f>
        <v>ส่วนสูง (ซม.)</v>
      </c>
      <c r="Y565" s="4" t="str">
        <f>IFERROR(__xludf.DUMMYFUNCTION("GOOGLETRANSLATE(B565,""en"",""ko"")"),"키(cm)")</f>
        <v>키(cm)</v>
      </c>
      <c r="Z565" s="4" t="str">
        <f>IFERROR(__xludf.DUMMYFUNCTION("GOOGLETRANSLATE(B565,""en"",""zh"")"),"身高（厘米）")</f>
        <v>身高（厘米）</v>
      </c>
      <c r="AA565" s="4" t="str">
        <f>IFERROR(__xludf.DUMMYFUNCTION("GOOGLETRANSLATE(B565,""en"",""zh-TW"")"),"身高（公分）")</f>
        <v>身高（公分）</v>
      </c>
      <c r="AB565" s="4" t="str">
        <f>IFERROR(__xludf.DUMMYFUNCTION("GOOGLETRANSLATE(B565,""en"",""ja"")"),"高さ（cm）")</f>
        <v>高さ（cm）</v>
      </c>
      <c r="AC565" s="4" t="str">
        <f>IFERROR(__xludf.DUMMYFUNCTION("GOOGLETRANSLATE(B565,""en"",""bg"")"),"Височина (cm)")</f>
        <v>Височина (cm)</v>
      </c>
      <c r="AD565" s="4" t="str">
        <f>IFERROR(__xludf.DUMMYFUNCTION("GOOGLETRANSLATE(B565,""en"",""cs"")"),"výška (cm)")</f>
        <v>výška (cm)</v>
      </c>
      <c r="AE565" s="4" t="str">
        <f>IFERROR(__xludf.DUMMYFUNCTION("GOOGLETRANSLATE(B565,""en"",""da"")"),"Højde (cm)")</f>
        <v>Højde (cm)</v>
      </c>
      <c r="AF565" s="4" t="str">
        <f>IFERROR(__xludf.DUMMYFUNCTION("GOOGLETRANSLATE(B565,""en"",""el"")"),"Ύψος (cm)")</f>
        <v>Ύψος (cm)</v>
      </c>
      <c r="AG565" s="4" t="str">
        <f>IFERROR(__xludf.DUMMYFUNCTION("GOOGLETRANSLATE(B565,""en"",""et"")"),"Kõrgus (cm)")</f>
        <v>Kõrgus (cm)</v>
      </c>
      <c r="AH565" s="4" t="str">
        <f>IFERROR(__xludf.DUMMYFUNCTION("GOOGLETRANSLATE(B565,""en"",""fi"")"),"Korkeus (cm)")</f>
        <v>Korkeus (cm)</v>
      </c>
      <c r="AI565" s="4" t="str">
        <f>IFERROR(__xludf.DUMMYFUNCTION("GOOGLETRANSLATE(B565,""en"",""hr"")"),"Visina (cm)")</f>
        <v>Visina (cm)</v>
      </c>
      <c r="AJ565" s="4" t="str">
        <f>IFERROR(__xludf.DUMMYFUNCTION("GOOGLETRANSLATE(B565,""en"",""hu"")"),"Magasság (cm)")</f>
        <v>Magasság (cm)</v>
      </c>
      <c r="AK565" s="4" t="str">
        <f>IFERROR(__xludf.DUMMYFUNCTION("GOOGLETRANSLATE(B565,""en"",""hy"")"),"Բարձրություն (սմ)")</f>
        <v>Բարձրություն (սմ)</v>
      </c>
      <c r="AL565" s="4" t="str">
        <f>IFERROR(__xludf.DUMMYFUNCTION("GOOGLETRANSLATE(B565,""en"",""ca"")"),"Alçada (cm)")</f>
        <v>Alçada (cm)</v>
      </c>
      <c r="AM565" s="4" t="str">
        <f>IFERROR(__xludf.DUMMYFUNCTION("GOOGLETRANSLATE(B565,""en"",""nl"")"),"Hoogte (cm)")</f>
        <v>Hoogte (cm)</v>
      </c>
      <c r="AN565" s="4" t="str">
        <f>IFERROR(__xludf.DUMMYFUNCTION("GOOGLETRANSLATE(B565,""en"",""he"")"),"גובה (ס""מ)")</f>
        <v>גובה (ס"מ)</v>
      </c>
      <c r="AO565" s="4" t="str">
        <f>IFERROR(__xludf.DUMMYFUNCTION("GOOGLETRANSLATE(B565,""en"",""is"")"),"Hæð (cm)")</f>
        <v>Hæð (cm)</v>
      </c>
      <c r="AP565" s="4" t="str">
        <f>IFERROR(__xludf.DUMMYFUNCTION("GOOGLETRANSLATE(B565,""en"",""no"")"),"Høyde (cm)")</f>
        <v>Høyde (cm)</v>
      </c>
      <c r="AQ565" s="4" t="str">
        <f>IFERROR(__xludf.DUMMYFUNCTION("GOOGLETRANSLATE(B565,""en"",""fa"")"),"ارتفاع (سانتی متر)")</f>
        <v>ارتفاع (سانتی متر)</v>
      </c>
      <c r="AR565" s="4" t="str">
        <f>IFERROR(__xludf.DUMMYFUNCTION("GOOGLETRANSLATE(B565,""en"",""pl"")"),"Wysokość (cm)")</f>
        <v>Wysokość (cm)</v>
      </c>
      <c r="AS565" s="4" t="str">
        <f>IFERROR(__xludf.DUMMYFUNCTION("GOOGLETRANSLATE(B565,""en"",""sv"")"),"Höjd (cm)")</f>
        <v>Höjd (cm)</v>
      </c>
      <c r="AT565" s="4" t="str">
        <f>IFERROR(__xludf.DUMMYFUNCTION("GOOGLETRANSLATE(B565,""en"",""uk"")"),"Висота (см)")</f>
        <v>Висота (см)</v>
      </c>
      <c r="AU565" s="4" t="str">
        <f>IFERROR(__xludf.DUMMYFUNCTION("GOOGLETRANSLATE(B565,""en"",""zu"")"),"Ubude (cm)")</f>
        <v>Ubude (cm)</v>
      </c>
      <c r="AV565" s="4" t="str">
        <f>IFERROR(__xludf.DUMMYFUNCTION("GOOGLETRANSLATE(B565,""en"",""sr"")"),"Висина (цм)")</f>
        <v>Висина (цм)</v>
      </c>
    </row>
    <row r="566">
      <c r="A566" s="3" t="s">
        <v>1083</v>
      </c>
      <c r="B566" s="3" t="s">
        <v>1084</v>
      </c>
      <c r="C566" s="4" t="str">
        <f>IFERROR(__xludf.DUMMYFUNCTION("GOOGLETRANSLATE(B566,""en"",""ta"")"),"உயரத்தை சென்டிமீட்டரில் உள்ளிடவும்")</f>
        <v>உயரத்தை சென்டிமீட்டரில் உள்ளிடவும்</v>
      </c>
      <c r="D566" s="4" t="str">
        <f>IFERROR(__xludf.DUMMYFUNCTION("GOOGLETRANSLATE(B566,""en"",""hi"")"),"ऊंचाई सेमी में दर्ज करें")</f>
        <v>ऊंचाई सेमी में दर्ज करें</v>
      </c>
      <c r="E566" s="4" t="str">
        <f>IFERROR(__xludf.DUMMYFUNCTION("GOOGLETRANSLATE(B566,""en"",""id"")"),"Masukkan tinggi dalam cm")</f>
        <v>Masukkan tinggi dalam cm</v>
      </c>
      <c r="F566" s="4" t="str">
        <f>IFERROR(__xludf.DUMMYFUNCTION("GOOGLETRANSLATE(B566,""en"",""ms"")"),"Masukkan ketinggian dalam cm")</f>
        <v>Masukkan ketinggian dalam cm</v>
      </c>
      <c r="G566" s="4" t="str">
        <f>IFERROR(__xludf.DUMMYFUNCTION("GOOGLETRANSLATE(B566,""en"",""de"")"),"Körpergröße in cm eingeben")</f>
        <v>Körpergröße in cm eingeben</v>
      </c>
      <c r="H566" s="4" t="str">
        <f>IFERROR(__xludf.DUMMYFUNCTION("GOOGLETRANSLATE(B566,""en"",""es"")"),"Introduzca la altura en cm")</f>
        <v>Introduzca la altura en cm</v>
      </c>
      <c r="I566" s="4" t="str">
        <f>IFERROR(__xludf.DUMMYFUNCTION("GOOGLETRANSLATE(B566,""en"",""fr"")"),"Entrez la taille en cm")</f>
        <v>Entrez la taille en cm</v>
      </c>
      <c r="J566" s="4" t="str">
        <f>IFERROR(__xludf.DUMMYFUNCTION("GOOGLETRANSLATE(B566,""en"",""it"")"),"Inserisci l'altezza in cm")</f>
        <v>Inserisci l'altezza in cm</v>
      </c>
      <c r="K566" s="4" t="str">
        <f>IFERROR(__xludf.DUMMYFUNCTION("GOOGLETRANSLATE(B566,""en"",""pt"")"),"Digite a altura em cm")</f>
        <v>Digite a altura em cm</v>
      </c>
      <c r="L566" s="4" t="str">
        <f>IFERROR(__xludf.DUMMYFUNCTION("GOOGLETRANSLATE(B566,""en"",""ro"")"),"Introduceți înălțimea în cm")</f>
        <v>Introduceți înălțimea în cm</v>
      </c>
      <c r="M566" s="4" t="str">
        <f>IFERROR(__xludf.DUMMYFUNCTION("GOOGLETRANSLATE(B566,""en"",""vi"")"),"Nhập chiều cao tính bằng cm")</f>
        <v>Nhập chiều cao tính bằng cm</v>
      </c>
      <c r="N566" s="4" t="str">
        <f>IFERROR(__xludf.DUMMYFUNCTION("GOOGLETRANSLATE(B566,""en"",""ru"")"),"Введите рост в см")</f>
        <v>Введите рост в см</v>
      </c>
      <c r="O566" s="4" t="str">
        <f>IFERROR(__xludf.DUMMYFUNCTION("GOOGLETRANSLATE(B566,""en"",""tr"")"),"Boyu cm olarak girin")</f>
        <v>Boyu cm olarak girin</v>
      </c>
      <c r="P566" s="4" t="str">
        <f>IFERROR(__xludf.DUMMYFUNCTION("GOOGLETRANSLATE(B566,""en"",""ar"")"),"أدخل الارتفاع بالسنتيمتر")</f>
        <v>أدخل الارتفاع بالسنتيمتر</v>
      </c>
      <c r="Q566" s="4" t="str">
        <f>IFERROR(__xludf.DUMMYFUNCTION("GOOGLETRANSLATE(B566,""en"",""mr"")"),"सेमी मध्ये उंची प्रविष्ट करा")</f>
        <v>सेमी मध्ये उंची प्रविष्ट करा</v>
      </c>
      <c r="R566" s="4" t="str">
        <f>IFERROR(__xludf.DUMMYFUNCTION("GOOGLETRANSLATE(B566,""en"",""gu"")"),"cm માં ઊંચાઈ દાખલ કરો")</f>
        <v>cm માં ઊંચાઈ દાખલ કરો</v>
      </c>
      <c r="S566" s="4" t="str">
        <f>IFERROR(__xludf.DUMMYFUNCTION("GOOGLETRANSLATE(B566,""en"",""bn"")"),"সেমি উচ্চতা লিখুন")</f>
        <v>সেমি উচ্চতা লিখুন</v>
      </c>
      <c r="T566" s="4" t="str">
        <f>IFERROR(__xludf.DUMMYFUNCTION("GOOGLETRANSLATE(B566,""en"",""pa"")"),"cm ਵਿੱਚ ਉਚਾਈ ਦਰਜ ਕਰੋ")</f>
        <v>cm ਵਿੱਚ ਉਚਾਈ ਦਰਜ ਕਰੋ</v>
      </c>
      <c r="U566" s="4" t="str">
        <f>IFERROR(__xludf.DUMMYFUNCTION("GOOGLETRANSLATE(B566,""en"",""te"")"),"ఎత్తును సెం.మీ.లో నమోదు చేయండి")</f>
        <v>ఎత్తును సెం.మీ.లో నమోదు చేయండి</v>
      </c>
      <c r="V566" s="4" t="str">
        <f>IFERROR(__xludf.DUMMYFUNCTION("GOOGLETRANSLATE(B566,""en"",""kn"")"),"cm ನಲ್ಲಿ ಎತ್ತರವನ್ನು ನಮೂದಿಸಿ")</f>
        <v>cm ನಲ್ಲಿ ಎತ್ತರವನ್ನು ನಮೂದಿಸಿ</v>
      </c>
      <c r="W566" s="4" t="str">
        <f>IFERROR(__xludf.DUMMYFUNCTION("GOOGLETRANSLATE(B566,""en"",""ml"")"),"സെൻ്റിമീറ്ററിൽ ഉയരം നൽകുക")</f>
        <v>സെൻ്റിമീറ്ററിൽ ഉയരം നൽകുക</v>
      </c>
      <c r="X566" s="4" t="str">
        <f>IFERROR(__xludf.DUMMYFUNCTION("GOOGLETRANSLATE(B566,""en"",""th"")"),"กรอกส่วนสูงเป็นซม.")</f>
        <v>กรอกส่วนสูงเป็นซม.</v>
      </c>
      <c r="Y566" s="4" t="str">
        <f>IFERROR(__xludf.DUMMYFUNCTION("GOOGLETRANSLATE(B566,""en"",""ko"")"),"키를 cm로 입력하세요")</f>
        <v>키를 cm로 입력하세요</v>
      </c>
      <c r="Z566" s="4" t="str">
        <f>IFERROR(__xludf.DUMMYFUNCTION("GOOGLETRANSLATE(B566,""en"",""zh"")"),"输入身高（厘米）")</f>
        <v>输入身高（厘米）</v>
      </c>
      <c r="AA566" s="4" t="str">
        <f>IFERROR(__xludf.DUMMYFUNCTION("GOOGLETRANSLATE(B566,""en"",""zh-TW"")"),"輸入身高（公分）")</f>
        <v>輸入身高（公分）</v>
      </c>
      <c r="AB566" s="4" t="str">
        <f>IFERROR(__xludf.DUMMYFUNCTION("GOOGLETRANSLATE(B566,""en"",""ja"")"),"身長をcmで入力してください")</f>
        <v>身長をcmで入力してください</v>
      </c>
      <c r="AC566" s="4" t="str">
        <f>IFERROR(__xludf.DUMMYFUNCTION("GOOGLETRANSLATE(B566,""en"",""bg"")"),"Въведете височина в см")</f>
        <v>Въведете височина в см</v>
      </c>
      <c r="AD566" s="4" t="str">
        <f>IFERROR(__xludf.DUMMYFUNCTION("GOOGLETRANSLATE(B566,""en"",""cs"")"),"Zadejte výšku v cm")</f>
        <v>Zadejte výšku v cm</v>
      </c>
      <c r="AE566" s="4" t="str">
        <f>IFERROR(__xludf.DUMMYFUNCTION("GOOGLETRANSLATE(B566,""en"",""da"")"),"Indtast højde i cm")</f>
        <v>Indtast højde i cm</v>
      </c>
      <c r="AF566" s="4" t="str">
        <f>IFERROR(__xludf.DUMMYFUNCTION("GOOGLETRANSLATE(B566,""en"",""el"")"),"Εισαγάγετε το ύψος σε cm")</f>
        <v>Εισαγάγετε το ύψος σε cm</v>
      </c>
      <c r="AG566" s="4" t="str">
        <f>IFERROR(__xludf.DUMMYFUNCTION("GOOGLETRANSLATE(B566,""en"",""et"")"),"Sisestage kõrgus cm-des")</f>
        <v>Sisestage kõrgus cm-des</v>
      </c>
      <c r="AH566" s="4" t="str">
        <f>IFERROR(__xludf.DUMMYFUNCTION("GOOGLETRANSLATE(B566,""en"",""fi"")"),"Syötä korkeus cm")</f>
        <v>Syötä korkeus cm</v>
      </c>
      <c r="AI566" s="4" t="str">
        <f>IFERROR(__xludf.DUMMYFUNCTION("GOOGLETRANSLATE(B566,""en"",""hr"")"),"Unesite visinu u cm")</f>
        <v>Unesite visinu u cm</v>
      </c>
      <c r="AJ566" s="4" t="str">
        <f>IFERROR(__xludf.DUMMYFUNCTION("GOOGLETRANSLATE(B566,""en"",""hu"")"),"Adja meg a magasságot cm-ben")</f>
        <v>Adja meg a magasságot cm-ben</v>
      </c>
      <c r="AK566" s="4" t="str">
        <f>IFERROR(__xludf.DUMMYFUNCTION("GOOGLETRANSLATE(B566,""en"",""hy"")"),"Մուտքագրեք բարձրությունը սմ-ով")</f>
        <v>Մուտքագրեք բարձրությունը սմ-ով</v>
      </c>
      <c r="AL566" s="4" t="str">
        <f>IFERROR(__xludf.DUMMYFUNCTION("GOOGLETRANSLATE(B566,""en"",""ca"")"),"Introduïu l'alçada en cm")</f>
        <v>Introduïu l'alçada en cm</v>
      </c>
      <c r="AM566" s="4" t="str">
        <f>IFERROR(__xludf.DUMMYFUNCTION("GOOGLETRANSLATE(B566,""en"",""nl"")"),"Voer de lengte in cm in")</f>
        <v>Voer de lengte in cm in</v>
      </c>
      <c r="AN566" s="4" t="str">
        <f>IFERROR(__xludf.DUMMYFUNCTION("GOOGLETRANSLATE(B566,""en"",""he"")"),"הזן גובה בס""מ")</f>
        <v>הזן גובה בס"מ</v>
      </c>
      <c r="AO566" s="4" t="str">
        <f>IFERROR(__xludf.DUMMYFUNCTION("GOOGLETRANSLATE(B566,""en"",""is"")"),"Sláðu inn hæð í cm")</f>
        <v>Sláðu inn hæð í cm</v>
      </c>
      <c r="AP566" s="4" t="str">
        <f>IFERROR(__xludf.DUMMYFUNCTION("GOOGLETRANSLATE(B566,""en"",""no"")"),"Angi høyde i cm")</f>
        <v>Angi høyde i cm</v>
      </c>
      <c r="AQ566" s="4" t="str">
        <f>IFERROR(__xludf.DUMMYFUNCTION("GOOGLETRANSLATE(B566,""en"",""fa"")"),"ارتفاع را بر حسب سانتی متر وارد کنید")</f>
        <v>ارتفاع را بر حسب سانتی متر وارد کنید</v>
      </c>
      <c r="AR566" s="4" t="str">
        <f>IFERROR(__xludf.DUMMYFUNCTION("GOOGLETRANSLATE(B566,""en"",""pl"")"),"Podaj wzrost w cm")</f>
        <v>Podaj wzrost w cm</v>
      </c>
      <c r="AS566" s="4" t="str">
        <f>IFERROR(__xludf.DUMMYFUNCTION("GOOGLETRANSLATE(B566,""en"",""sv"")"),"Ange höjd i cm")</f>
        <v>Ange höjd i cm</v>
      </c>
      <c r="AT566" s="4" t="str">
        <f>IFERROR(__xludf.DUMMYFUNCTION("GOOGLETRANSLATE(B566,""en"",""uk"")"),"Введіть висоту в см")</f>
        <v>Введіть висоту в см</v>
      </c>
      <c r="AU566" s="4" t="str">
        <f>IFERROR(__xludf.DUMMYFUNCTION("GOOGLETRANSLATE(B566,""en"",""zu"")"),"Faka ubude ngo-cm")</f>
        <v>Faka ubude ngo-cm</v>
      </c>
      <c r="AV566" s="4" t="str">
        <f>IFERROR(__xludf.DUMMYFUNCTION("GOOGLETRANSLATE(B566,""en"",""sr"")"),"Унесите висину у цм")</f>
        <v>Унесите висину у цм</v>
      </c>
    </row>
    <row r="567">
      <c r="A567" s="3" t="s">
        <v>1085</v>
      </c>
      <c r="B567" s="3" t="s">
        <v>1086</v>
      </c>
      <c r="C567" s="4" t="str">
        <f>IFERROR(__xludf.DUMMYFUNCTION("GOOGLETRANSLATE(B567,""en"",""ta"")"),"எடையை கிலோவாகவும் உயரத்தை செமீ ஆகவும் உள்ளிடவும். உதாரணம்: 70 கிலோ, 170 செ.மீ")</f>
        <v>எடையை கிலோவாகவும் உயரத்தை செமீ ஆகவும் உள்ளிடவும். உதாரணம்: 70 கிலோ, 170 செ.மீ</v>
      </c>
      <c r="D567" s="4" t="str">
        <f>IFERROR(__xludf.DUMMYFUNCTION("GOOGLETRANSLATE(B567,""en"",""hi"")"),"वजन किलोग्राम में और ऊंचाई सेमी में दर्ज करें। उदाहरण: 70 किलोग्राम, 170 सेमी")</f>
        <v>वजन किलोग्राम में और ऊंचाई सेमी में दर्ज करें। उदाहरण: 70 किलोग्राम, 170 सेमी</v>
      </c>
      <c r="E567" s="4" t="str">
        <f>IFERROR(__xludf.DUMMYFUNCTION("GOOGLETRANSLATE(B567,""en"",""id"")"),"Masukkan berat badan dalam kg dan tinggi badan dalam cm. Contoh: 70 kg, 170 cm")</f>
        <v>Masukkan berat badan dalam kg dan tinggi badan dalam cm. Contoh: 70 kg, 170 cm</v>
      </c>
      <c r="F567" s="4" t="str">
        <f>IFERROR(__xludf.DUMMYFUNCTION("GOOGLETRANSLATE(B567,""en"",""ms"")"),"Masukkan berat dalam kg dan tinggi dalam cm. Contoh: 70 kg, 170 cm")</f>
        <v>Masukkan berat dalam kg dan tinggi dalam cm. Contoh: 70 kg, 170 cm</v>
      </c>
      <c r="G567" s="4" t="str">
        <f>IFERROR(__xludf.DUMMYFUNCTION("GOOGLETRANSLATE(B567,""en"",""de"")"),"Geben Sie Ihr Gewicht in kg und Ihre Größe in cm ein. Beispiel: 70 kg, 170 cm")</f>
        <v>Geben Sie Ihr Gewicht in kg und Ihre Größe in cm ein. Beispiel: 70 kg, 170 cm</v>
      </c>
      <c r="H567" s="4" t="str">
        <f>IFERROR(__xludf.DUMMYFUNCTION("GOOGLETRANSLATE(B567,""en"",""es"")"),"Introduce el peso en kg y la altura en cm. Ejemplo: 70 kg, 170 cm")</f>
        <v>Introduce el peso en kg y la altura en cm. Ejemplo: 70 kg, 170 cm</v>
      </c>
      <c r="I567" s="4" t="str">
        <f>IFERROR(__xludf.DUMMYFUNCTION("GOOGLETRANSLATE(B567,""en"",""fr"")"),"Indiquez votre poids en kg et votre taille en cm. Exemple : 70 kg, 170 cm")</f>
        <v>Indiquez votre poids en kg et votre taille en cm. Exemple : 70 kg, 170 cm</v>
      </c>
      <c r="J567" s="4" t="str">
        <f>IFERROR(__xludf.DUMMYFUNCTION("GOOGLETRANSLATE(B567,""en"",""it"")"),"Inserisci il peso in kg e l'altezza in cm. Esempio: 70 kg, 170 cm")</f>
        <v>Inserisci il peso in kg e l'altezza in cm. Esempio: 70 kg, 170 cm</v>
      </c>
      <c r="K567" s="4" t="str">
        <f>IFERROR(__xludf.DUMMYFUNCTION("GOOGLETRANSLATE(B567,""en"",""pt"")"),"Insira o peso em kg e a altura em cm. Exemplo: 70 kg, 170 cm")</f>
        <v>Insira o peso em kg e a altura em cm. Exemplo: 70 kg, 170 cm</v>
      </c>
      <c r="L567" s="4" t="str">
        <f>IFERROR(__xludf.DUMMYFUNCTION("GOOGLETRANSLATE(B567,""en"",""ro"")"),"Introduceți greutatea în kg și înălțimea în cm. Exemplu: 70 kg, 170 cm")</f>
        <v>Introduceți greutatea în kg și înălțimea în cm. Exemplu: 70 kg, 170 cm</v>
      </c>
      <c r="M567" s="4" t="str">
        <f>IFERROR(__xludf.DUMMYFUNCTION("GOOGLETRANSLATE(B567,""en"",""vi"")"),"Nhập cân nặng theo kg và chiều cao theo cm. Ví dụ: 70 kg, 170 cm")</f>
        <v>Nhập cân nặng theo kg và chiều cao theo cm. Ví dụ: 70 kg, 170 cm</v>
      </c>
      <c r="N567" s="4" t="str">
        <f>IFERROR(__xludf.DUMMYFUNCTION("GOOGLETRANSLATE(B567,""en"",""ru"")"),"Введите вес в кг и рост в см. Пример: 70 кг, 170 см.")</f>
        <v>Введите вес в кг и рост в см. Пример: 70 кг, 170 см.</v>
      </c>
      <c r="O567" s="4" t="str">
        <f>IFERROR(__xludf.DUMMYFUNCTION("GOOGLETRANSLATE(B567,""en"",""tr"")"),"Ağırlığı kg cinsinden ve boyu cm cinsinden girin. Örnek: 70 kg, 170 cm")</f>
        <v>Ağırlığı kg cinsinden ve boyu cm cinsinden girin. Örnek: 70 kg, 170 cm</v>
      </c>
      <c r="P567" s="4" t="str">
        <f>IFERROR(__xludf.DUMMYFUNCTION("GOOGLETRANSLATE(B567,""en"",""ar"")"),"أدخل الوزن بالكيلوغرام والطول بالسنتيمتر. مثال: ٧٠ كجم، ١٧٠ سم")</f>
        <v>أدخل الوزن بالكيلوغرام والطول بالسنتيمتر. مثال: ٧٠ كجم، ١٧٠ سم</v>
      </c>
      <c r="Q567" s="4" t="str">
        <f>IFERROR(__xludf.DUMMYFUNCTION("GOOGLETRANSLATE(B567,""en"",""mr"")"),"किलोमध्ये वजन आणि सेमीमध्ये उंची प्रविष्ट करा. उदाहरण: 70 किलो, 170 सें.मी")</f>
        <v>किलोमध्ये वजन आणि सेमीमध्ये उंची प्रविष्ट करा. उदाहरण: 70 किलो, 170 सें.मी</v>
      </c>
      <c r="R567" s="4" t="str">
        <f>IFERROR(__xludf.DUMMYFUNCTION("GOOGLETRANSLATE(B567,""en"",""gu"")"),"કિગ્રામાં વજન અને સેમીમાં ઊંચાઈ દાખલ કરો. ઉદાહરણ: 70 કિગ્રા, 170 સે.મી")</f>
        <v>કિગ્રામાં વજન અને સેમીમાં ઊંચાઈ દાખલ કરો. ઉદાહરણ: 70 કિગ્રા, 170 સે.મી</v>
      </c>
      <c r="S567" s="4" t="str">
        <f>IFERROR(__xludf.DUMMYFUNCTION("GOOGLETRANSLATE(B567,""en"",""bn"")"),"কেজিতে ওজন এবং উচ্চতা সেমিতে লিখুন। উদাহরণ: 70 কেজি, 170 সেমি")</f>
        <v>কেজিতে ওজন এবং উচ্চতা সেমিতে লিখুন। উদাহরণ: 70 কেজি, 170 সেমি</v>
      </c>
      <c r="T567" s="4" t="str">
        <f>IFERROR(__xludf.DUMMYFUNCTION("GOOGLETRANSLATE(B567,""en"",""pa"")"),"ਵਜ਼ਨ ਕਿਲੋਗ੍ਰਾਮ ਅਤੇ ਉਚਾਈ ਸੈਂਟੀਮੀਟਰ ਵਿੱਚ ਦਰਜ ਕਰੋ। ਉਦਾਹਰਨ: 70 ਕਿਲੋ, 170 ਸੈ.ਮੀ")</f>
        <v>ਵਜ਼ਨ ਕਿਲੋਗ੍ਰਾਮ ਅਤੇ ਉਚਾਈ ਸੈਂਟੀਮੀਟਰ ਵਿੱਚ ਦਰਜ ਕਰੋ। ਉਦਾਹਰਨ: 70 ਕਿਲੋ, 170 ਸੈ.ਮੀ</v>
      </c>
      <c r="U567" s="4" t="str">
        <f>IFERROR(__xludf.DUMMYFUNCTION("GOOGLETRANSLATE(B567,""en"",""te"")"),"బరువును కిలోలో మరియు ఎత్తును సెం.మీలో నమోదు చేయండి. ఉదాహరణ: 70 కిలోలు, 170 సెం.మీ")</f>
        <v>బరువును కిలోలో మరియు ఎత్తును సెం.మీలో నమోదు చేయండి. ఉదాహరణ: 70 కిలోలు, 170 సెం.మీ</v>
      </c>
      <c r="V567" s="4" t="str">
        <f>IFERROR(__xludf.DUMMYFUNCTION("GOOGLETRANSLATE(B567,""en"",""kn"")"),"ತೂಕವನ್ನು ಕೆಜಿಯಲ್ಲಿ ಮತ್ತು ಎತ್ತರವನ್ನು ಸೆಂಟಿಮೀಟರ್‌ನಲ್ಲಿ ನಮೂದಿಸಿ. ಉದಾಹರಣೆ: 70 ಕೆಜಿ, 170 ಸೆಂ")</f>
        <v>ತೂಕವನ್ನು ಕೆಜಿಯಲ್ಲಿ ಮತ್ತು ಎತ್ತರವನ್ನು ಸೆಂಟಿಮೀಟರ್‌ನಲ್ಲಿ ನಮೂದಿಸಿ. ಉದಾಹರಣೆ: 70 ಕೆಜಿ, 170 ಸೆಂ</v>
      </c>
      <c r="W567" s="4" t="str">
        <f>IFERROR(__xludf.DUMMYFUNCTION("GOOGLETRANSLATE(B567,""en"",""ml"")"),"ഭാരം കിലോയിലും ഉയരം സെൻ്റിമീറ്ററിലും രേഖപ്പെടുത്തുക. ഉദാഹരണം: 70 കി.ഗ്രാം, 170 സെ.മീ")</f>
        <v>ഭാരം കിലോയിലും ഉയരം സെൻ്റിമീറ്ററിലും രേഖപ്പെടുത്തുക. ഉദാഹരണം: 70 കി.ഗ്രാം, 170 സെ.മീ</v>
      </c>
      <c r="X567" s="4" t="str">
        <f>IFERROR(__xludf.DUMMYFUNCTION("GOOGLETRANSLATE(B567,""en"",""th"")"),"ระบุน้ำหนักเป็นกิโลกรัม และส่วนสูงเป็นเซนติเมตร ตัวอย่าง: 70 กิโลกรัม 170 เซนติเมตร")</f>
        <v>ระบุน้ำหนักเป็นกิโลกรัม และส่วนสูงเป็นเซนติเมตร ตัวอย่าง: 70 กิโลกรัม 170 เซนติเมตร</v>
      </c>
      <c r="Y567" s="4" t="str">
        <f>IFERROR(__xludf.DUMMYFUNCTION("GOOGLETRANSLATE(B567,""en"",""ko"")"),"몸무게(kg)와 키(cm)를 입력하세요. 예: 70kg, 170cm")</f>
        <v>몸무게(kg)와 키(cm)를 입력하세요. 예: 70kg, 170cm</v>
      </c>
      <c r="Z567" s="4" t="str">
        <f>IFERROR(__xludf.DUMMYFUNCTION("GOOGLETRANSLATE(B567,""en"",""zh"")"),"输入体重（公斤）和身高（厘米）。例如：70 公斤，170 厘米")</f>
        <v>输入体重（公斤）和身高（厘米）。例如：70 公斤，170 厘米</v>
      </c>
      <c r="AA567" s="4" t="str">
        <f>IFERROR(__xludf.DUMMYFUNCTION("GOOGLETRANSLATE(B567,""en"",""zh-TW"")"),"輸入體重（公斤）和身高（公分）。例如：70 公斤，170 厘米")</f>
        <v>輸入體重（公斤）和身高（公分）。例如：70 公斤，170 厘米</v>
      </c>
      <c r="AB567" s="4" t="str">
        <f>IFERROR(__xludf.DUMMYFUNCTION("GOOGLETRANSLATE(B567,""en"",""ja"")"),"体重（kg）、身長（cm）を入力してください。例：70 kg、170 cm")</f>
        <v>体重（kg）、身長（cm）を入力してください。例：70 kg、170 cm</v>
      </c>
      <c r="AC567" s="4" t="str">
        <f>IFERROR(__xludf.DUMMYFUNCTION("GOOGLETRANSLATE(B567,""en"",""bg"")"),"Въведете тегло в kg и височина в cm. Пример: 70 кг, 170 см")</f>
        <v>Въведете тегло в kg и височина в cm. Пример: 70 кг, 170 см</v>
      </c>
      <c r="AD567" s="4" t="str">
        <f>IFERROR(__xludf.DUMMYFUNCTION("GOOGLETRANSLATE(B567,""en"",""cs"")"),"Zadejte hmotnost v kg a výšku v cm. Příklad: 70 kg, 170 cm")</f>
        <v>Zadejte hmotnost v kg a výšku v cm. Příklad: 70 kg, 170 cm</v>
      </c>
      <c r="AE567" s="4" t="str">
        <f>IFERROR(__xludf.DUMMYFUNCTION("GOOGLETRANSLATE(B567,""en"",""da"")"),"Indtast vægt i kg og højde i cm. Eksempel: 70 kg, 170 cm")</f>
        <v>Indtast vægt i kg og højde i cm. Eksempel: 70 kg, 170 cm</v>
      </c>
      <c r="AF567" s="4" t="str">
        <f>IFERROR(__xludf.DUMMYFUNCTION("GOOGLETRANSLATE(B567,""en"",""el"")"),"Εισαγάγετε το βάρος σε kg και το ύψος σε cm. Παράδειγμα: 70 kg, 170 cm")</f>
        <v>Εισαγάγετε το βάρος σε kg και το ύψος σε cm. Παράδειγμα: 70 kg, 170 cm</v>
      </c>
      <c r="AG567" s="4" t="str">
        <f>IFERROR(__xludf.DUMMYFUNCTION("GOOGLETRANSLATE(B567,""en"",""et"")"),"Sisestage kaal kg ja pikkus cm. Näide: 70 kg, 170 cm")</f>
        <v>Sisestage kaal kg ja pikkus cm. Näide: 70 kg, 170 cm</v>
      </c>
      <c r="AH567" s="4" t="str">
        <f>IFERROR(__xludf.DUMMYFUNCTION("GOOGLETRANSLATE(B567,""en"",""fi"")"),"Syötä paino kg ja pituus cm. Esimerkki: 70 kg, 170 cm")</f>
        <v>Syötä paino kg ja pituus cm. Esimerkki: 70 kg, 170 cm</v>
      </c>
      <c r="AI567" s="4" t="str">
        <f>IFERROR(__xludf.DUMMYFUNCTION("GOOGLETRANSLATE(B567,""en"",""hr"")"),"Unesite težinu u kg i visinu u cm. Primjer: 70 kg, 170 cm")</f>
        <v>Unesite težinu u kg i visinu u cm. Primjer: 70 kg, 170 cm</v>
      </c>
      <c r="AJ567" s="4" t="str">
        <f>IFERROR(__xludf.DUMMYFUNCTION("GOOGLETRANSLATE(B567,""en"",""hu"")"),"Adja meg a súlyt kg-ban és a magasságot cm-ben. Példa: 70 kg, 170 cm")</f>
        <v>Adja meg a súlyt kg-ban és a magasságot cm-ben. Példa: 70 kg, 170 cm</v>
      </c>
      <c r="AK567" s="4" t="str">
        <f>IFERROR(__xludf.DUMMYFUNCTION("GOOGLETRANSLATE(B567,""en"",""hy"")"),"Մուտքագրեք քաշը կգ-ով և հասակը սմ-ով: Օրինակ՝ 70 կգ, 170 սմ")</f>
        <v>Մուտքագրեք քաշը կգ-ով և հասակը սմ-ով: Օրինակ՝ 70 կգ, 170 սմ</v>
      </c>
      <c r="AL567" s="4" t="str">
        <f>IFERROR(__xludf.DUMMYFUNCTION("GOOGLETRANSLATE(B567,""en"",""ca"")"),"Introduïu el pes en kg i l'alçada en cm. Exemple: 70 kg, 170 cm")</f>
        <v>Introduïu el pes en kg i l'alçada en cm. Exemple: 70 kg, 170 cm</v>
      </c>
      <c r="AM567" s="4" t="str">
        <f>IFERROR(__xludf.DUMMYFUNCTION("GOOGLETRANSLATE(B567,""en"",""nl"")"),"Voer het gewicht in kg en de lengte in cm in. Bijvoorbeeld: 70 kg, 170 cm")</f>
        <v>Voer het gewicht in kg en de lengte in cm in. Bijvoorbeeld: 70 kg, 170 cm</v>
      </c>
      <c r="AN567" s="4" t="str">
        <f>IFERROR(__xludf.DUMMYFUNCTION("GOOGLETRANSLATE(B567,""en"",""he"")"),"הזן משקל בק""ג וגובה בס""מ. דוגמה: 70 ק""ג, 170 ס""מ")</f>
        <v>הזן משקל בק"ג וגובה בס"מ. דוגמה: 70 ק"ג, 170 ס"מ</v>
      </c>
      <c r="AO567" s="4" t="str">
        <f>IFERROR(__xludf.DUMMYFUNCTION("GOOGLETRANSLATE(B567,""en"",""is"")"),"Sláðu inn þyngd í kg og hæð í cm. Dæmi: 70 kg, 170 cm")</f>
        <v>Sláðu inn þyngd í kg og hæð í cm. Dæmi: 70 kg, 170 cm</v>
      </c>
      <c r="AP567" s="4" t="str">
        <f>IFERROR(__xludf.DUMMYFUNCTION("GOOGLETRANSLATE(B567,""en"",""no"")"),"Angi vekt i kg og høyde i cm. Eksempel: 70 kg, 170 cm")</f>
        <v>Angi vekt i kg og høyde i cm. Eksempel: 70 kg, 170 cm</v>
      </c>
      <c r="AQ567" s="4" t="str">
        <f>IFERROR(__xludf.DUMMYFUNCTION("GOOGLETRANSLATE(B567,""en"",""fa"")"),"وزن را بر حسب کیلوگرم و قد را بر حسب سانتی متر وارد کنید. مثال: 70 کیلوگرم، 170 سانتی متر")</f>
        <v>وزن را بر حسب کیلوگرم و قد را بر حسب سانتی متر وارد کنید. مثال: 70 کیلوگرم، 170 سانتی متر</v>
      </c>
      <c r="AR567" s="4" t="str">
        <f>IFERROR(__xludf.DUMMYFUNCTION("GOOGLETRANSLATE(B567,""en"",""pl"")"),"Wprowadź wagę w kg i wzrost w cm. Przykład: 70 kg, 170 cm")</f>
        <v>Wprowadź wagę w kg i wzrost w cm. Przykład: 70 kg, 170 cm</v>
      </c>
      <c r="AS567" s="4" t="str">
        <f>IFERROR(__xludf.DUMMYFUNCTION("GOOGLETRANSLATE(B567,""en"",""sv"")"),"Ange vikt i kg och höjd i cm. Exempel: 70 kg, 170 cm")</f>
        <v>Ange vikt i kg och höjd i cm. Exempel: 70 kg, 170 cm</v>
      </c>
      <c r="AT567" s="4" t="str">
        <f>IFERROR(__xludf.DUMMYFUNCTION("GOOGLETRANSLATE(B567,""en"",""uk"")"),"Введіть вагу в кг і зріст у см. Приклад: 70 кг, 170 см")</f>
        <v>Введіть вагу в кг і зріст у см. Приклад: 70 кг, 170 см</v>
      </c>
      <c r="AU567" s="4" t="str">
        <f>IFERROR(__xludf.DUMMYFUNCTION("GOOGLETRANSLATE(B567,""en"",""zu"")"),"Faka isisindo ngo-kg nobude ngo-cm. Isibonelo: 70 kg, 170 cm")</f>
        <v>Faka isisindo ngo-kg nobude ngo-cm. Isibonelo: 70 kg, 170 cm</v>
      </c>
      <c r="AV567" s="4" t="str">
        <f>IFERROR(__xludf.DUMMYFUNCTION("GOOGLETRANSLATE(B567,""en"",""sr"")"),"Унесите тежину у кг и висину у цм. Пример: 70 кг, 170 цм")</f>
        <v>Унесите тежину у кг и висину у цм. Пример: 70 кг, 170 цм</v>
      </c>
    </row>
    <row r="568">
      <c r="A568" s="3" t="s">
        <v>1087</v>
      </c>
      <c r="B568" s="3" t="s">
        <v>1088</v>
      </c>
      <c r="C568" s="4" t="str">
        <f>IFERROR(__xludf.DUMMYFUNCTION("GOOGLETRANSLATE(B568,""en"",""ta"")"),"கணக்கிடுங்கள்")</f>
        <v>கணக்கிடுங்கள்</v>
      </c>
      <c r="D568" s="4" t="str">
        <f>IFERROR(__xludf.DUMMYFUNCTION("GOOGLETRANSLATE(B568,""en"",""hi"")"),"गणना")</f>
        <v>गणना</v>
      </c>
      <c r="E568" s="4" t="str">
        <f>IFERROR(__xludf.DUMMYFUNCTION("GOOGLETRANSLATE(B568,""en"",""id"")"),"Menghitung")</f>
        <v>Menghitung</v>
      </c>
      <c r="F568" s="4" t="str">
        <f>IFERROR(__xludf.DUMMYFUNCTION("GOOGLETRANSLATE(B568,""en"",""ms"")"),"Kira")</f>
        <v>Kira</v>
      </c>
      <c r="G568" s="4" t="str">
        <f>IFERROR(__xludf.DUMMYFUNCTION("GOOGLETRANSLATE(B568,""en"",""de"")"),"Berechnen")</f>
        <v>Berechnen</v>
      </c>
      <c r="H568" s="4" t="str">
        <f>IFERROR(__xludf.DUMMYFUNCTION("GOOGLETRANSLATE(B568,""en"",""es"")"),"Calcular")</f>
        <v>Calcular</v>
      </c>
      <c r="I568" s="4" t="str">
        <f>IFERROR(__xludf.DUMMYFUNCTION("GOOGLETRANSLATE(B568,""en"",""fr"")"),"Calculer")</f>
        <v>Calculer</v>
      </c>
      <c r="J568" s="4" t="str">
        <f>IFERROR(__xludf.DUMMYFUNCTION("GOOGLETRANSLATE(B568,""en"",""it"")"),"Calcolare")</f>
        <v>Calcolare</v>
      </c>
      <c r="K568" s="4" t="str">
        <f>IFERROR(__xludf.DUMMYFUNCTION("GOOGLETRANSLATE(B568,""en"",""pt"")"),"Calcular")</f>
        <v>Calcular</v>
      </c>
      <c r="L568" s="4" t="str">
        <f>IFERROR(__xludf.DUMMYFUNCTION("GOOGLETRANSLATE(B568,""en"",""ro"")"),"Calcula")</f>
        <v>Calcula</v>
      </c>
      <c r="M568" s="4" t="str">
        <f>IFERROR(__xludf.DUMMYFUNCTION("GOOGLETRANSLATE(B568,""en"",""vi"")"),"Tính toán")</f>
        <v>Tính toán</v>
      </c>
      <c r="N568" s="4" t="str">
        <f>IFERROR(__xludf.DUMMYFUNCTION("GOOGLETRANSLATE(B568,""en"",""ru"")"),"Рассчитать")</f>
        <v>Рассчитать</v>
      </c>
      <c r="O568" s="4" t="str">
        <f>IFERROR(__xludf.DUMMYFUNCTION("GOOGLETRANSLATE(B568,""en"",""tr"")"),"Hesaplamak")</f>
        <v>Hesaplamak</v>
      </c>
      <c r="P568" s="4" t="str">
        <f>IFERROR(__xludf.DUMMYFUNCTION("GOOGLETRANSLATE(B568,""en"",""ar"")"),"احسب")</f>
        <v>احسب</v>
      </c>
      <c r="Q568" s="4" t="str">
        <f>IFERROR(__xludf.DUMMYFUNCTION("GOOGLETRANSLATE(B568,""en"",""mr"")"),"गणना करा")</f>
        <v>गणना करा</v>
      </c>
      <c r="R568" s="4" t="str">
        <f>IFERROR(__xludf.DUMMYFUNCTION("GOOGLETRANSLATE(B568,""en"",""gu"")"),"ગણતરી કરો")</f>
        <v>ગણતરી કરો</v>
      </c>
      <c r="S568" s="4" t="str">
        <f>IFERROR(__xludf.DUMMYFUNCTION("GOOGLETRANSLATE(B568,""en"",""bn"")"),"হিসাব করুন")</f>
        <v>হিসাব করুন</v>
      </c>
      <c r="T568" s="4" t="str">
        <f>IFERROR(__xludf.DUMMYFUNCTION("GOOGLETRANSLATE(B568,""en"",""pa"")"),"ਗਣਨਾ ਕਰੋ")</f>
        <v>ਗਣਨਾ ਕਰੋ</v>
      </c>
      <c r="U568" s="4" t="str">
        <f>IFERROR(__xludf.DUMMYFUNCTION("GOOGLETRANSLATE(B568,""en"",""te"")"),"లెక్కించు")</f>
        <v>లెక్కించు</v>
      </c>
      <c r="V568" s="4" t="str">
        <f>IFERROR(__xludf.DUMMYFUNCTION("GOOGLETRANSLATE(B568,""en"",""kn"")"),"ಲೆಕ್ಕ ಹಾಕಿ")</f>
        <v>ಲೆಕ್ಕ ಹಾಕಿ</v>
      </c>
      <c r="W568" s="4" t="str">
        <f>IFERROR(__xludf.DUMMYFUNCTION("GOOGLETRANSLATE(B568,""en"",""ml"")"),"കണക്കാക്കുക")</f>
        <v>കണക്കാക്കുക</v>
      </c>
      <c r="X568" s="4" t="str">
        <f>IFERROR(__xludf.DUMMYFUNCTION("GOOGLETRANSLATE(B568,""en"",""th"")"),"คำนวณ")</f>
        <v>คำนวณ</v>
      </c>
      <c r="Y568" s="4" t="str">
        <f>IFERROR(__xludf.DUMMYFUNCTION("GOOGLETRANSLATE(B568,""en"",""ko"")"),"믿다")</f>
        <v>믿다</v>
      </c>
      <c r="Z568" s="4" t="str">
        <f>IFERROR(__xludf.DUMMYFUNCTION("GOOGLETRANSLATE(B568,""en"",""zh"")"),"计算")</f>
        <v>计算</v>
      </c>
      <c r="AA568" s="4" t="str">
        <f>IFERROR(__xludf.DUMMYFUNCTION("GOOGLETRANSLATE(B568,""en"",""zh-TW"")"),"計算")</f>
        <v>計算</v>
      </c>
      <c r="AB568" s="4" t="str">
        <f>IFERROR(__xludf.DUMMYFUNCTION("GOOGLETRANSLATE(B568,""en"",""ja"")"),"計算する")</f>
        <v>計算する</v>
      </c>
      <c r="AC568" s="4" t="str">
        <f>IFERROR(__xludf.DUMMYFUNCTION("GOOGLETRANSLATE(B568,""en"",""bg"")"),"Изчислете")</f>
        <v>Изчислете</v>
      </c>
      <c r="AD568" s="4" t="str">
        <f>IFERROR(__xludf.DUMMYFUNCTION("GOOGLETRANSLATE(B568,""en"",""cs"")"),"Vypočítat")</f>
        <v>Vypočítat</v>
      </c>
      <c r="AE568" s="4" t="str">
        <f>IFERROR(__xludf.DUMMYFUNCTION("GOOGLETRANSLATE(B568,""en"",""da"")"),"Beregne")</f>
        <v>Beregne</v>
      </c>
      <c r="AF568" s="4" t="str">
        <f>IFERROR(__xludf.DUMMYFUNCTION("GOOGLETRANSLATE(B568,""en"",""el"")"),"Υπολογίζω")</f>
        <v>Υπολογίζω</v>
      </c>
      <c r="AG568" s="4" t="str">
        <f>IFERROR(__xludf.DUMMYFUNCTION("GOOGLETRANSLATE(B568,""en"",""et"")"),"Arvutage")</f>
        <v>Arvutage</v>
      </c>
      <c r="AH568" s="4" t="str">
        <f>IFERROR(__xludf.DUMMYFUNCTION("GOOGLETRANSLATE(B568,""en"",""fi"")"),"Laskea")</f>
        <v>Laskea</v>
      </c>
      <c r="AI568" s="4" t="str">
        <f>IFERROR(__xludf.DUMMYFUNCTION("GOOGLETRANSLATE(B568,""en"",""hr"")"),"Izračunati")</f>
        <v>Izračunati</v>
      </c>
      <c r="AJ568" s="4" t="str">
        <f>IFERROR(__xludf.DUMMYFUNCTION("GOOGLETRANSLATE(B568,""en"",""hu"")"),"Számítsa ki")</f>
        <v>Számítsa ki</v>
      </c>
      <c r="AK568" s="4" t="str">
        <f>IFERROR(__xludf.DUMMYFUNCTION("GOOGLETRANSLATE(B568,""en"",""hy"")"),"Հաշվիր")</f>
        <v>Հաշվիր</v>
      </c>
      <c r="AL568" s="4" t="str">
        <f>IFERROR(__xludf.DUMMYFUNCTION("GOOGLETRANSLATE(B568,""en"",""ca"")"),"Calcula")</f>
        <v>Calcula</v>
      </c>
      <c r="AM568" s="4" t="str">
        <f>IFERROR(__xludf.DUMMYFUNCTION("GOOGLETRANSLATE(B568,""en"",""nl"")"),"Berekenen")</f>
        <v>Berekenen</v>
      </c>
      <c r="AN568" s="4" t="str">
        <f>IFERROR(__xludf.DUMMYFUNCTION("GOOGLETRANSLATE(B568,""en"",""he"")"),"לְחַשֵׁב")</f>
        <v>לְחַשֵׁב</v>
      </c>
      <c r="AO568" s="4" t="str">
        <f>IFERROR(__xludf.DUMMYFUNCTION("GOOGLETRANSLATE(B568,""en"",""is"")"),"Reiknaðu")</f>
        <v>Reiknaðu</v>
      </c>
      <c r="AP568" s="4" t="str">
        <f>IFERROR(__xludf.DUMMYFUNCTION("GOOGLETRANSLATE(B568,""en"",""no"")"),"Kalkulere")</f>
        <v>Kalkulere</v>
      </c>
      <c r="AQ568" s="4" t="str">
        <f>IFERROR(__xludf.DUMMYFUNCTION("GOOGLETRANSLATE(B568,""en"",""fa"")"),"محاسبه کنید")</f>
        <v>محاسبه کنید</v>
      </c>
      <c r="AR568" s="4" t="str">
        <f>IFERROR(__xludf.DUMMYFUNCTION("GOOGLETRANSLATE(B568,""en"",""pl"")"),"Obliczać")</f>
        <v>Obliczać</v>
      </c>
      <c r="AS568" s="4" t="str">
        <f>IFERROR(__xludf.DUMMYFUNCTION("GOOGLETRANSLATE(B568,""en"",""sv"")"),"Kalkylera")</f>
        <v>Kalkylera</v>
      </c>
      <c r="AT568" s="4" t="str">
        <f>IFERROR(__xludf.DUMMYFUNCTION("GOOGLETRANSLATE(B568,""en"",""uk"")"),"Обчислити")</f>
        <v>Обчислити</v>
      </c>
      <c r="AU568" s="4" t="str">
        <f>IFERROR(__xludf.DUMMYFUNCTION("GOOGLETRANSLATE(B568,""en"",""zu"")"),"Bala")</f>
        <v>Bala</v>
      </c>
      <c r="AV568" s="4" t="str">
        <f>IFERROR(__xludf.DUMMYFUNCTION("GOOGLETRANSLATE(B568,""en"",""sr"")"),"Израчунај")</f>
        <v>Израчунај</v>
      </c>
    </row>
    <row r="569">
      <c r="A569" s="3" t="s">
        <v>1089</v>
      </c>
      <c r="B569" s="3" t="s">
        <v>1090</v>
      </c>
      <c r="C569" s="4" t="str">
        <f>IFERROR(__xludf.DUMMYFUNCTION("GOOGLETRANSLATE(B569,""en"",""ta"")"),"பரிந்துரைக்கப்பட்ட படிகள்")</f>
        <v>பரிந்துரைக்கப்பட்ட படிகள்</v>
      </c>
      <c r="D569" s="4" t="str">
        <f>IFERROR(__xludf.DUMMYFUNCTION("GOOGLETRANSLATE(B569,""en"",""hi"")"),"अनुशंसित कदम")</f>
        <v>अनुशंसित कदम</v>
      </c>
      <c r="E569" s="4" t="str">
        <f>IFERROR(__xludf.DUMMYFUNCTION("GOOGLETRANSLATE(B569,""en"",""id"")"),"Langkah-langkah yang Direkomendasikan")</f>
        <v>Langkah-langkah yang Direkomendasikan</v>
      </c>
      <c r="F569" s="4" t="str">
        <f>IFERROR(__xludf.DUMMYFUNCTION("GOOGLETRANSLATE(B569,""en"",""ms"")"),"Langkah yang Disyorkan")</f>
        <v>Langkah yang Disyorkan</v>
      </c>
      <c r="G569" s="4" t="str">
        <f>IFERROR(__xludf.DUMMYFUNCTION("GOOGLETRANSLATE(B569,""en"",""de"")"),"Empfohlene Schritte")</f>
        <v>Empfohlene Schritte</v>
      </c>
      <c r="H569" s="4" t="str">
        <f>IFERROR(__xludf.DUMMYFUNCTION("GOOGLETRANSLATE(B569,""en"",""es"")"),"Pasos recomendados")</f>
        <v>Pasos recomendados</v>
      </c>
      <c r="I569" s="4" t="str">
        <f>IFERROR(__xludf.DUMMYFUNCTION("GOOGLETRANSLATE(B569,""en"",""fr"")"),"Étapes recommandées")</f>
        <v>Étapes recommandées</v>
      </c>
      <c r="J569" s="4" t="str">
        <f>IFERROR(__xludf.DUMMYFUNCTION("GOOGLETRANSLATE(B569,""en"",""it"")"),"Passaggi consigliati")</f>
        <v>Passaggi consigliati</v>
      </c>
      <c r="K569" s="4" t="str">
        <f>IFERROR(__xludf.DUMMYFUNCTION("GOOGLETRANSLATE(B569,""en"",""pt"")"),"Etapas recomendadas")</f>
        <v>Etapas recomendadas</v>
      </c>
      <c r="L569" s="4" t="str">
        <f>IFERROR(__xludf.DUMMYFUNCTION("GOOGLETRANSLATE(B569,""en"",""ro"")"),"Pași recomandați")</f>
        <v>Pași recomandați</v>
      </c>
      <c r="M569" s="4" t="str">
        <f>IFERROR(__xludf.DUMMYFUNCTION("GOOGLETRANSLATE(B569,""en"",""vi"")"),"Các bước được đề xuất")</f>
        <v>Các bước được đề xuất</v>
      </c>
      <c r="N569" s="4" t="str">
        <f>IFERROR(__xludf.DUMMYFUNCTION("GOOGLETRANSLATE(B569,""en"",""ru"")"),"Рекомендуемые шаги")</f>
        <v>Рекомендуемые шаги</v>
      </c>
      <c r="O569" s="4" t="str">
        <f>IFERROR(__xludf.DUMMYFUNCTION("GOOGLETRANSLATE(B569,""en"",""tr"")"),"Önerilen Adımlar")</f>
        <v>Önerilen Adımlar</v>
      </c>
      <c r="P569" s="4" t="str">
        <f>IFERROR(__xludf.DUMMYFUNCTION("GOOGLETRANSLATE(B569,""en"",""ar"")"),"الخطوات الموصى بها")</f>
        <v>الخطوات الموصى بها</v>
      </c>
      <c r="Q569" s="4" t="str">
        <f>IFERROR(__xludf.DUMMYFUNCTION("GOOGLETRANSLATE(B569,""en"",""mr"")"),"शिफारस केलेले चरण")</f>
        <v>शिफारस केलेले चरण</v>
      </c>
      <c r="R569" s="4" t="str">
        <f>IFERROR(__xludf.DUMMYFUNCTION("GOOGLETRANSLATE(B569,""en"",""gu"")"),"ભલામણ કરેલ પગલાં")</f>
        <v>ભલામણ કરેલ પગલાં</v>
      </c>
      <c r="S569" s="4" t="str">
        <f>IFERROR(__xludf.DUMMYFUNCTION("GOOGLETRANSLATE(B569,""en"",""bn"")"),"প্রস্তাবিত পদক্ষেপ")</f>
        <v>প্রস্তাবিত পদক্ষেপ</v>
      </c>
      <c r="T569" s="4" t="str">
        <f>IFERROR(__xludf.DUMMYFUNCTION("GOOGLETRANSLATE(B569,""en"",""pa"")"),"ਸਿਫਾਰਸ਼ੀ ਕਦਮ")</f>
        <v>ਸਿਫਾਰਸ਼ੀ ਕਦਮ</v>
      </c>
      <c r="U569" s="4" t="str">
        <f>IFERROR(__xludf.DUMMYFUNCTION("GOOGLETRANSLATE(B569,""en"",""te"")"),"సిఫార్సు చేసిన దశలు")</f>
        <v>సిఫార్సు చేసిన దశలు</v>
      </c>
      <c r="V569" s="4" t="str">
        <f>IFERROR(__xludf.DUMMYFUNCTION("GOOGLETRANSLATE(B569,""en"",""kn"")"),"ಶಿಫಾರಸು ಮಾಡಲಾದ ಕ್ರಮಗಳು")</f>
        <v>ಶಿಫಾರಸು ಮಾಡಲಾದ ಕ್ರಮಗಳು</v>
      </c>
      <c r="W569" s="4" t="str">
        <f>IFERROR(__xludf.DUMMYFUNCTION("GOOGLETRANSLATE(B569,""en"",""ml"")"),"ശുപാർശ ചെയ്യുന്ന ഘട്ടങ്ങൾ")</f>
        <v>ശുപാർശ ചെയ്യുന്ന ഘട്ടങ്ങൾ</v>
      </c>
      <c r="X569" s="4" t="str">
        <f>IFERROR(__xludf.DUMMYFUNCTION("GOOGLETRANSLATE(B569,""en"",""th"")"),"ขั้นตอนที่แนะนำ")</f>
        <v>ขั้นตอนที่แนะนำ</v>
      </c>
      <c r="Y569" s="4" t="str">
        <f>IFERROR(__xludf.DUMMYFUNCTION("GOOGLETRANSLATE(B569,""en"",""ko"")"),"권장 단계")</f>
        <v>권장 단계</v>
      </c>
      <c r="Z569" s="4" t="str">
        <f>IFERROR(__xludf.DUMMYFUNCTION("GOOGLETRANSLATE(B569,""en"",""zh"")"),"建议步骤")</f>
        <v>建议步骤</v>
      </c>
      <c r="AA569" s="4" t="str">
        <f>IFERROR(__xludf.DUMMYFUNCTION("GOOGLETRANSLATE(B569,""en"",""zh-TW"")"),"建議步驟")</f>
        <v>建議步驟</v>
      </c>
      <c r="AB569" s="4" t="str">
        <f>IFERROR(__xludf.DUMMYFUNCTION("GOOGLETRANSLATE(B569,""en"",""ja"")"),"推奨手順")</f>
        <v>推奨手順</v>
      </c>
      <c r="AC569" s="4" t="str">
        <f>IFERROR(__xludf.DUMMYFUNCTION("GOOGLETRANSLATE(B569,""en"",""bg"")"),"Препоръчителни стъпки")</f>
        <v>Препоръчителни стъпки</v>
      </c>
      <c r="AD569" s="4" t="str">
        <f>IFERROR(__xludf.DUMMYFUNCTION("GOOGLETRANSLATE(B569,""en"",""cs"")"),"Doporučené kroky")</f>
        <v>Doporučené kroky</v>
      </c>
      <c r="AE569" s="4" t="str">
        <f>IFERROR(__xludf.DUMMYFUNCTION("GOOGLETRANSLATE(B569,""en"",""da"")"),"Anbefalede trin")</f>
        <v>Anbefalede trin</v>
      </c>
      <c r="AF569" s="4" t="str">
        <f>IFERROR(__xludf.DUMMYFUNCTION("GOOGLETRANSLATE(B569,""en"",""el"")"),"Προτεινόμενα Βήματα")</f>
        <v>Προτεινόμενα Βήματα</v>
      </c>
      <c r="AG569" s="4" t="str">
        <f>IFERROR(__xludf.DUMMYFUNCTION("GOOGLETRANSLATE(B569,""en"",""et"")"),"Soovitatavad sammud")</f>
        <v>Soovitatavad sammud</v>
      </c>
      <c r="AH569" s="4" t="str">
        <f>IFERROR(__xludf.DUMMYFUNCTION("GOOGLETRANSLATE(B569,""en"",""fi"")"),"Suositellut vaiheet")</f>
        <v>Suositellut vaiheet</v>
      </c>
      <c r="AI569" s="4" t="str">
        <f>IFERROR(__xludf.DUMMYFUNCTION("GOOGLETRANSLATE(B569,""en"",""hr"")"),"Preporučeni koraci")</f>
        <v>Preporučeni koraci</v>
      </c>
      <c r="AJ569" s="4" t="str">
        <f>IFERROR(__xludf.DUMMYFUNCTION("GOOGLETRANSLATE(B569,""en"",""hu"")"),"Javasolt lépések")</f>
        <v>Javasolt lépések</v>
      </c>
      <c r="AK569" s="4" t="str">
        <f>IFERROR(__xludf.DUMMYFUNCTION("GOOGLETRANSLATE(B569,""en"",""hy"")"),"Առաջարկվող քայլեր")</f>
        <v>Առաջարկվող քայլեր</v>
      </c>
      <c r="AL569" s="4" t="str">
        <f>IFERROR(__xludf.DUMMYFUNCTION("GOOGLETRANSLATE(B569,""en"",""ca"")"),"Passos recomanats")</f>
        <v>Passos recomanats</v>
      </c>
      <c r="AM569" s="4" t="str">
        <f>IFERROR(__xludf.DUMMYFUNCTION("GOOGLETRANSLATE(B569,""en"",""nl"")"),"Aanbevolen stappen")</f>
        <v>Aanbevolen stappen</v>
      </c>
      <c r="AN569" s="4" t="str">
        <f>IFERROR(__xludf.DUMMYFUNCTION("GOOGLETRANSLATE(B569,""en"",""he"")"),"צעדים מומלצים")</f>
        <v>צעדים מומלצים</v>
      </c>
      <c r="AO569" s="4" t="str">
        <f>IFERROR(__xludf.DUMMYFUNCTION("GOOGLETRANSLATE(B569,""en"",""is"")"),"Skref sem mælt er með")</f>
        <v>Skref sem mælt er með</v>
      </c>
      <c r="AP569" s="4" t="str">
        <f>IFERROR(__xludf.DUMMYFUNCTION("GOOGLETRANSLATE(B569,""en"",""no"")"),"Anbefalte trinn")</f>
        <v>Anbefalte trinn</v>
      </c>
      <c r="AQ569" s="4" t="str">
        <f>IFERROR(__xludf.DUMMYFUNCTION("GOOGLETRANSLATE(B569,""en"",""fa"")"),"مراحل توصیه شده")</f>
        <v>مراحل توصیه شده</v>
      </c>
      <c r="AR569" s="4" t="str">
        <f>IFERROR(__xludf.DUMMYFUNCTION("GOOGLETRANSLATE(B569,""en"",""pl"")"),"Zalecane kroki")</f>
        <v>Zalecane kroki</v>
      </c>
      <c r="AS569" s="4" t="str">
        <f>IFERROR(__xludf.DUMMYFUNCTION("GOOGLETRANSLATE(B569,""en"",""sv"")"),"Rekommenderade steg")</f>
        <v>Rekommenderade steg</v>
      </c>
      <c r="AT569" s="4" t="str">
        <f>IFERROR(__xludf.DUMMYFUNCTION("GOOGLETRANSLATE(B569,""en"",""uk"")"),"Рекомендовані кроки")</f>
        <v>Рекомендовані кроки</v>
      </c>
      <c r="AU569" s="4" t="str">
        <f>IFERROR(__xludf.DUMMYFUNCTION("GOOGLETRANSLATE(B569,""en"",""zu"")"),"Izinyathelo Ezinconyiwe")</f>
        <v>Izinyathelo Ezinconyiwe</v>
      </c>
      <c r="AV569" s="4" t="str">
        <f>IFERROR(__xludf.DUMMYFUNCTION("GOOGLETRANSLATE(B569,""en"",""sr"")"),"Препоручени кораци")</f>
        <v>Препоручени кораци</v>
      </c>
    </row>
    <row r="570">
      <c r="A570" s="3" t="s">
        <v>1091</v>
      </c>
      <c r="B570" s="3" t="s">
        <v>1092</v>
      </c>
      <c r="C570" s="4" t="str">
        <f>IFERROR(__xludf.DUMMYFUNCTION("GOOGLETRANSLATE(B570,""en"",""ta"")"),"பிஎம்ஐ வகை:")</f>
        <v>பிஎம்ஐ வகை:</v>
      </c>
      <c r="D570" s="4" t="str">
        <f>IFERROR(__xludf.DUMMYFUNCTION("GOOGLETRANSLATE(B570,""en"",""hi"")"),"बीएमआई श्रेणी:")</f>
        <v>बीएमआई श्रेणी:</v>
      </c>
      <c r="E570" s="4" t="str">
        <f>IFERROR(__xludf.DUMMYFUNCTION("GOOGLETRANSLATE(B570,""en"",""id"")"),"Kategori BMI:")</f>
        <v>Kategori BMI:</v>
      </c>
      <c r="F570" s="4" t="str">
        <f>IFERROR(__xludf.DUMMYFUNCTION("GOOGLETRANSLATE(B570,""en"",""ms"")"),"Kategori BMI:")</f>
        <v>Kategori BMI:</v>
      </c>
      <c r="G570" s="4" t="str">
        <f>IFERROR(__xludf.DUMMYFUNCTION("GOOGLETRANSLATE(B570,""en"",""de"")"),"BMI-Kategorie:")</f>
        <v>BMI-Kategorie:</v>
      </c>
      <c r="H570" s="4" t="str">
        <f>IFERROR(__xludf.DUMMYFUNCTION("GOOGLETRANSLATE(B570,""en"",""es"")"),"Categoría de IMC:")</f>
        <v>Categoría de IMC:</v>
      </c>
      <c r="I570" s="4" t="str">
        <f>IFERROR(__xludf.DUMMYFUNCTION("GOOGLETRANSLATE(B570,""en"",""fr"")"),"Catégorie IMC :")</f>
        <v>Catégorie IMC :</v>
      </c>
      <c r="J570" s="4" t="str">
        <f>IFERROR(__xludf.DUMMYFUNCTION("GOOGLETRANSLATE(B570,""en"",""it"")"),"Categoria BMI:")</f>
        <v>Categoria BMI:</v>
      </c>
      <c r="K570" s="4" t="str">
        <f>IFERROR(__xludf.DUMMYFUNCTION("GOOGLETRANSLATE(B570,""en"",""pt"")"),"Categoria de IMC:")</f>
        <v>Categoria de IMC:</v>
      </c>
      <c r="L570" s="4" t="str">
        <f>IFERROR(__xludf.DUMMYFUNCTION("GOOGLETRANSLATE(B570,""en"",""ro"")"),"Categoria IMC:")</f>
        <v>Categoria IMC:</v>
      </c>
      <c r="M570" s="4" t="str">
        <f>IFERROR(__xludf.DUMMYFUNCTION("GOOGLETRANSLATE(B570,""en"",""vi"")"),"Thể loại BMI:")</f>
        <v>Thể loại BMI:</v>
      </c>
      <c r="N570" s="4" t="str">
        <f>IFERROR(__xludf.DUMMYFUNCTION("GOOGLETRANSLATE(B570,""en"",""ru"")"),"Категория ИМТ:")</f>
        <v>Категория ИМТ:</v>
      </c>
      <c r="O570" s="4" t="str">
        <f>IFERROR(__xludf.DUMMYFUNCTION("GOOGLETRANSLATE(B570,""en"",""tr"")"),"BMI Kategorisi:")</f>
        <v>BMI Kategorisi:</v>
      </c>
      <c r="P570" s="4" t="str">
        <f>IFERROR(__xludf.DUMMYFUNCTION("GOOGLETRANSLATE(B570,""en"",""ar"")"),"فئة مؤشر كتلة الجسم:")</f>
        <v>فئة مؤشر كتلة الجسم:</v>
      </c>
      <c r="Q570" s="4" t="str">
        <f>IFERROR(__xludf.DUMMYFUNCTION("GOOGLETRANSLATE(B570,""en"",""mr"")"),"BMI श्रेणी:")</f>
        <v>BMI श्रेणी:</v>
      </c>
      <c r="R570" s="4" t="str">
        <f>IFERROR(__xludf.DUMMYFUNCTION("GOOGLETRANSLATE(B570,""en"",""gu"")"),"BMI શ્રેણી:")</f>
        <v>BMI શ્રેણી:</v>
      </c>
      <c r="S570" s="4" t="str">
        <f>IFERROR(__xludf.DUMMYFUNCTION("GOOGLETRANSLATE(B570,""en"",""bn"")"),"BMI বিভাগ:")</f>
        <v>BMI বিভাগ:</v>
      </c>
      <c r="T570" s="4" t="str">
        <f>IFERROR(__xludf.DUMMYFUNCTION("GOOGLETRANSLATE(B570,""en"",""pa"")"),"BMI ਸ਼੍ਰੇਣੀ:")</f>
        <v>BMI ਸ਼੍ਰੇਣੀ:</v>
      </c>
      <c r="U570" s="4" t="str">
        <f>IFERROR(__xludf.DUMMYFUNCTION("GOOGLETRANSLATE(B570,""en"",""te"")"),"BMI వర్గం:")</f>
        <v>BMI వర్గం:</v>
      </c>
      <c r="V570" s="4" t="str">
        <f>IFERROR(__xludf.DUMMYFUNCTION("GOOGLETRANSLATE(B570,""en"",""kn"")"),"BMI ವರ್ಗ:")</f>
        <v>BMI ವರ್ಗ:</v>
      </c>
      <c r="W570" s="4" t="str">
        <f>IFERROR(__xludf.DUMMYFUNCTION("GOOGLETRANSLATE(B570,""en"",""ml"")"),"BMI വിഭാഗം:")</f>
        <v>BMI വിഭാഗം:</v>
      </c>
      <c r="X570" s="4" t="str">
        <f>IFERROR(__xludf.DUMMYFUNCTION("GOOGLETRANSLATE(B570,""en"",""th"")"),"หมวดดัชนีมวลกาย:")</f>
        <v>หมวดดัชนีมวลกาย:</v>
      </c>
      <c r="Y570" s="4" t="str">
        <f>IFERROR(__xludf.DUMMYFUNCTION("GOOGLETRANSLATE(B570,""en"",""ko"")"),"BMI 범주:")</f>
        <v>BMI 범주:</v>
      </c>
      <c r="Z570" s="4" t="str">
        <f>IFERROR(__xludf.DUMMYFUNCTION("GOOGLETRANSLATE(B570,""en"",""zh"")"),"BMI分类：")</f>
        <v>BMI分类：</v>
      </c>
      <c r="AA570" s="4" t="str">
        <f>IFERROR(__xludf.DUMMYFUNCTION("GOOGLETRANSLATE(B570,""en"",""zh-TW"")"),"BMI分類：")</f>
        <v>BMI分類：</v>
      </c>
      <c r="AB570" s="4" t="str">
        <f>IFERROR(__xludf.DUMMYFUNCTION("GOOGLETRANSLATE(B570,""en"",""ja"")"),"BMIカテゴリー:")</f>
        <v>BMIカテゴリー:</v>
      </c>
      <c r="AC570" s="4" t="str">
        <f>IFERROR(__xludf.DUMMYFUNCTION("GOOGLETRANSLATE(B570,""en"",""bg"")"),"Категория на ИТМ:")</f>
        <v>Категория на ИТМ:</v>
      </c>
      <c r="AD570" s="4" t="str">
        <f>IFERROR(__xludf.DUMMYFUNCTION("GOOGLETRANSLATE(B570,""en"",""cs"")"),"Kategorie BMI:")</f>
        <v>Kategorie BMI:</v>
      </c>
      <c r="AE570" s="4" t="str">
        <f>IFERROR(__xludf.DUMMYFUNCTION("GOOGLETRANSLATE(B570,""en"",""da"")"),"BMI-kategori:")</f>
        <v>BMI-kategori:</v>
      </c>
      <c r="AF570" s="4" t="str">
        <f>IFERROR(__xludf.DUMMYFUNCTION("GOOGLETRANSLATE(B570,""en"",""el"")"),"Κατηγορία ΔΜΣ:")</f>
        <v>Κατηγορία ΔΜΣ:</v>
      </c>
      <c r="AG570" s="4" t="str">
        <f>IFERROR(__xludf.DUMMYFUNCTION("GOOGLETRANSLATE(B570,""en"",""et"")"),"KMI kategooria:")</f>
        <v>KMI kategooria:</v>
      </c>
      <c r="AH570" s="4" t="str">
        <f>IFERROR(__xludf.DUMMYFUNCTION("GOOGLETRANSLATE(B570,""en"",""fi"")"),"BMI-luokka:")</f>
        <v>BMI-luokka:</v>
      </c>
      <c r="AI570" s="4" t="str">
        <f>IFERROR(__xludf.DUMMYFUNCTION("GOOGLETRANSLATE(B570,""en"",""hr"")"),"BMI kategorija:")</f>
        <v>BMI kategorija:</v>
      </c>
      <c r="AJ570" s="4" t="str">
        <f>IFERROR(__xludf.DUMMYFUNCTION("GOOGLETRANSLATE(B570,""en"",""hu"")"),"BMI kategória:")</f>
        <v>BMI kategória:</v>
      </c>
      <c r="AK570" s="4" t="str">
        <f>IFERROR(__xludf.DUMMYFUNCTION("GOOGLETRANSLATE(B570,""en"",""hy"")"),"BMI Կարգավիճակ:")</f>
        <v>BMI Կարգավիճակ:</v>
      </c>
      <c r="AL570" s="4" t="str">
        <f>IFERROR(__xludf.DUMMYFUNCTION("GOOGLETRANSLATE(B570,""en"",""ca"")"),"Categoria IMC:")</f>
        <v>Categoria IMC:</v>
      </c>
      <c r="AM570" s="4" t="str">
        <f>IFERROR(__xludf.DUMMYFUNCTION("GOOGLETRANSLATE(B570,""en"",""nl"")"),"BMI-categorie:")</f>
        <v>BMI-categorie:</v>
      </c>
      <c r="AN570" s="4" t="str">
        <f>IFERROR(__xludf.DUMMYFUNCTION("GOOGLETRANSLATE(B570,""en"",""he"")"),"קטגוריית BMI:")</f>
        <v>קטגוריית BMI:</v>
      </c>
      <c r="AO570" s="4" t="str">
        <f>IFERROR(__xludf.DUMMYFUNCTION("GOOGLETRANSLATE(B570,""en"",""is"")"),"BMI flokkur:")</f>
        <v>BMI flokkur:</v>
      </c>
      <c r="AP570" s="4" t="str">
        <f>IFERROR(__xludf.DUMMYFUNCTION("GOOGLETRANSLATE(B570,""en"",""no"")"),"BMI-kategori:")</f>
        <v>BMI-kategori:</v>
      </c>
      <c r="AQ570" s="4" t="str">
        <f>IFERROR(__xludf.DUMMYFUNCTION("GOOGLETRANSLATE(B570,""en"",""fa"")"),"دسته BMI:")</f>
        <v>دسته BMI:</v>
      </c>
      <c r="AR570" s="4" t="str">
        <f>IFERROR(__xludf.DUMMYFUNCTION("GOOGLETRANSLATE(B570,""en"",""pl"")"),"Kategoria BMI:")</f>
        <v>Kategoria BMI:</v>
      </c>
      <c r="AS570" s="4" t="str">
        <f>IFERROR(__xludf.DUMMYFUNCTION("GOOGLETRANSLATE(B570,""en"",""sv"")"),"BMI-kategori:")</f>
        <v>BMI-kategori:</v>
      </c>
      <c r="AT570" s="4" t="str">
        <f>IFERROR(__xludf.DUMMYFUNCTION("GOOGLETRANSLATE(B570,""en"",""uk"")"),"Категорія ІМТ:")</f>
        <v>Категорія ІМТ:</v>
      </c>
      <c r="AU570" s="4" t="str">
        <f>IFERROR(__xludf.DUMMYFUNCTION("GOOGLETRANSLATE(B570,""en"",""zu"")"),"Isigaba se-BMI:")</f>
        <v>Isigaba se-BMI:</v>
      </c>
      <c r="AV570" s="4" t="str">
        <f>IFERROR(__xludf.DUMMYFUNCTION("GOOGLETRANSLATE(B570,""en"",""sr"")"),"БМИ категорија:")</f>
        <v>БМИ категорија:</v>
      </c>
    </row>
    <row r="571">
      <c r="A571" s="3" t="s">
        <v>1093</v>
      </c>
      <c r="B571" s="3" t="s">
        <v>1094</v>
      </c>
      <c r="C571" s="4" t="str">
        <f>IFERROR(__xludf.DUMMYFUNCTION("GOOGLETRANSLATE(B571,""en"",""ta"")"),"தினசரி படிகள்:")</f>
        <v>தினசரி படிகள்:</v>
      </c>
      <c r="D571" s="4" t="str">
        <f>IFERROR(__xludf.DUMMYFUNCTION("GOOGLETRANSLATE(B571,""en"",""hi"")"),"दैनिक कदम:")</f>
        <v>दैनिक कदम:</v>
      </c>
      <c r="E571" s="4" t="str">
        <f>IFERROR(__xludf.DUMMYFUNCTION("GOOGLETRANSLATE(B571,""en"",""id"")"),"Langkah Harian:")</f>
        <v>Langkah Harian:</v>
      </c>
      <c r="F571" s="4" t="str">
        <f>IFERROR(__xludf.DUMMYFUNCTION("GOOGLETRANSLATE(B571,""en"",""ms"")"),"Langkah Harian:")</f>
        <v>Langkah Harian:</v>
      </c>
      <c r="G571" s="4" t="str">
        <f>IFERROR(__xludf.DUMMYFUNCTION("GOOGLETRANSLATE(B571,""en"",""de"")"),"Tägliche Schritte:")</f>
        <v>Tägliche Schritte:</v>
      </c>
      <c r="H571" s="4" t="str">
        <f>IFERROR(__xludf.DUMMYFUNCTION("GOOGLETRANSLATE(B571,""en"",""es"")"),"Pasos diarios:")</f>
        <v>Pasos diarios:</v>
      </c>
      <c r="I571" s="4" t="str">
        <f>IFERROR(__xludf.DUMMYFUNCTION("GOOGLETRANSLATE(B571,""en"",""fr"")"),"Étapes quotidiennes :")</f>
        <v>Étapes quotidiennes :</v>
      </c>
      <c r="J571" s="4" t="str">
        <f>IFERROR(__xludf.DUMMYFUNCTION("GOOGLETRANSLATE(B571,""en"",""it"")"),"Passi giornalieri:")</f>
        <v>Passi giornalieri:</v>
      </c>
      <c r="K571" s="4" t="str">
        <f>IFERROR(__xludf.DUMMYFUNCTION("GOOGLETRANSLATE(B571,""en"",""pt"")"),"Passos diários:")</f>
        <v>Passos diários:</v>
      </c>
      <c r="L571" s="4" t="str">
        <f>IFERROR(__xludf.DUMMYFUNCTION("GOOGLETRANSLATE(B571,""en"",""ro"")"),"Pași zilnici:")</f>
        <v>Pași zilnici:</v>
      </c>
      <c r="M571" s="4" t="str">
        <f>IFERROR(__xludf.DUMMYFUNCTION("GOOGLETRANSLATE(B571,""en"",""vi"")"),"Các bước hàng ngày:")</f>
        <v>Các bước hàng ngày:</v>
      </c>
      <c r="N571" s="4" t="str">
        <f>IFERROR(__xludf.DUMMYFUNCTION("GOOGLETRANSLATE(B571,""en"",""ru"")"),"Ежедневные шаги:")</f>
        <v>Ежедневные шаги:</v>
      </c>
      <c r="O571" s="4" t="str">
        <f>IFERROR(__xludf.DUMMYFUNCTION("GOOGLETRANSLATE(B571,""en"",""tr"")"),"Günlük Adımlar:")</f>
        <v>Günlük Adımlar:</v>
      </c>
      <c r="P571" s="4" t="str">
        <f>IFERROR(__xludf.DUMMYFUNCTION("GOOGLETRANSLATE(B571,""en"",""ar"")"),"الخطوات اليومية:")</f>
        <v>الخطوات اليومية:</v>
      </c>
      <c r="Q571" s="4" t="str">
        <f>IFERROR(__xludf.DUMMYFUNCTION("GOOGLETRANSLATE(B571,""en"",""mr"")"),"दैनिक पायऱ्या:")</f>
        <v>दैनिक पायऱ्या:</v>
      </c>
      <c r="R571" s="4" t="str">
        <f>IFERROR(__xludf.DUMMYFUNCTION("GOOGLETRANSLATE(B571,""en"",""gu"")"),"દૈનિક પગલાં:")</f>
        <v>દૈનિક પગલાં:</v>
      </c>
      <c r="S571" s="4" t="str">
        <f>IFERROR(__xludf.DUMMYFUNCTION("GOOGLETRANSLATE(B571,""en"",""bn"")"),"দৈনিক পদক্ষেপ:")</f>
        <v>দৈনিক পদক্ষেপ:</v>
      </c>
      <c r="T571" s="4" t="str">
        <f>IFERROR(__xludf.DUMMYFUNCTION("GOOGLETRANSLATE(B571,""en"",""pa"")"),"ਰੋਜ਼ਾਨਾ ਕਦਮ:")</f>
        <v>ਰੋਜ਼ਾਨਾ ਕਦਮ:</v>
      </c>
      <c r="U571" s="4" t="str">
        <f>IFERROR(__xludf.DUMMYFUNCTION("GOOGLETRANSLATE(B571,""en"",""te"")"),"రోజువారీ దశలు:")</f>
        <v>రోజువారీ దశలు:</v>
      </c>
      <c r="V571" s="4" t="str">
        <f>IFERROR(__xludf.DUMMYFUNCTION("GOOGLETRANSLATE(B571,""en"",""kn"")"),"ದೈನಂದಿನ ಹಂತಗಳು:")</f>
        <v>ದೈನಂದಿನ ಹಂತಗಳು:</v>
      </c>
      <c r="W571" s="4" t="str">
        <f>IFERROR(__xludf.DUMMYFUNCTION("GOOGLETRANSLATE(B571,""en"",""ml"")"),"പ്രതിദിന ഘട്ടങ്ങൾ:")</f>
        <v>പ്രതിദിന ഘട്ടങ്ങൾ:</v>
      </c>
      <c r="X571" s="4" t="str">
        <f>IFERROR(__xludf.DUMMYFUNCTION("GOOGLETRANSLATE(B571,""en"",""th"")"),"ก้าวรายวัน:")</f>
        <v>ก้าวรายวัน:</v>
      </c>
      <c r="Y571" s="4" t="str">
        <f>IFERROR(__xludf.DUMMYFUNCTION("GOOGLETRANSLATE(B571,""en"",""ko"")"),"매일의 걸음 수:")</f>
        <v>매일의 걸음 수:</v>
      </c>
      <c r="Z571" s="4" t="str">
        <f>IFERROR(__xludf.DUMMYFUNCTION("GOOGLETRANSLATE(B571,""en"",""zh"")"),"每日步数：")</f>
        <v>每日步数：</v>
      </c>
      <c r="AA571" s="4" t="str">
        <f>IFERROR(__xludf.DUMMYFUNCTION("GOOGLETRANSLATE(B571,""en"",""zh-TW"")"),"每日步數：")</f>
        <v>每日步數：</v>
      </c>
      <c r="AB571" s="4" t="str">
        <f>IFERROR(__xludf.DUMMYFUNCTION("GOOGLETRANSLATE(B571,""en"",""ja"")"),"毎日の歩数:")</f>
        <v>毎日の歩数:</v>
      </c>
      <c r="AC571" s="4" t="str">
        <f>IFERROR(__xludf.DUMMYFUNCTION("GOOGLETRANSLATE(B571,""en"",""bg"")"),"Ежедневни стъпки:")</f>
        <v>Ежедневни стъпки:</v>
      </c>
      <c r="AD571" s="4" t="str">
        <f>IFERROR(__xludf.DUMMYFUNCTION("GOOGLETRANSLATE(B571,""en"",""cs"")"),"Denní kroky:")</f>
        <v>Denní kroky:</v>
      </c>
      <c r="AE571" s="4" t="str">
        <f>IFERROR(__xludf.DUMMYFUNCTION("GOOGLETRANSLATE(B571,""en"",""da"")"),"Daglige trin:")</f>
        <v>Daglige trin:</v>
      </c>
      <c r="AF571" s="4" t="str">
        <f>IFERROR(__xludf.DUMMYFUNCTION("GOOGLETRANSLATE(B571,""en"",""el"")"),"Καθημερινά βήματα:")</f>
        <v>Καθημερινά βήματα:</v>
      </c>
      <c r="AG571" s="4" t="str">
        <f>IFERROR(__xludf.DUMMYFUNCTION("GOOGLETRANSLATE(B571,""en"",""et"")"),"Igapäevased sammud:")</f>
        <v>Igapäevased sammud:</v>
      </c>
      <c r="AH571" s="4" t="str">
        <f>IFERROR(__xludf.DUMMYFUNCTION("GOOGLETRANSLATE(B571,""en"",""fi"")"),"Päivittäiset vaiheet:")</f>
        <v>Päivittäiset vaiheet:</v>
      </c>
      <c r="AI571" s="4" t="str">
        <f>IFERROR(__xludf.DUMMYFUNCTION("GOOGLETRANSLATE(B571,""en"",""hr"")"),"Dnevni koraci:")</f>
        <v>Dnevni koraci:</v>
      </c>
      <c r="AJ571" s="4" t="str">
        <f>IFERROR(__xludf.DUMMYFUNCTION("GOOGLETRANSLATE(B571,""en"",""hu"")"),"Napi lépések:")</f>
        <v>Napi lépések:</v>
      </c>
      <c r="AK571" s="4" t="str">
        <f>IFERROR(__xludf.DUMMYFUNCTION("GOOGLETRANSLATE(B571,""en"",""hy"")"),"Ամենօրյա քայլեր.")</f>
        <v>Ամենօրյա քայլեր.</v>
      </c>
      <c r="AL571" s="4" t="str">
        <f>IFERROR(__xludf.DUMMYFUNCTION("GOOGLETRANSLATE(B571,""en"",""ca"")"),"Passos diaris:")</f>
        <v>Passos diaris:</v>
      </c>
      <c r="AM571" s="4" t="str">
        <f>IFERROR(__xludf.DUMMYFUNCTION("GOOGLETRANSLATE(B571,""en"",""nl"")"),"Dagelijkse stappen:")</f>
        <v>Dagelijkse stappen:</v>
      </c>
      <c r="AN571" s="4" t="str">
        <f>IFERROR(__xludf.DUMMYFUNCTION("GOOGLETRANSLATE(B571,""en"",""he"")"),"צעדים יומיים:")</f>
        <v>צעדים יומיים:</v>
      </c>
      <c r="AO571" s="4" t="str">
        <f>IFERROR(__xludf.DUMMYFUNCTION("GOOGLETRANSLATE(B571,""en"",""is"")"),"Dagleg skref:")</f>
        <v>Dagleg skref:</v>
      </c>
      <c r="AP571" s="4" t="str">
        <f>IFERROR(__xludf.DUMMYFUNCTION("GOOGLETRANSLATE(B571,""en"",""no"")"),"Daglige trinn:")</f>
        <v>Daglige trinn:</v>
      </c>
      <c r="AQ571" s="4" t="str">
        <f>IFERROR(__xludf.DUMMYFUNCTION("GOOGLETRANSLATE(B571,""en"",""fa"")"),"مراحل روزانه:")</f>
        <v>مراحل روزانه:</v>
      </c>
      <c r="AR571" s="4" t="str">
        <f>IFERROR(__xludf.DUMMYFUNCTION("GOOGLETRANSLATE(B571,""en"",""pl"")"),"Codzienne kroki:")</f>
        <v>Codzienne kroki:</v>
      </c>
      <c r="AS571" s="4" t="str">
        <f>IFERROR(__xludf.DUMMYFUNCTION("GOOGLETRANSLATE(B571,""en"",""sv"")"),"Dagliga steg:")</f>
        <v>Dagliga steg:</v>
      </c>
      <c r="AT571" s="4" t="str">
        <f>IFERROR(__xludf.DUMMYFUNCTION("GOOGLETRANSLATE(B571,""en"",""uk"")"),"Щоденні кроки:")</f>
        <v>Щоденні кроки:</v>
      </c>
      <c r="AU571" s="4" t="str">
        <f>IFERROR(__xludf.DUMMYFUNCTION("GOOGLETRANSLATE(B571,""en"",""zu"")"),"Izinyathelo zansuku zonke:")</f>
        <v>Izinyathelo zansuku zonke:</v>
      </c>
      <c r="AV571" s="4" t="str">
        <f>IFERROR(__xludf.DUMMYFUNCTION("GOOGLETRANSLATE(B571,""en"",""sr"")"),"Дневни кораци:")</f>
        <v>Дневни кораци:</v>
      </c>
    </row>
    <row r="572">
      <c r="A572" s="3" t="s">
        <v>1095</v>
      </c>
      <c r="B572" s="3" t="s">
        <v>352</v>
      </c>
      <c r="C572" s="4" t="str">
        <f>IFERROR(__xludf.DUMMYFUNCTION("GOOGLETRANSLATE(B572,""en"",""ta"")"),"விண்ணப்பிக்கவும்")</f>
        <v>விண்ணப்பிக்கவும்</v>
      </c>
      <c r="D572" s="4" t="str">
        <f>IFERROR(__xludf.DUMMYFUNCTION("GOOGLETRANSLATE(B572,""en"",""hi"")"),"आवेदन करना")</f>
        <v>आवेदन करना</v>
      </c>
      <c r="E572" s="4" t="str">
        <f>IFERROR(__xludf.DUMMYFUNCTION("GOOGLETRANSLATE(B572,""en"",""id"")"),"Menerapkan")</f>
        <v>Menerapkan</v>
      </c>
      <c r="F572" s="4" t="str">
        <f>IFERROR(__xludf.DUMMYFUNCTION("GOOGLETRANSLATE(B572,""en"",""ms"")"),"Mohon")</f>
        <v>Mohon</v>
      </c>
      <c r="G572" s="4" t="str">
        <f>IFERROR(__xludf.DUMMYFUNCTION("GOOGLETRANSLATE(B572,""en"",""de"")"),"Anwenden")</f>
        <v>Anwenden</v>
      </c>
      <c r="H572" s="4" t="str">
        <f>IFERROR(__xludf.DUMMYFUNCTION("GOOGLETRANSLATE(B572,""en"",""es"")"),"Aplicar")</f>
        <v>Aplicar</v>
      </c>
      <c r="I572" s="4" t="str">
        <f>IFERROR(__xludf.DUMMYFUNCTION("GOOGLETRANSLATE(B572,""en"",""fr"")"),"Appliquer")</f>
        <v>Appliquer</v>
      </c>
      <c r="J572" s="4" t="str">
        <f>IFERROR(__xludf.DUMMYFUNCTION("GOOGLETRANSLATE(B572,""en"",""it"")"),"Fare domanda a")</f>
        <v>Fare domanda a</v>
      </c>
      <c r="K572" s="4" t="str">
        <f>IFERROR(__xludf.DUMMYFUNCTION("GOOGLETRANSLATE(B572,""en"",""pt"")"),"Aplicar")</f>
        <v>Aplicar</v>
      </c>
      <c r="L572" s="4" t="str">
        <f>IFERROR(__xludf.DUMMYFUNCTION("GOOGLETRANSLATE(B572,""en"",""ro"")"),"Aplicați")</f>
        <v>Aplicați</v>
      </c>
      <c r="M572" s="4" t="str">
        <f>IFERROR(__xludf.DUMMYFUNCTION("GOOGLETRANSLATE(B572,""en"",""vi"")"),"Áp dụng")</f>
        <v>Áp dụng</v>
      </c>
      <c r="N572" s="4" t="str">
        <f>IFERROR(__xludf.DUMMYFUNCTION("GOOGLETRANSLATE(B572,""en"",""ru"")"),"Применять")</f>
        <v>Применять</v>
      </c>
      <c r="O572" s="4" t="str">
        <f>IFERROR(__xludf.DUMMYFUNCTION("GOOGLETRANSLATE(B572,""en"",""tr"")"),"Uygula")</f>
        <v>Uygula</v>
      </c>
      <c r="P572" s="4" t="str">
        <f>IFERROR(__xludf.DUMMYFUNCTION("GOOGLETRANSLATE(B572,""en"",""ar"")"),"يتقدم")</f>
        <v>يتقدم</v>
      </c>
      <c r="Q572" s="4" t="str">
        <f>IFERROR(__xludf.DUMMYFUNCTION("GOOGLETRANSLATE(B572,""en"",""mr"")"),"अर्ज करा")</f>
        <v>अर्ज करा</v>
      </c>
      <c r="R572" s="4" t="str">
        <f>IFERROR(__xludf.DUMMYFUNCTION("GOOGLETRANSLATE(B572,""en"",""gu"")"),"અરજી કરો")</f>
        <v>અરજી કરો</v>
      </c>
      <c r="S572" s="4" t="str">
        <f>IFERROR(__xludf.DUMMYFUNCTION("GOOGLETRANSLATE(B572,""en"",""bn"")"),"আবেদন করুন")</f>
        <v>আবেদন করুন</v>
      </c>
      <c r="T572" s="4" t="str">
        <f>IFERROR(__xludf.DUMMYFUNCTION("GOOGLETRANSLATE(B572,""en"",""pa"")"),"ਲਾਗੂ ਕਰੋ")</f>
        <v>ਲਾਗੂ ਕਰੋ</v>
      </c>
      <c r="U572" s="4" t="str">
        <f>IFERROR(__xludf.DUMMYFUNCTION("GOOGLETRANSLATE(B572,""en"",""te"")"),"దరఖాస్తు చేసుకోండి")</f>
        <v>దరఖాస్తు చేసుకోండి</v>
      </c>
      <c r="V572" s="4" t="str">
        <f>IFERROR(__xludf.DUMMYFUNCTION("GOOGLETRANSLATE(B572,""en"",""kn"")"),"ಅನ್ವಯಿಸು")</f>
        <v>ಅನ್ವಯಿಸು</v>
      </c>
      <c r="W572" s="4" t="str">
        <f>IFERROR(__xludf.DUMMYFUNCTION("GOOGLETRANSLATE(B572,""en"",""ml"")"),"അപേക്ഷിക്കുക")</f>
        <v>അപേക്ഷിക്കുക</v>
      </c>
      <c r="X572" s="4" t="str">
        <f>IFERROR(__xludf.DUMMYFUNCTION("GOOGLETRANSLATE(B572,""en"",""th"")"),"นำมาใช้")</f>
        <v>นำมาใช้</v>
      </c>
      <c r="Y572" s="4" t="str">
        <f>IFERROR(__xludf.DUMMYFUNCTION("GOOGLETRANSLATE(B572,""en"",""ko"")"),"적용하다")</f>
        <v>적용하다</v>
      </c>
      <c r="Z572" s="4" t="str">
        <f>IFERROR(__xludf.DUMMYFUNCTION("GOOGLETRANSLATE(B572,""en"",""zh"")"),"申请")</f>
        <v>申请</v>
      </c>
      <c r="AA572" s="4" t="str">
        <f>IFERROR(__xludf.DUMMYFUNCTION("GOOGLETRANSLATE(B572,""en"",""zh-TW"")"),"申請")</f>
        <v>申請</v>
      </c>
      <c r="AB572" s="4" t="str">
        <f>IFERROR(__xludf.DUMMYFUNCTION("GOOGLETRANSLATE(B572,""en"",""ja"")"),"適用する")</f>
        <v>適用する</v>
      </c>
      <c r="AC572" s="4" t="str">
        <f>IFERROR(__xludf.DUMMYFUNCTION("GOOGLETRANSLATE(B572,""en"",""bg"")"),"Кандидатствайте")</f>
        <v>Кандидатствайте</v>
      </c>
      <c r="AD572" s="4" t="str">
        <f>IFERROR(__xludf.DUMMYFUNCTION("GOOGLETRANSLATE(B572,""en"",""cs"")"),"Použít")</f>
        <v>Použít</v>
      </c>
      <c r="AE572" s="4" t="str">
        <f>IFERROR(__xludf.DUMMYFUNCTION("GOOGLETRANSLATE(B572,""en"",""da"")"),"Anvende")</f>
        <v>Anvende</v>
      </c>
      <c r="AF572" s="4" t="str">
        <f>IFERROR(__xludf.DUMMYFUNCTION("GOOGLETRANSLATE(B572,""en"",""el"")"),"Εφαρμόζω")</f>
        <v>Εφαρμόζω</v>
      </c>
      <c r="AG572" s="4" t="str">
        <f>IFERROR(__xludf.DUMMYFUNCTION("GOOGLETRANSLATE(B572,""en"",""et"")"),"Rakenda")</f>
        <v>Rakenda</v>
      </c>
      <c r="AH572" s="4" t="str">
        <f>IFERROR(__xludf.DUMMYFUNCTION("GOOGLETRANSLATE(B572,""en"",""fi"")"),"Käytä")</f>
        <v>Käytä</v>
      </c>
      <c r="AI572" s="4" t="str">
        <f>IFERROR(__xludf.DUMMYFUNCTION("GOOGLETRANSLATE(B572,""en"",""hr"")"),"primijeniti")</f>
        <v>primijeniti</v>
      </c>
      <c r="AJ572" s="4" t="str">
        <f>IFERROR(__xludf.DUMMYFUNCTION("GOOGLETRANSLATE(B572,""en"",""hu"")"),"Alkalmazni")</f>
        <v>Alkalmazni</v>
      </c>
      <c r="AK572" s="4" t="str">
        <f>IFERROR(__xludf.DUMMYFUNCTION("GOOGLETRANSLATE(B572,""en"",""hy"")"),"Դիմել")</f>
        <v>Դիմել</v>
      </c>
      <c r="AL572" s="4" t="str">
        <f>IFERROR(__xludf.DUMMYFUNCTION("GOOGLETRANSLATE(B572,""en"",""ca"")"),"Aplicar")</f>
        <v>Aplicar</v>
      </c>
      <c r="AM572" s="4" t="str">
        <f>IFERROR(__xludf.DUMMYFUNCTION("GOOGLETRANSLATE(B572,""en"",""nl"")"),"Toepassen")</f>
        <v>Toepassen</v>
      </c>
      <c r="AN572" s="4" t="str">
        <f>IFERROR(__xludf.DUMMYFUNCTION("GOOGLETRANSLATE(B572,""en"",""he"")"),"לִפְנוֹת")</f>
        <v>לִפְנוֹת</v>
      </c>
      <c r="AO572" s="4" t="str">
        <f>IFERROR(__xludf.DUMMYFUNCTION("GOOGLETRANSLATE(B572,""en"",""is"")"),"Sækja um")</f>
        <v>Sækja um</v>
      </c>
      <c r="AP572" s="4" t="str">
        <f>IFERROR(__xludf.DUMMYFUNCTION("GOOGLETRANSLATE(B572,""en"",""no"")"),"Søke")</f>
        <v>Søke</v>
      </c>
      <c r="AQ572" s="4" t="str">
        <f>IFERROR(__xludf.DUMMYFUNCTION("GOOGLETRANSLATE(B572,""en"",""fa"")"),"درخواست کنید")</f>
        <v>درخواست کنید</v>
      </c>
      <c r="AR572" s="4" t="str">
        <f>IFERROR(__xludf.DUMMYFUNCTION("GOOGLETRANSLATE(B572,""en"",""pl"")"),"Stosować")</f>
        <v>Stosować</v>
      </c>
      <c r="AS572" s="4" t="str">
        <f>IFERROR(__xludf.DUMMYFUNCTION("GOOGLETRANSLATE(B572,""en"",""sv"")"),"Tillämpas")</f>
        <v>Tillämpas</v>
      </c>
      <c r="AT572" s="4" t="str">
        <f>IFERROR(__xludf.DUMMYFUNCTION("GOOGLETRANSLATE(B572,""en"",""uk"")"),"Застосувати")</f>
        <v>Застосувати</v>
      </c>
      <c r="AU572" s="4" t="str">
        <f>IFERROR(__xludf.DUMMYFUNCTION("GOOGLETRANSLATE(B572,""en"",""zu"")"),"Faka isicelo")</f>
        <v>Faka isicelo</v>
      </c>
      <c r="AV572" s="4" t="str">
        <f>IFERROR(__xludf.DUMMYFUNCTION("GOOGLETRANSLATE(B572,""en"",""sr"")"),"Пријавите се")</f>
        <v>Пријавите се</v>
      </c>
    </row>
    <row r="573">
      <c r="A573" s="3" t="s">
        <v>1096</v>
      </c>
      <c r="B573" s="3" t="s">
        <v>1097</v>
      </c>
      <c r="C573" s="4" t="str">
        <f>IFERROR(__xludf.DUMMYFUNCTION("GOOGLETRANSLATE(B573,""en"",""ta"")"),"உடனடி படி கவுண்டர்")</f>
        <v>உடனடி படி கவுண்டர்</v>
      </c>
      <c r="D573" s="4" t="str">
        <f>IFERROR(__xludf.DUMMYFUNCTION("GOOGLETRANSLATE(B573,""en"",""hi"")"),"तत्काल चरण काउंटर")</f>
        <v>तत्काल चरण काउंटर</v>
      </c>
      <c r="E573" s="4" t="str">
        <f>IFERROR(__xludf.DUMMYFUNCTION("GOOGLETRANSLATE(B573,""en"",""id"")"),"Penghitung Langkah Instan")</f>
        <v>Penghitung Langkah Instan</v>
      </c>
      <c r="F573" s="4" t="str">
        <f>IFERROR(__xludf.DUMMYFUNCTION("GOOGLETRANSLATE(B573,""en"",""ms"")"),"Kaunter Langkah Segera")</f>
        <v>Kaunter Langkah Segera</v>
      </c>
      <c r="G573" s="4" t="str">
        <f>IFERROR(__xludf.DUMMYFUNCTION("GOOGLETRANSLATE(B573,""en"",""de"")"),"Sofortiger Schrittzähler")</f>
        <v>Sofortiger Schrittzähler</v>
      </c>
      <c r="H573" s="4" t="str">
        <f>IFERROR(__xludf.DUMMYFUNCTION("GOOGLETRANSLATE(B573,""en"",""es"")"),"Contador de pasos instantáneo")</f>
        <v>Contador de pasos instantáneo</v>
      </c>
      <c r="I573" s="4" t="str">
        <f>IFERROR(__xludf.DUMMYFUNCTION("GOOGLETRANSLATE(B573,""en"",""fr"")"),"Compteur de pas instantané")</f>
        <v>Compteur de pas instantané</v>
      </c>
      <c r="J573" s="4" t="str">
        <f>IFERROR(__xludf.DUMMYFUNCTION("GOOGLETRANSLATE(B573,""en"",""it"")"),"Contapassi istantaneo")</f>
        <v>Contapassi istantaneo</v>
      </c>
      <c r="K573" s="4" t="str">
        <f>IFERROR(__xludf.DUMMYFUNCTION("GOOGLETRANSLATE(B573,""en"",""pt"")"),"Contador de passos instantâneo")</f>
        <v>Contador de passos instantâneo</v>
      </c>
      <c r="L573" s="4" t="str">
        <f>IFERROR(__xludf.DUMMYFUNCTION("GOOGLETRANSLATE(B573,""en"",""ro"")"),"Contor instantaneu de pași")</f>
        <v>Contor instantaneu de pași</v>
      </c>
      <c r="M573" s="4" t="str">
        <f>IFERROR(__xludf.DUMMYFUNCTION("GOOGLETRANSLATE(B573,""en"",""vi"")"),"Bộ đếm bước chân tức thời")</f>
        <v>Bộ đếm bước chân tức thời</v>
      </c>
      <c r="N573" s="4" t="str">
        <f>IFERROR(__xludf.DUMMYFUNCTION("GOOGLETRANSLATE(B573,""en"",""ru"")"),"Мгновенный счетчик шагов")</f>
        <v>Мгновенный счетчик шагов</v>
      </c>
      <c r="O573" s="4" t="str">
        <f>IFERROR(__xludf.DUMMYFUNCTION("GOOGLETRANSLATE(B573,""en"",""tr"")"),"Anlık Adım Sayacı")</f>
        <v>Anlık Adım Sayacı</v>
      </c>
      <c r="P573" s="4" t="str">
        <f>IFERROR(__xludf.DUMMYFUNCTION("GOOGLETRANSLATE(B573,""en"",""ar"")"),"عداد الخطوات الفوري")</f>
        <v>عداد الخطوات الفوري</v>
      </c>
      <c r="Q573" s="4" t="str">
        <f>IFERROR(__xludf.DUMMYFUNCTION("GOOGLETRANSLATE(B573,""en"",""mr"")"),"झटपट स्टेप काउंटर")</f>
        <v>झटपट स्टेप काउंटर</v>
      </c>
      <c r="R573" s="4" t="str">
        <f>IFERROR(__xludf.DUMMYFUNCTION("GOOGLETRANSLATE(B573,""en"",""gu"")"),"ઇન્સ્ટન્ટ સ્ટેપ કાઉન્ટર")</f>
        <v>ઇન્સ્ટન્ટ સ્ટેપ કાઉન્ટર</v>
      </c>
      <c r="S573" s="4" t="str">
        <f>IFERROR(__xludf.DUMMYFUNCTION("GOOGLETRANSLATE(B573,""en"",""bn"")"),"ইনস্ট্যান্ট স্টেপ কাউন্টার")</f>
        <v>ইনস্ট্যান্ট স্টেপ কাউন্টার</v>
      </c>
      <c r="T573" s="4" t="str">
        <f>IFERROR(__xludf.DUMMYFUNCTION("GOOGLETRANSLATE(B573,""en"",""pa"")"),"ਤਤਕਾਲ ਸਟੈਪ ਕਾਊਂਟਰ")</f>
        <v>ਤਤਕਾਲ ਸਟੈਪ ਕਾਊਂਟਰ</v>
      </c>
      <c r="U573" s="4" t="str">
        <f>IFERROR(__xludf.DUMMYFUNCTION("GOOGLETRANSLATE(B573,""en"",""te"")"),"తక్షణ దశ కౌంటర్")</f>
        <v>తక్షణ దశ కౌంటర్</v>
      </c>
      <c r="V573" s="4" t="str">
        <f>IFERROR(__xludf.DUMMYFUNCTION("GOOGLETRANSLATE(B573,""en"",""kn"")"),"ತ್ವರಿತ ಹಂತದ ಕೌಂಟರ್")</f>
        <v>ತ್ವರಿತ ಹಂತದ ಕೌಂಟರ್</v>
      </c>
      <c r="W573" s="4" t="str">
        <f>IFERROR(__xludf.DUMMYFUNCTION("GOOGLETRANSLATE(B573,""en"",""ml"")"),"തൽക്ഷണ സ്റ്റെപ്പ് കൗണ്ടർ")</f>
        <v>തൽക്ഷണ സ്റ്റെപ്പ് കൗണ്ടർ</v>
      </c>
      <c r="X573" s="4" t="str">
        <f>IFERROR(__xludf.DUMMYFUNCTION("GOOGLETRANSLATE(B573,""en"",""th"")"),"เครื่องนับก้าวแบบทันที")</f>
        <v>เครื่องนับก้าวแบบทันที</v>
      </c>
      <c r="Y573" s="4" t="str">
        <f>IFERROR(__xludf.DUMMYFUNCTION("GOOGLETRANSLATE(B573,""en"",""ko"")"),"즉석 걸음 수 카운터")</f>
        <v>즉석 걸음 수 카운터</v>
      </c>
      <c r="Z573" s="4" t="str">
        <f>IFERROR(__xludf.DUMMYFUNCTION("GOOGLETRANSLATE(B573,""en"",""zh"")"),"即时计步器")</f>
        <v>即时计步器</v>
      </c>
      <c r="AA573" s="4" t="str">
        <f>IFERROR(__xludf.DUMMYFUNCTION("GOOGLETRANSLATE(B573,""en"",""zh-TW"")"),"即時計步器")</f>
        <v>即時計步器</v>
      </c>
      <c r="AB573" s="4" t="str">
        <f>IFERROR(__xludf.DUMMYFUNCTION("GOOGLETRANSLATE(B573,""en"",""ja"")"),"インスタントステップカウンター")</f>
        <v>インスタントステップカウンター</v>
      </c>
      <c r="AC573" s="4" t="str">
        <f>IFERROR(__xludf.DUMMYFUNCTION("GOOGLETRANSLATE(B573,""en"",""bg"")"),"Незабавен брояч на стъпки")</f>
        <v>Незабавен брояч на стъпки</v>
      </c>
      <c r="AD573" s="4" t="str">
        <f>IFERROR(__xludf.DUMMYFUNCTION("GOOGLETRANSLATE(B573,""en"",""cs"")"),"Okamžité počítadlo kroků")</f>
        <v>Okamžité počítadlo kroků</v>
      </c>
      <c r="AE573" s="4" t="str">
        <f>IFERROR(__xludf.DUMMYFUNCTION("GOOGLETRANSLATE(B573,""en"",""da"")"),"Øjeblikkelig skridttæller")</f>
        <v>Øjeblikkelig skridttæller</v>
      </c>
      <c r="AF573" s="4" t="str">
        <f>IFERROR(__xludf.DUMMYFUNCTION("GOOGLETRANSLATE(B573,""en"",""el"")"),"Στιγμιαίος μετρητής βημάτων")</f>
        <v>Στιγμιαίος μετρητής βημάτων</v>
      </c>
      <c r="AG573" s="4" t="str">
        <f>IFERROR(__xludf.DUMMYFUNCTION("GOOGLETRANSLATE(B573,""en"",""et"")"),"Kiire sammuloendur")</f>
        <v>Kiire sammuloendur</v>
      </c>
      <c r="AH573" s="4" t="str">
        <f>IFERROR(__xludf.DUMMYFUNCTION("GOOGLETRANSLATE(B573,""en"",""fi"")"),"Välitön askellaskuri")</f>
        <v>Välitön askellaskuri</v>
      </c>
      <c r="AI573" s="4" t="str">
        <f>IFERROR(__xludf.DUMMYFUNCTION("GOOGLETRANSLATE(B573,""en"",""hr"")"),"Instant brojač koraka")</f>
        <v>Instant brojač koraka</v>
      </c>
      <c r="AJ573" s="4" t="str">
        <f>IFERROR(__xludf.DUMMYFUNCTION("GOOGLETRANSLATE(B573,""en"",""hu"")"),"Azonnali lépésszámláló")</f>
        <v>Azonnali lépésszámláló</v>
      </c>
      <c r="AK573" s="4" t="str">
        <f>IFERROR(__xludf.DUMMYFUNCTION("GOOGLETRANSLATE(B573,""en"",""hy"")"),"Ակնթարթային քայլի հաշվիչ")</f>
        <v>Ակնթարթային քայլի հաշվիչ</v>
      </c>
      <c r="AL573" s="4" t="str">
        <f>IFERROR(__xludf.DUMMYFUNCTION("GOOGLETRANSLATE(B573,""en"",""ca"")"),"Comptador de passos instantani")</f>
        <v>Comptador de passos instantani</v>
      </c>
      <c r="AM573" s="4" t="str">
        <f>IFERROR(__xludf.DUMMYFUNCTION("GOOGLETRANSLATE(B573,""en"",""nl"")"),"Directe stappenteller")</f>
        <v>Directe stappenteller</v>
      </c>
      <c r="AN573" s="4" t="str">
        <f>IFERROR(__xludf.DUMMYFUNCTION("GOOGLETRANSLATE(B573,""en"",""he"")"),"מונה צעדים מיידי")</f>
        <v>מונה צעדים מיידי</v>
      </c>
      <c r="AO573" s="4" t="str">
        <f>IFERROR(__xludf.DUMMYFUNCTION("GOOGLETRANSLATE(B573,""en"",""is"")"),"Augnablik skrefateljari")</f>
        <v>Augnablik skrefateljari</v>
      </c>
      <c r="AP573" s="4" t="str">
        <f>IFERROR(__xludf.DUMMYFUNCTION("GOOGLETRANSLATE(B573,""en"",""no"")"),"Øyeblikkelig trinnteller")</f>
        <v>Øyeblikkelig trinnteller</v>
      </c>
      <c r="AQ573" s="4" t="str">
        <f>IFERROR(__xludf.DUMMYFUNCTION("GOOGLETRANSLATE(B573,""en"",""fa"")"),"گام شمار فوری")</f>
        <v>گام شمار فوری</v>
      </c>
      <c r="AR573" s="4" t="str">
        <f>IFERROR(__xludf.DUMMYFUNCTION("GOOGLETRANSLATE(B573,""en"",""pl"")"),"Licznik kroków Instant Step")</f>
        <v>Licznik kroków Instant Step</v>
      </c>
      <c r="AS573" s="4" t="str">
        <f>IFERROR(__xludf.DUMMYFUNCTION("GOOGLETRANSLATE(B573,""en"",""sv"")"),"Omedelbar stegräknare")</f>
        <v>Omedelbar stegräknare</v>
      </c>
      <c r="AT573" s="4" t="str">
        <f>IFERROR(__xludf.DUMMYFUNCTION("GOOGLETRANSLATE(B573,""en"",""uk"")"),"Миттєвий лічильник кроків")</f>
        <v>Миттєвий лічильник кроків</v>
      </c>
      <c r="AU573" s="4" t="str">
        <f>IFERROR(__xludf.DUMMYFUNCTION("GOOGLETRANSLATE(B573,""en"",""zu"")"),"Ikhawunta yesinyathelo esisheshayo")</f>
        <v>Ikhawunta yesinyathelo esisheshayo</v>
      </c>
      <c r="AV573" s="4" t="str">
        <f>IFERROR(__xludf.DUMMYFUNCTION("GOOGLETRANSLATE(B573,""en"",""sr"")"),"Инстант Степ Цоунтер")</f>
        <v>Инстант Степ Цоунтер</v>
      </c>
    </row>
    <row r="574">
      <c r="A574" s="3" t="s">
        <v>1098</v>
      </c>
      <c r="B574" s="3" t="s">
        <v>1099</v>
      </c>
      <c r="C574" s="4" t="str">
        <f>IFERROR(__xludf.DUMMYFUNCTION("GOOGLETRANSLATE(B574,""en"",""ta"")"),"உடனடியாக படிகளை எண்ணத் தொடங்குங்கள். விரைவான நடை அல்லது குறிப்பிட்ட செயல்பாடுகளைக் கண்காணிப்பதற்கு ஏற்றது.")</f>
        <v>உடனடியாக படிகளை எண்ணத் தொடங்குங்கள். விரைவான நடை அல்லது குறிப்பிட்ட செயல்பாடுகளைக் கண்காணிப்பதற்கு ஏற்றது.</v>
      </c>
      <c r="D574" s="4" t="str">
        <f>IFERROR(__xludf.DUMMYFUNCTION("GOOGLETRANSLATE(B574,""en"",""hi"")"),"तुरंत कदम गिनना शुरू करें। त्वरित सैर या विशिष्ट गतिविधियों को ट्रैक करने के लिए बिल्कुल सही।")</f>
        <v>तुरंत कदम गिनना शुरू करें। त्वरित सैर या विशिष्ट गतिविधियों को ट्रैक करने के लिए बिल्कुल सही।</v>
      </c>
      <c r="E574" s="4" t="str">
        <f>IFERROR(__xludf.DUMMYFUNCTION("GOOGLETRANSLATE(B574,""en"",""id"")"),"Mulai hitung langkah segera. Sempurna untuk jalan cepat atau melacak aktivitas tertentu.")</f>
        <v>Mulai hitung langkah segera. Sempurna untuk jalan cepat atau melacak aktivitas tertentu.</v>
      </c>
      <c r="F574" s="4" t="str">
        <f>IFERROR(__xludf.DUMMYFUNCTION("GOOGLETRANSLATE(B574,""en"",""ms"")"),"Mula mengira langkah dengan segera. Sesuai untuk berjalan pantas atau menjejaki aktiviti tertentu.")</f>
        <v>Mula mengira langkah dengan segera. Sesuai untuk berjalan pantas atau menjejaki aktiviti tertentu.</v>
      </c>
      <c r="G574" s="4" t="str">
        <f>IFERROR(__xludf.DUMMYFUNCTION("GOOGLETRANSLATE(B574,""en"",""de"")"),"Beginnen Sie sofort mit dem Zählen Ihrer Schritte. Perfekt für kurze Spaziergänge oder das Verfolgen bestimmter Aktivitäten.")</f>
        <v>Beginnen Sie sofort mit dem Zählen Ihrer Schritte. Perfekt für kurze Spaziergänge oder das Verfolgen bestimmter Aktivitäten.</v>
      </c>
      <c r="H574" s="4" t="str">
        <f>IFERROR(__xludf.DUMMYFUNCTION("GOOGLETRANSLATE(B574,""en"",""es"")"),"Empieza a contar pasos al instante. Perfecto para paseos rápidos o para registrar actividades específicas.")</f>
        <v>Empieza a contar pasos al instante. Perfecto para paseos rápidos o para registrar actividades específicas.</v>
      </c>
      <c r="I574" s="4" t="str">
        <f>IFERROR(__xludf.DUMMYFUNCTION("GOOGLETRANSLATE(B574,""en"",""fr"")"),"Comptez vos pas immédiatement. Idéal pour les petites promenades ou le suivi d'activités spécifiques.")</f>
        <v>Comptez vos pas immédiatement. Idéal pour les petites promenades ou le suivi d'activités spécifiques.</v>
      </c>
      <c r="J574" s="4" t="str">
        <f>IFERROR(__xludf.DUMMYFUNCTION("GOOGLETRANSLATE(B574,""en"",""it"")"),"Inizia subito a contare i passi. Perfetto per passeggiate veloci o per monitorare attività specifiche.")</f>
        <v>Inizia subito a contare i passi. Perfetto per passeggiate veloci o per monitorare attività specifiche.</v>
      </c>
      <c r="K574" s="4" t="str">
        <f>IFERROR(__xludf.DUMMYFUNCTION("GOOGLETRANSLATE(B574,""en"",""pt"")"),"Comece a contar passos imediatamente. Perfeito para caminhadas rápidas ou para monitorar atividades específicas.")</f>
        <v>Comece a contar passos imediatamente. Perfeito para caminhadas rápidas ou para monitorar atividades específicas.</v>
      </c>
      <c r="L574" s="4" t="str">
        <f>IFERROR(__xludf.DUMMYFUNCTION("GOOGLETRANSLATE(B574,""en"",""ro"")"),"Începeți imediat să numărați pașii. Perfect pentru plimbări rapide sau urmărirea unor activități specifice.")</f>
        <v>Începeți imediat să numărați pașii. Perfect pentru plimbări rapide sau urmărirea unor activități specifice.</v>
      </c>
      <c r="M574" s="4" t="str">
        <f>IFERROR(__xludf.DUMMYFUNCTION("GOOGLETRANSLATE(B574,""en"",""vi"")"),"Bắt đầu đếm bước ngay lập tức. Hoàn hảo cho việc đi bộ nhanh hoặc theo dõi các hoạt động cụ thể.")</f>
        <v>Bắt đầu đếm bước ngay lập tức. Hoàn hảo cho việc đi bộ nhanh hoặc theo dõi các hoạt động cụ thể.</v>
      </c>
      <c r="N574" s="4" t="str">
        <f>IFERROR(__xludf.DUMMYFUNCTION("GOOGLETRANSLATE(B574,""en"",""ru"")"),"Начните считать шаги немедленно. Идеально подходит для быстрых прогулок или отслеживания определенных видов деятельности.")</f>
        <v>Начните считать шаги немедленно. Идеально подходит для быстрых прогулок или отслеживания определенных видов деятельности.</v>
      </c>
      <c r="O574" s="4" t="str">
        <f>IFERROR(__xludf.DUMMYFUNCTION("GOOGLETRANSLATE(B574,""en"",""tr"")"),"Hemen adım saymaya başlayın. Hızlı yürüyüşler veya belirli aktiviteleri takip etmek için mükemmeldir.")</f>
        <v>Hemen adım saymaya başlayın. Hızlı yürüyüşler veya belirli aktiviteleri takip etmek için mükemmeldir.</v>
      </c>
      <c r="P574" s="4" t="str">
        <f>IFERROR(__xludf.DUMMYFUNCTION("GOOGLETRANSLATE(B574,""en"",""ar"")"),"ابدأ بحساب خطواتك فورًا. مثالي للمشي السريع أو تتبع أنشطة محددة.")</f>
        <v>ابدأ بحساب خطواتك فورًا. مثالي للمشي السريع أو تتبع أنشطة محددة.</v>
      </c>
      <c r="Q574" s="4" t="str">
        <f>IFERROR(__xludf.DUMMYFUNCTION("GOOGLETRANSLATE(B574,""en"",""mr"")"),"ताबडतोब पायऱ्या मोजणे सुरू करा. जलद चालण्यासाठी किंवा विशिष्ट क्रियाकलापांचा मागोवा घेण्यासाठी योग्य.")</f>
        <v>ताबडतोब पायऱ्या मोजणे सुरू करा. जलद चालण्यासाठी किंवा विशिष्ट क्रियाकलापांचा मागोवा घेण्यासाठी योग्य.</v>
      </c>
      <c r="R574" s="4" t="str">
        <f>IFERROR(__xludf.DUMMYFUNCTION("GOOGLETRANSLATE(B574,""en"",""gu"")"),"તરત જ પગલાં ગણવાનું શરૂ કરો. ઝડપી ચાલવા અથવા ચોક્કસ પ્રવૃત્તિઓને ટ્રેક કરવા માટે યોગ્ય.")</f>
        <v>તરત જ પગલાં ગણવાનું શરૂ કરો. ઝડપી ચાલવા અથવા ચોક્કસ પ્રવૃત્તિઓને ટ્રેક કરવા માટે યોગ્ય.</v>
      </c>
      <c r="S574" s="4" t="str">
        <f>IFERROR(__xludf.DUMMYFUNCTION("GOOGLETRANSLATE(B574,""en"",""bn"")"),"অবিলম্বে পদক্ষেপ গণনা শুরু করুন. দ্রুত হাঁটা বা নির্দিষ্ট কার্যকলাপ ট্র্যাকিং জন্য পারফেক্ট.")</f>
        <v>অবিলম্বে পদক্ষেপ গণনা শুরু করুন. দ্রুত হাঁটা বা নির্দিষ্ট কার্যকলাপ ট্র্যাকিং জন্য পারফেক্ট.</v>
      </c>
      <c r="T574" s="4" t="str">
        <f>IFERROR(__xludf.DUMMYFUNCTION("GOOGLETRANSLATE(B574,""en"",""pa"")"),"ਤੁਰੰਤ ਕਦਮਾਂ ਦੀ ਗਿਣਤੀ ਸ਼ੁਰੂ ਕਰੋ। ਤੇਜ਼ ਸੈਰ ਕਰਨ ਜਾਂ ਖਾਸ ਗਤੀਵਿਧੀਆਂ ਨੂੰ ਟਰੈਕ ਕਰਨ ਲਈ ਸੰਪੂਰਨ।")</f>
        <v>ਤੁਰੰਤ ਕਦਮਾਂ ਦੀ ਗਿਣਤੀ ਸ਼ੁਰੂ ਕਰੋ। ਤੇਜ਼ ਸੈਰ ਕਰਨ ਜਾਂ ਖਾਸ ਗਤੀਵਿਧੀਆਂ ਨੂੰ ਟਰੈਕ ਕਰਨ ਲਈ ਸੰਪੂਰਨ।</v>
      </c>
      <c r="U574" s="4" t="str">
        <f>IFERROR(__xludf.DUMMYFUNCTION("GOOGLETRANSLATE(B574,""en"",""te"")"),"వెంటనే దశలను లెక్కించడం ప్రారంభించండి. శీఘ్ర నడకలకు లేదా నిర్దిష్ట కార్యకలాపాలను ట్రాక్ చేయడానికి పర్ఫెక్ట్.")</f>
        <v>వెంటనే దశలను లెక్కించడం ప్రారంభించండి. శీఘ్ర నడకలకు లేదా నిర్దిష్ట కార్యకలాపాలను ట్రాక్ చేయడానికి పర్ఫెక్ట్.</v>
      </c>
      <c r="V574" s="4" t="str">
        <f>IFERROR(__xludf.DUMMYFUNCTION("GOOGLETRANSLATE(B574,""en"",""kn"")"),"ತಕ್ಷಣ ಹಂತಗಳನ್ನು ಎಣಿಸಲು ಪ್ರಾರಂಭಿಸಿ. ತ್ವರಿತ ನಡಿಗೆ ಅಥವಾ ನಿರ್ದಿಷ್ಟ ಚಟುವಟಿಕೆಗಳನ್ನು ಟ್ರ್ಯಾಕ್ ಮಾಡಲು ಪರಿಪೂರ್ಣ.")</f>
        <v>ತಕ್ಷಣ ಹಂತಗಳನ್ನು ಎಣಿಸಲು ಪ್ರಾರಂಭಿಸಿ. ತ್ವರಿತ ನಡಿಗೆ ಅಥವಾ ನಿರ್ದಿಷ್ಟ ಚಟುವಟಿಕೆಗಳನ್ನು ಟ್ರ್ಯಾಕ್ ಮಾಡಲು ಪರಿಪೂರ್ಣ.</v>
      </c>
      <c r="W574" s="4" t="str">
        <f>IFERROR(__xludf.DUMMYFUNCTION("GOOGLETRANSLATE(B574,""en"",""ml"")"),"ഘട്ടങ്ങൾ എണ്ണുന്നത് ഉടൻ ആരംഭിക്കുക. പെട്ടെന്നുള്ള നടത്തത്തിനോ നിർദ്ദിഷ്ട പ്രവർത്തനങ്ങൾ ട്രാക്കുചെയ്യുന്നതിനോ അനുയോജ്യമാണ്.")</f>
        <v>ഘട്ടങ്ങൾ എണ്ണുന്നത് ഉടൻ ആരംഭിക്കുക. പെട്ടെന്നുള്ള നടത്തത്തിനോ നിർദ്ദിഷ്ട പ്രവർത്തനങ്ങൾ ട്രാക്കുചെയ്യുന്നതിനോ അനുയോജ്യമാണ്.</v>
      </c>
      <c r="X574" s="4" t="str">
        <f>IFERROR(__xludf.DUMMYFUNCTION("GOOGLETRANSLATE(B574,""en"",""th"")"),"เริ่มนับก้าวได้ทันที เหมาะสำหรับการเดินอย่างรวดเร็วหรือติดตามกิจกรรมเฉพาะ")</f>
        <v>เริ่มนับก้าวได้ทันที เหมาะสำหรับการเดินอย่างรวดเร็วหรือติดตามกิจกรรมเฉพาะ</v>
      </c>
      <c r="Y574" s="4" t="str">
        <f>IFERROR(__xludf.DUMMYFUNCTION("GOOGLETRANSLATE(B574,""en"",""ko"")"),"바로 걸음 수를 세어보세요. 빠른 산책이나 특정 활동 추적에 적합합니다.")</f>
        <v>바로 걸음 수를 세어보세요. 빠른 산책이나 특정 활동 추적에 적합합니다.</v>
      </c>
      <c r="Z574" s="4" t="str">
        <f>IFERROR(__xludf.DUMMYFUNCTION("GOOGLETRANSLATE(B574,""en"",""zh"")"),"立即开始计步。非常适合快速步行或追踪特定活动。")</f>
        <v>立即开始计步。非常适合快速步行或追踪特定活动。</v>
      </c>
      <c r="AA574" s="4" t="str">
        <f>IFERROR(__xludf.DUMMYFUNCTION("GOOGLETRANSLATE(B574,""en"",""zh-TW"")"),"立即開始計步。非常適合快速步行或追蹤特定活動。")</f>
        <v>立即開始計步。非常適合快速步行或追蹤特定活動。</v>
      </c>
      <c r="AB574" s="4" t="str">
        <f>IFERROR(__xludf.DUMMYFUNCTION("GOOGLETRANSLATE(B574,""en"",""ja"")"),"今すぐ歩数をカウントしましょう。ちょっとした散歩や特定のアクティビティの記録に最適です。")</f>
        <v>今すぐ歩数をカウントしましょう。ちょっとした散歩や特定のアクティビティの記録に最適です。</v>
      </c>
      <c r="AC574" s="4" t="str">
        <f>IFERROR(__xludf.DUMMYFUNCTION("GOOGLETRANSLATE(B574,""en"",""bg"")"),"Започнете незабавно да броите стъпките. Перфектен за бързи разходки или проследяване на специфични дейности.")</f>
        <v>Започнете незабавно да броите стъпките. Перфектен за бързи разходки или проследяване на специфични дейности.</v>
      </c>
      <c r="AD574" s="4" t="str">
        <f>IFERROR(__xludf.DUMMYFUNCTION("GOOGLETRANSLATE(B574,""en"",""cs"")"),"Okamžitě začněte počítat kroky. Ideální pro rychlé procházky nebo sledování konkrétních aktivit.")</f>
        <v>Okamžitě začněte počítat kroky. Ideální pro rychlé procházky nebo sledování konkrétních aktivit.</v>
      </c>
      <c r="AE574" s="4" t="str">
        <f>IFERROR(__xludf.DUMMYFUNCTION("GOOGLETRANSLATE(B574,""en"",""da"")"),"Begynd med at tælle skridt med det samme. Perfekt til hurtige gåture eller sporing af specifikke aktiviteter.")</f>
        <v>Begynd med at tælle skridt med det samme. Perfekt til hurtige gåture eller sporing af specifikke aktiviteter.</v>
      </c>
      <c r="AF574" s="4" t="str">
        <f>IFERROR(__xludf.DUMMYFUNCTION("GOOGLETRANSLATE(B574,""en"",""el"")"),"Ξεκινήστε αμέσως να μετράτε τα βήματα. Ιδανικό για γρήγορους περιπάτους ή παρακολούθηση συγκεκριμένων δραστηριοτήτων.")</f>
        <v>Ξεκινήστε αμέσως να μετράτε τα βήματα. Ιδανικό για γρήγορους περιπάτους ή παρακολούθηση συγκεκριμένων δραστηριοτήτων.</v>
      </c>
      <c r="AG574" s="4" t="str">
        <f>IFERROR(__xludf.DUMMYFUNCTION("GOOGLETRANSLATE(B574,""en"",""et"")"),"Alustage kohe sammude lugemist. Ideaalne kiireteks jalutuskäikudeks või konkreetsete tegevuste jälgimiseks.")</f>
        <v>Alustage kohe sammude lugemist. Ideaalne kiireteks jalutuskäikudeks või konkreetsete tegevuste jälgimiseks.</v>
      </c>
      <c r="AH574" s="4" t="str">
        <f>IFERROR(__xludf.DUMMYFUNCTION("GOOGLETRANSLATE(B574,""en"",""fi"")"),"Aloita askeleiden laskeminen välittömästi. Täydellinen nopeaan kävelyyn tai tiettyjen toimintojen seuraamiseen.")</f>
        <v>Aloita askeleiden laskeminen välittömästi. Täydellinen nopeaan kävelyyn tai tiettyjen toimintojen seuraamiseen.</v>
      </c>
      <c r="AI574" s="4" t="str">
        <f>IFERROR(__xludf.DUMMYFUNCTION("GOOGLETRANSLATE(B574,""en"",""hr"")"),"Odmah počnite brojati korake. Savršen za brze šetnje ili praćenje određenih aktivnosti.")</f>
        <v>Odmah počnite brojati korake. Savršen za brze šetnje ili praćenje određenih aktivnosti.</v>
      </c>
      <c r="AJ574" s="4" t="str">
        <f>IFERROR(__xludf.DUMMYFUNCTION("GOOGLETRANSLATE(B574,""en"",""hu"")"),"Azonnal kezdje el számolni a lépéseket. Tökéletes gyors sétákhoz vagy meghatározott tevékenységek nyomon követéséhez.")</f>
        <v>Azonnal kezdje el számolni a lépéseket. Tökéletes gyors sétákhoz vagy meghatározott tevékenységek nyomon követéséhez.</v>
      </c>
      <c r="AK574" s="4" t="str">
        <f>IFERROR(__xludf.DUMMYFUNCTION("GOOGLETRANSLATE(B574,""en"",""hy"")"),"Անմիջապես սկսեք հաշվել քայլերը: Կատարյալ է արագ զբոսանքի կամ որոշակի գործողություններին հետևելու համար:")</f>
        <v>Անմիջապես սկսեք հաշվել քայլերը: Կատարյալ է արագ զբոսանքի կամ որոշակի գործողություններին հետևելու համար:</v>
      </c>
      <c r="AL574" s="4" t="str">
        <f>IFERROR(__xludf.DUMMYFUNCTION("GOOGLETRANSLATE(B574,""en"",""ca"")"),"Comenceu a comptar passos immediatament. Perfecte per caminar ràpid o fer un seguiment d'activitats específiques.")</f>
        <v>Comenceu a comptar passos immediatament. Perfecte per caminar ràpid o fer un seguiment d'activitats específiques.</v>
      </c>
      <c r="AM574" s="4" t="str">
        <f>IFERROR(__xludf.DUMMYFUNCTION("GOOGLETRANSLATE(B574,""en"",""nl"")"),"Begin direct met het tellen van stappen. Perfect voor korte wandelingen of het bijhouden van specifieke activiteiten.")</f>
        <v>Begin direct met het tellen van stappen. Perfect voor korte wandelingen of het bijhouden van specifieke activiteiten.</v>
      </c>
      <c r="AN574" s="4" t="str">
        <f>IFERROR(__xludf.DUMMYFUNCTION("GOOGLETRANSLATE(B574,""en"",""he"")"),"התחל לספור צעדים מיד. מושלם לטיולים מהירים או מעקב אחר פעילויות ספציפיות.")</f>
        <v>התחל לספור צעדים מיד. מושלם לטיולים מהירים או מעקב אחר פעילויות ספציפיות.</v>
      </c>
      <c r="AO574" s="4" t="str">
        <f>IFERROR(__xludf.DUMMYFUNCTION("GOOGLETRANSLATE(B574,""en"",""is"")"),"Byrjaðu strax að telja skref. Fullkomið fyrir fljótlega göngutúra eða fylgjast með tilteknum athöfnum.")</f>
        <v>Byrjaðu strax að telja skref. Fullkomið fyrir fljótlega göngutúra eða fylgjast með tilteknum athöfnum.</v>
      </c>
      <c r="AP574" s="4" t="str">
        <f>IFERROR(__xludf.DUMMYFUNCTION("GOOGLETRANSLATE(B574,""en"",""no"")"),"Begynn å telle skritt umiddelbart. Perfekt for raske turer eller sporing av spesifikke aktiviteter.")</f>
        <v>Begynn å telle skritt umiddelbart. Perfekt for raske turer eller sporing av spesifikke aktiviteter.</v>
      </c>
      <c r="AQ574" s="4" t="str">
        <f>IFERROR(__xludf.DUMMYFUNCTION("GOOGLETRANSLATE(B574,""en"",""fa"")"),"بلافاصله شروع به شمارش مراحل کنید. ایده آل برای پیاده روی سریع یا ردیابی فعالیت های خاص.")</f>
        <v>بلافاصله شروع به شمارش مراحل کنید. ایده آل برای پیاده روی سریع یا ردیابی فعالیت های خاص.</v>
      </c>
      <c r="AR574" s="4" t="str">
        <f>IFERROR(__xludf.DUMMYFUNCTION("GOOGLETRANSLATE(B574,""en"",""pl"")"),"Zacznij liczyć kroki natychmiast. Idealne do szybkich spacerów lub śledzenia konkretnych aktywności.")</f>
        <v>Zacznij liczyć kroki natychmiast. Idealne do szybkich spacerów lub śledzenia konkretnych aktywności.</v>
      </c>
      <c r="AS574" s="4" t="str">
        <f>IFERROR(__xludf.DUMMYFUNCTION("GOOGLETRANSLATE(B574,""en"",""sv"")"),"Börja räkna steg omedelbart. Perfekt för snabba promenader eller spårning av specifika aktiviteter.")</f>
        <v>Börja räkna steg omedelbart. Perfekt för snabba promenader eller spårning av specifika aktiviteter.</v>
      </c>
      <c r="AT574" s="4" t="str">
        <f>IFERROR(__xludf.DUMMYFUNCTION("GOOGLETRANSLATE(B574,""en"",""uk"")"),"Негайно починайте рахувати кроки. Ідеально підходить для швидких прогулянок або відстеження певних видів діяльності.")</f>
        <v>Негайно починайте рахувати кроки. Ідеально підходить для швидких прогулянок або відстеження певних видів діяльності.</v>
      </c>
      <c r="AU574" s="4" t="str">
        <f>IFERROR(__xludf.DUMMYFUNCTION("GOOGLETRANSLATE(B574,""en"",""zu"")"),"Qala ukubala izinyathelo ngokushesha. Ilungele ukuhamba okusheshayo noma ukulandelela imisebenzi ethile.")</f>
        <v>Qala ukubala izinyathelo ngokushesha. Ilungele ukuhamba okusheshayo noma ukulandelela imisebenzi ethile.</v>
      </c>
      <c r="AV574" s="4" t="str">
        <f>IFERROR(__xludf.DUMMYFUNCTION("GOOGLETRANSLATE(B574,""en"",""sr"")"),"Одмах почните да бројите кораке. Савршено за брзе шетње или праћење одређених активности.")</f>
        <v>Одмах почните да бројите кораке. Савршено за брзе шетње или праћење одређених активности.</v>
      </c>
    </row>
    <row r="575">
      <c r="A575" s="3" t="s">
        <v>1100</v>
      </c>
      <c r="B575" s="3" t="s">
        <v>1101</v>
      </c>
      <c r="C575" s="4" t="str">
        <f>IFERROR(__xludf.DUMMYFUNCTION("GOOGLETRANSLATE(B575,""en"",""ta"")"),"செயல்பாடு அங்கீகாரம் அனுமதி")</f>
        <v>செயல்பாடு அங்கீகாரம் அனுமதி</v>
      </c>
      <c r="D575" s="4" t="str">
        <f>IFERROR(__xludf.DUMMYFUNCTION("GOOGLETRANSLATE(B575,""en"",""hi"")"),"गतिविधि पहचान अनुमति")</f>
        <v>गतिविधि पहचान अनुमति</v>
      </c>
      <c r="E575" s="4" t="str">
        <f>IFERROR(__xludf.DUMMYFUNCTION("GOOGLETRANSLATE(B575,""en"",""id"")"),"Izin Pengenalan Aktivitas")</f>
        <v>Izin Pengenalan Aktivitas</v>
      </c>
      <c r="F575" s="4" t="str">
        <f>IFERROR(__xludf.DUMMYFUNCTION("GOOGLETRANSLATE(B575,""en"",""ms"")"),"Kebenaran Pengecaman Aktiviti")</f>
        <v>Kebenaran Pengecaman Aktiviti</v>
      </c>
      <c r="G575" s="4" t="str">
        <f>IFERROR(__xludf.DUMMYFUNCTION("GOOGLETRANSLATE(B575,""en"",""de"")"),"Berechtigung zur Aktivitätserkennung")</f>
        <v>Berechtigung zur Aktivitätserkennung</v>
      </c>
      <c r="H575" s="4" t="str">
        <f>IFERROR(__xludf.DUMMYFUNCTION("GOOGLETRANSLATE(B575,""en"",""es"")"),"Permiso de reconocimiento de actividad")</f>
        <v>Permiso de reconocimiento de actividad</v>
      </c>
      <c r="I575" s="4" t="str">
        <f>IFERROR(__xludf.DUMMYFUNCTION("GOOGLETRANSLATE(B575,""en"",""fr"")"),"Autorisation de reconnaissance d'activité")</f>
        <v>Autorisation de reconnaissance d'activité</v>
      </c>
      <c r="J575" s="4" t="str">
        <f>IFERROR(__xludf.DUMMYFUNCTION("GOOGLETRANSLATE(B575,""en"",""it"")"),"Autorizzazione al riconoscimento dell'attività")</f>
        <v>Autorizzazione al riconoscimento dell'attività</v>
      </c>
      <c r="K575" s="4" t="str">
        <f>IFERROR(__xludf.DUMMYFUNCTION("GOOGLETRANSLATE(B575,""en"",""pt"")"),"Permissão de reconhecimento de atividade")</f>
        <v>Permissão de reconhecimento de atividade</v>
      </c>
      <c r="L575" s="4" t="str">
        <f>IFERROR(__xludf.DUMMYFUNCTION("GOOGLETRANSLATE(B575,""en"",""ro"")"),"Permisiune de recunoaștere a activității")</f>
        <v>Permisiune de recunoaștere a activității</v>
      </c>
      <c r="M575" s="4" t="str">
        <f>IFERROR(__xludf.DUMMYFUNCTION("GOOGLETRANSLATE(B575,""en"",""vi"")"),"Quyền nhận dạng hoạt động")</f>
        <v>Quyền nhận dạng hoạt động</v>
      </c>
      <c r="N575" s="4" t="str">
        <f>IFERROR(__xludf.DUMMYFUNCTION("GOOGLETRANSLATE(B575,""en"",""ru"")"),"Разрешение на распознавание активности")</f>
        <v>Разрешение на распознавание активности</v>
      </c>
      <c r="O575" s="4" t="str">
        <f>IFERROR(__xludf.DUMMYFUNCTION("GOOGLETRANSLATE(B575,""en"",""tr"")"),"Etkinlik Tanıma İzni")</f>
        <v>Etkinlik Tanıma İzni</v>
      </c>
      <c r="P575" s="4" t="str">
        <f>IFERROR(__xludf.DUMMYFUNCTION("GOOGLETRANSLATE(B575,""en"",""ar"")"),"إذن التعرف على النشاط")</f>
        <v>إذن التعرف على النشاط</v>
      </c>
      <c r="Q575" s="4" t="str">
        <f>IFERROR(__xludf.DUMMYFUNCTION("GOOGLETRANSLATE(B575,""en"",""mr"")"),"क्रियाकलाप ओळखण्याची परवानगी")</f>
        <v>क्रियाकलाप ओळखण्याची परवानगी</v>
      </c>
      <c r="R575" s="4" t="str">
        <f>IFERROR(__xludf.DUMMYFUNCTION("GOOGLETRANSLATE(B575,""en"",""gu"")"),"પ્રવૃત્તિ ઓળખ પરવાનગી")</f>
        <v>પ્રવૃત્તિ ઓળખ પરવાનગી</v>
      </c>
      <c r="S575" s="4" t="str">
        <f>IFERROR(__xludf.DUMMYFUNCTION("GOOGLETRANSLATE(B575,""en"",""bn"")"),"কার্যকলাপ স্বীকৃতি অনুমতি")</f>
        <v>কার্যকলাপ স্বীকৃতি অনুমতি</v>
      </c>
      <c r="T575" s="4" t="str">
        <f>IFERROR(__xludf.DUMMYFUNCTION("GOOGLETRANSLATE(B575,""en"",""pa"")"),"ਗਤੀਵਿਧੀ ਮਾਨਤਾ ਅਨੁਮਤੀ")</f>
        <v>ਗਤੀਵਿਧੀ ਮਾਨਤਾ ਅਨੁਮਤੀ</v>
      </c>
      <c r="U575" s="4" t="str">
        <f>IFERROR(__xludf.DUMMYFUNCTION("GOOGLETRANSLATE(B575,""en"",""te"")"),"కార్యాచరణ గుర్తింపు అనుమతి")</f>
        <v>కార్యాచరణ గుర్తింపు అనుమతి</v>
      </c>
      <c r="V575" s="4" t="str">
        <f>IFERROR(__xludf.DUMMYFUNCTION("GOOGLETRANSLATE(B575,""en"",""kn"")"),"ಚಟುವಟಿಕೆ ಗುರುತಿಸುವಿಕೆ ಅನುಮತಿ")</f>
        <v>ಚಟುವಟಿಕೆ ಗುರುತಿಸುವಿಕೆ ಅನುಮತಿ</v>
      </c>
      <c r="W575" s="4" t="str">
        <f>IFERROR(__xludf.DUMMYFUNCTION("GOOGLETRANSLATE(B575,""en"",""ml"")"),"പ്രവർത്തന തിരിച്ചറിയൽ അനുമതി")</f>
        <v>പ്രവർത്തന തിരിച്ചറിയൽ അനുമതി</v>
      </c>
      <c r="X575" s="4" t="str">
        <f>IFERROR(__xludf.DUMMYFUNCTION("GOOGLETRANSLATE(B575,""en"",""th"")"),"การอนุญาตการรับรู้กิจกรรม")</f>
        <v>การอนุญาตการรับรู้กิจกรรม</v>
      </c>
      <c r="Y575" s="4" t="str">
        <f>IFERROR(__xludf.DUMMYFUNCTION("GOOGLETRANSLATE(B575,""en"",""ko"")"),"활동 인식 허가")</f>
        <v>활동 인식 허가</v>
      </c>
      <c r="Z575" s="4" t="str">
        <f>IFERROR(__xludf.DUMMYFUNCTION("GOOGLETRANSLATE(B575,""en"",""zh"")"),"活动识别许可")</f>
        <v>活动识别许可</v>
      </c>
      <c r="AA575" s="4" t="str">
        <f>IFERROR(__xludf.DUMMYFUNCTION("GOOGLETRANSLATE(B575,""en"",""zh-TW"")"),"活動識別許可")</f>
        <v>活動識別許可</v>
      </c>
      <c r="AB575" s="4" t="str">
        <f>IFERROR(__xludf.DUMMYFUNCTION("GOOGLETRANSLATE(B575,""en"",""ja"")"),"アクティビティ認識許可")</f>
        <v>アクティビティ認識許可</v>
      </c>
      <c r="AC575" s="4" t="str">
        <f>IFERROR(__xludf.DUMMYFUNCTION("GOOGLETRANSLATE(B575,""en"",""bg"")"),"Разрешение за разпознаване на дейност")</f>
        <v>Разрешение за разпознаване на дейност</v>
      </c>
      <c r="AD575" s="4" t="str">
        <f>IFERROR(__xludf.DUMMYFUNCTION("GOOGLETRANSLATE(B575,""en"",""cs"")"),"Povolení k rozpoznání činnosti")</f>
        <v>Povolení k rozpoznání činnosti</v>
      </c>
      <c r="AE575" s="4" t="str">
        <f>IFERROR(__xludf.DUMMYFUNCTION("GOOGLETRANSLATE(B575,""en"",""da"")"),"Tilladelse til aktivitetsgenkendelse")</f>
        <v>Tilladelse til aktivitetsgenkendelse</v>
      </c>
      <c r="AF575" s="4" t="str">
        <f>IFERROR(__xludf.DUMMYFUNCTION("GOOGLETRANSLATE(B575,""en"",""el"")"),"Άδεια αναγνώρισης δραστηριότητας")</f>
        <v>Άδεια αναγνώρισης δραστηριότητας</v>
      </c>
      <c r="AG575" s="4" t="str">
        <f>IFERROR(__xludf.DUMMYFUNCTION("GOOGLETRANSLATE(B575,""en"",""et"")"),"Tegevuse tuvastamise luba")</f>
        <v>Tegevuse tuvastamise luba</v>
      </c>
      <c r="AH575" s="4" t="str">
        <f>IFERROR(__xludf.DUMMYFUNCTION("GOOGLETRANSLATE(B575,""en"",""fi"")"),"Toiminnan tunnistuslupa")</f>
        <v>Toiminnan tunnistuslupa</v>
      </c>
      <c r="AI575" s="4" t="str">
        <f>IFERROR(__xludf.DUMMYFUNCTION("GOOGLETRANSLATE(B575,""en"",""hr"")"),"Dozvola za prepoznavanje aktivnosti")</f>
        <v>Dozvola za prepoznavanje aktivnosti</v>
      </c>
      <c r="AJ575" s="4" t="str">
        <f>IFERROR(__xludf.DUMMYFUNCTION("GOOGLETRANSLATE(B575,""en"",""hu"")"),"Tevékenységfelismerési engedély")</f>
        <v>Tevékenységfelismerési engedély</v>
      </c>
      <c r="AK575" s="4" t="str">
        <f>IFERROR(__xludf.DUMMYFUNCTION("GOOGLETRANSLATE(B575,""en"",""hy"")"),"Գործունեության ճանաչման թույլտվություն")</f>
        <v>Գործունեության ճանաչման թույլտվություն</v>
      </c>
      <c r="AL575" s="4" t="str">
        <f>IFERROR(__xludf.DUMMYFUNCTION("GOOGLETRANSLATE(B575,""en"",""ca"")"),"Permís de reconeixement d'activitats")</f>
        <v>Permís de reconeixement d'activitats</v>
      </c>
      <c r="AM575" s="4" t="str">
        <f>IFERROR(__xludf.DUMMYFUNCTION("GOOGLETRANSLATE(B575,""en"",""nl"")"),"Toestemming voor activiteitsherkenning")</f>
        <v>Toestemming voor activiteitsherkenning</v>
      </c>
      <c r="AN575" s="4" t="str">
        <f>IFERROR(__xludf.DUMMYFUNCTION("GOOGLETRANSLATE(B575,""en"",""he"")"),"הרשאת זיהוי פעילות")</f>
        <v>הרשאת זיהוי פעילות</v>
      </c>
      <c r="AO575" s="4" t="str">
        <f>IFERROR(__xludf.DUMMYFUNCTION("GOOGLETRANSLATE(B575,""en"",""is"")"),"Atvinnuviðurkenningarleyfi")</f>
        <v>Atvinnuviðurkenningarleyfi</v>
      </c>
      <c r="AP575" s="4" t="str">
        <f>IFERROR(__xludf.DUMMYFUNCTION("GOOGLETRANSLATE(B575,""en"",""no"")"),"Tillatelse til aktivitetsgjenkjenning")</f>
        <v>Tillatelse til aktivitetsgjenkjenning</v>
      </c>
      <c r="AQ575" s="4" t="str">
        <f>IFERROR(__xludf.DUMMYFUNCTION("GOOGLETRANSLATE(B575,""en"",""fa"")"),"مجوز شناسایی فعالیت")</f>
        <v>مجوز شناسایی فعالیت</v>
      </c>
      <c r="AR575" s="4" t="str">
        <f>IFERROR(__xludf.DUMMYFUNCTION("GOOGLETRANSLATE(B575,""en"",""pl"")"),"Uprawnienia do rozpoznawania aktywności")</f>
        <v>Uprawnienia do rozpoznawania aktywności</v>
      </c>
      <c r="AS575" s="4" t="str">
        <f>IFERROR(__xludf.DUMMYFUNCTION("GOOGLETRANSLATE(B575,""en"",""sv"")"),"Tillstånd för aktivitetsigenkänning")</f>
        <v>Tillstånd för aktivitetsigenkänning</v>
      </c>
      <c r="AT575" s="4" t="str">
        <f>IFERROR(__xludf.DUMMYFUNCTION("GOOGLETRANSLATE(B575,""en"",""uk"")"),"Дозвіл на розпізнавання активності")</f>
        <v>Дозвіл на розпізнавання активності</v>
      </c>
      <c r="AU575" s="4" t="str">
        <f>IFERROR(__xludf.DUMMYFUNCTION("GOOGLETRANSLATE(B575,""en"",""zu"")"),"Imvume Yokubona Umsebenzi")</f>
        <v>Imvume Yokubona Umsebenzi</v>
      </c>
      <c r="AV575" s="4" t="str">
        <f>IFERROR(__xludf.DUMMYFUNCTION("GOOGLETRANSLATE(B575,""en"",""sr"")"),"Дозвола за препознавање активности")</f>
        <v>Дозвола за препознавање активности</v>
      </c>
    </row>
    <row r="576">
      <c r="A576" s="3" t="s">
        <v>1102</v>
      </c>
      <c r="B576" s="3" t="s">
        <v>1103</v>
      </c>
      <c r="C576" s="4" t="str">
        <f>IFERROR(__xludf.DUMMYFUNCTION("GOOGLETRANSLATE(B576,""en"",""ta"")"),"படிகளைக் கணக்கிட, பயன்பாட்டிற்கு உங்கள் உடல் செயல்பாடுகளுக்கான அணுகல் தேவை.")</f>
        <v>படிகளைக் கணக்கிட, பயன்பாட்டிற்கு உங்கள் உடல் செயல்பாடுகளுக்கான அணுகல் தேவை.</v>
      </c>
      <c r="D576" s="4" t="str">
        <f>IFERROR(__xludf.DUMMYFUNCTION("GOOGLETRANSLATE(B576,""en"",""hi"")"),"कदम गिनने के लिए ऐप को आपकी शारीरिक गतिविधि तक पहुंच की आवश्यकता होती है।")</f>
        <v>कदम गिनने के लिए ऐप को आपकी शारीरिक गतिविधि तक पहुंच की आवश्यकता होती है।</v>
      </c>
      <c r="E576" s="4" t="str">
        <f>IFERROR(__xludf.DUMMYFUNCTION("GOOGLETRANSLATE(B576,""en"",""id"")"),"Aplikasi memerlukan akses ke aktivitas fisik Anda untuk menghitung langkah.")</f>
        <v>Aplikasi memerlukan akses ke aktivitas fisik Anda untuk menghitung langkah.</v>
      </c>
      <c r="F576" s="4" t="str">
        <f>IFERROR(__xludf.DUMMYFUNCTION("GOOGLETRANSLATE(B576,""en"",""ms"")"),"Apl memerlukan akses kepada aktiviti fizikal anda untuk mengira langkah.")</f>
        <v>Apl memerlukan akses kepada aktiviti fizikal anda untuk mengira langkah.</v>
      </c>
      <c r="G576" s="4" t="str">
        <f>IFERROR(__xludf.DUMMYFUNCTION("GOOGLETRANSLATE(B576,""en"",""de"")"),"Die App benötigt Zugriff auf Ihre körperliche Aktivität, um Schritte zu zählen.")</f>
        <v>Die App benötigt Zugriff auf Ihre körperliche Aktivität, um Schritte zu zählen.</v>
      </c>
      <c r="H576" s="4" t="str">
        <f>IFERROR(__xludf.DUMMYFUNCTION("GOOGLETRANSLATE(B576,""en"",""es"")"),"La aplicación necesita acceso a tu actividad física para contar los pasos.")</f>
        <v>La aplicación necesita acceso a tu actividad física para contar los pasos.</v>
      </c>
      <c r="I576" s="4" t="str">
        <f>IFERROR(__xludf.DUMMYFUNCTION("GOOGLETRANSLATE(B576,""en"",""fr"")"),"L'application a besoin d'accéder à votre activité physique pour compter les pas.")</f>
        <v>L'application a besoin d'accéder à votre activité physique pour compter les pas.</v>
      </c>
      <c r="J576" s="4" t="str">
        <f>IFERROR(__xludf.DUMMYFUNCTION("GOOGLETRANSLATE(B576,""en"",""it"")"),"Per contare i passi, l'app ha bisogno di accedere alla tua attività fisica.")</f>
        <v>Per contare i passi, l'app ha bisogno di accedere alla tua attività fisica.</v>
      </c>
      <c r="K576" s="4" t="str">
        <f>IFERROR(__xludf.DUMMYFUNCTION("GOOGLETRANSLATE(B576,""en"",""pt"")"),"O aplicativo precisa acessar sua atividade física para contar passos.")</f>
        <v>O aplicativo precisa acessar sua atividade física para contar passos.</v>
      </c>
      <c r="L576" s="4" t="str">
        <f>IFERROR(__xludf.DUMMYFUNCTION("GOOGLETRANSLATE(B576,""en"",""ro"")"),"Aplicația are nevoie de acces la activitatea fizică pentru a număra pașii.")</f>
        <v>Aplicația are nevoie de acces la activitatea fizică pentru a număra pașii.</v>
      </c>
      <c r="M576" s="4" t="str">
        <f>IFERROR(__xludf.DUMMYFUNCTION("GOOGLETRANSLATE(B576,""en"",""vi"")"),"Ứng dụng cần truy cập vào hoạt động thể chất của bạn để đếm số bước.")</f>
        <v>Ứng dụng cần truy cập vào hoạt động thể chất của bạn để đếm số bước.</v>
      </c>
      <c r="N576" s="4" t="str">
        <f>IFERROR(__xludf.DUMMYFUNCTION("GOOGLETRANSLATE(B576,""en"",""ru"")"),"Приложению необходим доступ к вашей физической активности для подсчета шагов.")</f>
        <v>Приложению необходим доступ к вашей физической активности для подсчета шагов.</v>
      </c>
      <c r="O576" s="4" t="str">
        <f>IFERROR(__xludf.DUMMYFUNCTION("GOOGLETRANSLATE(B576,""en"",""tr"")"),"Uygulamanın adım sayımı yapabilmesi için fiziksel aktivitenize erişmesi gerekiyor.")</f>
        <v>Uygulamanın adım sayımı yapabilmesi için fiziksel aktivitenize erişmesi gerekiyor.</v>
      </c>
      <c r="P576" s="4" t="str">
        <f>IFERROR(__xludf.DUMMYFUNCTION("GOOGLETRANSLATE(B576,""en"",""ar"")"),"يحتاج التطبيق إلى الوصول إلى نشاطك البدني لحساب الخطوات.")</f>
        <v>يحتاج التطبيق إلى الوصول إلى نشاطك البدني لحساب الخطوات.</v>
      </c>
      <c r="Q576" s="4" t="str">
        <f>IFERROR(__xludf.DUMMYFUNCTION("GOOGLETRANSLATE(B576,""en"",""mr"")"),"पायऱ्या मोजण्यासाठी ॲपला तुमच्या शारीरिक क्रियाकलापांमध्ये प्रवेश आवश्यक आहे.")</f>
        <v>पायऱ्या मोजण्यासाठी ॲपला तुमच्या शारीरिक क्रियाकलापांमध्ये प्रवेश आवश्यक आहे.</v>
      </c>
      <c r="R576" s="4" t="str">
        <f>IFERROR(__xludf.DUMMYFUNCTION("GOOGLETRANSLATE(B576,""en"",""gu"")"),"પગલાંની ગણતરી કરવા માટે એપ્લિકેશનને તમારી શારીરિક પ્રવૃત્તિની ઍક્સેસની જરૂર છે.")</f>
        <v>પગલાંની ગણતરી કરવા માટે એપ્લિકેશનને તમારી શારીરિક પ્રવૃત્તિની ઍક્સેસની જરૂર છે.</v>
      </c>
      <c r="S576" s="4" t="str">
        <f>IFERROR(__xludf.DUMMYFUNCTION("GOOGLETRANSLATE(B576,""en"",""bn"")"),"পদক্ষেপগুলি গণনা করার জন্য অ্যাপকে আপনার শারীরিক কার্যকলাপে অ্যাক্সেসের প্রয়োজন।")</f>
        <v>পদক্ষেপগুলি গণনা করার জন্য অ্যাপকে আপনার শারীরিক কার্যকলাপে অ্যাক্সেসের প্রয়োজন।</v>
      </c>
      <c r="T576" s="4" t="str">
        <f>IFERROR(__xludf.DUMMYFUNCTION("GOOGLETRANSLATE(B576,""en"",""pa"")"),"ਐਪ ਨੂੰ ਕਦਮਾਂ ਦੀ ਗਿਣਤੀ ਕਰਨ ਲਈ ਤੁਹਾਡੀ ਸਰੀਰਕ ਗਤੀਵਿਧੀ ਤੱਕ ਪਹੁੰਚ ਦੀ ਲੋੜ ਹੈ।")</f>
        <v>ਐਪ ਨੂੰ ਕਦਮਾਂ ਦੀ ਗਿਣਤੀ ਕਰਨ ਲਈ ਤੁਹਾਡੀ ਸਰੀਰਕ ਗਤੀਵਿਧੀ ਤੱਕ ਪਹੁੰਚ ਦੀ ਲੋੜ ਹੈ।</v>
      </c>
      <c r="U576" s="4" t="str">
        <f>IFERROR(__xludf.DUMMYFUNCTION("GOOGLETRANSLATE(B576,""en"",""te"")"),"దశలను లెక్కించడానికి యాప్‌కి మీ శారీరక శ్రమకు యాక్సెస్ అవసరం.")</f>
        <v>దశలను లెక్కించడానికి యాప్‌కి మీ శారీరక శ్రమకు యాక్సెస్ అవసరం.</v>
      </c>
      <c r="V576" s="4" t="str">
        <f>IFERROR(__xludf.DUMMYFUNCTION("GOOGLETRANSLATE(B576,""en"",""kn"")"),"ಹಂತಗಳನ್ನು ಎಣಿಸಲು ಅಪ್ಲಿಕೇಶನ್‌ಗೆ ನಿಮ್ಮ ದೈಹಿಕ ಚಟುವಟಿಕೆಗೆ ಪ್ರವೇಶದ ಅಗತ್ಯವಿದೆ.")</f>
        <v>ಹಂತಗಳನ್ನು ಎಣಿಸಲು ಅಪ್ಲಿಕೇಶನ್‌ಗೆ ನಿಮ್ಮ ದೈಹಿಕ ಚಟುವಟಿಕೆಗೆ ಪ್ರವೇಶದ ಅಗತ್ಯವಿದೆ.</v>
      </c>
      <c r="W576" s="4" t="str">
        <f>IFERROR(__xludf.DUMMYFUNCTION("GOOGLETRANSLATE(B576,""en"",""ml"")"),"ഘട്ടങ്ങൾ എണ്ണാൻ ആപ്പിന് നിങ്ങളുടെ ശാരീരിക പ്രവർത്തനത്തിലേക്ക് ആക്‌സസ് ആവശ്യമാണ്.")</f>
        <v>ഘട്ടങ്ങൾ എണ്ണാൻ ആപ്പിന് നിങ്ങളുടെ ശാരീരിക പ്രവർത്തനത്തിലേക്ക് ആക്‌സസ് ആവശ്യമാണ്.</v>
      </c>
      <c r="X576" s="4" t="str">
        <f>IFERROR(__xludf.DUMMYFUNCTION("GOOGLETRANSLATE(B576,""en"",""th"")"),"แอปต้องการเข้าถึงกิจกรรมทางกายของคุณเพื่อนับก้าว")</f>
        <v>แอปต้องการเข้าถึงกิจกรรมทางกายของคุณเพื่อนับก้าว</v>
      </c>
      <c r="Y576" s="4" t="str">
        <f>IFERROR(__xludf.DUMMYFUNCTION("GOOGLETRANSLATE(B576,""en"",""ko"")"),"앱은 걸음 수를 세기 위해 신체 활동 데이터에 접근해야 합니다.")</f>
        <v>앱은 걸음 수를 세기 위해 신체 활동 데이터에 접근해야 합니다.</v>
      </c>
      <c r="Z576" s="4" t="str">
        <f>IFERROR(__xludf.DUMMYFUNCTION("GOOGLETRANSLATE(B576,""en"",""zh"")"),"应用程序需要访问您的身体活动来计算步数。")</f>
        <v>应用程序需要访问您的身体活动来计算步数。</v>
      </c>
      <c r="AA576" s="4" t="str">
        <f>IFERROR(__xludf.DUMMYFUNCTION("GOOGLETRANSLATE(B576,""en"",""zh-TW"")"),"應用程式需要存取您的身體活動來計算步數。")</f>
        <v>應用程式需要存取您的身體活動來計算步數。</v>
      </c>
      <c r="AB576" s="4" t="str">
        <f>IFERROR(__xludf.DUMMYFUNCTION("GOOGLETRANSLATE(B576,""en"",""ja"")"),"歩数をカウントするには、アプリが身体活動にアクセスする必要があります。")</f>
        <v>歩数をカウントするには、アプリが身体活動にアクセスする必要があります。</v>
      </c>
      <c r="AC576" s="4" t="str">
        <f>IFERROR(__xludf.DUMMYFUNCTION("GOOGLETRANSLATE(B576,""en"",""bg"")"),"Приложението се нуждае от достъп до вашата физическа активност, за да брои стъпките.")</f>
        <v>Приложението се нуждае от достъп до вашата физическа активност, за да брои стъпките.</v>
      </c>
      <c r="AD576" s="4" t="str">
        <f>IFERROR(__xludf.DUMMYFUNCTION("GOOGLETRANSLATE(B576,""en"",""cs"")"),"Aplikace potřebuje přístup k vaší fyzické aktivitě, aby mohla počítat kroky.")</f>
        <v>Aplikace potřebuje přístup k vaší fyzické aktivitě, aby mohla počítat kroky.</v>
      </c>
      <c r="AE576" s="4" t="str">
        <f>IFERROR(__xludf.DUMMYFUNCTION("GOOGLETRANSLATE(B576,""en"",""da"")"),"App skal have adgang til din fysiske aktivitet for at tælle skridt.")</f>
        <v>App skal have adgang til din fysiske aktivitet for at tælle skridt.</v>
      </c>
      <c r="AF576" s="4" t="str">
        <f>IFERROR(__xludf.DUMMYFUNCTION("GOOGLETRANSLATE(B576,""en"",""el"")"),"Η εφαρμογή χρειάζεται πρόσβαση στη φυσική σας δραστηριότητα για να μετρήσει τα βήματα.")</f>
        <v>Η εφαρμογή χρειάζεται πρόσβαση στη φυσική σας δραστηριότητα για να μετρήσει τα βήματα.</v>
      </c>
      <c r="AG576" s="4" t="str">
        <f>IFERROR(__xludf.DUMMYFUNCTION("GOOGLETRANSLATE(B576,""en"",""et"")"),"Rakendus vajab sammude loendamiseks juurdepääsu teie füüsilisele tegevusele.")</f>
        <v>Rakendus vajab sammude loendamiseks juurdepääsu teie füüsilisele tegevusele.</v>
      </c>
      <c r="AH576" s="4" t="str">
        <f>IFERROR(__xludf.DUMMYFUNCTION("GOOGLETRANSLATE(B576,""en"",""fi"")"),"Sovellus tarvitsee pääsyn fyysiseen toimintaasi voidakseen laskea askeleita.")</f>
        <v>Sovellus tarvitsee pääsyn fyysiseen toimintaasi voidakseen laskea askeleita.</v>
      </c>
      <c r="AI576" s="4" t="str">
        <f>IFERROR(__xludf.DUMMYFUNCTION("GOOGLETRANSLATE(B576,""en"",""hr"")"),"Aplikaciji je potreban pristup vašoj fizičkoj aktivnosti za brojanje koraka.")</f>
        <v>Aplikaciji je potreban pristup vašoj fizičkoj aktivnosti za brojanje koraka.</v>
      </c>
      <c r="AJ576" s="4" t="str">
        <f>IFERROR(__xludf.DUMMYFUNCTION("GOOGLETRANSLATE(B576,""en"",""hu"")"),"Az alkalmazásnak hozzá kell férnie az Ön fizikai tevékenységéhez a lépések számlálásához.")</f>
        <v>Az alkalmazásnak hozzá kell férnie az Ön fizikai tevékenységéhez a lépések számlálásához.</v>
      </c>
      <c r="AK576" s="4" t="str">
        <f>IFERROR(__xludf.DUMMYFUNCTION("GOOGLETRANSLATE(B576,""en"",""hy"")"),"Հավելվածին անհրաժեշտ է ձեր ֆիզիկական ակտիվության հասանելիություն՝ քայլերը հաշվելու համար:")</f>
        <v>Հավելվածին անհրաժեշտ է ձեր ֆիզիկական ակտիվության հասանելիություն՝ քայլերը հաշվելու համար:</v>
      </c>
      <c r="AL576" s="4" t="str">
        <f>IFERROR(__xludf.DUMMYFUNCTION("GOOGLETRANSLATE(B576,""en"",""ca"")"),"L'aplicació necessita accedir a la teva activitat física per comptar els passos.")</f>
        <v>L'aplicació necessita accedir a la teva activitat física per comptar els passos.</v>
      </c>
      <c r="AM576" s="4" t="str">
        <f>IFERROR(__xludf.DUMMYFUNCTION("GOOGLETRANSLATE(B576,""en"",""nl"")"),"De app heeft toegang nodig tot uw fysieke activiteit om stappen te tellen.")</f>
        <v>De app heeft toegang nodig tot uw fysieke activiteit om stappen te tellen.</v>
      </c>
      <c r="AN576" s="4" t="str">
        <f>IFERROR(__xludf.DUMMYFUNCTION("GOOGLETRANSLATE(B576,""en"",""he"")"),"האפליקציה צריכה גישה לפעילות הגופנית שלך כדי לספור צעדים.")</f>
        <v>האפליקציה צריכה גישה לפעילות הגופנית שלך כדי לספור צעדים.</v>
      </c>
      <c r="AO576" s="4" t="str">
        <f>IFERROR(__xludf.DUMMYFUNCTION("GOOGLETRANSLATE(B576,""en"",""is"")"),"App þarf aðgang að hreyfingu þinni til að telja skref.")</f>
        <v>App þarf aðgang að hreyfingu þinni til að telja skref.</v>
      </c>
      <c r="AP576" s="4" t="str">
        <f>IFERROR(__xludf.DUMMYFUNCTION("GOOGLETRANSLATE(B576,""en"",""no"")"),"Appen trenger tilgang til din fysiske aktivitet for å telle skritt.")</f>
        <v>Appen trenger tilgang til din fysiske aktivitet for å telle skritt.</v>
      </c>
      <c r="AQ576" s="4" t="str">
        <f>IFERROR(__xludf.DUMMYFUNCTION("GOOGLETRANSLATE(B576,""en"",""fa"")"),"برنامه برای شمارش مراحل نیاز به دسترسی به فعالیت بدنی شما دارد.")</f>
        <v>برنامه برای شمارش مراحل نیاز به دسترسی به فعالیت بدنی شما دارد.</v>
      </c>
      <c r="AR576" s="4" t="str">
        <f>IFERROR(__xludf.DUMMYFUNCTION("GOOGLETRANSLATE(B576,""en"",""pl"")"),"Aplikacja potrzebuje dostępu do Twojej aktywności fizycznej, aby móc liczyć kroki.")</f>
        <v>Aplikacja potrzebuje dostępu do Twojej aktywności fizycznej, aby móc liczyć kroki.</v>
      </c>
      <c r="AS576" s="4" t="str">
        <f>IFERROR(__xludf.DUMMYFUNCTION("GOOGLETRANSLATE(B576,""en"",""sv"")"),"Appen behöver tillgång till din fysiska aktivitet för att räkna steg.")</f>
        <v>Appen behöver tillgång till din fysiska aktivitet för att räkna steg.</v>
      </c>
      <c r="AT576" s="4" t="str">
        <f>IFERROR(__xludf.DUMMYFUNCTION("GOOGLETRANSLATE(B576,""en"",""uk"")"),"Додатку потрібен доступ до даних про вашу фізичну активність, щоб підрахувати кроки.")</f>
        <v>Додатку потрібен доступ до даних про вашу фізичну активність, щоб підрахувати кроки.</v>
      </c>
      <c r="AU576" s="4" t="str">
        <f>IFERROR(__xludf.DUMMYFUNCTION("GOOGLETRANSLATE(B576,""en"",""zu"")"),"Uhlelo lokusebenza ludinga ukufinyelela kumsebenzi wakho womzimba ukuze ubale izinyathelo.")</f>
        <v>Uhlelo lokusebenza ludinga ukufinyelela kumsebenzi wakho womzimba ukuze ubale izinyathelo.</v>
      </c>
      <c r="AV576" s="4" t="str">
        <f>IFERROR(__xludf.DUMMYFUNCTION("GOOGLETRANSLATE(B576,""en"",""sr"")"),"Апликацији је потребан приступ вашој физичкој активности да би бројала кораке.")</f>
        <v>Апликацији је потребан приступ вашој физичкој активности да би бројала кораке.</v>
      </c>
    </row>
    <row r="577">
      <c r="A577" s="3" t="s">
        <v>1104</v>
      </c>
      <c r="B577" s="3" t="s">
        <v>1105</v>
      </c>
      <c r="C577" s="4" t="str">
        <f>IFERROR(__xludf.DUMMYFUNCTION("GOOGLETRANSLATE(B577,""en"",""ta"")"),"அனுமதி")</f>
        <v>அனுமதி</v>
      </c>
      <c r="D577" s="4" t="str">
        <f>IFERROR(__xludf.DUMMYFUNCTION("GOOGLETRANSLATE(B577,""en"",""hi"")"),"अनुमति दें")</f>
        <v>अनुमति दें</v>
      </c>
      <c r="E577" s="4" t="str">
        <f>IFERROR(__xludf.DUMMYFUNCTION("GOOGLETRANSLATE(B577,""en"",""id"")"),"Mengizinkan")</f>
        <v>Mengizinkan</v>
      </c>
      <c r="F577" s="4" t="str">
        <f>IFERROR(__xludf.DUMMYFUNCTION("GOOGLETRANSLATE(B577,""en"",""ms"")"),"benarkan")</f>
        <v>benarkan</v>
      </c>
      <c r="G577" s="4" t="str">
        <f>IFERROR(__xludf.DUMMYFUNCTION("GOOGLETRANSLATE(B577,""en"",""de"")"),"Erlauben")</f>
        <v>Erlauben</v>
      </c>
      <c r="H577" s="4" t="str">
        <f>IFERROR(__xludf.DUMMYFUNCTION("GOOGLETRANSLATE(B577,""en"",""es"")"),"Permitir")</f>
        <v>Permitir</v>
      </c>
      <c r="I577" s="4" t="str">
        <f>IFERROR(__xludf.DUMMYFUNCTION("GOOGLETRANSLATE(B577,""en"",""fr"")"),"Permettre")</f>
        <v>Permettre</v>
      </c>
      <c r="J577" s="4" t="str">
        <f>IFERROR(__xludf.DUMMYFUNCTION("GOOGLETRANSLATE(B577,""en"",""it"")"),"Permettere")</f>
        <v>Permettere</v>
      </c>
      <c r="K577" s="4" t="str">
        <f>IFERROR(__xludf.DUMMYFUNCTION("GOOGLETRANSLATE(B577,""en"",""pt"")"),"Permitir")</f>
        <v>Permitir</v>
      </c>
      <c r="L577" s="4" t="str">
        <f>IFERROR(__xludf.DUMMYFUNCTION("GOOGLETRANSLATE(B577,""en"",""ro"")"),"Permite")</f>
        <v>Permite</v>
      </c>
      <c r="M577" s="4" t="str">
        <f>IFERROR(__xludf.DUMMYFUNCTION("GOOGLETRANSLATE(B577,""en"",""vi"")"),"Cho phép")</f>
        <v>Cho phép</v>
      </c>
      <c r="N577" s="4" t="str">
        <f>IFERROR(__xludf.DUMMYFUNCTION("GOOGLETRANSLATE(B577,""en"",""ru"")"),"Позволять")</f>
        <v>Позволять</v>
      </c>
      <c r="O577" s="4" t="str">
        <f>IFERROR(__xludf.DUMMYFUNCTION("GOOGLETRANSLATE(B577,""en"",""tr"")"),"İzin vermek")</f>
        <v>İzin vermek</v>
      </c>
      <c r="P577" s="4" t="str">
        <f>IFERROR(__xludf.DUMMYFUNCTION("GOOGLETRANSLATE(B577,""en"",""ar"")"),"يسمح")</f>
        <v>يسمح</v>
      </c>
      <c r="Q577" s="4" t="str">
        <f>IFERROR(__xludf.DUMMYFUNCTION("GOOGLETRANSLATE(B577,""en"",""mr"")"),"परवानगी द्या")</f>
        <v>परवानगी द्या</v>
      </c>
      <c r="R577" s="4" t="str">
        <f>IFERROR(__xludf.DUMMYFUNCTION("GOOGLETRANSLATE(B577,""en"",""gu"")"),"પરવાનગી આપે છે")</f>
        <v>પરવાનગી આપે છે</v>
      </c>
      <c r="S577" s="4" t="str">
        <f>IFERROR(__xludf.DUMMYFUNCTION("GOOGLETRANSLATE(B577,""en"",""bn"")"),"অনুমতি দিন")</f>
        <v>অনুমতি দিন</v>
      </c>
      <c r="T577" s="4" t="str">
        <f>IFERROR(__xludf.DUMMYFUNCTION("GOOGLETRANSLATE(B577,""en"",""pa"")"),"ਇਜਾਜ਼ਤ ਦਿਓ")</f>
        <v>ਇਜਾਜ਼ਤ ਦਿਓ</v>
      </c>
      <c r="U577" s="4" t="str">
        <f>IFERROR(__xludf.DUMMYFUNCTION("GOOGLETRANSLATE(B577,""en"",""te"")"),"అనుమతించు")</f>
        <v>అనుమతించు</v>
      </c>
      <c r="V577" s="4" t="str">
        <f>IFERROR(__xludf.DUMMYFUNCTION("GOOGLETRANSLATE(B577,""en"",""kn"")"),"ಅನುಮತಿಸಿ")</f>
        <v>ಅನುಮತಿಸಿ</v>
      </c>
      <c r="W577" s="4" t="str">
        <f>IFERROR(__xludf.DUMMYFUNCTION("GOOGLETRANSLATE(B577,""en"",""ml"")"),"അനുവദിക്കുക")</f>
        <v>അനുവദിക്കുക</v>
      </c>
      <c r="X577" s="4" t="str">
        <f>IFERROR(__xludf.DUMMYFUNCTION("GOOGLETRANSLATE(B577,""en"",""th"")"),"อนุญาต")</f>
        <v>อนุญาต</v>
      </c>
      <c r="Y577" s="4" t="str">
        <f>IFERROR(__xludf.DUMMYFUNCTION("GOOGLETRANSLATE(B577,""en"",""ko"")"),"허용하다")</f>
        <v>허용하다</v>
      </c>
      <c r="Z577" s="4" t="str">
        <f>IFERROR(__xludf.DUMMYFUNCTION("GOOGLETRANSLATE(B577,""en"",""zh"")"),"允许")</f>
        <v>允许</v>
      </c>
      <c r="AA577" s="4" t="str">
        <f>IFERROR(__xludf.DUMMYFUNCTION("GOOGLETRANSLATE(B577,""en"",""zh-TW"")"),"允許")</f>
        <v>允許</v>
      </c>
      <c r="AB577" s="4" t="str">
        <f>IFERROR(__xludf.DUMMYFUNCTION("GOOGLETRANSLATE(B577,""en"",""ja"")"),"許可する")</f>
        <v>許可する</v>
      </c>
      <c r="AC577" s="4" t="str">
        <f>IFERROR(__xludf.DUMMYFUNCTION("GOOGLETRANSLATE(B577,""en"",""bg"")"),"Разрешете")</f>
        <v>Разрешете</v>
      </c>
      <c r="AD577" s="4" t="str">
        <f>IFERROR(__xludf.DUMMYFUNCTION("GOOGLETRANSLATE(B577,""en"",""cs"")"),"Povolit")</f>
        <v>Povolit</v>
      </c>
      <c r="AE577" s="4" t="str">
        <f>IFERROR(__xludf.DUMMYFUNCTION("GOOGLETRANSLATE(B577,""en"",""da"")"),"Tillade")</f>
        <v>Tillade</v>
      </c>
      <c r="AF577" s="4" t="str">
        <f>IFERROR(__xludf.DUMMYFUNCTION("GOOGLETRANSLATE(B577,""en"",""el"")"),"Επιτρέπω")</f>
        <v>Επιτρέπω</v>
      </c>
      <c r="AG577" s="4" t="str">
        <f>IFERROR(__xludf.DUMMYFUNCTION("GOOGLETRANSLATE(B577,""en"",""et"")"),"Luba")</f>
        <v>Luba</v>
      </c>
      <c r="AH577" s="4" t="str">
        <f>IFERROR(__xludf.DUMMYFUNCTION("GOOGLETRANSLATE(B577,""en"",""fi"")"),"Salli")</f>
        <v>Salli</v>
      </c>
      <c r="AI577" s="4" t="str">
        <f>IFERROR(__xludf.DUMMYFUNCTION("GOOGLETRANSLATE(B577,""en"",""hr"")"),"Dopusti")</f>
        <v>Dopusti</v>
      </c>
      <c r="AJ577" s="4" t="str">
        <f>IFERROR(__xludf.DUMMYFUNCTION("GOOGLETRANSLATE(B577,""en"",""hu"")"),"Engedélyezze")</f>
        <v>Engedélyezze</v>
      </c>
      <c r="AK577" s="4" t="str">
        <f>IFERROR(__xludf.DUMMYFUNCTION("GOOGLETRANSLATE(B577,""en"",""hy"")"),"Թույլատրել")</f>
        <v>Թույլատրել</v>
      </c>
      <c r="AL577" s="4" t="str">
        <f>IFERROR(__xludf.DUMMYFUNCTION("GOOGLETRANSLATE(B577,""en"",""ca"")"),"Permetre")</f>
        <v>Permetre</v>
      </c>
      <c r="AM577" s="4" t="str">
        <f>IFERROR(__xludf.DUMMYFUNCTION("GOOGLETRANSLATE(B577,""en"",""nl"")"),"Toestaan")</f>
        <v>Toestaan</v>
      </c>
      <c r="AN577" s="4" t="str">
        <f>IFERROR(__xludf.DUMMYFUNCTION("GOOGLETRANSLATE(B577,""en"",""he"")"),"לְהַתִיר")</f>
        <v>לְהַתִיר</v>
      </c>
      <c r="AO577" s="4" t="str">
        <f>IFERROR(__xludf.DUMMYFUNCTION("GOOGLETRANSLATE(B577,""en"",""is"")"),"Leyfa")</f>
        <v>Leyfa</v>
      </c>
      <c r="AP577" s="4" t="str">
        <f>IFERROR(__xludf.DUMMYFUNCTION("GOOGLETRANSLATE(B577,""en"",""no"")"),"Tillate")</f>
        <v>Tillate</v>
      </c>
      <c r="AQ577" s="4" t="str">
        <f>IFERROR(__xludf.DUMMYFUNCTION("GOOGLETRANSLATE(B577,""en"",""fa"")"),"اجازه دهید")</f>
        <v>اجازه دهید</v>
      </c>
      <c r="AR577" s="4" t="str">
        <f>IFERROR(__xludf.DUMMYFUNCTION("GOOGLETRANSLATE(B577,""en"",""pl"")"),"Umożliwić")</f>
        <v>Umożliwić</v>
      </c>
      <c r="AS577" s="4" t="str">
        <f>IFERROR(__xludf.DUMMYFUNCTION("GOOGLETRANSLATE(B577,""en"",""sv"")"),"Tillåta")</f>
        <v>Tillåta</v>
      </c>
      <c r="AT577" s="4" t="str">
        <f>IFERROR(__xludf.DUMMYFUNCTION("GOOGLETRANSLATE(B577,""en"",""uk"")"),"Дозволити")</f>
        <v>Дозволити</v>
      </c>
      <c r="AU577" s="4" t="str">
        <f>IFERROR(__xludf.DUMMYFUNCTION("GOOGLETRANSLATE(B577,""en"",""zu"")"),"Vumela")</f>
        <v>Vumela</v>
      </c>
      <c r="AV577" s="4" t="str">
        <f>IFERROR(__xludf.DUMMYFUNCTION("GOOGLETRANSLATE(B577,""en"",""sr"")"),"Дозволи")</f>
        <v>Дозволи</v>
      </c>
    </row>
    <row r="578">
      <c r="A578" s="3" t="s">
        <v>1106</v>
      </c>
      <c r="B578" s="3" t="s">
        <v>1107</v>
      </c>
      <c r="C578" s="4" t="str">
        <f>IFERROR(__xludf.DUMMYFUNCTION("GOOGLETRANSLATE(B578,""en"",""ta"")"),"உங்கள் நடை அட்டவணையை அமைத்து, காலப்போக்கில் உங்கள் முன்னேற்றத்தைக் கண்காணிக்கவும்.")</f>
        <v>உங்கள் நடை அட்டவணையை அமைத்து, காலப்போக்கில் உங்கள் முன்னேற்றத்தைக் கண்காணிக்கவும்.</v>
      </c>
      <c r="D578" s="4" t="str">
        <f>IFERROR(__xludf.DUMMYFUNCTION("GOOGLETRANSLATE(B578,""en"",""hi"")"),"अपना पैदल चलने का कार्यक्रम निर्धारित करें और समय के साथ अपनी प्रगति पर नज़र रखें।")</f>
        <v>अपना पैदल चलने का कार्यक्रम निर्धारित करें और समय के साथ अपनी प्रगति पर नज़र रखें।</v>
      </c>
      <c r="E578" s="4" t="str">
        <f>IFERROR(__xludf.DUMMYFUNCTION("GOOGLETRANSLATE(B578,""en"",""id"")"),"Atur jadwal jalan kaki Anda dan lacak kemajuan Anda dari waktu ke waktu.")</f>
        <v>Atur jadwal jalan kaki Anda dan lacak kemajuan Anda dari waktu ke waktu.</v>
      </c>
      <c r="F578" s="4" t="str">
        <f>IFERROR(__xludf.DUMMYFUNCTION("GOOGLETRANSLATE(B578,""en"",""ms"")"),"Sediakan jadual berjalan anda dan jejak kemajuan anda dari semasa ke semasa.")</f>
        <v>Sediakan jadual berjalan anda dan jejak kemajuan anda dari semasa ke semasa.</v>
      </c>
      <c r="G578" s="4" t="str">
        <f>IFERROR(__xludf.DUMMYFUNCTION("GOOGLETRANSLATE(B578,""en"",""de"")"),"Erstellen Sie Ihren Gehplan und verfolgen Sie Ihre Fortschritte im Laufe der Zeit.")</f>
        <v>Erstellen Sie Ihren Gehplan und verfolgen Sie Ihre Fortschritte im Laufe der Zeit.</v>
      </c>
      <c r="H578" s="4" t="str">
        <f>IFERROR(__xludf.DUMMYFUNCTION("GOOGLETRANSLATE(B578,""en"",""es"")"),"Establece tu propio programa de caminatas y realiza un seguimiento de tu progreso a lo largo del tiempo.")</f>
        <v>Establece tu propio programa de caminatas y realiza un seguimiento de tu progreso a lo largo del tiempo.</v>
      </c>
      <c r="I578" s="4" t="str">
        <f>IFERROR(__xludf.DUMMYFUNCTION("GOOGLETRANSLATE(B578,""en"",""fr"")"),"Établissez votre programme de marche et suivez vos progrès au fil du temps.")</f>
        <v>Établissez votre programme de marche et suivez vos progrès au fil du temps.</v>
      </c>
      <c r="J578" s="4" t="str">
        <f>IFERROR(__xludf.DUMMYFUNCTION("GOOGLETRANSLATE(B578,""en"",""it"")"),"Imposta il tuo programma di camminata e monitora i tuoi progressi nel tempo.")</f>
        <v>Imposta il tuo programma di camminata e monitora i tuoi progressi nel tempo.</v>
      </c>
      <c r="K578" s="4" t="str">
        <f>IFERROR(__xludf.DUMMYFUNCTION("GOOGLETRANSLATE(B578,""en"",""pt"")"),"Crie sua rotina de caminhadas e acompanhe seu progresso ao longo do tempo.")</f>
        <v>Crie sua rotina de caminhadas e acompanhe seu progresso ao longo do tempo.</v>
      </c>
      <c r="L578" s="4" t="str">
        <f>IFERROR(__xludf.DUMMYFUNCTION("GOOGLETRANSLATE(B578,""en"",""ro"")"),"Configurați-vă programul de mers pe jos și urmăriți-vă progresul în timp.")</f>
        <v>Configurați-vă programul de mers pe jos și urmăriți-vă progresul în timp.</v>
      </c>
      <c r="M578" s="4" t="str">
        <f>IFERROR(__xludf.DUMMYFUNCTION("GOOGLETRANSLATE(B578,""en"",""vi"")"),"Lên lịch đi bộ và theo dõi tiến trình của bạn theo thời gian.")</f>
        <v>Lên lịch đi bộ và theo dõi tiến trình của bạn theo thời gian.</v>
      </c>
      <c r="N578" s="4" t="str">
        <f>IFERROR(__xludf.DUMMYFUNCTION("GOOGLETRANSLATE(B578,""en"",""ru"")"),"Составьте график прогулок и отслеживайте свой прогресс с течением времени.")</f>
        <v>Составьте график прогулок и отслеживайте свой прогресс с течением времени.</v>
      </c>
      <c r="O578" s="4" t="str">
        <f>IFERROR(__xludf.DUMMYFUNCTION("GOOGLETRANSLATE(B578,""en"",""tr"")"),"Yürüyüş programınızı oluşturun ve zaman içindeki ilerlemenizi takip edin.")</f>
        <v>Yürüyüş programınızı oluşturun ve zaman içindeki ilerlemenizi takip edin.</v>
      </c>
      <c r="P578" s="4" t="str">
        <f>IFERROR(__xludf.DUMMYFUNCTION("GOOGLETRANSLATE(B578,""en"",""ar"")"),"قم بإعداد جدول للمشي الخاص بك وتتبع تقدمك بمرور الوقت.")</f>
        <v>قم بإعداد جدول للمشي الخاص بك وتتبع تقدمك بمرور الوقت.</v>
      </c>
      <c r="Q578" s="4" t="str">
        <f>IFERROR(__xludf.DUMMYFUNCTION("GOOGLETRANSLATE(B578,""en"",""mr"")"),"तुमचे चालण्याचे वेळापत्रक सेट करा आणि कालांतराने तुमच्या प्रगतीचा मागोवा घ्या.")</f>
        <v>तुमचे चालण्याचे वेळापत्रक सेट करा आणि कालांतराने तुमच्या प्रगतीचा मागोवा घ्या.</v>
      </c>
      <c r="R578" s="4" t="str">
        <f>IFERROR(__xludf.DUMMYFUNCTION("GOOGLETRANSLATE(B578,""en"",""gu"")"),"તમારું વૉકિંગ શેડ્યૂલ સેટ કરો અને સમય જતાં તમારી પ્રગતિને ટ્રૅક કરો.")</f>
        <v>તમારું વૉકિંગ શેડ્યૂલ સેટ કરો અને સમય જતાં તમારી પ્રગતિને ટ્રૅક કરો.</v>
      </c>
      <c r="S578" s="4" t="str">
        <f>IFERROR(__xludf.DUMMYFUNCTION("GOOGLETRANSLATE(B578,""en"",""bn"")"),"আপনার হাঁটার সময়সূচী সেট আপ করুন এবং সময়ের সাথে আপনার অগ্রগতি ট্র্যাক করুন।")</f>
        <v>আপনার হাঁটার সময়সূচী সেট আপ করুন এবং সময়ের সাথে আপনার অগ্রগতি ট্র্যাক করুন।</v>
      </c>
      <c r="T578" s="4" t="str">
        <f>IFERROR(__xludf.DUMMYFUNCTION("GOOGLETRANSLATE(B578,""en"",""pa"")"),"ਆਪਣੀ ਸੈਰ ਦੀ ਸਮਾਂ-ਸਾਰਣੀ ਸੈਟ ਅਪ ਕਰੋ ਅਤੇ ਸਮੇਂ ਦੇ ਨਾਲ ਆਪਣੀ ਤਰੱਕੀ ਨੂੰ ਟਰੈਕ ਕਰੋ।")</f>
        <v>ਆਪਣੀ ਸੈਰ ਦੀ ਸਮਾਂ-ਸਾਰਣੀ ਸੈਟ ਅਪ ਕਰੋ ਅਤੇ ਸਮੇਂ ਦੇ ਨਾਲ ਆਪਣੀ ਤਰੱਕੀ ਨੂੰ ਟਰੈਕ ਕਰੋ।</v>
      </c>
      <c r="U578" s="4" t="str">
        <f>IFERROR(__xludf.DUMMYFUNCTION("GOOGLETRANSLATE(B578,""en"",""te"")"),"మీ నడక షెడ్యూల్‌ని సెటప్ చేయండి మరియు కాలక్రమేణా మీ పురోగతిని ట్రాక్ చేయండి.")</f>
        <v>మీ నడక షెడ్యూల్‌ని సెటప్ చేయండి మరియు కాలక్రమేణా మీ పురోగతిని ట్రాక్ చేయండి.</v>
      </c>
      <c r="V578" s="4" t="str">
        <f>IFERROR(__xludf.DUMMYFUNCTION("GOOGLETRANSLATE(B578,""en"",""kn"")"),"ನಿಮ್ಮ ವಾಕಿಂಗ್ ವೇಳಾಪಟ್ಟಿಯನ್ನು ಹೊಂದಿಸಿ ಮತ್ತು ಕಾಲಾನಂತರದಲ್ಲಿ ನಿಮ್ಮ ಪ್ರಗತಿಯನ್ನು ಟ್ರ್ಯಾಕ್ ಮಾಡಿ.")</f>
        <v>ನಿಮ್ಮ ವಾಕಿಂಗ್ ವೇಳಾಪಟ್ಟಿಯನ್ನು ಹೊಂದಿಸಿ ಮತ್ತು ಕಾಲಾನಂತರದಲ್ಲಿ ನಿಮ್ಮ ಪ್ರಗತಿಯನ್ನು ಟ್ರ್ಯಾಕ್ ಮಾಡಿ.</v>
      </c>
      <c r="W578" s="4" t="str">
        <f>IFERROR(__xludf.DUMMYFUNCTION("GOOGLETRANSLATE(B578,""en"",""ml"")"),"നിങ്ങളുടെ നടത്ത ഷെഡ്യൂൾ സജ്ജീകരിക്കുകയും കാലക്രമേണ നിങ്ങളുടെ പുരോഗതി ട്രാക്ക് ചെയ്യുകയും ചെയ്യുക.")</f>
        <v>നിങ്ങളുടെ നടത്ത ഷെഡ്യൂൾ സജ്ജീകരിക്കുകയും കാലക്രമേണ നിങ്ങളുടെ പുരോഗതി ട്രാക്ക് ചെയ്യുകയും ചെയ്യുക.</v>
      </c>
      <c r="X578" s="4" t="str">
        <f>IFERROR(__xludf.DUMMYFUNCTION("GOOGLETRANSLATE(B578,""en"",""th"")"),"กำหนดตารางการเดินของคุณและติดตามความคืบหน้าของคุณในแต่ละช่วงเวลา")</f>
        <v>กำหนดตารางการเดินของคุณและติดตามความคืบหน้าของคุณในแต่ละช่วงเวลา</v>
      </c>
      <c r="Y578" s="4" t="str">
        <f>IFERROR(__xludf.DUMMYFUNCTION("GOOGLETRANSLATE(B578,""en"",""ko"")"),"걷기 일정을 설정하고 시간 경과에 따른 진행 상황을 추적하세요.")</f>
        <v>걷기 일정을 설정하고 시간 경과에 따른 진행 상황을 추적하세요.</v>
      </c>
      <c r="Z578" s="4" t="str">
        <f>IFERROR(__xludf.DUMMYFUNCTION("GOOGLETRANSLATE(B578,""en"",""zh"")"),"设置您的步行计划并跟踪您的一段时间内的进度。")</f>
        <v>设置您的步行计划并跟踪您的一段时间内的进度。</v>
      </c>
      <c r="AA578" s="4" t="str">
        <f>IFERROR(__xludf.DUMMYFUNCTION("GOOGLETRANSLATE(B578,""en"",""zh-TW"")"),"設定您的步行計劃並追蹤您的一段時間內的進度。")</f>
        <v>設定您的步行計劃並追蹤您的一段時間內的進度。</v>
      </c>
      <c r="AB578" s="4" t="str">
        <f>IFERROR(__xludf.DUMMYFUNCTION("GOOGLETRANSLATE(B578,""en"",""ja"")"),"ウォーキングスケジュールを設定し、時間の経過に伴う進捗状況を追跡します。")</f>
        <v>ウォーキングスケジュールを設定し、時間の経過に伴う進捗状況を追跡します。</v>
      </c>
      <c r="AC578" s="4" t="str">
        <f>IFERROR(__xludf.DUMMYFUNCTION("GOOGLETRANSLATE(B578,""en"",""bg"")"),"Настройте своя график за ходене и следете напредъка си във времето.")</f>
        <v>Настройте своя график за ходене и следете напредъка си във времето.</v>
      </c>
      <c r="AD578" s="4" t="str">
        <f>IFERROR(__xludf.DUMMYFUNCTION("GOOGLETRANSLATE(B578,""en"",""cs"")"),"Nastavte si plán chůze a sledujte svůj pokrok v průběhu času.")</f>
        <v>Nastavte si plán chůze a sledujte svůj pokrok v průběhu času.</v>
      </c>
      <c r="AE578" s="4" t="str">
        <f>IFERROR(__xludf.DUMMYFUNCTION("GOOGLETRANSLATE(B578,""en"",""da"")"),"Indstil din gangplan og følg dine fremskridt over tid.")</f>
        <v>Indstil din gangplan og følg dine fremskridt over tid.</v>
      </c>
      <c r="AF578" s="4" t="str">
        <f>IFERROR(__xludf.DUMMYFUNCTION("GOOGLETRANSLATE(B578,""en"",""el"")"),"Ρυθμίστε το πρόγραμμα πεζοπορίας σας και παρακολουθήστε την πρόοδό σας με την πάροδο του χρόνου.")</f>
        <v>Ρυθμίστε το πρόγραμμα πεζοπορίας σας και παρακολουθήστε την πρόοδό σας με την πάροδο του χρόνου.</v>
      </c>
      <c r="AG578" s="4" t="str">
        <f>IFERROR(__xludf.DUMMYFUNCTION("GOOGLETRANSLATE(B578,""en"",""et"")"),"Seadistage oma kõndimisgraafik ja jälgige oma edusamme aja jooksul.")</f>
        <v>Seadistage oma kõndimisgraafik ja jälgige oma edusamme aja jooksul.</v>
      </c>
      <c r="AH578" s="4" t="str">
        <f>IFERROR(__xludf.DUMMYFUNCTION("GOOGLETRANSLATE(B578,""en"",""fi"")"),"Määritä kävelyaikataulusi ja seuraa edistymistäsi ajan mittaan.")</f>
        <v>Määritä kävelyaikataulusi ja seuraa edistymistäsi ajan mittaan.</v>
      </c>
      <c r="AI578" s="4" t="str">
        <f>IFERROR(__xludf.DUMMYFUNCTION("GOOGLETRANSLATE(B578,""en"",""hr"")"),"Postavite svoj raspored hodanja i pratite svoj napredak tijekom vremena.")</f>
        <v>Postavite svoj raspored hodanja i pratite svoj napredak tijekom vremena.</v>
      </c>
      <c r="AJ578" s="4" t="str">
        <f>IFERROR(__xludf.DUMMYFUNCTION("GOOGLETRANSLATE(B578,""en"",""hu"")"),"Állítsa be a gyaloglás ütemezését, és kövesse nyomon az előrehaladást az idő múlásával.")</f>
        <v>Állítsa be a gyaloglás ütemezését, és kövesse nyomon az előrehaladást az idő múlásával.</v>
      </c>
      <c r="AK578" s="4" t="str">
        <f>IFERROR(__xludf.DUMMYFUNCTION("GOOGLETRANSLATE(B578,""en"",""hy"")"),"Սահմանեք ձեր քայլելու ժամանակացույցը և հետևեք ձեր առաջընթացին ժամանակի ընթացքում:")</f>
        <v>Սահմանեք ձեր քայլելու ժամանակացույցը և հետևեք ձեր առաջընթացին ժամանակի ընթացքում:</v>
      </c>
      <c r="AL578" s="4" t="str">
        <f>IFERROR(__xludf.DUMMYFUNCTION("GOOGLETRANSLATE(B578,""en"",""ca"")"),"Configureu el vostre horari de caminada i feu un seguiment del vostre progrés al llarg del temps.")</f>
        <v>Configureu el vostre horari de caminada i feu un seguiment del vostre progrés al llarg del temps.</v>
      </c>
      <c r="AM578" s="4" t="str">
        <f>IFERROR(__xludf.DUMMYFUNCTION("GOOGLETRANSLATE(B578,""en"",""nl"")"),"Stel een wandelschema op en volg uw voortgang in de loop van de tijd.")</f>
        <v>Stel een wandelschema op en volg uw voortgang in de loop van de tijd.</v>
      </c>
      <c r="AN578" s="4" t="str">
        <f>IFERROR(__xludf.DUMMYFUNCTION("GOOGLETRANSLATE(B578,""en"",""he"")"),"הגדר את לוח הזמנים שלך להליכה ועקוב אחר ההתקדמות שלך לאורך זמן.")</f>
        <v>הגדר את לוח הזמנים שלך להליכה ועקוב אחר ההתקדמות שלך לאורך זמן.</v>
      </c>
      <c r="AO578" s="4" t="str">
        <f>IFERROR(__xludf.DUMMYFUNCTION("GOOGLETRANSLATE(B578,""en"",""is"")"),"Settu upp gönguáætlun þína og fylgdu framförum þínum með tímanum.")</f>
        <v>Settu upp gönguáætlun þína og fylgdu framförum þínum með tímanum.</v>
      </c>
      <c r="AP578" s="4" t="str">
        <f>IFERROR(__xludf.DUMMYFUNCTION("GOOGLETRANSLATE(B578,""en"",""no"")"),"Sett opp gangplanen din og følg fremgangen din over tid.")</f>
        <v>Sett opp gangplanen din og følg fremgangen din over tid.</v>
      </c>
      <c r="AQ578" s="4" t="str">
        <f>IFERROR(__xludf.DUMMYFUNCTION("GOOGLETRANSLATE(B578,""en"",""fa"")"),"برنامه پیاده روی خود را تنظیم کنید و پیشرفت خود را در طول زمان پیگیری کنید.")</f>
        <v>برنامه پیاده روی خود را تنظیم کنید و پیشرفت خود را در طول زمان پیگیری کنید.</v>
      </c>
      <c r="AR578" s="4" t="str">
        <f>IFERROR(__xludf.DUMMYFUNCTION("GOOGLETRANSLATE(B578,""en"",""pl"")"),"Utwórz swój harmonogram spacerów i śledź swoje postępy na bieżąco.")</f>
        <v>Utwórz swój harmonogram spacerów i śledź swoje postępy na bieżąco.</v>
      </c>
      <c r="AS578" s="4" t="str">
        <f>IFERROR(__xludf.DUMMYFUNCTION("GOOGLETRANSLATE(B578,""en"",""sv"")"),"Ställ in ditt gångschema och följ dina framsteg över tiden.")</f>
        <v>Ställ in ditt gångschema och följ dina framsteg över tiden.</v>
      </c>
      <c r="AT578" s="4" t="str">
        <f>IFERROR(__xludf.DUMMYFUNCTION("GOOGLETRANSLATE(B578,""en"",""uk"")"),"Налаштуйте свій графік ходьби та відстежуйте свій прогрес з часом.")</f>
        <v>Налаштуйте свій графік ходьби та відстежуйте свій прогрес з часом.</v>
      </c>
      <c r="AU578" s="4" t="str">
        <f>IFERROR(__xludf.DUMMYFUNCTION("GOOGLETRANSLATE(B578,""en"",""zu"")"),"Setha ishejuli yakho yokuhamba futhi ulandelele ukuqhubeka kwakho ngokuhamba kwesikhathi.")</f>
        <v>Setha ishejuli yakho yokuhamba futhi ulandelele ukuqhubeka kwakho ngokuhamba kwesikhathi.</v>
      </c>
      <c r="AV578" s="4" t="str">
        <f>IFERROR(__xludf.DUMMYFUNCTION("GOOGLETRANSLATE(B578,""en"",""sr"")"),"Поставите распоред ходања и пратите свој напредак током времена.")</f>
        <v>Поставите распоред ходања и пратите свој напредак током времена.</v>
      </c>
    </row>
    <row r="579">
      <c r="A579" s="3" t="s">
        <v>1108</v>
      </c>
      <c r="B579" s="3" t="s">
        <v>1109</v>
      </c>
      <c r="C579" s="4" t="str">
        <f>IFERROR(__xludf.DUMMYFUNCTION("GOOGLETRANSLATE(B579,""en"",""ta"")"),"செயலில் திட்டம் இல்லை")</f>
        <v>செயலில் திட்டம் இல்லை</v>
      </c>
      <c r="D579" s="4" t="str">
        <f>IFERROR(__xludf.DUMMYFUNCTION("GOOGLETRANSLATE(B579,""en"",""hi"")"),"कोई सक्रिय योजना नहीं")</f>
        <v>कोई सक्रिय योजना नहीं</v>
      </c>
      <c r="E579" s="4" t="str">
        <f>IFERROR(__xludf.DUMMYFUNCTION("GOOGLETRANSLATE(B579,""en"",""id"")"),"Tidak Ada Paket Aktif")</f>
        <v>Tidak Ada Paket Aktif</v>
      </c>
      <c r="F579" s="4" t="str">
        <f>IFERROR(__xludf.DUMMYFUNCTION("GOOGLETRANSLATE(B579,""en"",""ms"")"),"Tiada Pelan Aktif")</f>
        <v>Tiada Pelan Aktif</v>
      </c>
      <c r="G579" s="4" t="str">
        <f>IFERROR(__xludf.DUMMYFUNCTION("GOOGLETRANSLATE(B579,""en"",""de"")"),"Kein aktiver Plan")</f>
        <v>Kein aktiver Plan</v>
      </c>
      <c r="H579" s="4" t="str">
        <f>IFERROR(__xludf.DUMMYFUNCTION("GOOGLETRANSLATE(B579,""en"",""es"")"),"Sin plan activo")</f>
        <v>Sin plan activo</v>
      </c>
      <c r="I579" s="4" t="str">
        <f>IFERROR(__xludf.DUMMYFUNCTION("GOOGLETRANSLATE(B579,""en"",""fr"")"),"Aucun plan actif")</f>
        <v>Aucun plan actif</v>
      </c>
      <c r="J579" s="4" t="str">
        <f>IFERROR(__xludf.DUMMYFUNCTION("GOOGLETRANSLATE(B579,""en"",""it"")"),"Nessun piano attivo")</f>
        <v>Nessun piano attivo</v>
      </c>
      <c r="K579" s="4" t="str">
        <f>IFERROR(__xludf.DUMMYFUNCTION("GOOGLETRANSLATE(B579,""en"",""pt"")"),"Nenhum plano ativo")</f>
        <v>Nenhum plano ativo</v>
      </c>
      <c r="L579" s="4" t="str">
        <f>IFERROR(__xludf.DUMMYFUNCTION("GOOGLETRANSLATE(B579,""en"",""ro"")"),"Fără plan activ")</f>
        <v>Fără plan activ</v>
      </c>
      <c r="M579" s="4" t="str">
        <f>IFERROR(__xludf.DUMMYFUNCTION("GOOGLETRANSLATE(B579,""en"",""vi"")"),"Không có kế hoạch hoạt động")</f>
        <v>Không có kế hoạch hoạt động</v>
      </c>
      <c r="N579" s="4" t="str">
        <f>IFERROR(__xludf.DUMMYFUNCTION("GOOGLETRANSLATE(B579,""en"",""ru"")"),"Нет активного плана")</f>
        <v>Нет активного плана</v>
      </c>
      <c r="O579" s="4" t="str">
        <f>IFERROR(__xludf.DUMMYFUNCTION("GOOGLETRANSLATE(B579,""en"",""tr"")"),"Aktif Plan Yok")</f>
        <v>Aktif Plan Yok</v>
      </c>
      <c r="P579" s="4" t="str">
        <f>IFERROR(__xludf.DUMMYFUNCTION("GOOGLETRANSLATE(B579,""en"",""ar"")"),"لا يوجد خطة نشطة")</f>
        <v>لا يوجد خطة نشطة</v>
      </c>
      <c r="Q579" s="4" t="str">
        <f>IFERROR(__xludf.DUMMYFUNCTION("GOOGLETRANSLATE(B579,""en"",""mr"")"),"सक्रिय योजना नाही")</f>
        <v>सक्रिय योजना नाही</v>
      </c>
      <c r="R579" s="4" t="str">
        <f>IFERROR(__xludf.DUMMYFUNCTION("GOOGLETRANSLATE(B579,""en"",""gu"")"),"કોઈ સક્રિય યોજના નથી")</f>
        <v>કોઈ સક્રિય યોજના નથી</v>
      </c>
      <c r="S579" s="4" t="str">
        <f>IFERROR(__xludf.DUMMYFUNCTION("GOOGLETRANSLATE(B579,""en"",""bn"")"),"কোনো সক্রিয় পরিকল্পনা নেই")</f>
        <v>কোনো সক্রিয় পরিকল্পনা নেই</v>
      </c>
      <c r="T579" s="4" t="str">
        <f>IFERROR(__xludf.DUMMYFUNCTION("GOOGLETRANSLATE(B579,""en"",""pa"")"),"ਕੋਈ ਕਿਰਿਆਸ਼ੀਲ ਯੋਜਨਾ ਨਹੀਂ")</f>
        <v>ਕੋਈ ਕਿਰਿਆਸ਼ੀਲ ਯੋਜਨਾ ਨਹੀਂ</v>
      </c>
      <c r="U579" s="4" t="str">
        <f>IFERROR(__xludf.DUMMYFUNCTION("GOOGLETRANSLATE(B579,""en"",""te"")"),"యాక్టివ్ ప్లాన్ లేదు")</f>
        <v>యాక్టివ్ ప్లాన్ లేదు</v>
      </c>
      <c r="V579" s="4" t="str">
        <f>IFERROR(__xludf.DUMMYFUNCTION("GOOGLETRANSLATE(B579,""en"",""kn"")"),"ಯಾವುದೇ ಸಕ್ರಿಯ ಯೋಜನೆ ಇಲ್ಲ")</f>
        <v>ಯಾವುದೇ ಸಕ್ರಿಯ ಯೋಜನೆ ಇಲ್ಲ</v>
      </c>
      <c r="W579" s="4" t="str">
        <f>IFERROR(__xludf.DUMMYFUNCTION("GOOGLETRANSLATE(B579,""en"",""ml"")"),"സജീവമായ പദ്ധതിയില്ല")</f>
        <v>സജീവമായ പദ്ധതിയില്ല</v>
      </c>
      <c r="X579" s="4" t="str">
        <f>IFERROR(__xludf.DUMMYFUNCTION("GOOGLETRANSLATE(B579,""en"",""th"")"),"ไม่มีแผนงานที่ใช้งานอยู่")</f>
        <v>ไม่มีแผนงานที่ใช้งานอยู่</v>
      </c>
      <c r="Y579" s="4" t="str">
        <f>IFERROR(__xludf.DUMMYFUNCTION("GOOGLETRANSLATE(B579,""en"",""ko"")"),"활성 계획 없음")</f>
        <v>활성 계획 없음</v>
      </c>
      <c r="Z579" s="4" t="str">
        <f>IFERROR(__xludf.DUMMYFUNCTION("GOOGLETRANSLATE(B579,""en"",""zh"")"),"没有有效计划")</f>
        <v>没有有效计划</v>
      </c>
      <c r="AA579" s="4" t="str">
        <f>IFERROR(__xludf.DUMMYFUNCTION("GOOGLETRANSLATE(B579,""en"",""zh-TW"")"),"沒有有效計劃")</f>
        <v>沒有有效計劃</v>
      </c>
      <c r="AB579" s="4" t="str">
        <f>IFERROR(__xludf.DUMMYFUNCTION("GOOGLETRANSLATE(B579,""en"",""ja"")"),"アクティブなプランはありません")</f>
        <v>アクティブなプランはありません</v>
      </c>
      <c r="AC579" s="4" t="str">
        <f>IFERROR(__xludf.DUMMYFUNCTION("GOOGLETRANSLATE(B579,""en"",""bg"")"),"Няма активен план")</f>
        <v>Няма активен план</v>
      </c>
      <c r="AD579" s="4" t="str">
        <f>IFERROR(__xludf.DUMMYFUNCTION("GOOGLETRANSLATE(B579,""en"",""cs"")"),"Žádný aktivní plán")</f>
        <v>Žádný aktivní plán</v>
      </c>
      <c r="AE579" s="4" t="str">
        <f>IFERROR(__xludf.DUMMYFUNCTION("GOOGLETRANSLATE(B579,""en"",""da"")"),"Ingen aktiv plan")</f>
        <v>Ingen aktiv plan</v>
      </c>
      <c r="AF579" s="4" t="str">
        <f>IFERROR(__xludf.DUMMYFUNCTION("GOOGLETRANSLATE(B579,""en"",""el"")"),"Χωρίς ενεργό σχέδιο")</f>
        <v>Χωρίς ενεργό σχέδιο</v>
      </c>
      <c r="AG579" s="4" t="str">
        <f>IFERROR(__xludf.DUMMYFUNCTION("GOOGLETRANSLATE(B579,""en"",""et"")"),"Aktiivne plaan puudub")</f>
        <v>Aktiivne plaan puudub</v>
      </c>
      <c r="AH579" s="4" t="str">
        <f>IFERROR(__xludf.DUMMYFUNCTION("GOOGLETRANSLATE(B579,""en"",""fi"")"),"Ei aktiivista suunnitelmaa")</f>
        <v>Ei aktiivista suunnitelmaa</v>
      </c>
      <c r="AI579" s="4" t="str">
        <f>IFERROR(__xludf.DUMMYFUNCTION("GOOGLETRANSLATE(B579,""en"",""hr"")"),"Nema aktivnog plana")</f>
        <v>Nema aktivnog plana</v>
      </c>
      <c r="AJ579" s="4" t="str">
        <f>IFERROR(__xludf.DUMMYFUNCTION("GOOGLETRANSLATE(B579,""en"",""hu"")"),"Nincs aktív terv")</f>
        <v>Nincs aktív terv</v>
      </c>
      <c r="AK579" s="4" t="str">
        <f>IFERROR(__xludf.DUMMYFUNCTION("GOOGLETRANSLATE(B579,""en"",""hy"")"),"Ակտիվ պլան չկա")</f>
        <v>Ակտիվ պլան չկա</v>
      </c>
      <c r="AL579" s="4" t="str">
        <f>IFERROR(__xludf.DUMMYFUNCTION("GOOGLETRANSLATE(B579,""en"",""ca"")"),"Sense pla actiu")</f>
        <v>Sense pla actiu</v>
      </c>
      <c r="AM579" s="4" t="str">
        <f>IFERROR(__xludf.DUMMYFUNCTION("GOOGLETRANSLATE(B579,""en"",""nl"")"),"Geen actief plan")</f>
        <v>Geen actief plan</v>
      </c>
      <c r="AN579" s="4" t="str">
        <f>IFERROR(__xludf.DUMMYFUNCTION("GOOGLETRANSLATE(B579,""en"",""he"")"),"אין תוכנית פעילה")</f>
        <v>אין תוכנית פעילה</v>
      </c>
      <c r="AO579" s="4" t="str">
        <f>IFERROR(__xludf.DUMMYFUNCTION("GOOGLETRANSLATE(B579,""en"",""is"")"),"Engin virk áætlun")</f>
        <v>Engin virk áætlun</v>
      </c>
      <c r="AP579" s="4" t="str">
        <f>IFERROR(__xludf.DUMMYFUNCTION("GOOGLETRANSLATE(B579,""en"",""no"")"),"Ingen aktiv plan")</f>
        <v>Ingen aktiv plan</v>
      </c>
      <c r="AQ579" s="4" t="str">
        <f>IFERROR(__xludf.DUMMYFUNCTION("GOOGLETRANSLATE(B579,""en"",""fa"")"),"بدون برنامه فعال")</f>
        <v>بدون برنامه فعال</v>
      </c>
      <c r="AR579" s="4" t="str">
        <f>IFERROR(__xludf.DUMMYFUNCTION("GOOGLETRANSLATE(B579,""en"",""pl"")"),"Brak aktywnego planu")</f>
        <v>Brak aktywnego planu</v>
      </c>
      <c r="AS579" s="4" t="str">
        <f>IFERROR(__xludf.DUMMYFUNCTION("GOOGLETRANSLATE(B579,""en"",""sv"")"),"Ingen aktiv plan")</f>
        <v>Ingen aktiv plan</v>
      </c>
      <c r="AT579" s="4" t="str">
        <f>IFERROR(__xludf.DUMMYFUNCTION("GOOGLETRANSLATE(B579,""en"",""uk"")"),"Немає активного плану")</f>
        <v>Немає активного плану</v>
      </c>
      <c r="AU579" s="4" t="str">
        <f>IFERROR(__xludf.DUMMYFUNCTION("GOOGLETRANSLATE(B579,""en"",""zu"")"),"Alukho Uhlelo Olusebenzayo")</f>
        <v>Alukho Uhlelo Olusebenzayo</v>
      </c>
      <c r="AV579" s="4" t="str">
        <f>IFERROR(__xludf.DUMMYFUNCTION("GOOGLETRANSLATE(B579,""en"",""sr"")"),"Нема активног плана")</f>
        <v>Нема активног плана</v>
      </c>
    </row>
    <row r="580">
      <c r="A580" s="3" t="s">
        <v>1110</v>
      </c>
      <c r="B580" s="3" t="s">
        <v>1111</v>
      </c>
      <c r="C580" s="4" t="str">
        <f>IFERROR(__xludf.DUMMYFUNCTION("GOOGLETRANSLATE(B580,""en"",""ta"")"),"திட்டத்தை அமைக்கவும்")</f>
        <v>திட்டத்தை அமைக்கவும்</v>
      </c>
      <c r="D580" s="4" t="str">
        <f>IFERROR(__xludf.DUMMYFUNCTION("GOOGLETRANSLATE(B580,""en"",""hi"")"),"योजना निर्धारित करें")</f>
        <v>योजना निर्धारित करें</v>
      </c>
      <c r="E580" s="4" t="str">
        <f>IFERROR(__xludf.DUMMYFUNCTION("GOOGLETRANSLATE(B580,""en"",""id"")"),"Tetapkan Rencana")</f>
        <v>Tetapkan Rencana</v>
      </c>
      <c r="F580" s="4" t="str">
        <f>IFERROR(__xludf.DUMMYFUNCTION("GOOGLETRANSLATE(B580,""en"",""ms"")"),"Tetapkan Rancangan")</f>
        <v>Tetapkan Rancangan</v>
      </c>
      <c r="G580" s="4" t="str">
        <f>IFERROR(__xludf.DUMMYFUNCTION("GOOGLETRANSLATE(B580,""en"",""de"")"),"Plan festlegen")</f>
        <v>Plan festlegen</v>
      </c>
      <c r="H580" s="4" t="str">
        <f>IFERROR(__xludf.DUMMYFUNCTION("GOOGLETRANSLATE(B580,""en"",""es"")"),"Plan establecido")</f>
        <v>Plan establecido</v>
      </c>
      <c r="I580" s="4" t="str">
        <f>IFERROR(__xludf.DUMMYFUNCTION("GOOGLETRANSLATE(B580,""en"",""fr"")"),"Définir le plan")</f>
        <v>Définir le plan</v>
      </c>
      <c r="J580" s="4" t="str">
        <f>IFERROR(__xludf.DUMMYFUNCTION("GOOGLETRANSLATE(B580,""en"",""it"")"),"Imposta piano")</f>
        <v>Imposta piano</v>
      </c>
      <c r="K580" s="4" t="str">
        <f>IFERROR(__xludf.DUMMYFUNCTION("GOOGLETRANSLATE(B580,""en"",""pt"")"),"Definir plano")</f>
        <v>Definir plano</v>
      </c>
      <c r="L580" s="4" t="str">
        <f>IFERROR(__xludf.DUMMYFUNCTION("GOOGLETRANSLATE(B580,""en"",""ro"")"),"Stabiliți planul")</f>
        <v>Stabiliți planul</v>
      </c>
      <c r="M580" s="4" t="str">
        <f>IFERROR(__xludf.DUMMYFUNCTION("GOOGLETRANSLATE(B580,""en"",""vi"")"),"Thiết lập kế hoạch")</f>
        <v>Thiết lập kế hoạch</v>
      </c>
      <c r="N580" s="4" t="str">
        <f>IFERROR(__xludf.DUMMYFUNCTION("GOOGLETRANSLATE(B580,""en"",""ru"")"),"Установить план")</f>
        <v>Установить план</v>
      </c>
      <c r="O580" s="4" t="str">
        <f>IFERROR(__xludf.DUMMYFUNCTION("GOOGLETRANSLATE(B580,""en"",""tr"")"),"Plan Belirle")</f>
        <v>Plan Belirle</v>
      </c>
      <c r="P580" s="4" t="str">
        <f>IFERROR(__xludf.DUMMYFUNCTION("GOOGLETRANSLATE(B580,""en"",""ar"")"),"وضع خطة")</f>
        <v>وضع خطة</v>
      </c>
      <c r="Q580" s="4" t="str">
        <f>IFERROR(__xludf.DUMMYFUNCTION("GOOGLETRANSLATE(B580,""en"",""mr"")"),"योजना सेट करा")</f>
        <v>योजना सेट करा</v>
      </c>
      <c r="R580" s="4" t="str">
        <f>IFERROR(__xludf.DUMMYFUNCTION("GOOGLETRANSLATE(B580,""en"",""gu"")"),"પ્લાન સેટ કરો")</f>
        <v>પ્લાન સેટ કરો</v>
      </c>
      <c r="S580" s="4" t="str">
        <f>IFERROR(__xludf.DUMMYFUNCTION("GOOGLETRANSLATE(B580,""en"",""bn"")"),"পরিকল্পনা সেট করুন")</f>
        <v>পরিকল্পনা সেট করুন</v>
      </c>
      <c r="T580" s="4" t="str">
        <f>IFERROR(__xludf.DUMMYFUNCTION("GOOGLETRANSLATE(B580,""en"",""pa"")"),"ਯੋਜਨਾ ਸੈਟ ਕਰੋ")</f>
        <v>ਯੋਜਨਾ ਸੈਟ ਕਰੋ</v>
      </c>
      <c r="U580" s="4" t="str">
        <f>IFERROR(__xludf.DUMMYFUNCTION("GOOGLETRANSLATE(B580,""en"",""te"")"),"ప్రణాళికను సెట్ చేయండి")</f>
        <v>ప్రణాళికను సెట్ చేయండి</v>
      </c>
      <c r="V580" s="4" t="str">
        <f>IFERROR(__xludf.DUMMYFUNCTION("GOOGLETRANSLATE(B580,""en"",""kn"")"),"ಯೋಜನೆಯನ್ನು ಹೊಂದಿಸಿ")</f>
        <v>ಯೋಜನೆಯನ್ನು ಹೊಂದಿಸಿ</v>
      </c>
      <c r="W580" s="4" t="str">
        <f>IFERROR(__xludf.DUMMYFUNCTION("GOOGLETRANSLATE(B580,""en"",""ml"")"),"പ്ലാൻ സജ്ജമാക്കുക")</f>
        <v>പ്ലാൻ സജ്ജമാക്കുക</v>
      </c>
      <c r="X580" s="4" t="str">
        <f>IFERROR(__xludf.DUMMYFUNCTION("GOOGLETRANSLATE(B580,""en"",""th"")"),"กำหนดแผน")</f>
        <v>กำหนดแผน</v>
      </c>
      <c r="Y580" s="4" t="str">
        <f>IFERROR(__xludf.DUMMYFUNCTION("GOOGLETRANSLATE(B580,""en"",""ko"")"),"계획 세우기")</f>
        <v>계획 세우기</v>
      </c>
      <c r="Z580" s="4" t="str">
        <f>IFERROR(__xludf.DUMMYFUNCTION("GOOGLETRANSLATE(B580,""en"",""zh"")"),"设置计划")</f>
        <v>设置计划</v>
      </c>
      <c r="AA580" s="4" t="str">
        <f>IFERROR(__xludf.DUMMYFUNCTION("GOOGLETRANSLATE(B580,""en"",""zh-TW"")"),"設定計劃")</f>
        <v>設定計劃</v>
      </c>
      <c r="AB580" s="4" t="str">
        <f>IFERROR(__xludf.DUMMYFUNCTION("GOOGLETRANSLATE(B580,""en"",""ja"")"),"計画を立てる")</f>
        <v>計画を立てる</v>
      </c>
      <c r="AC580" s="4" t="str">
        <f>IFERROR(__xludf.DUMMYFUNCTION("GOOGLETRANSLATE(B580,""en"",""bg"")"),"Задаване на план")</f>
        <v>Задаване на план</v>
      </c>
      <c r="AD580" s="4" t="str">
        <f>IFERROR(__xludf.DUMMYFUNCTION("GOOGLETRANSLATE(B580,""en"",""cs"")"),"Nastavit plán")</f>
        <v>Nastavit plán</v>
      </c>
      <c r="AE580" s="4" t="str">
        <f>IFERROR(__xludf.DUMMYFUNCTION("GOOGLETRANSLATE(B580,""en"",""da"")"),"Sæt plan")</f>
        <v>Sæt plan</v>
      </c>
      <c r="AF580" s="4" t="str">
        <f>IFERROR(__xludf.DUMMYFUNCTION("GOOGLETRANSLATE(B580,""en"",""el"")"),"Ορισμός σχεδίου")</f>
        <v>Ορισμός σχεδίου</v>
      </c>
      <c r="AG580" s="4" t="str">
        <f>IFERROR(__xludf.DUMMYFUNCTION("GOOGLETRANSLATE(B580,""en"",""et"")"),"Määra plaan")</f>
        <v>Määra plaan</v>
      </c>
      <c r="AH580" s="4" t="str">
        <f>IFERROR(__xludf.DUMMYFUNCTION("GOOGLETRANSLATE(B580,""en"",""fi"")"),"Aseta suunnitelma")</f>
        <v>Aseta suunnitelma</v>
      </c>
      <c r="AI580" s="4" t="str">
        <f>IFERROR(__xludf.DUMMYFUNCTION("GOOGLETRANSLATE(B580,""en"",""hr"")"),"Postavite plan")</f>
        <v>Postavite plan</v>
      </c>
      <c r="AJ580" s="4" t="str">
        <f>IFERROR(__xludf.DUMMYFUNCTION("GOOGLETRANSLATE(B580,""en"",""hu"")"),"Terv beállítása")</f>
        <v>Terv beállítása</v>
      </c>
      <c r="AK580" s="4" t="str">
        <f>IFERROR(__xludf.DUMMYFUNCTION("GOOGLETRANSLATE(B580,""en"",""hy"")"),"Սահմանել պլանը")</f>
        <v>Սահմանել պլանը</v>
      </c>
      <c r="AL580" s="4" t="str">
        <f>IFERROR(__xludf.DUMMYFUNCTION("GOOGLETRANSLATE(B580,""en"",""ca"")"),"Establir Pla")</f>
        <v>Establir Pla</v>
      </c>
      <c r="AM580" s="4" t="str">
        <f>IFERROR(__xludf.DUMMYFUNCTION("GOOGLETRANSLATE(B580,""en"",""nl"")"),"Plan instellen")</f>
        <v>Plan instellen</v>
      </c>
      <c r="AN580" s="4" t="str">
        <f>IFERROR(__xludf.DUMMYFUNCTION("GOOGLETRANSLATE(B580,""en"",""he"")"),"קבע תוכנית")</f>
        <v>קבע תוכנית</v>
      </c>
      <c r="AO580" s="4" t="str">
        <f>IFERROR(__xludf.DUMMYFUNCTION("GOOGLETRANSLATE(B580,""en"",""is"")"),"Setja áætlun")</f>
        <v>Setja áætlun</v>
      </c>
      <c r="AP580" s="4" t="str">
        <f>IFERROR(__xludf.DUMMYFUNCTION("GOOGLETRANSLATE(B580,""en"",""no"")"),"Sett plan")</f>
        <v>Sett plan</v>
      </c>
      <c r="AQ580" s="4" t="str">
        <f>IFERROR(__xludf.DUMMYFUNCTION("GOOGLETRANSLATE(B580,""en"",""fa"")"),"برنامه را تنظیم کنید")</f>
        <v>برنامه را تنظیم کنید</v>
      </c>
      <c r="AR580" s="4" t="str">
        <f>IFERROR(__xludf.DUMMYFUNCTION("GOOGLETRANSLATE(B580,""en"",""pl"")"),"Ustaw plan")</f>
        <v>Ustaw plan</v>
      </c>
      <c r="AS580" s="4" t="str">
        <f>IFERROR(__xludf.DUMMYFUNCTION("GOOGLETRANSLATE(B580,""en"",""sv"")"),"Sätt plan")</f>
        <v>Sätt plan</v>
      </c>
      <c r="AT580" s="4" t="str">
        <f>IFERROR(__xludf.DUMMYFUNCTION("GOOGLETRANSLATE(B580,""en"",""uk"")"),"Встановити план")</f>
        <v>Встановити план</v>
      </c>
      <c r="AU580" s="4" t="str">
        <f>IFERROR(__xludf.DUMMYFUNCTION("GOOGLETRANSLATE(B580,""en"",""zu"")"),"Setha Uhlelo")</f>
        <v>Setha Uhlelo</v>
      </c>
      <c r="AV580" s="4" t="str">
        <f>IFERROR(__xludf.DUMMYFUNCTION("GOOGLETRANSLATE(B580,""en"",""sr"")"),"Сет План")</f>
        <v>Сет План</v>
      </c>
    </row>
    <row r="581">
      <c r="A581" s="3" t="s">
        <v>1112</v>
      </c>
      <c r="B581" s="3" t="s">
        <v>1113</v>
      </c>
      <c r="C581" s="4" t="str">
        <f>IFERROR(__xludf.DUMMYFUNCTION("GOOGLETRANSLATE(B581,""en"",""ta"")"),"இன்றைய படிகள்")</f>
        <v>இன்றைய படிகள்</v>
      </c>
      <c r="D581" s="4" t="str">
        <f>IFERROR(__xludf.DUMMYFUNCTION("GOOGLETRANSLATE(B581,""en"",""hi"")"),"आज के कदम")</f>
        <v>आज के कदम</v>
      </c>
      <c r="E581" s="4" t="str">
        <f>IFERROR(__xludf.DUMMYFUNCTION("GOOGLETRANSLATE(B581,""en"",""id"")"),"Langkah Hari Ini")</f>
        <v>Langkah Hari Ini</v>
      </c>
      <c r="F581" s="4" t="str">
        <f>IFERROR(__xludf.DUMMYFUNCTION("GOOGLETRANSLATE(B581,""en"",""ms"")"),"Langkah Hari Ini")</f>
        <v>Langkah Hari Ini</v>
      </c>
      <c r="G581" s="4" t="str">
        <f>IFERROR(__xludf.DUMMYFUNCTION("GOOGLETRANSLATE(B581,""en"",""de"")"),"Heutige Schritte")</f>
        <v>Heutige Schritte</v>
      </c>
      <c r="H581" s="4" t="str">
        <f>IFERROR(__xludf.DUMMYFUNCTION("GOOGLETRANSLATE(B581,""en"",""es"")"),"Los pasos de hoy")</f>
        <v>Los pasos de hoy</v>
      </c>
      <c r="I581" s="4" t="str">
        <f>IFERROR(__xludf.DUMMYFUNCTION("GOOGLETRANSLATE(B581,""en"",""fr"")"),"Étapes d'aujourd'hui")</f>
        <v>Étapes d'aujourd'hui</v>
      </c>
      <c r="J581" s="4" t="str">
        <f>IFERROR(__xludf.DUMMYFUNCTION("GOOGLETRANSLATE(B581,""en"",""it"")"),"I passi di oggi")</f>
        <v>I passi di oggi</v>
      </c>
      <c r="K581" s="4" t="str">
        <f>IFERROR(__xludf.DUMMYFUNCTION("GOOGLETRANSLATE(B581,""en"",""pt"")"),"Passos de hoje")</f>
        <v>Passos de hoje</v>
      </c>
      <c r="L581" s="4" t="str">
        <f>IFERROR(__xludf.DUMMYFUNCTION("GOOGLETRANSLATE(B581,""en"",""ro"")"),"Pașii de azi")</f>
        <v>Pașii de azi</v>
      </c>
      <c r="M581" s="4" t="str">
        <f>IFERROR(__xludf.DUMMYFUNCTION("GOOGLETRANSLATE(B581,""en"",""vi"")"),"Các bước đi hôm nay")</f>
        <v>Các bước đi hôm nay</v>
      </c>
      <c r="N581" s="4" t="str">
        <f>IFERROR(__xludf.DUMMYFUNCTION("GOOGLETRANSLATE(B581,""en"",""ru"")"),"Сегодняшние шаги")</f>
        <v>Сегодняшние шаги</v>
      </c>
      <c r="O581" s="4" t="str">
        <f>IFERROR(__xludf.DUMMYFUNCTION("GOOGLETRANSLATE(B581,""en"",""tr"")"),"Bugünün Adımları")</f>
        <v>Bugünün Adımları</v>
      </c>
      <c r="P581" s="4" t="str">
        <f>IFERROR(__xludf.DUMMYFUNCTION("GOOGLETRANSLATE(B581,""en"",""ar"")"),"خطوات اليوم")</f>
        <v>خطوات اليوم</v>
      </c>
      <c r="Q581" s="4" t="str">
        <f>IFERROR(__xludf.DUMMYFUNCTION("GOOGLETRANSLATE(B581,""en"",""mr"")"),"आजची पायरी")</f>
        <v>आजची पायरी</v>
      </c>
      <c r="R581" s="4" t="str">
        <f>IFERROR(__xludf.DUMMYFUNCTION("GOOGLETRANSLATE(B581,""en"",""gu"")"),"આજના પગલાં")</f>
        <v>આજના પગલાં</v>
      </c>
      <c r="S581" s="4" t="str">
        <f>IFERROR(__xludf.DUMMYFUNCTION("GOOGLETRANSLATE(B581,""en"",""bn"")"),"আজকের পদক্ষেপ")</f>
        <v>আজকের পদক্ষেপ</v>
      </c>
      <c r="T581" s="4" t="str">
        <f>IFERROR(__xludf.DUMMYFUNCTION("GOOGLETRANSLATE(B581,""en"",""pa"")"),"ਅੱਜ ਦੇ ਕਦਮ")</f>
        <v>ਅੱਜ ਦੇ ਕਦਮ</v>
      </c>
      <c r="U581" s="4" t="str">
        <f>IFERROR(__xludf.DUMMYFUNCTION("GOOGLETRANSLATE(B581,""en"",""te"")"),"నేటి దశలు")</f>
        <v>నేటి దశలు</v>
      </c>
      <c r="V581" s="4" t="str">
        <f>IFERROR(__xludf.DUMMYFUNCTION("GOOGLETRANSLATE(B581,""en"",""kn"")"),"ಇಂದಿನ ಹಂತಗಳು")</f>
        <v>ಇಂದಿನ ಹಂತಗಳು</v>
      </c>
      <c r="W581" s="4" t="str">
        <f>IFERROR(__xludf.DUMMYFUNCTION("GOOGLETRANSLATE(B581,""en"",""ml"")"),"ഇന്നത്തെ പടികൾ")</f>
        <v>ഇന്നത്തെ പടികൾ</v>
      </c>
      <c r="X581" s="4" t="str">
        <f>IFERROR(__xludf.DUMMYFUNCTION("GOOGLETRANSLATE(B581,""en"",""th"")"),"ก้าวแห่งวันนี้")</f>
        <v>ก้าวแห่งวันนี้</v>
      </c>
      <c r="Y581" s="4" t="str">
        <f>IFERROR(__xludf.DUMMYFUNCTION("GOOGLETRANSLATE(B581,""en"",""ko"")"),"오늘의 걸음")</f>
        <v>오늘의 걸음</v>
      </c>
      <c r="Z581" s="4" t="str">
        <f>IFERROR(__xludf.DUMMYFUNCTION("GOOGLETRANSLATE(B581,""en"",""zh"")"),"今日步数")</f>
        <v>今日步数</v>
      </c>
      <c r="AA581" s="4" t="str">
        <f>IFERROR(__xludf.DUMMYFUNCTION("GOOGLETRANSLATE(B581,""en"",""zh-TW"")"),"今日步數")</f>
        <v>今日步數</v>
      </c>
      <c r="AB581" s="4" t="str">
        <f>IFERROR(__xludf.DUMMYFUNCTION("GOOGLETRANSLATE(B581,""en"",""ja"")"),"今日のステップ")</f>
        <v>今日のステップ</v>
      </c>
      <c r="AC581" s="4" t="str">
        <f>IFERROR(__xludf.DUMMYFUNCTION("GOOGLETRANSLATE(B581,""en"",""bg"")"),"Днешните стъпки")</f>
        <v>Днешните стъпки</v>
      </c>
      <c r="AD581" s="4" t="str">
        <f>IFERROR(__xludf.DUMMYFUNCTION("GOOGLETRANSLATE(B581,""en"",""cs"")"),"Dnešní kroky")</f>
        <v>Dnešní kroky</v>
      </c>
      <c r="AE581" s="4" t="str">
        <f>IFERROR(__xludf.DUMMYFUNCTION("GOOGLETRANSLATE(B581,""en"",""da"")"),"Dagens skridt")</f>
        <v>Dagens skridt</v>
      </c>
      <c r="AF581" s="4" t="str">
        <f>IFERROR(__xludf.DUMMYFUNCTION("GOOGLETRANSLATE(B581,""en"",""el"")"),"Τα σημερινά βήματα")</f>
        <v>Τα σημερινά βήματα</v>
      </c>
      <c r="AG581" s="4" t="str">
        <f>IFERROR(__xludf.DUMMYFUNCTION("GOOGLETRANSLATE(B581,""en"",""et"")"),"Tänased sammud")</f>
        <v>Tänased sammud</v>
      </c>
      <c r="AH581" s="4" t="str">
        <f>IFERROR(__xludf.DUMMYFUNCTION("GOOGLETRANSLATE(B581,""en"",""fi"")"),"Tämän päivän askeleet")</f>
        <v>Tämän päivän askeleet</v>
      </c>
      <c r="AI581" s="4" t="str">
        <f>IFERROR(__xludf.DUMMYFUNCTION("GOOGLETRANSLATE(B581,""en"",""hr"")"),"Današnji koraci")</f>
        <v>Današnji koraci</v>
      </c>
      <c r="AJ581" s="4" t="str">
        <f>IFERROR(__xludf.DUMMYFUNCTION("GOOGLETRANSLATE(B581,""en"",""hu"")"),"A mai lépések")</f>
        <v>A mai lépések</v>
      </c>
      <c r="AK581" s="4" t="str">
        <f>IFERROR(__xludf.DUMMYFUNCTION("GOOGLETRANSLATE(B581,""en"",""hy"")"),"Այսօրվա քայլերը")</f>
        <v>Այսօրվա քայլերը</v>
      </c>
      <c r="AL581" s="4" t="str">
        <f>IFERROR(__xludf.DUMMYFUNCTION("GOOGLETRANSLATE(B581,""en"",""ca"")"),"Passos d'avui")</f>
        <v>Passos d'avui</v>
      </c>
      <c r="AM581" s="4" t="str">
        <f>IFERROR(__xludf.DUMMYFUNCTION("GOOGLETRANSLATE(B581,""en"",""nl"")"),"De stappen van vandaag")</f>
        <v>De stappen van vandaag</v>
      </c>
      <c r="AN581" s="4" t="str">
        <f>IFERROR(__xludf.DUMMYFUNCTION("GOOGLETRANSLATE(B581,""en"",""he"")"),"השלבים של היום")</f>
        <v>השלבים של היום</v>
      </c>
      <c r="AO581" s="4" t="str">
        <f>IFERROR(__xludf.DUMMYFUNCTION("GOOGLETRANSLATE(B581,""en"",""is"")"),"Skref dagsins")</f>
        <v>Skref dagsins</v>
      </c>
      <c r="AP581" s="4" t="str">
        <f>IFERROR(__xludf.DUMMYFUNCTION("GOOGLETRANSLATE(B581,""en"",""no"")"),"Dagens trinn")</f>
        <v>Dagens trinn</v>
      </c>
      <c r="AQ581" s="4" t="str">
        <f>IFERROR(__xludf.DUMMYFUNCTION("GOOGLETRANSLATE(B581,""en"",""fa"")"),"مراحل امروز")</f>
        <v>مراحل امروز</v>
      </c>
      <c r="AR581" s="4" t="str">
        <f>IFERROR(__xludf.DUMMYFUNCTION("GOOGLETRANSLATE(B581,""en"",""pl"")"),"Dzisiejsze kroki")</f>
        <v>Dzisiejsze kroki</v>
      </c>
      <c r="AS581" s="4" t="str">
        <f>IFERROR(__xludf.DUMMYFUNCTION("GOOGLETRANSLATE(B581,""en"",""sv"")"),"Dagens steg")</f>
        <v>Dagens steg</v>
      </c>
      <c r="AT581" s="4" t="str">
        <f>IFERROR(__xludf.DUMMYFUNCTION("GOOGLETRANSLATE(B581,""en"",""uk"")"),"Сьогоднішні кроки")</f>
        <v>Сьогоднішні кроки</v>
      </c>
      <c r="AU581" s="4" t="str">
        <f>IFERROR(__xludf.DUMMYFUNCTION("GOOGLETRANSLATE(B581,""en"",""zu"")"),"Izinyathelo Zanamuhla")</f>
        <v>Izinyathelo Zanamuhla</v>
      </c>
      <c r="AV581" s="4" t="str">
        <f>IFERROR(__xludf.DUMMYFUNCTION("GOOGLETRANSLATE(B581,""en"",""sr"")"),"Данашњи кораци")</f>
        <v>Данашњи кораци</v>
      </c>
    </row>
    <row r="582">
      <c r="A582" s="3" t="s">
        <v>1114</v>
      </c>
      <c r="B582" s="3" t="s">
        <v>1032</v>
      </c>
      <c r="C582" s="4" t="str">
        <f>IFERROR(__xludf.DUMMYFUNCTION("GOOGLETRANSLATE(B582,""en"",""ta"")"),"தினசரி இலக்கு")</f>
        <v>தினசரி இலக்கு</v>
      </c>
      <c r="D582" s="4" t="str">
        <f>IFERROR(__xludf.DUMMYFUNCTION("GOOGLETRANSLATE(B582,""en"",""hi"")"),"दैनिक लक्ष्य")</f>
        <v>दैनिक लक्ष्य</v>
      </c>
      <c r="E582" s="4" t="str">
        <f>IFERROR(__xludf.DUMMYFUNCTION("GOOGLETRANSLATE(B582,""en"",""id"")"),"Tujuan Harian")</f>
        <v>Tujuan Harian</v>
      </c>
      <c r="F582" s="4" t="str">
        <f>IFERROR(__xludf.DUMMYFUNCTION("GOOGLETRANSLATE(B582,""en"",""ms"")"),"Matlamat Harian")</f>
        <v>Matlamat Harian</v>
      </c>
      <c r="G582" s="4" t="str">
        <f>IFERROR(__xludf.DUMMYFUNCTION("GOOGLETRANSLATE(B582,""en"",""de"")"),"Tagesziel")</f>
        <v>Tagesziel</v>
      </c>
      <c r="H582" s="4" t="str">
        <f>IFERROR(__xludf.DUMMYFUNCTION("GOOGLETRANSLATE(B582,""en"",""es"")"),"Objetivo diario")</f>
        <v>Objetivo diario</v>
      </c>
      <c r="I582" s="4" t="str">
        <f>IFERROR(__xludf.DUMMYFUNCTION("GOOGLETRANSLATE(B582,""en"",""fr"")"),"Objectif quotidien")</f>
        <v>Objectif quotidien</v>
      </c>
      <c r="J582" s="4" t="str">
        <f>IFERROR(__xludf.DUMMYFUNCTION("GOOGLETRANSLATE(B582,""en"",""it"")"),"Obiettivo giornaliero")</f>
        <v>Obiettivo giornaliero</v>
      </c>
      <c r="K582" s="4" t="str">
        <f>IFERROR(__xludf.DUMMYFUNCTION("GOOGLETRANSLATE(B582,""en"",""pt"")"),"Meta diária")</f>
        <v>Meta diária</v>
      </c>
      <c r="L582" s="4" t="str">
        <f>IFERROR(__xludf.DUMMYFUNCTION("GOOGLETRANSLATE(B582,""en"",""ro"")"),"Obiectivul zilnic")</f>
        <v>Obiectivul zilnic</v>
      </c>
      <c r="M582" s="4" t="str">
        <f>IFERROR(__xludf.DUMMYFUNCTION("GOOGLETRANSLATE(B582,""en"",""vi"")"),"Mục tiêu hằng ngày")</f>
        <v>Mục tiêu hằng ngày</v>
      </c>
      <c r="N582" s="4" t="str">
        <f>IFERROR(__xludf.DUMMYFUNCTION("GOOGLETRANSLATE(B582,""en"",""ru"")"),"Ежедневная цель")</f>
        <v>Ежедневная цель</v>
      </c>
      <c r="O582" s="4" t="str">
        <f>IFERROR(__xludf.DUMMYFUNCTION("GOOGLETRANSLATE(B582,""en"",""tr"")"),"Günlük Hedef")</f>
        <v>Günlük Hedef</v>
      </c>
      <c r="P582" s="4" t="str">
        <f>IFERROR(__xludf.DUMMYFUNCTION("GOOGLETRANSLATE(B582,""en"",""ar"")"),"الهدف اليومي")</f>
        <v>الهدف اليومي</v>
      </c>
      <c r="Q582" s="4" t="str">
        <f>IFERROR(__xludf.DUMMYFUNCTION("GOOGLETRANSLATE(B582,""en"",""mr"")"),"दैनिक ध्येय")</f>
        <v>दैनिक ध्येय</v>
      </c>
      <c r="R582" s="4" t="str">
        <f>IFERROR(__xludf.DUMMYFUNCTION("GOOGLETRANSLATE(B582,""en"",""gu"")"),"દૈનિક ધ્યેય")</f>
        <v>દૈનિક ધ્યેય</v>
      </c>
      <c r="S582" s="4" t="str">
        <f>IFERROR(__xludf.DUMMYFUNCTION("GOOGLETRANSLATE(B582,""en"",""bn"")"),"দৈনিক লক্ষ্য")</f>
        <v>দৈনিক লক্ষ্য</v>
      </c>
      <c r="T582" s="4" t="str">
        <f>IFERROR(__xludf.DUMMYFUNCTION("GOOGLETRANSLATE(B582,""en"",""pa"")"),"ਰੋਜ਼ਾਨਾ ਟੀਚਾ")</f>
        <v>ਰੋਜ਼ਾਨਾ ਟੀਚਾ</v>
      </c>
      <c r="U582" s="4" t="str">
        <f>IFERROR(__xludf.DUMMYFUNCTION("GOOGLETRANSLATE(B582,""en"",""te"")"),"రోజువారీ లక్ష్యం")</f>
        <v>రోజువారీ లక్ష్యం</v>
      </c>
      <c r="V582" s="4" t="str">
        <f>IFERROR(__xludf.DUMMYFUNCTION("GOOGLETRANSLATE(B582,""en"",""kn"")"),"ದೈನಂದಿನ ಗುರಿ")</f>
        <v>ದೈನಂದಿನ ಗುರಿ</v>
      </c>
      <c r="W582" s="4" t="str">
        <f>IFERROR(__xludf.DUMMYFUNCTION("GOOGLETRANSLATE(B582,""en"",""ml"")"),"പ്രതിദിന ലക്ഷ്യം")</f>
        <v>പ്രതിദിന ലക്ഷ്യം</v>
      </c>
      <c r="X582" s="4" t="str">
        <f>IFERROR(__xludf.DUMMYFUNCTION("GOOGLETRANSLATE(B582,""en"",""th"")"),"เป้าหมายรายวัน")</f>
        <v>เป้าหมายรายวัน</v>
      </c>
      <c r="Y582" s="4" t="str">
        <f>IFERROR(__xludf.DUMMYFUNCTION("GOOGLETRANSLATE(B582,""en"",""ko"")"),"일일 목표")</f>
        <v>일일 목표</v>
      </c>
      <c r="Z582" s="4" t="str">
        <f>IFERROR(__xludf.DUMMYFUNCTION("GOOGLETRANSLATE(B582,""en"",""zh"")"),"每日目标")</f>
        <v>每日目标</v>
      </c>
      <c r="AA582" s="4" t="str">
        <f>IFERROR(__xludf.DUMMYFUNCTION("GOOGLETRANSLATE(B582,""en"",""zh-TW"")"),"每日目標")</f>
        <v>每日目標</v>
      </c>
      <c r="AB582" s="4" t="str">
        <f>IFERROR(__xludf.DUMMYFUNCTION("GOOGLETRANSLATE(B582,""en"",""ja"")"),"毎日の目標")</f>
        <v>毎日の目標</v>
      </c>
      <c r="AC582" s="4" t="str">
        <f>IFERROR(__xludf.DUMMYFUNCTION("GOOGLETRANSLATE(B582,""en"",""bg"")"),"Дневна цел")</f>
        <v>Дневна цел</v>
      </c>
      <c r="AD582" s="4" t="str">
        <f>IFERROR(__xludf.DUMMYFUNCTION("GOOGLETRANSLATE(B582,""en"",""cs"")"),"Denní cíl")</f>
        <v>Denní cíl</v>
      </c>
      <c r="AE582" s="4" t="str">
        <f>IFERROR(__xludf.DUMMYFUNCTION("GOOGLETRANSLATE(B582,""en"",""da"")"),"Dagligt mål")</f>
        <v>Dagligt mål</v>
      </c>
      <c r="AF582" s="4" t="str">
        <f>IFERROR(__xludf.DUMMYFUNCTION("GOOGLETRANSLATE(B582,""en"",""el"")"),"Καθημερινός στόχος")</f>
        <v>Καθημερινός στόχος</v>
      </c>
      <c r="AG582" s="4" t="str">
        <f>IFERROR(__xludf.DUMMYFUNCTION("GOOGLETRANSLATE(B582,""en"",""et"")"),"Päevane eesmärk")</f>
        <v>Päevane eesmärk</v>
      </c>
      <c r="AH582" s="4" t="str">
        <f>IFERROR(__xludf.DUMMYFUNCTION("GOOGLETRANSLATE(B582,""en"",""fi"")"),"Päivittäinen tavoite")</f>
        <v>Päivittäinen tavoite</v>
      </c>
      <c r="AI582" s="4" t="str">
        <f>IFERROR(__xludf.DUMMYFUNCTION("GOOGLETRANSLATE(B582,""en"",""hr"")"),"Dnevni cilj")</f>
        <v>Dnevni cilj</v>
      </c>
      <c r="AJ582" s="4" t="str">
        <f>IFERROR(__xludf.DUMMYFUNCTION("GOOGLETRANSLATE(B582,""en"",""hu"")"),"Napi cél")</f>
        <v>Napi cél</v>
      </c>
      <c r="AK582" s="4" t="str">
        <f>IFERROR(__xludf.DUMMYFUNCTION("GOOGLETRANSLATE(B582,""en"",""hy"")"),"Ամենօրյա գոլ")</f>
        <v>Ամենօրյա գոլ</v>
      </c>
      <c r="AL582" s="4" t="str">
        <f>IFERROR(__xludf.DUMMYFUNCTION("GOOGLETRANSLATE(B582,""en"",""ca"")"),"Objectiu diari")</f>
        <v>Objectiu diari</v>
      </c>
      <c r="AM582" s="4" t="str">
        <f>IFERROR(__xludf.DUMMYFUNCTION("GOOGLETRANSLATE(B582,""en"",""nl"")"),"Dagelijks doel")</f>
        <v>Dagelijks doel</v>
      </c>
      <c r="AN582" s="4" t="str">
        <f>IFERROR(__xludf.DUMMYFUNCTION("GOOGLETRANSLATE(B582,""en"",""he"")"),"יעד יומי")</f>
        <v>יעד יומי</v>
      </c>
      <c r="AO582" s="4" t="str">
        <f>IFERROR(__xludf.DUMMYFUNCTION("GOOGLETRANSLATE(B582,""en"",""is"")"),"Daglegt markmið")</f>
        <v>Daglegt markmið</v>
      </c>
      <c r="AP582" s="4" t="str">
        <f>IFERROR(__xludf.DUMMYFUNCTION("GOOGLETRANSLATE(B582,""en"",""no"")"),"Daglig mål")</f>
        <v>Daglig mål</v>
      </c>
      <c r="AQ582" s="4" t="str">
        <f>IFERROR(__xludf.DUMMYFUNCTION("GOOGLETRANSLATE(B582,""en"",""fa"")"),"هدف روزانه")</f>
        <v>هدف روزانه</v>
      </c>
      <c r="AR582" s="4" t="str">
        <f>IFERROR(__xludf.DUMMYFUNCTION("GOOGLETRANSLATE(B582,""en"",""pl"")"),"Cel dzienny")</f>
        <v>Cel dzienny</v>
      </c>
      <c r="AS582" s="4" t="str">
        <f>IFERROR(__xludf.DUMMYFUNCTION("GOOGLETRANSLATE(B582,""en"",""sv"")"),"Dagligt mål")</f>
        <v>Dagligt mål</v>
      </c>
      <c r="AT582" s="4" t="str">
        <f>IFERROR(__xludf.DUMMYFUNCTION("GOOGLETRANSLATE(B582,""en"",""uk"")"),"Щоденна мета")</f>
        <v>Щоденна мета</v>
      </c>
      <c r="AU582" s="4" t="str">
        <f>IFERROR(__xludf.DUMMYFUNCTION("GOOGLETRANSLATE(B582,""en"",""zu"")"),"Umgomo Wansuku zonke")</f>
        <v>Umgomo Wansuku zonke</v>
      </c>
      <c r="AV582" s="4" t="str">
        <f>IFERROR(__xludf.DUMMYFUNCTION("GOOGLETRANSLATE(B582,""en"",""sr"")"),"Дневни циљ")</f>
        <v>Дневни циљ</v>
      </c>
    </row>
    <row r="583">
      <c r="A583" s="3" t="s">
        <v>1115</v>
      </c>
      <c r="B583" s="3" t="s">
        <v>1116</v>
      </c>
      <c r="C583" s="4" t="str">
        <f>IFERROR(__xludf.DUMMYFUNCTION("GOOGLETRANSLATE(B583,""en"",""ta"")"),"நிறைவு")</f>
        <v>நிறைவு</v>
      </c>
      <c r="D583" s="4" t="str">
        <f>IFERROR(__xludf.DUMMYFUNCTION("GOOGLETRANSLATE(B583,""en"",""hi"")"),"पूरा")</f>
        <v>पूरा</v>
      </c>
      <c r="E583" s="4" t="str">
        <f>IFERROR(__xludf.DUMMYFUNCTION("GOOGLETRANSLATE(B583,""en"",""id"")"),"Menyelesaikan")</f>
        <v>Menyelesaikan</v>
      </c>
      <c r="F583" s="4" t="str">
        <f>IFERROR(__xludf.DUMMYFUNCTION("GOOGLETRANSLATE(B583,""en"",""ms"")"),"lengkap")</f>
        <v>lengkap</v>
      </c>
      <c r="G583" s="4" t="str">
        <f>IFERROR(__xludf.DUMMYFUNCTION("GOOGLETRANSLATE(B583,""en"",""de"")"),"Vollständig")</f>
        <v>Vollständig</v>
      </c>
      <c r="H583" s="4" t="str">
        <f>IFERROR(__xludf.DUMMYFUNCTION("GOOGLETRANSLATE(B583,""en"",""es"")"),"Completo")</f>
        <v>Completo</v>
      </c>
      <c r="I583" s="4" t="str">
        <f>IFERROR(__xludf.DUMMYFUNCTION("GOOGLETRANSLATE(B583,""en"",""fr"")"),"Complet")</f>
        <v>Complet</v>
      </c>
      <c r="J583" s="4" t="str">
        <f>IFERROR(__xludf.DUMMYFUNCTION("GOOGLETRANSLATE(B583,""en"",""it"")"),"Completare")</f>
        <v>Completare</v>
      </c>
      <c r="K583" s="4" t="str">
        <f>IFERROR(__xludf.DUMMYFUNCTION("GOOGLETRANSLATE(B583,""en"",""pt"")"),"Completo")</f>
        <v>Completo</v>
      </c>
      <c r="L583" s="4" t="str">
        <f>IFERROR(__xludf.DUMMYFUNCTION("GOOGLETRANSLATE(B583,""en"",""ro"")"),"Complet")</f>
        <v>Complet</v>
      </c>
      <c r="M583" s="4" t="str">
        <f>IFERROR(__xludf.DUMMYFUNCTION("GOOGLETRANSLATE(B583,""en"",""vi"")"),"Hoàn thành")</f>
        <v>Hoàn thành</v>
      </c>
      <c r="N583" s="4" t="str">
        <f>IFERROR(__xludf.DUMMYFUNCTION("GOOGLETRANSLATE(B583,""en"",""ru"")"),"Полный")</f>
        <v>Полный</v>
      </c>
      <c r="O583" s="4" t="str">
        <f>IFERROR(__xludf.DUMMYFUNCTION("GOOGLETRANSLATE(B583,""en"",""tr"")"),"Tamamlamak")</f>
        <v>Tamamlamak</v>
      </c>
      <c r="P583" s="4" t="str">
        <f>IFERROR(__xludf.DUMMYFUNCTION("GOOGLETRANSLATE(B583,""en"",""ar"")"),"مكتمل")</f>
        <v>مكتمل</v>
      </c>
      <c r="Q583" s="4" t="str">
        <f>IFERROR(__xludf.DUMMYFUNCTION("GOOGLETRANSLATE(B583,""en"",""mr"")"),"पूर्ण")</f>
        <v>पूर्ण</v>
      </c>
      <c r="R583" s="4" t="str">
        <f>IFERROR(__xludf.DUMMYFUNCTION("GOOGLETRANSLATE(B583,""en"",""gu"")"),"પૂર્ણ")</f>
        <v>પૂર્ણ</v>
      </c>
      <c r="S583" s="4" t="str">
        <f>IFERROR(__xludf.DUMMYFUNCTION("GOOGLETRANSLATE(B583,""en"",""bn"")"),"সম্পূর্ণ")</f>
        <v>সম্পূর্ণ</v>
      </c>
      <c r="T583" s="4" t="str">
        <f>IFERROR(__xludf.DUMMYFUNCTION("GOOGLETRANSLATE(B583,""en"",""pa"")"),"ਸੰਪੂਰਨ")</f>
        <v>ਸੰਪੂਰਨ</v>
      </c>
      <c r="U583" s="4" t="str">
        <f>IFERROR(__xludf.DUMMYFUNCTION("GOOGLETRANSLATE(B583,""en"",""te"")"),"పూర్తి")</f>
        <v>పూర్తి</v>
      </c>
      <c r="V583" s="4" t="str">
        <f>IFERROR(__xludf.DUMMYFUNCTION("GOOGLETRANSLATE(B583,""en"",""kn"")"),"ಸಂಪೂರ್ಣ")</f>
        <v>ಸಂಪೂರ್ಣ</v>
      </c>
      <c r="W583" s="4" t="str">
        <f>IFERROR(__xludf.DUMMYFUNCTION("GOOGLETRANSLATE(B583,""en"",""ml"")"),"പൂർത്തിയാക്കുക")</f>
        <v>പൂർത്തിയാക്കുക</v>
      </c>
      <c r="X583" s="4" t="str">
        <f>IFERROR(__xludf.DUMMYFUNCTION("GOOGLETRANSLATE(B583,""en"",""th"")"),"สมบูรณ์")</f>
        <v>สมบูรณ์</v>
      </c>
      <c r="Y583" s="4" t="str">
        <f>IFERROR(__xludf.DUMMYFUNCTION("GOOGLETRANSLATE(B583,""en"",""ko"")"),"완벽한")</f>
        <v>완벽한</v>
      </c>
      <c r="Z583" s="4" t="str">
        <f>IFERROR(__xludf.DUMMYFUNCTION("GOOGLETRANSLATE(B583,""en"",""zh"")"),"完全的")</f>
        <v>完全的</v>
      </c>
      <c r="AA583" s="4" t="str">
        <f>IFERROR(__xludf.DUMMYFUNCTION("GOOGLETRANSLATE(B583,""en"",""zh-TW"")"),"完全的")</f>
        <v>完全的</v>
      </c>
      <c r="AB583" s="4" t="str">
        <f>IFERROR(__xludf.DUMMYFUNCTION("GOOGLETRANSLATE(B583,""en"",""ja"")"),"完了")</f>
        <v>完了</v>
      </c>
      <c r="AC583" s="4" t="str">
        <f>IFERROR(__xludf.DUMMYFUNCTION("GOOGLETRANSLATE(B583,""en"",""bg"")"),"Завършено")</f>
        <v>Завършено</v>
      </c>
      <c r="AD583" s="4" t="str">
        <f>IFERROR(__xludf.DUMMYFUNCTION("GOOGLETRANSLATE(B583,""en"",""cs"")"),"Kompletní")</f>
        <v>Kompletní</v>
      </c>
      <c r="AE583" s="4" t="str">
        <f>IFERROR(__xludf.DUMMYFUNCTION("GOOGLETRANSLATE(B583,""en"",""da"")"),"Komplet")</f>
        <v>Komplet</v>
      </c>
      <c r="AF583" s="4" t="str">
        <f>IFERROR(__xludf.DUMMYFUNCTION("GOOGLETRANSLATE(B583,""en"",""el"")"),"Πλήρης")</f>
        <v>Πλήρης</v>
      </c>
      <c r="AG583" s="4" t="str">
        <f>IFERROR(__xludf.DUMMYFUNCTION("GOOGLETRANSLATE(B583,""en"",""et"")"),"Täielik")</f>
        <v>Täielik</v>
      </c>
      <c r="AH583" s="4" t="str">
        <f>IFERROR(__xludf.DUMMYFUNCTION("GOOGLETRANSLATE(B583,""en"",""fi"")"),"Täydellinen")</f>
        <v>Täydellinen</v>
      </c>
      <c r="AI583" s="4" t="str">
        <f>IFERROR(__xludf.DUMMYFUNCTION("GOOGLETRANSLATE(B583,""en"",""hr"")"),"Kompletan")</f>
        <v>Kompletan</v>
      </c>
      <c r="AJ583" s="4" t="str">
        <f>IFERROR(__xludf.DUMMYFUNCTION("GOOGLETRANSLATE(B583,""en"",""hu"")"),"Teljes")</f>
        <v>Teljes</v>
      </c>
      <c r="AK583" s="4" t="str">
        <f>IFERROR(__xludf.DUMMYFUNCTION("GOOGLETRANSLATE(B583,""en"",""hy"")"),"Ամբողջական")</f>
        <v>Ամբողջական</v>
      </c>
      <c r="AL583" s="4" t="str">
        <f>IFERROR(__xludf.DUMMYFUNCTION("GOOGLETRANSLATE(B583,""en"",""ca"")"),"Completa")</f>
        <v>Completa</v>
      </c>
      <c r="AM583" s="4" t="str">
        <f>IFERROR(__xludf.DUMMYFUNCTION("GOOGLETRANSLATE(B583,""en"",""nl"")"),"Compleet")</f>
        <v>Compleet</v>
      </c>
      <c r="AN583" s="4" t="str">
        <f>IFERROR(__xludf.DUMMYFUNCTION("GOOGLETRANSLATE(B583,""en"",""he"")"),"לְהַשְׁלִים")</f>
        <v>לְהַשְׁלִים</v>
      </c>
      <c r="AO583" s="4" t="str">
        <f>IFERROR(__xludf.DUMMYFUNCTION("GOOGLETRANSLATE(B583,""en"",""is"")"),"Heill")</f>
        <v>Heill</v>
      </c>
      <c r="AP583" s="4" t="str">
        <f>IFERROR(__xludf.DUMMYFUNCTION("GOOGLETRANSLATE(B583,""en"",""no"")"),"Fullstendig")</f>
        <v>Fullstendig</v>
      </c>
      <c r="AQ583" s="4" t="str">
        <f>IFERROR(__xludf.DUMMYFUNCTION("GOOGLETRANSLATE(B583,""en"",""fa"")"),"کامل")</f>
        <v>کامل</v>
      </c>
      <c r="AR583" s="4" t="str">
        <f>IFERROR(__xludf.DUMMYFUNCTION("GOOGLETRANSLATE(B583,""en"",""pl"")"),"Kompletny")</f>
        <v>Kompletny</v>
      </c>
      <c r="AS583" s="4" t="str">
        <f>IFERROR(__xludf.DUMMYFUNCTION("GOOGLETRANSLATE(B583,""en"",""sv"")"),"Komplett")</f>
        <v>Komplett</v>
      </c>
      <c r="AT583" s="4" t="str">
        <f>IFERROR(__xludf.DUMMYFUNCTION("GOOGLETRANSLATE(B583,""en"",""uk"")"),"Повний")</f>
        <v>Повний</v>
      </c>
      <c r="AU583" s="4" t="str">
        <f>IFERROR(__xludf.DUMMYFUNCTION("GOOGLETRANSLATE(B583,""en"",""zu"")"),"Qedela")</f>
        <v>Qedela</v>
      </c>
      <c r="AV583" s="4" t="str">
        <f>IFERROR(__xludf.DUMMYFUNCTION("GOOGLETRANSLATE(B583,""en"",""sr"")"),"Завршено")</f>
        <v>Завршено</v>
      </c>
    </row>
    <row r="584">
      <c r="A584" s="3" t="s">
        <v>1117</v>
      </c>
      <c r="B584" s="3" t="s">
        <v>1118</v>
      </c>
      <c r="C584" s="4" t="str">
        <f>IFERROR(__xludf.DUMMYFUNCTION("GOOGLETRANSLATE(B584,""en"",""ta"")"),"இலக்கு எட்டப்பட்டது! 🎉")</f>
        <v>இலக்கு எட்டப்பட்டது! 🎉</v>
      </c>
      <c r="D584" s="4" t="str">
        <f>IFERROR(__xludf.DUMMYFUNCTION("GOOGLETRANSLATE(B584,""en"",""hi"")"),"लक्ष्य प्राप्त हुआ! 🎉")</f>
        <v>लक्ष्य प्राप्त हुआ! 🎉</v>
      </c>
      <c r="E584" s="4" t="str">
        <f>IFERROR(__xludf.DUMMYFUNCTION("GOOGLETRANSLATE(B584,""en"",""id"")"),"Sasaran tercapai!")</f>
        <v>Sasaran tercapai!</v>
      </c>
      <c r="F584" s="4" t="str">
        <f>IFERROR(__xludf.DUMMYFUNCTION("GOOGLETRANSLATE(B584,""en"",""ms"")"),"Matlamat tercapai! 🎉")</f>
        <v>Matlamat tercapai! 🎉</v>
      </c>
      <c r="G584" s="4" t="str">
        <f>IFERROR(__xludf.DUMMYFUNCTION("GOOGLETRANSLATE(B584,""en"",""de"")"),"Ziel erreicht! 🎉")</f>
        <v>Ziel erreicht! 🎉</v>
      </c>
      <c r="H584" s="4" t="str">
        <f>IFERROR(__xludf.DUMMYFUNCTION("GOOGLETRANSLATE(B584,""en"",""es"")"),"¡Objetivo cumplido! 🎉")</f>
        <v>¡Objetivo cumplido! 🎉</v>
      </c>
      <c r="I584" s="4" t="str">
        <f>IFERROR(__xludf.DUMMYFUNCTION("GOOGLETRANSLATE(B584,""en"",""fr"")"),"Objectif atteint ! 🎉")</f>
        <v>Objectif atteint ! 🎉</v>
      </c>
      <c r="J584" s="4" t="str">
        <f>IFERROR(__xludf.DUMMYFUNCTION("GOOGLETRANSLATE(B584,""en"",""it"")"),"Obiettivo raggiunto! 🎉")</f>
        <v>Obiettivo raggiunto! 🎉</v>
      </c>
      <c r="K584" s="4" t="str">
        <f>IFERROR(__xludf.DUMMYFUNCTION("GOOGLETRANSLATE(B584,""en"",""pt"")"),"Meta alcançada! 🎉")</f>
        <v>Meta alcançada! 🎉</v>
      </c>
      <c r="L584" s="4" t="str">
        <f>IFERROR(__xludf.DUMMYFUNCTION("GOOGLETRANSLATE(B584,""en"",""ro"")"),"Obiectiv atins! 🎉")</f>
        <v>Obiectiv atins! 🎉</v>
      </c>
      <c r="M584" s="4" t="str">
        <f>IFERROR(__xludf.DUMMYFUNCTION("GOOGLETRANSLATE(B584,""en"",""vi"")"),"Đã đạt được mục tiêu! 🎉")</f>
        <v>Đã đạt được mục tiêu! 🎉</v>
      </c>
      <c r="N584" s="4" t="str">
        <f>IFERROR(__xludf.DUMMYFUNCTION("GOOGLETRANSLATE(B584,""en"",""ru"")"),"Цель достигнута! 🎉")</f>
        <v>Цель достигнута! 🎉</v>
      </c>
      <c r="O584" s="4" t="str">
        <f>IFERROR(__xludf.DUMMYFUNCTION("GOOGLETRANSLATE(B584,""en"",""tr"")"),"Hedefe Ulaşıldı! 🎉")</f>
        <v>Hedefe Ulaşıldı! 🎉</v>
      </c>
      <c r="P584" s="4" t="str">
        <f>IFERROR(__xludf.DUMMYFUNCTION("GOOGLETRANSLATE(B584,""en"",""ar"")"),"تم تحقيق الهدف! 🎉")</f>
        <v>تم تحقيق الهدف! 🎉</v>
      </c>
      <c r="Q584" s="4" t="str">
        <f>IFERROR(__xludf.DUMMYFUNCTION("GOOGLETRANSLATE(B584,""en"",""mr"")"),"ध्येय गाठले! 🎉")</f>
        <v>ध्येय गाठले! 🎉</v>
      </c>
      <c r="R584" s="4" t="str">
        <f>IFERROR(__xludf.DUMMYFUNCTION("GOOGLETRANSLATE(B584,""en"",""gu"")"),"ધ્યેય હાંસલ! 🎉")</f>
        <v>ધ્યેય હાંસલ! 🎉</v>
      </c>
      <c r="S584" s="4" t="str">
        <f>IFERROR(__xludf.DUMMYFUNCTION("GOOGLETRANSLATE(B584,""en"",""bn"")"),"লক্ষ্য অর্জিত! 🎉")</f>
        <v>লক্ষ্য অর্জিত! 🎉</v>
      </c>
      <c r="T584" s="4" t="str">
        <f>IFERROR(__xludf.DUMMYFUNCTION("GOOGLETRANSLATE(B584,""en"",""pa"")"),"ਟੀਚਾ ਪ੍ਰਾਪਤ ਕੀਤਾ! 🎉")</f>
        <v>ਟੀਚਾ ਪ੍ਰਾਪਤ ਕੀਤਾ! 🎉</v>
      </c>
      <c r="U584" s="4" t="str">
        <f>IFERROR(__xludf.DUMMYFUNCTION("GOOGLETRANSLATE(B584,""en"",""te"")"),"లక్ష్యం నెరవేరింది! 🎉")</f>
        <v>లక్ష్యం నెరవేరింది! 🎉</v>
      </c>
      <c r="V584" s="4" t="str">
        <f>IFERROR(__xludf.DUMMYFUNCTION("GOOGLETRANSLATE(B584,""en"",""kn"")"),"ಗುರಿ ಸಾಧಿಸಲಾಗಿದೆ! 🎉")</f>
        <v>ಗುರಿ ಸಾಧಿಸಲಾಗಿದೆ! 🎉</v>
      </c>
      <c r="W584" s="4" t="str">
        <f>IFERROR(__xludf.DUMMYFUNCTION("GOOGLETRANSLATE(B584,""en"",""ml"")"),"ലക്ഷ്യം കൈവരിച്ചു! 🎉")</f>
        <v>ലക്ഷ്യം കൈവരിച്ചു! 🎉</v>
      </c>
      <c r="X584" s="4" t="str">
        <f>IFERROR(__xludf.DUMMYFUNCTION("GOOGLETRANSLATE(B584,""en"",""th"")"),"บรรลุเป้าหมายแล้ว! 🎉")</f>
        <v>บรรลุเป้าหมายแล้ว! 🎉</v>
      </c>
      <c r="Y584" s="4" t="str">
        <f>IFERROR(__xludf.DUMMYFUNCTION("GOOGLETRANSLATE(B584,""en"",""ko"")"),"목표 달성! 🎉")</f>
        <v>목표 달성! 🎉</v>
      </c>
      <c r="Z584" s="4" t="str">
        <f>IFERROR(__xludf.DUMMYFUNCTION("GOOGLETRANSLATE(B584,""en"",""zh"")"),"目标达成！🎉")</f>
        <v>目标达成！🎉</v>
      </c>
      <c r="AA584" s="4" t="str">
        <f>IFERROR(__xludf.DUMMYFUNCTION("GOOGLETRANSLATE(B584,""en"",""zh-TW"")"),"目標達成！ 🎉")</f>
        <v>目標達成！ 🎉</v>
      </c>
      <c r="AB584" s="4" t="str">
        <f>IFERROR(__xludf.DUMMYFUNCTION("GOOGLETRANSLATE(B584,""en"",""ja"")"),"目標達成！🎉")</f>
        <v>目標達成！🎉</v>
      </c>
      <c r="AC584" s="4" t="str">
        <f>IFERROR(__xludf.DUMMYFUNCTION("GOOGLETRANSLATE(B584,""en"",""bg"")"),"Целта е постигната! 🎉")</f>
        <v>Целта е постигната! 🎉</v>
      </c>
      <c r="AD584" s="4" t="str">
        <f>IFERROR(__xludf.DUMMYFUNCTION("GOOGLETRANSLATE(B584,""en"",""cs"")"),"Cíl splněn! 🎉")</f>
        <v>Cíl splněn! 🎉</v>
      </c>
      <c r="AE584" s="4" t="str">
        <f>IFERROR(__xludf.DUMMYFUNCTION("GOOGLETRANSLATE(B584,""en"",""da"")"),"Mål nået! 🎉")</f>
        <v>Mål nået! 🎉</v>
      </c>
      <c r="AF584" s="4" t="str">
        <f>IFERROR(__xludf.DUMMYFUNCTION("GOOGLETRANSLATE(B584,""en"",""el"")"),"Ο στόχος επιτεύχθηκε! 🎉")</f>
        <v>Ο στόχος επιτεύχθηκε! 🎉</v>
      </c>
      <c r="AG584" s="4" t="str">
        <f>IFERROR(__xludf.DUMMYFUNCTION("GOOGLETRANSLATE(B584,""en"",""et"")"),"Eesmärk saavutatud! 🎉")</f>
        <v>Eesmärk saavutatud! 🎉</v>
      </c>
      <c r="AH584" s="4" t="str">
        <f>IFERROR(__xludf.DUMMYFUNCTION("GOOGLETRANSLATE(B584,""en"",""fi"")"),"Tavoite saavutettu! 🎉")</f>
        <v>Tavoite saavutettu! 🎉</v>
      </c>
      <c r="AI584" s="4" t="str">
        <f>IFERROR(__xludf.DUMMYFUNCTION("GOOGLETRANSLATE(B584,""en"",""hr"")"),"Cilj postignut! 🎉")</f>
        <v>Cilj postignut! 🎉</v>
      </c>
      <c r="AJ584" s="4" t="str">
        <f>IFERROR(__xludf.DUMMYFUNCTION("GOOGLETRANSLATE(B584,""en"",""hu"")"),"Cél elérve! 🎉")</f>
        <v>Cél elérve! 🎉</v>
      </c>
      <c r="AK584" s="4" t="str">
        <f>IFERROR(__xludf.DUMMYFUNCTION("GOOGLETRANSLATE(B584,""en"",""hy"")"),"Նպատակը ձեռք բերվեց: 🎉")</f>
        <v>Նպատակը ձեռք բերվեց: 🎉</v>
      </c>
      <c r="AL584" s="4" t="str">
        <f>IFERROR(__xludf.DUMMYFUNCTION("GOOGLETRANSLATE(B584,""en"",""ca"")"),"Objectiu assolit! 🎉")</f>
        <v>Objectiu assolit! 🎉</v>
      </c>
      <c r="AM584" s="4" t="str">
        <f>IFERROR(__xludf.DUMMYFUNCTION("GOOGLETRANSLATE(B584,""en"",""nl"")"),"Doel bereikt! 🎉")</f>
        <v>Doel bereikt! 🎉</v>
      </c>
      <c r="AN584" s="4" t="str">
        <f>IFERROR(__xludf.DUMMYFUNCTION("GOOGLETRANSLATE(B584,""en"",""he"")"),"המטרה הושגה! 🎉")</f>
        <v>המטרה הושגה! 🎉</v>
      </c>
      <c r="AO584" s="4" t="str">
        <f>IFERROR(__xludf.DUMMYFUNCTION("GOOGLETRANSLATE(B584,""en"",""is"")"),"Markmiði náð! 🎉")</f>
        <v>Markmiði náð! 🎉</v>
      </c>
      <c r="AP584" s="4" t="str">
        <f>IFERROR(__xludf.DUMMYFUNCTION("GOOGLETRANSLATE(B584,""en"",""no"")"),"Målet oppnådd! 🎉")</f>
        <v>Målet oppnådd! 🎉</v>
      </c>
      <c r="AQ584" s="4" t="str">
        <f>IFERROR(__xludf.DUMMYFUNCTION("GOOGLETRANSLATE(B584,""en"",""fa"")"),"هدف محقق شد! 🎉")</f>
        <v>هدف محقق شد! 🎉</v>
      </c>
      <c r="AR584" s="4" t="str">
        <f>IFERROR(__xludf.DUMMYFUNCTION("GOOGLETRANSLATE(B584,""en"",""pl"")"),"Cel osiągnięty! 🎉")</f>
        <v>Cel osiągnięty! 🎉</v>
      </c>
      <c r="AS584" s="4" t="str">
        <f>IFERROR(__xludf.DUMMYFUNCTION("GOOGLETRANSLATE(B584,""en"",""sv"")"),"Målet uppnått! 🎉")</f>
        <v>Målet uppnått! 🎉</v>
      </c>
      <c r="AT584" s="4" t="str">
        <f>IFERROR(__xludf.DUMMYFUNCTION("GOOGLETRANSLATE(B584,""en"",""uk"")"),"Ціль досягнута! 🎉")</f>
        <v>Ціль досягнута! 🎉</v>
      </c>
      <c r="AU584" s="4" t="str">
        <f>IFERROR(__xludf.DUMMYFUNCTION("GOOGLETRANSLATE(B584,""en"",""zu"")"),"Umgomo Uzuziwe! 🎉")</f>
        <v>Umgomo Uzuziwe! 🎉</v>
      </c>
      <c r="AV584" s="4" t="str">
        <f>IFERROR(__xludf.DUMMYFUNCTION("GOOGLETRANSLATE(B584,""en"",""sr"")"),"Циљ постигнут! 🎉")</f>
        <v>Циљ постигнут! 🎉</v>
      </c>
    </row>
    <row r="585">
      <c r="A585" s="3" t="s">
        <v>1119</v>
      </c>
      <c r="B585" s="3" t="s">
        <v>1120</v>
      </c>
      <c r="C585" s="4" t="str">
        <f>IFERROR(__xludf.DUMMYFUNCTION("GOOGLETRANSLATE(B585,""en"",""ta"")"),"சிறந்த வேலையைத் தொடருங்கள்!")</f>
        <v>சிறந்த வேலையைத் தொடருங்கள்!</v>
      </c>
      <c r="D585" s="4" t="str">
        <f>IFERROR(__xludf.DUMMYFUNCTION("GOOGLETRANSLATE(B585,""en"",""hi"")"),"बढ़िया काम जारी रखें!")</f>
        <v>बढ़िया काम जारी रखें!</v>
      </c>
      <c r="E585" s="4" t="str">
        <f>IFERROR(__xludf.DUMMYFUNCTION("GOOGLETRANSLATE(B585,""en"",""id"")"),"Teruskan kerja baikmu!")</f>
        <v>Teruskan kerja baikmu!</v>
      </c>
      <c r="F585" s="4" t="str">
        <f>IFERROR(__xludf.DUMMYFUNCTION("GOOGLETRANSLATE(B585,""en"",""ms"")"),"Teruskan kerja hebat!")</f>
        <v>Teruskan kerja hebat!</v>
      </c>
      <c r="G585" s="4" t="str">
        <f>IFERROR(__xludf.DUMMYFUNCTION("GOOGLETRANSLATE(B585,""en"",""de"")"),"Machen Sie weiter so!")</f>
        <v>Machen Sie weiter so!</v>
      </c>
      <c r="H585" s="4" t="str">
        <f>IFERROR(__xludf.DUMMYFUNCTION("GOOGLETRANSLATE(B585,""en"",""es"")"),"¡Sigan con el gran trabajo!")</f>
        <v>¡Sigan con el gran trabajo!</v>
      </c>
      <c r="I585" s="4" t="str">
        <f>IFERROR(__xludf.DUMMYFUNCTION("GOOGLETRANSLATE(B585,""en"",""fr"")"),"Continuez votre excellent travail !")</f>
        <v>Continuez votre excellent travail !</v>
      </c>
      <c r="J585" s="4" t="str">
        <f>IFERROR(__xludf.DUMMYFUNCTION("GOOGLETRANSLATE(B585,""en"",""it"")"),"Continuate così!")</f>
        <v>Continuate così!</v>
      </c>
      <c r="K585" s="4" t="str">
        <f>IFERROR(__xludf.DUMMYFUNCTION("GOOGLETRANSLATE(B585,""en"",""pt"")"),"Continue com o ótimo trabalho!")</f>
        <v>Continue com o ótimo trabalho!</v>
      </c>
      <c r="L585" s="4" t="str">
        <f>IFERROR(__xludf.DUMMYFUNCTION("GOOGLETRANSLATE(B585,""en"",""ro"")"),"Continuați cu mare lucru!")</f>
        <v>Continuați cu mare lucru!</v>
      </c>
      <c r="M585" s="4" t="str">
        <f>IFERROR(__xludf.DUMMYFUNCTION("GOOGLETRANSLATE(B585,""en"",""vi"")"),"Tiếp tục làm tốt nhé!")</f>
        <v>Tiếp tục làm tốt nhé!</v>
      </c>
      <c r="N585" s="4" t="str">
        <f>IFERROR(__xludf.DUMMYFUNCTION("GOOGLETRANSLATE(B585,""en"",""ru"")"),"Продолжайте в том же духе!")</f>
        <v>Продолжайте в том же духе!</v>
      </c>
      <c r="O585" s="4" t="str">
        <f>IFERROR(__xludf.DUMMYFUNCTION("GOOGLETRANSLATE(B585,""en"",""tr"")"),"Harika çalışmalarınızın devamını dilerim!")</f>
        <v>Harika çalışmalarınızın devamını dilerim!</v>
      </c>
      <c r="P585" s="4" t="str">
        <f>IFERROR(__xludf.DUMMYFUNCTION("GOOGLETRANSLATE(B585,""en"",""ar"")"),"استمر في العمل الرائع!")</f>
        <v>استمر في العمل الرائع!</v>
      </c>
      <c r="Q585" s="4" t="str">
        <f>IFERROR(__xludf.DUMMYFUNCTION("GOOGLETRANSLATE(B585,""en"",""mr"")"),"महान कार्य चालू ठेवा!")</f>
        <v>महान कार्य चालू ठेवा!</v>
      </c>
      <c r="R585" s="4" t="str">
        <f>IFERROR(__xludf.DUMMYFUNCTION("GOOGLETRANSLATE(B585,""en"",""gu"")"),"મહાન કાર્ય ચાલુ રાખો!")</f>
        <v>મહાન કાર્ય ચાલુ રાખો!</v>
      </c>
      <c r="S585" s="4" t="str">
        <f>IFERROR(__xludf.DUMMYFUNCTION("GOOGLETRANSLATE(B585,""en"",""bn"")"),"মহান কাজ আপ রাখুন!")</f>
        <v>মহান কাজ আপ রাখুন!</v>
      </c>
      <c r="T585" s="4" t="str">
        <f>IFERROR(__xludf.DUMMYFUNCTION("GOOGLETRANSLATE(B585,""en"",""pa"")"),"ਮਹਾਨ ਕੰਮ ਜਾਰੀ ਰੱਖੋ!")</f>
        <v>ਮਹਾਨ ਕੰਮ ਜਾਰੀ ਰੱਖੋ!</v>
      </c>
      <c r="U585" s="4" t="str">
        <f>IFERROR(__xludf.DUMMYFUNCTION("GOOGLETRANSLATE(B585,""en"",""te"")"),"గొప్ప పనిని కొనసాగించండి!")</f>
        <v>గొప్ప పనిని కొనసాగించండి!</v>
      </c>
      <c r="V585" s="4" t="str">
        <f>IFERROR(__xludf.DUMMYFUNCTION("GOOGLETRANSLATE(B585,""en"",""kn"")"),"ಉತ್ತಮ ಕೆಲಸವನ್ನು ಮುಂದುವರಿಸಿ!")</f>
        <v>ಉತ್ತಮ ಕೆಲಸವನ್ನು ಮುಂದುವರಿಸಿ!</v>
      </c>
      <c r="W585" s="4" t="str">
        <f>IFERROR(__xludf.DUMMYFUNCTION("GOOGLETRANSLATE(B585,""en"",""ml"")"),"മികച്ച പ്രവർത്തനം തുടരുക!")</f>
        <v>മികച്ച പ്രവർത്തനം തുടരുക!</v>
      </c>
      <c r="X585" s="4" t="str">
        <f>IFERROR(__xludf.DUMMYFUNCTION("GOOGLETRANSLATE(B585,""en"",""th"")"),"รักษางานดีๆ ไว้ต่อไป!")</f>
        <v>รักษางานดีๆ ไว้ต่อไป!</v>
      </c>
      <c r="Y585" s="4" t="str">
        <f>IFERROR(__xludf.DUMMYFUNCTION("GOOGLETRANSLATE(B585,""en"",""ko"")"),"훌륭한 작업을 계속하세요!")</f>
        <v>훌륭한 작업을 계속하세요!</v>
      </c>
      <c r="Z585" s="4" t="str">
        <f>IFERROR(__xludf.DUMMYFUNCTION("GOOGLETRANSLATE(B585,""en"",""zh"")"),"继续努力！")</f>
        <v>继续努力！</v>
      </c>
      <c r="AA585" s="4" t="str">
        <f>IFERROR(__xludf.DUMMYFUNCTION("GOOGLETRANSLATE(B585,""en"",""zh-TW"")"),"繼續努力！")</f>
        <v>繼續努力！</v>
      </c>
      <c r="AB585" s="4" t="str">
        <f>IFERROR(__xludf.DUMMYFUNCTION("GOOGLETRANSLATE(B585,""en"",""ja"")"),"これからも素晴らしい仕事を続けてください!")</f>
        <v>これからも素晴らしい仕事を続けてください!</v>
      </c>
      <c r="AC585" s="4" t="str">
        <f>IFERROR(__xludf.DUMMYFUNCTION("GOOGLETRANSLATE(B585,""en"",""bg"")"),"Продължавай в същия дух!")</f>
        <v>Продължавай в същия дух!</v>
      </c>
      <c r="AD585" s="4" t="str">
        <f>IFERROR(__xludf.DUMMYFUNCTION("GOOGLETRANSLATE(B585,""en"",""cs"")"),"Pokračujte ve skvělé práci!")</f>
        <v>Pokračujte ve skvělé práci!</v>
      </c>
      <c r="AE585" s="4" t="str">
        <f>IFERROR(__xludf.DUMMYFUNCTION("GOOGLETRANSLATE(B585,""en"",""da"")"),"Fortsæt det store arbejde!")</f>
        <v>Fortsæt det store arbejde!</v>
      </c>
      <c r="AF585" s="4" t="str">
        <f>IFERROR(__xludf.DUMMYFUNCTION("GOOGLETRANSLATE(B585,""en"",""el"")"),"Συνεχίστε την εξαιρετική δουλειά!")</f>
        <v>Συνεχίστε την εξαιρετική δουλειά!</v>
      </c>
      <c r="AG585" s="4" t="str">
        <f>IFERROR(__xludf.DUMMYFUNCTION("GOOGLETRANSLATE(B585,""en"",""et"")"),"Jätkake samas vaimus!")</f>
        <v>Jätkake samas vaimus!</v>
      </c>
      <c r="AH585" s="4" t="str">
        <f>IFERROR(__xludf.DUMMYFUNCTION("GOOGLETRANSLATE(B585,""en"",""fi"")"),"Jatka samaan malliin!")</f>
        <v>Jatka samaan malliin!</v>
      </c>
      <c r="AI585" s="4" t="str">
        <f>IFERROR(__xludf.DUMMYFUNCTION("GOOGLETRANSLATE(B585,""en"",""hr"")"),"Samo tako nastavi!")</f>
        <v>Samo tako nastavi!</v>
      </c>
      <c r="AJ585" s="4" t="str">
        <f>IFERROR(__xludf.DUMMYFUNCTION("GOOGLETRANSLATE(B585,""en"",""hu"")"),"Csak így tovább!")</f>
        <v>Csak így tovább!</v>
      </c>
      <c r="AK585" s="4" t="str">
        <f>IFERROR(__xludf.DUMMYFUNCTION("GOOGLETRANSLATE(B585,""en"",""hy"")"),"Շարունակեք մեծ աշխատանքը:")</f>
        <v>Շարունակեք մեծ աշխատանքը:</v>
      </c>
      <c r="AL585" s="4" t="str">
        <f>IFERROR(__xludf.DUMMYFUNCTION("GOOGLETRANSLATE(B585,""en"",""ca"")"),"Seguiu així!")</f>
        <v>Seguiu així!</v>
      </c>
      <c r="AM585" s="4" t="str">
        <f>IFERROR(__xludf.DUMMYFUNCTION("GOOGLETRANSLATE(B585,""en"",""nl"")"),"Ga zo door!")</f>
        <v>Ga zo door!</v>
      </c>
      <c r="AN585" s="4" t="str">
        <f>IFERROR(__xludf.DUMMYFUNCTION("GOOGLETRANSLATE(B585,""en"",""he"")"),"תמשיך בעבודה הנהדרת!")</f>
        <v>תמשיך בעבודה הנהדרת!</v>
      </c>
      <c r="AO585" s="4" t="str">
        <f>IFERROR(__xludf.DUMMYFUNCTION("GOOGLETRANSLATE(B585,""en"",""is"")"),"Haltu áfram frábæru starfi!")</f>
        <v>Haltu áfram frábæru starfi!</v>
      </c>
      <c r="AP585" s="4" t="str">
        <f>IFERROR(__xludf.DUMMYFUNCTION("GOOGLETRANSLATE(B585,""en"",""no"")"),"Fortsett med det flotte arbeidet!")</f>
        <v>Fortsett med det flotte arbeidet!</v>
      </c>
      <c r="AQ585" s="4" t="str">
        <f>IFERROR(__xludf.DUMMYFUNCTION("GOOGLETRANSLATE(B585,""en"",""fa"")"),"به کار عالی ادامه دهید!")</f>
        <v>به کار عالی ادامه دهید!</v>
      </c>
      <c r="AR585" s="4" t="str">
        <f>IFERROR(__xludf.DUMMYFUNCTION("GOOGLETRANSLATE(B585,""en"",""pl"")"),"Kontynuujcie wspaniałą pracę!")</f>
        <v>Kontynuujcie wspaniałą pracę!</v>
      </c>
      <c r="AS585" s="4" t="str">
        <f>IFERROR(__xludf.DUMMYFUNCTION("GOOGLETRANSLATE(B585,""en"",""sv"")"),"Fortsätt med det stora arbetet!")</f>
        <v>Fortsätt med det stora arbetet!</v>
      </c>
      <c r="AT585" s="4" t="str">
        <f>IFERROR(__xludf.DUMMYFUNCTION("GOOGLETRANSLATE(B585,""en"",""uk"")"),"Так тримати!")</f>
        <v>Так тримати!</v>
      </c>
      <c r="AU585" s="4" t="str">
        <f>IFERROR(__xludf.DUMMYFUNCTION("GOOGLETRANSLATE(B585,""en"",""zu"")"),"Qhubeka nomsebenzi omuhle!")</f>
        <v>Qhubeka nomsebenzi omuhle!</v>
      </c>
      <c r="AV585" s="4" t="str">
        <f>IFERROR(__xludf.DUMMYFUNCTION("GOOGLETRANSLATE(B585,""en"",""sr"")"),"Наставите са одличним радом!")</f>
        <v>Наставите са одличним радом!</v>
      </c>
    </row>
    <row r="586">
      <c r="A586" s="3" t="s">
        <v>1121</v>
      </c>
      <c r="B586" s="3" t="s">
        <v>1122</v>
      </c>
      <c r="C586" s="4" t="str">
        <f>IFERROR(__xludf.DUMMYFUNCTION("GOOGLETRANSLATE(B586,""en"",""ta"")"),"புள்ளிவிவரங்களைக் காண்க")</f>
        <v>புள்ளிவிவரங்களைக் காண்க</v>
      </c>
      <c r="D586" s="4" t="str">
        <f>IFERROR(__xludf.DUMMYFUNCTION("GOOGLETRANSLATE(B586,""en"",""hi"")"),"आँकड़े देखें")</f>
        <v>आँकड़े देखें</v>
      </c>
      <c r="E586" s="4" t="str">
        <f>IFERROR(__xludf.DUMMYFUNCTION("GOOGLETRANSLATE(B586,""en"",""id"")"),"Lihat Statistik")</f>
        <v>Lihat Statistik</v>
      </c>
      <c r="F586" s="4" t="str">
        <f>IFERROR(__xludf.DUMMYFUNCTION("GOOGLETRANSLATE(B586,""en"",""ms"")"),"Lihat Statistik")</f>
        <v>Lihat Statistik</v>
      </c>
      <c r="G586" s="4" t="str">
        <f>IFERROR(__xludf.DUMMYFUNCTION("GOOGLETRANSLATE(B586,""en"",""de"")"),"Statistiken anzeigen")</f>
        <v>Statistiken anzeigen</v>
      </c>
      <c r="H586" s="4" t="str">
        <f>IFERROR(__xludf.DUMMYFUNCTION("GOOGLETRANSLATE(B586,""en"",""es"")"),"Ver estadísticas")</f>
        <v>Ver estadísticas</v>
      </c>
      <c r="I586" s="4" t="str">
        <f>IFERROR(__xludf.DUMMYFUNCTION("GOOGLETRANSLATE(B586,""en"",""fr"")"),"Voir les statistiques")</f>
        <v>Voir les statistiques</v>
      </c>
      <c r="J586" s="4" t="str">
        <f>IFERROR(__xludf.DUMMYFUNCTION("GOOGLETRANSLATE(B586,""en"",""it"")"),"Visualizza statistiche")</f>
        <v>Visualizza statistiche</v>
      </c>
      <c r="K586" s="4" t="str">
        <f>IFERROR(__xludf.DUMMYFUNCTION("GOOGLETRANSLATE(B586,""en"",""pt"")"),"Ver estatísticas")</f>
        <v>Ver estatísticas</v>
      </c>
      <c r="L586" s="4" t="str">
        <f>IFERROR(__xludf.DUMMYFUNCTION("GOOGLETRANSLATE(B586,""en"",""ro"")"),"Vedeți statistici")</f>
        <v>Vedeți statistici</v>
      </c>
      <c r="M586" s="4" t="str">
        <f>IFERROR(__xludf.DUMMYFUNCTION("GOOGLETRANSLATE(B586,""en"",""vi"")"),"Xem Thống kê")</f>
        <v>Xem Thống kê</v>
      </c>
      <c r="N586" s="4" t="str">
        <f>IFERROR(__xludf.DUMMYFUNCTION("GOOGLETRANSLATE(B586,""en"",""ru"")"),"Посмотреть статистику")</f>
        <v>Посмотреть статистику</v>
      </c>
      <c r="O586" s="4" t="str">
        <f>IFERROR(__xludf.DUMMYFUNCTION("GOOGLETRANSLATE(B586,""en"",""tr"")"),"İstatistikleri Görüntüle")</f>
        <v>İstatistikleri Görüntüle</v>
      </c>
      <c r="P586" s="4" t="str">
        <f>IFERROR(__xludf.DUMMYFUNCTION("GOOGLETRANSLATE(B586,""en"",""ar"")"),"عرض الإحصائيات")</f>
        <v>عرض الإحصائيات</v>
      </c>
      <c r="Q586" s="4" t="str">
        <f>IFERROR(__xludf.DUMMYFUNCTION("GOOGLETRANSLATE(B586,""en"",""mr"")"),"आकडेवारी पहा")</f>
        <v>आकडेवारी पहा</v>
      </c>
      <c r="R586" s="4" t="str">
        <f>IFERROR(__xludf.DUMMYFUNCTION("GOOGLETRANSLATE(B586,""en"",""gu"")"),"આંકડા જુઓ")</f>
        <v>આંકડા જુઓ</v>
      </c>
      <c r="S586" s="4" t="str">
        <f>IFERROR(__xludf.DUMMYFUNCTION("GOOGLETRANSLATE(B586,""en"",""bn"")"),"পরিসংখ্যান দেখুন")</f>
        <v>পরিসংখ্যান দেখুন</v>
      </c>
      <c r="T586" s="4" t="str">
        <f>IFERROR(__xludf.DUMMYFUNCTION("GOOGLETRANSLATE(B586,""en"",""pa"")"),"ਅੰਕੜੇ ਦੇਖੋ")</f>
        <v>ਅੰਕੜੇ ਦੇਖੋ</v>
      </c>
      <c r="U586" s="4" t="str">
        <f>IFERROR(__xludf.DUMMYFUNCTION("GOOGLETRANSLATE(B586,""en"",""te"")"),"గణాంకాలను వీక్షించండి")</f>
        <v>గణాంకాలను వీక్షించండి</v>
      </c>
      <c r="V586" s="4" t="str">
        <f>IFERROR(__xludf.DUMMYFUNCTION("GOOGLETRANSLATE(B586,""en"",""kn"")"),"ಅಂಕಿಅಂಶಗಳನ್ನು ವೀಕ್ಷಿಸಿ")</f>
        <v>ಅಂಕಿಅಂಶಗಳನ್ನು ವೀಕ್ಷಿಸಿ</v>
      </c>
      <c r="W586" s="4" t="str">
        <f>IFERROR(__xludf.DUMMYFUNCTION("GOOGLETRANSLATE(B586,""en"",""ml"")"),"സ്ഥിതിവിവരക്കണക്കുകൾ കാണുക")</f>
        <v>സ്ഥിതിവിവരക്കണക്കുകൾ കാണുക</v>
      </c>
      <c r="X586" s="4" t="str">
        <f>IFERROR(__xludf.DUMMYFUNCTION("GOOGLETRANSLATE(B586,""en"",""th"")"),"ดูสถิติ")</f>
        <v>ดูสถิติ</v>
      </c>
      <c r="Y586" s="4" t="str">
        <f>IFERROR(__xludf.DUMMYFUNCTION("GOOGLETRANSLATE(B586,""en"",""ko"")"),"통계 보기")</f>
        <v>통계 보기</v>
      </c>
      <c r="Z586" s="4" t="str">
        <f>IFERROR(__xludf.DUMMYFUNCTION("GOOGLETRANSLATE(B586,""en"",""zh"")"),"查看统计数据")</f>
        <v>查看统计数据</v>
      </c>
      <c r="AA586" s="4" t="str">
        <f>IFERROR(__xludf.DUMMYFUNCTION("GOOGLETRANSLATE(B586,""en"",""zh-TW"")"),"查看統計數據")</f>
        <v>查看統計數據</v>
      </c>
      <c r="AB586" s="4" t="str">
        <f>IFERROR(__xludf.DUMMYFUNCTION("GOOGLETRANSLATE(B586,""en"",""ja"")"),"統計情報を表示")</f>
        <v>統計情報を表示</v>
      </c>
      <c r="AC586" s="4" t="str">
        <f>IFERROR(__xludf.DUMMYFUNCTION("GOOGLETRANSLATE(B586,""en"",""bg"")"),"Вижте статистика")</f>
        <v>Вижте статистика</v>
      </c>
      <c r="AD586" s="4" t="str">
        <f>IFERROR(__xludf.DUMMYFUNCTION("GOOGLETRANSLATE(B586,""en"",""cs"")"),"Zobrazit statistiky")</f>
        <v>Zobrazit statistiky</v>
      </c>
      <c r="AE586" s="4" t="str">
        <f>IFERROR(__xludf.DUMMYFUNCTION("GOOGLETRANSLATE(B586,""en"",""da"")"),"Se statistik")</f>
        <v>Se statistik</v>
      </c>
      <c r="AF586" s="4" t="str">
        <f>IFERROR(__xludf.DUMMYFUNCTION("GOOGLETRANSLATE(B586,""en"",""el"")"),"Προβολή στατιστικών")</f>
        <v>Προβολή στατιστικών</v>
      </c>
      <c r="AG586" s="4" t="str">
        <f>IFERROR(__xludf.DUMMYFUNCTION("GOOGLETRANSLATE(B586,""en"",""et"")"),"Vaata statistikat")</f>
        <v>Vaata statistikat</v>
      </c>
      <c r="AH586" s="4" t="str">
        <f>IFERROR(__xludf.DUMMYFUNCTION("GOOGLETRANSLATE(B586,""en"",""fi"")"),"Näytä tilastot")</f>
        <v>Näytä tilastot</v>
      </c>
      <c r="AI586" s="4" t="str">
        <f>IFERROR(__xludf.DUMMYFUNCTION("GOOGLETRANSLATE(B586,""en"",""hr"")"),"Prikaži statistiku")</f>
        <v>Prikaži statistiku</v>
      </c>
      <c r="AJ586" s="4" t="str">
        <f>IFERROR(__xludf.DUMMYFUNCTION("GOOGLETRANSLATE(B586,""en"",""hu"")"),"Statisztikák megtekintése")</f>
        <v>Statisztikák megtekintése</v>
      </c>
      <c r="AK586" s="4" t="str">
        <f>IFERROR(__xludf.DUMMYFUNCTION("GOOGLETRANSLATE(B586,""en"",""hy"")"),"Դիտել վիճակագրությունը")</f>
        <v>Դիտել վիճակագրությունը</v>
      </c>
      <c r="AL586" s="4" t="str">
        <f>IFERROR(__xludf.DUMMYFUNCTION("GOOGLETRANSLATE(B586,""en"",""ca"")"),"Veure estadístiques")</f>
        <v>Veure estadístiques</v>
      </c>
      <c r="AM586" s="4" t="str">
        <f>IFERROR(__xludf.DUMMYFUNCTION("GOOGLETRANSLATE(B586,""en"",""nl"")"),"Statistieken bekijken")</f>
        <v>Statistieken bekijken</v>
      </c>
      <c r="AN586" s="4" t="str">
        <f>IFERROR(__xludf.DUMMYFUNCTION("GOOGLETRANSLATE(B586,""en"",""he"")"),"צפה בסטטיסטיקה")</f>
        <v>צפה בסטטיסטיקה</v>
      </c>
      <c r="AO586" s="4" t="str">
        <f>IFERROR(__xludf.DUMMYFUNCTION("GOOGLETRANSLATE(B586,""en"",""is"")"),"Skoða tölfræði")</f>
        <v>Skoða tölfræði</v>
      </c>
      <c r="AP586" s="4" t="str">
        <f>IFERROR(__xludf.DUMMYFUNCTION("GOOGLETRANSLATE(B586,""en"",""no"")"),"Se statistikk")</f>
        <v>Se statistikk</v>
      </c>
      <c r="AQ586" s="4" t="str">
        <f>IFERROR(__xludf.DUMMYFUNCTION("GOOGLETRANSLATE(B586,""en"",""fa"")"),"مشاهده آمار")</f>
        <v>مشاهده آمار</v>
      </c>
      <c r="AR586" s="4" t="str">
        <f>IFERROR(__xludf.DUMMYFUNCTION("GOOGLETRANSLATE(B586,""en"",""pl"")"),"Wyświetl statystyki")</f>
        <v>Wyświetl statystyki</v>
      </c>
      <c r="AS586" s="4" t="str">
        <f>IFERROR(__xludf.DUMMYFUNCTION("GOOGLETRANSLATE(B586,""en"",""sv"")"),"Visa statistik")</f>
        <v>Visa statistik</v>
      </c>
      <c r="AT586" s="4" t="str">
        <f>IFERROR(__xludf.DUMMYFUNCTION("GOOGLETRANSLATE(B586,""en"",""uk"")"),"Переглянути статистику")</f>
        <v>Переглянути статистику</v>
      </c>
      <c r="AU586" s="4" t="str">
        <f>IFERROR(__xludf.DUMMYFUNCTION("GOOGLETRANSLATE(B586,""en"",""zu"")"),"Buka Izibalo")</f>
        <v>Buka Izibalo</v>
      </c>
      <c r="AV586" s="4" t="str">
        <f>IFERROR(__xludf.DUMMYFUNCTION("GOOGLETRANSLATE(B586,""en"",""sr"")"),"Виев Статс")</f>
        <v>Виев Статс</v>
      </c>
    </row>
    <row r="587">
      <c r="A587" s="3" t="s">
        <v>1123</v>
      </c>
      <c r="B587" s="3" t="s">
        <v>1124</v>
      </c>
      <c r="C587" s="4" t="str">
        <f>IFERROR(__xludf.DUMMYFUNCTION("GOOGLETRANSLATE(B587,""en"",""ta"")"),"புள்ளிவிவரங்களை மறை")</f>
        <v>புள்ளிவிவரங்களை மறை</v>
      </c>
      <c r="D587" s="4" t="str">
        <f>IFERROR(__xludf.DUMMYFUNCTION("GOOGLETRANSLATE(B587,""en"",""hi"")"),"आँकड़े छिपाएँ")</f>
        <v>आँकड़े छिपाएँ</v>
      </c>
      <c r="E587" s="4" t="str">
        <f>IFERROR(__xludf.DUMMYFUNCTION("GOOGLETRANSLATE(B587,""en"",""id"")"),"Sembunyikan Statistik")</f>
        <v>Sembunyikan Statistik</v>
      </c>
      <c r="F587" s="4" t="str">
        <f>IFERROR(__xludf.DUMMYFUNCTION("GOOGLETRANSLATE(B587,""en"",""ms"")"),"Sembunyikan Statistik")</f>
        <v>Sembunyikan Statistik</v>
      </c>
      <c r="G587" s="4" t="str">
        <f>IFERROR(__xludf.DUMMYFUNCTION("GOOGLETRANSLATE(B587,""en"",""de"")"),"Statistiken ausblenden")</f>
        <v>Statistiken ausblenden</v>
      </c>
      <c r="H587" s="4" t="str">
        <f>IFERROR(__xludf.DUMMYFUNCTION("GOOGLETRANSLATE(B587,""en"",""es"")"),"Ocultar estadísticas")</f>
        <v>Ocultar estadísticas</v>
      </c>
      <c r="I587" s="4" t="str">
        <f>IFERROR(__xludf.DUMMYFUNCTION("GOOGLETRANSLATE(B587,""en"",""fr"")"),"Masquer les statistiques")</f>
        <v>Masquer les statistiques</v>
      </c>
      <c r="J587" s="4" t="str">
        <f>IFERROR(__xludf.DUMMYFUNCTION("GOOGLETRANSLATE(B587,""en"",""it"")"),"Nascondi statistiche")</f>
        <v>Nascondi statistiche</v>
      </c>
      <c r="K587" s="4" t="str">
        <f>IFERROR(__xludf.DUMMYFUNCTION("GOOGLETRANSLATE(B587,""en"",""pt"")"),"Ocultar estatísticas")</f>
        <v>Ocultar estatísticas</v>
      </c>
      <c r="L587" s="4" t="str">
        <f>IFERROR(__xludf.DUMMYFUNCTION("GOOGLETRANSLATE(B587,""en"",""ro"")"),"Ascunde statistici")</f>
        <v>Ascunde statistici</v>
      </c>
      <c r="M587" s="4" t="str">
        <f>IFERROR(__xludf.DUMMYFUNCTION("GOOGLETRANSLATE(B587,""en"",""vi"")"),"Ẩn số liệu thống kê")</f>
        <v>Ẩn số liệu thống kê</v>
      </c>
      <c r="N587" s="4" t="str">
        <f>IFERROR(__xludf.DUMMYFUNCTION("GOOGLETRANSLATE(B587,""en"",""ru"")"),"Скрыть статистику")</f>
        <v>Скрыть статистику</v>
      </c>
      <c r="O587" s="4" t="str">
        <f>IFERROR(__xludf.DUMMYFUNCTION("GOOGLETRANSLATE(B587,""en"",""tr"")"),"İstatistikleri Gizle")</f>
        <v>İstatistikleri Gizle</v>
      </c>
      <c r="P587" s="4" t="str">
        <f>IFERROR(__xludf.DUMMYFUNCTION("GOOGLETRANSLATE(B587,""en"",""ar"")"),"إخفاء الإحصائيات")</f>
        <v>إخفاء الإحصائيات</v>
      </c>
      <c r="Q587" s="4" t="str">
        <f>IFERROR(__xludf.DUMMYFUNCTION("GOOGLETRANSLATE(B587,""en"",""mr"")"),"आकडेवारी लपवा")</f>
        <v>आकडेवारी लपवा</v>
      </c>
      <c r="R587" s="4" t="str">
        <f>IFERROR(__xludf.DUMMYFUNCTION("GOOGLETRANSLATE(B587,""en"",""gu"")"),"આંકડા છુપાવો")</f>
        <v>આંકડા છુપાવો</v>
      </c>
      <c r="S587" s="4" t="str">
        <f>IFERROR(__xludf.DUMMYFUNCTION("GOOGLETRANSLATE(B587,""en"",""bn"")"),"পরিসংখ্যান লুকান")</f>
        <v>পরিসংখ্যান লুকান</v>
      </c>
      <c r="T587" s="4" t="str">
        <f>IFERROR(__xludf.DUMMYFUNCTION("GOOGLETRANSLATE(B587,""en"",""pa"")"),"ਅੰਕੜੇ ਲੁਕਾਓ")</f>
        <v>ਅੰਕੜੇ ਲੁਕਾਓ</v>
      </c>
      <c r="U587" s="4" t="str">
        <f>IFERROR(__xludf.DUMMYFUNCTION("GOOGLETRANSLATE(B587,""en"",""te"")"),"గణాంకాలను దాచండి")</f>
        <v>గణాంకాలను దాచండి</v>
      </c>
      <c r="V587" s="4" t="str">
        <f>IFERROR(__xludf.DUMMYFUNCTION("GOOGLETRANSLATE(B587,""en"",""kn"")"),"ಅಂಕಿಅಂಶಗಳನ್ನು ಮರೆಮಾಡಿ")</f>
        <v>ಅಂಕಿಅಂಶಗಳನ್ನು ಮರೆಮಾಡಿ</v>
      </c>
      <c r="W587" s="4" t="str">
        <f>IFERROR(__xludf.DUMMYFUNCTION("GOOGLETRANSLATE(B587,""en"",""ml"")"),"സ്ഥിതിവിവരക്കണക്കുകൾ മറയ്ക്കുക")</f>
        <v>സ്ഥിതിവിവരക്കണക്കുകൾ മറയ്ക്കുക</v>
      </c>
      <c r="X587" s="4" t="str">
        <f>IFERROR(__xludf.DUMMYFUNCTION("GOOGLETRANSLATE(B587,""en"",""th"")"),"ซ่อนสถิติ")</f>
        <v>ซ่อนสถิติ</v>
      </c>
      <c r="Y587" s="4" t="str">
        <f>IFERROR(__xludf.DUMMYFUNCTION("GOOGLETRANSLATE(B587,""en"",""ko"")"),"통계 숨기기")</f>
        <v>통계 숨기기</v>
      </c>
      <c r="Z587" s="4" t="str">
        <f>IFERROR(__xludf.DUMMYFUNCTION("GOOGLETRANSLATE(B587,""en"",""zh"")"),"隐藏统计数据")</f>
        <v>隐藏统计数据</v>
      </c>
      <c r="AA587" s="4" t="str">
        <f>IFERROR(__xludf.DUMMYFUNCTION("GOOGLETRANSLATE(B587,""en"",""zh-TW"")"),"隱藏統計數據")</f>
        <v>隱藏統計數據</v>
      </c>
      <c r="AB587" s="4" t="str">
        <f>IFERROR(__xludf.DUMMYFUNCTION("GOOGLETRANSLATE(B587,""en"",""ja"")"),"統計を非表示")</f>
        <v>統計を非表示</v>
      </c>
      <c r="AC587" s="4" t="str">
        <f>IFERROR(__xludf.DUMMYFUNCTION("GOOGLETRANSLATE(B587,""en"",""bg"")"),"Скриване на статистиката")</f>
        <v>Скриване на статистиката</v>
      </c>
      <c r="AD587" s="4" t="str">
        <f>IFERROR(__xludf.DUMMYFUNCTION("GOOGLETRANSLATE(B587,""en"",""cs"")"),"Skrýt statistiky")</f>
        <v>Skrýt statistiky</v>
      </c>
      <c r="AE587" s="4" t="str">
        <f>IFERROR(__xludf.DUMMYFUNCTION("GOOGLETRANSLATE(B587,""en"",""da"")"),"Skjul statistik")</f>
        <v>Skjul statistik</v>
      </c>
      <c r="AF587" s="4" t="str">
        <f>IFERROR(__xludf.DUMMYFUNCTION("GOOGLETRANSLATE(B587,""en"",""el"")"),"Απόκρυψη στατιστικών")</f>
        <v>Απόκρυψη στατιστικών</v>
      </c>
      <c r="AG587" s="4" t="str">
        <f>IFERROR(__xludf.DUMMYFUNCTION("GOOGLETRANSLATE(B587,""en"",""et"")"),"Peida statistika")</f>
        <v>Peida statistika</v>
      </c>
      <c r="AH587" s="4" t="str">
        <f>IFERROR(__xludf.DUMMYFUNCTION("GOOGLETRANSLATE(B587,""en"",""fi"")"),"Piilota tilastot")</f>
        <v>Piilota tilastot</v>
      </c>
      <c r="AI587" s="4" t="str">
        <f>IFERROR(__xludf.DUMMYFUNCTION("GOOGLETRANSLATE(B587,""en"",""hr"")"),"Sakrij statistiku")</f>
        <v>Sakrij statistiku</v>
      </c>
      <c r="AJ587" s="4" t="str">
        <f>IFERROR(__xludf.DUMMYFUNCTION("GOOGLETRANSLATE(B587,""en"",""hu"")"),"Statisztikák elrejtése")</f>
        <v>Statisztikák elrejtése</v>
      </c>
      <c r="AK587" s="4" t="str">
        <f>IFERROR(__xludf.DUMMYFUNCTION("GOOGLETRANSLATE(B587,""en"",""hy"")"),"Թաքցնել վիճակագրությունը")</f>
        <v>Թաքցնել վիճակագրությունը</v>
      </c>
      <c r="AL587" s="4" t="str">
        <f>IFERROR(__xludf.DUMMYFUNCTION("GOOGLETRANSLATE(B587,""en"",""ca"")"),"Amaga les estadístiques")</f>
        <v>Amaga les estadístiques</v>
      </c>
      <c r="AM587" s="4" t="str">
        <f>IFERROR(__xludf.DUMMYFUNCTION("GOOGLETRANSLATE(B587,""en"",""nl"")"),"Statistieken verbergen")</f>
        <v>Statistieken verbergen</v>
      </c>
      <c r="AN587" s="4" t="str">
        <f>IFERROR(__xludf.DUMMYFUNCTION("GOOGLETRANSLATE(B587,""en"",""he"")"),"הסתר סטטיסטיקות")</f>
        <v>הסתר סטטיסטיקות</v>
      </c>
      <c r="AO587" s="4" t="str">
        <f>IFERROR(__xludf.DUMMYFUNCTION("GOOGLETRANSLATE(B587,""en"",""is"")"),"Fela tölfræði")</f>
        <v>Fela tölfræði</v>
      </c>
      <c r="AP587" s="4" t="str">
        <f>IFERROR(__xludf.DUMMYFUNCTION("GOOGLETRANSLATE(B587,""en"",""no"")"),"Skjul statistikk")</f>
        <v>Skjul statistikk</v>
      </c>
      <c r="AQ587" s="4" t="str">
        <f>IFERROR(__xludf.DUMMYFUNCTION("GOOGLETRANSLATE(B587,""en"",""fa"")"),"پنهان کردن آمار")</f>
        <v>پنهان کردن آمار</v>
      </c>
      <c r="AR587" s="4" t="str">
        <f>IFERROR(__xludf.DUMMYFUNCTION("GOOGLETRANSLATE(B587,""en"",""pl"")"),"Ukryj statystyki")</f>
        <v>Ukryj statystyki</v>
      </c>
      <c r="AS587" s="4" t="str">
        <f>IFERROR(__xludf.DUMMYFUNCTION("GOOGLETRANSLATE(B587,""en"",""sv"")"),"Dölj statistik")</f>
        <v>Dölj statistik</v>
      </c>
      <c r="AT587" s="4" t="str">
        <f>IFERROR(__xludf.DUMMYFUNCTION("GOOGLETRANSLATE(B587,""en"",""uk"")"),"Приховати статистику")</f>
        <v>Приховати статистику</v>
      </c>
      <c r="AU587" s="4" t="str">
        <f>IFERROR(__xludf.DUMMYFUNCTION("GOOGLETRANSLATE(B587,""en"",""zu"")"),"Fihla Izibalo")</f>
        <v>Fihla Izibalo</v>
      </c>
      <c r="AV587" s="4" t="str">
        <f>IFERROR(__xludf.DUMMYFUNCTION("GOOGLETRANSLATE(B587,""en"",""sr"")"),"Сакриј статистику")</f>
        <v>Сакриј статистику</v>
      </c>
    </row>
    <row r="588">
      <c r="A588" s="3" t="s">
        <v>1125</v>
      </c>
      <c r="B588" s="3" t="s">
        <v>1126</v>
      </c>
      <c r="C588" s="4" t="str">
        <f>IFERROR(__xludf.DUMMYFUNCTION("GOOGLETRANSLATE(B588,""en"",""ta"")"),"புள்ளிவிவரங்களைக் காட்டு")</f>
        <v>புள்ளிவிவரங்களைக் காட்டு</v>
      </c>
      <c r="D588" s="4" t="str">
        <f>IFERROR(__xludf.DUMMYFUNCTION("GOOGLETRANSLATE(B588,""en"",""hi"")"),"आंकड़े दिखाएं")</f>
        <v>आंकड़े दिखाएं</v>
      </c>
      <c r="E588" s="4" t="str">
        <f>IFERROR(__xludf.DUMMYFUNCTION("GOOGLETRANSLATE(B588,""en"",""id"")"),"Tampilkan Statistik")</f>
        <v>Tampilkan Statistik</v>
      </c>
      <c r="F588" s="4" t="str">
        <f>IFERROR(__xludf.DUMMYFUNCTION("GOOGLETRANSLATE(B588,""en"",""ms"")"),"Tunjukkan Statistik")</f>
        <v>Tunjukkan Statistik</v>
      </c>
      <c r="G588" s="4" t="str">
        <f>IFERROR(__xludf.DUMMYFUNCTION("GOOGLETRANSLATE(B588,""en"",""de"")"),"Statistiken anzeigen")</f>
        <v>Statistiken anzeigen</v>
      </c>
      <c r="H588" s="4" t="str">
        <f>IFERROR(__xludf.DUMMYFUNCTION("GOOGLETRANSLATE(B588,""en"",""es"")"),"Mostrar estadísticas")</f>
        <v>Mostrar estadísticas</v>
      </c>
      <c r="I588" s="4" t="str">
        <f>IFERROR(__xludf.DUMMYFUNCTION("GOOGLETRANSLATE(B588,""en"",""fr"")"),"Afficher les statistiques")</f>
        <v>Afficher les statistiques</v>
      </c>
      <c r="J588" s="4" t="str">
        <f>IFERROR(__xludf.DUMMYFUNCTION("GOOGLETRANSLATE(B588,""en"",""it"")"),"Mostra statistiche")</f>
        <v>Mostra statistiche</v>
      </c>
      <c r="K588" s="4" t="str">
        <f>IFERROR(__xludf.DUMMYFUNCTION("GOOGLETRANSLATE(B588,""en"",""pt"")"),"Mostrar estatísticas")</f>
        <v>Mostrar estatísticas</v>
      </c>
      <c r="L588" s="4" t="str">
        <f>IFERROR(__xludf.DUMMYFUNCTION("GOOGLETRANSLATE(B588,""en"",""ro"")"),"Afișează statistici")</f>
        <v>Afișează statistici</v>
      </c>
      <c r="M588" s="4" t="str">
        <f>IFERROR(__xludf.DUMMYFUNCTION("GOOGLETRANSLATE(B588,""en"",""vi"")"),"Hiển thị số liệu thống kê")</f>
        <v>Hiển thị số liệu thống kê</v>
      </c>
      <c r="N588" s="4" t="str">
        <f>IFERROR(__xludf.DUMMYFUNCTION("GOOGLETRANSLATE(B588,""en"",""ru"")"),"Показать статистику")</f>
        <v>Показать статистику</v>
      </c>
      <c r="O588" s="4" t="str">
        <f>IFERROR(__xludf.DUMMYFUNCTION("GOOGLETRANSLATE(B588,""en"",""tr"")"),"İstatistikleri Göster")</f>
        <v>İstatistikleri Göster</v>
      </c>
      <c r="P588" s="4" t="str">
        <f>IFERROR(__xludf.DUMMYFUNCTION("GOOGLETRANSLATE(B588,""en"",""ar"")"),"إظهار الإحصائيات")</f>
        <v>إظهار الإحصائيات</v>
      </c>
      <c r="Q588" s="4" t="str">
        <f>IFERROR(__xludf.DUMMYFUNCTION("GOOGLETRANSLATE(B588,""en"",""mr"")"),"आकडेवारी दाखवा")</f>
        <v>आकडेवारी दाखवा</v>
      </c>
      <c r="R588" s="4" t="str">
        <f>IFERROR(__xludf.DUMMYFUNCTION("GOOGLETRANSLATE(B588,""en"",""gu"")"),"આંકડા બતાવો")</f>
        <v>આંકડા બતાવો</v>
      </c>
      <c r="S588" s="4" t="str">
        <f>IFERROR(__xludf.DUMMYFUNCTION("GOOGLETRANSLATE(B588,""en"",""bn"")"),"পরিসংখ্যান দেখান")</f>
        <v>পরিসংখ্যান দেখান</v>
      </c>
      <c r="T588" s="4" t="str">
        <f>IFERROR(__xludf.DUMMYFUNCTION("GOOGLETRANSLATE(B588,""en"",""pa"")"),"ਅੰਕੜੇ ਦਿਖਾਓ")</f>
        <v>ਅੰਕੜੇ ਦਿਖਾਓ</v>
      </c>
      <c r="U588" s="4" t="str">
        <f>IFERROR(__xludf.DUMMYFUNCTION("GOOGLETRANSLATE(B588,""en"",""te"")"),"గణాంకాలను చూపు")</f>
        <v>గణాంకాలను చూపు</v>
      </c>
      <c r="V588" s="4" t="str">
        <f>IFERROR(__xludf.DUMMYFUNCTION("GOOGLETRANSLATE(B588,""en"",""kn"")"),"ಅಂಕಿಅಂಶಗಳನ್ನು ತೋರಿಸಿ")</f>
        <v>ಅಂಕಿಅಂಶಗಳನ್ನು ತೋರಿಸಿ</v>
      </c>
      <c r="W588" s="4" t="str">
        <f>IFERROR(__xludf.DUMMYFUNCTION("GOOGLETRANSLATE(B588,""en"",""ml"")"),"സ്ഥിതിവിവരക്കണക്കുകൾ കാണിക്കുക")</f>
        <v>സ്ഥിതിവിവരക്കണക്കുകൾ കാണിക്കുക</v>
      </c>
      <c r="X588" s="4" t="str">
        <f>IFERROR(__xludf.DUMMYFUNCTION("GOOGLETRANSLATE(B588,""en"",""th"")"),"แสดงสถิติ")</f>
        <v>แสดงสถิติ</v>
      </c>
      <c r="Y588" s="4" t="str">
        <f>IFERROR(__xludf.DUMMYFUNCTION("GOOGLETRANSLATE(B588,""en"",""ko"")"),"통계 표시")</f>
        <v>통계 표시</v>
      </c>
      <c r="Z588" s="4" t="str">
        <f>IFERROR(__xludf.DUMMYFUNCTION("GOOGLETRANSLATE(B588,""en"",""zh"")"),"显示统计数据")</f>
        <v>显示统计数据</v>
      </c>
      <c r="AA588" s="4" t="str">
        <f>IFERROR(__xludf.DUMMYFUNCTION("GOOGLETRANSLATE(B588,""en"",""zh-TW"")"),"顯示統計數據")</f>
        <v>顯示統計數據</v>
      </c>
      <c r="AB588" s="4" t="str">
        <f>IFERROR(__xludf.DUMMYFUNCTION("GOOGLETRANSLATE(B588,""en"",""ja"")"),"統計を表示")</f>
        <v>統計を表示</v>
      </c>
      <c r="AC588" s="4" t="str">
        <f>IFERROR(__xludf.DUMMYFUNCTION("GOOGLETRANSLATE(B588,""en"",""bg"")"),"Показване на статистика")</f>
        <v>Показване на статистика</v>
      </c>
      <c r="AD588" s="4" t="str">
        <f>IFERROR(__xludf.DUMMYFUNCTION("GOOGLETRANSLATE(B588,""en"",""cs"")"),"Zobrazit statistiky")</f>
        <v>Zobrazit statistiky</v>
      </c>
      <c r="AE588" s="4" t="str">
        <f>IFERROR(__xludf.DUMMYFUNCTION("GOOGLETRANSLATE(B588,""en"",""da"")"),"Vis statistik")</f>
        <v>Vis statistik</v>
      </c>
      <c r="AF588" s="4" t="str">
        <f>IFERROR(__xludf.DUMMYFUNCTION("GOOGLETRANSLATE(B588,""en"",""el"")"),"Εμφάνιση στατιστικών")</f>
        <v>Εμφάνιση στατιστικών</v>
      </c>
      <c r="AG588" s="4" t="str">
        <f>IFERROR(__xludf.DUMMYFUNCTION("GOOGLETRANSLATE(B588,""en"",""et"")"),"Näita statistikat")</f>
        <v>Näita statistikat</v>
      </c>
      <c r="AH588" s="4" t="str">
        <f>IFERROR(__xludf.DUMMYFUNCTION("GOOGLETRANSLATE(B588,""en"",""fi"")"),"Näytä tilastot")</f>
        <v>Näytä tilastot</v>
      </c>
      <c r="AI588" s="4" t="str">
        <f>IFERROR(__xludf.DUMMYFUNCTION("GOOGLETRANSLATE(B588,""en"",""hr"")"),"Prikaži statistiku")</f>
        <v>Prikaži statistiku</v>
      </c>
      <c r="AJ588" s="4" t="str">
        <f>IFERROR(__xludf.DUMMYFUNCTION("GOOGLETRANSLATE(B588,""en"",""hu"")"),"Statisztikák megjelenítése")</f>
        <v>Statisztikák megjelenítése</v>
      </c>
      <c r="AK588" s="4" t="str">
        <f>IFERROR(__xludf.DUMMYFUNCTION("GOOGLETRANSLATE(B588,""en"",""hy"")"),"Ցույց տալ վիճակագրությունը")</f>
        <v>Ցույց տալ վիճակագրությունը</v>
      </c>
      <c r="AL588" s="4" t="str">
        <f>IFERROR(__xludf.DUMMYFUNCTION("GOOGLETRANSLATE(B588,""en"",""ca"")"),"Mostra les estadístiques")</f>
        <v>Mostra les estadístiques</v>
      </c>
      <c r="AM588" s="4" t="str">
        <f>IFERROR(__xludf.DUMMYFUNCTION("GOOGLETRANSLATE(B588,""en"",""nl"")"),"Statistieken weergeven")</f>
        <v>Statistieken weergeven</v>
      </c>
      <c r="AN588" s="4" t="str">
        <f>IFERROR(__xludf.DUMMYFUNCTION("GOOGLETRANSLATE(B588,""en"",""he"")"),"הצג סטטיסטיקות")</f>
        <v>הצג סטטיסטיקות</v>
      </c>
      <c r="AO588" s="4" t="str">
        <f>IFERROR(__xludf.DUMMYFUNCTION("GOOGLETRANSLATE(B588,""en"",""is"")"),"Sýna tölfræði")</f>
        <v>Sýna tölfræði</v>
      </c>
      <c r="AP588" s="4" t="str">
        <f>IFERROR(__xludf.DUMMYFUNCTION("GOOGLETRANSLATE(B588,""en"",""no"")"),"Vis statistikk")</f>
        <v>Vis statistikk</v>
      </c>
      <c r="AQ588" s="4" t="str">
        <f>IFERROR(__xludf.DUMMYFUNCTION("GOOGLETRANSLATE(B588,""en"",""fa"")"),"نمایش آمار")</f>
        <v>نمایش آمار</v>
      </c>
      <c r="AR588" s="4" t="str">
        <f>IFERROR(__xludf.DUMMYFUNCTION("GOOGLETRANSLATE(B588,""en"",""pl"")"),"Pokaż statystyki")</f>
        <v>Pokaż statystyki</v>
      </c>
      <c r="AS588" s="4" t="str">
        <f>IFERROR(__xludf.DUMMYFUNCTION("GOOGLETRANSLATE(B588,""en"",""sv"")"),"Visa statistik")</f>
        <v>Visa statistik</v>
      </c>
      <c r="AT588" s="4" t="str">
        <f>IFERROR(__xludf.DUMMYFUNCTION("GOOGLETRANSLATE(B588,""en"",""uk"")"),"Показати статистику")</f>
        <v>Показати статистику</v>
      </c>
      <c r="AU588" s="4" t="str">
        <f>IFERROR(__xludf.DUMMYFUNCTION("GOOGLETRANSLATE(B588,""en"",""zu"")"),"Bonisa Izibalo")</f>
        <v>Bonisa Izibalo</v>
      </c>
      <c r="AV588" s="4" t="str">
        <f>IFERROR(__xludf.DUMMYFUNCTION("GOOGLETRANSLATE(B588,""en"",""sr"")"),"Прикажи статистику")</f>
        <v>Прикажи статистику</v>
      </c>
    </row>
    <row r="589">
      <c r="A589" s="3" t="s">
        <v>1127</v>
      </c>
      <c r="B589" s="3" t="s">
        <v>1128</v>
      </c>
      <c r="C589" s="4" t="str">
        <f>IFERROR(__xludf.DUMMYFUNCTION("GOOGLETRANSLATE(B589,""en"",""ta"")"),"தொடக்க பொத்தானைத் தட்டவும், அது உங்கள் படிகளை எண்ணத் தொடங்குகிறது. உங்கள் ஃபோன் உங்கள் கையிலோ, பையிலோ, பாக்கெட்டிலோ அல்லது கவசத்தில் இருந்தாலும், அது உங்கள் படிகளைக் கணக்கிடும்.")</f>
        <v>தொடக்க பொத்தானைத் தட்டவும், அது உங்கள் படிகளை எண்ணத் தொடங்குகிறது. உங்கள் ஃபோன் உங்கள் கையிலோ, பையிலோ, பாக்கெட்டிலோ அல்லது கவசத்தில் இருந்தாலும், அது உங்கள் படிகளைக் கணக்கிடும்.</v>
      </c>
      <c r="D589" s="4" t="str">
        <f>IFERROR(__xludf.DUMMYFUNCTION("GOOGLETRANSLATE(B589,""en"",""hi"")"),"बस स्टार्ट बटन पर टैप करें और यह आपके कदमों की गिनती शुरू कर देगा। चाहे आपका फ़ोन आपके हाथ में हो, बैग में हो, जेब में हो या आर्मबैंड में हो, यह आपके कदमों की गिनती करेगा।")</f>
        <v>बस स्टार्ट बटन पर टैप करें और यह आपके कदमों की गिनती शुरू कर देगा। चाहे आपका फ़ोन आपके हाथ में हो, बैग में हो, जेब में हो या आर्मबैंड में हो, यह आपके कदमों की गिनती करेगा।</v>
      </c>
      <c r="E589" s="4" t="str">
        <f>IFERROR(__xludf.DUMMYFUNCTION("GOOGLETRANSLATE(B589,""en"",""id"")"),"Cukup ketuk tombol mulai, dan aplikasi akan mulai menghitung langkah Anda. Baik ponsel Anda ada di tangan, tas, saku, atau gelang, aplikasi akan menghitung langkah Anda.")</f>
        <v>Cukup ketuk tombol mulai, dan aplikasi akan mulai menghitung langkah Anda. Baik ponsel Anda ada di tangan, tas, saku, atau gelang, aplikasi akan menghitung langkah Anda.</v>
      </c>
      <c r="F589" s="4" t="str">
        <f>IFERROR(__xludf.DUMMYFUNCTION("GOOGLETRANSLATE(B589,""en"",""ms"")"),"Hanya ketik butang mula, dan ia mula mengira langkah anda. Sama ada telefon anda berada di tangan, beg, poket atau lilitan tangan anda, ia akan mengira langkah anda.")</f>
        <v>Hanya ketik butang mula, dan ia mula mengira langkah anda. Sama ada telefon anda berada di tangan, beg, poket atau lilitan tangan anda, ia akan mengira langkah anda.</v>
      </c>
      <c r="G589" s="4" t="str">
        <f>IFERROR(__xludf.DUMMYFUNCTION("GOOGLETRANSLATE(B589,""en"",""de"")"),"Tippen Sie einfach auf die Starttaste, und schon beginnt das Zählen Ihrer Schritte. Egal, ob Sie Ihr Telefon in der Hand, in der Tasche oder am Armband tragen, es zählt Ihre Schritte.")</f>
        <v>Tippen Sie einfach auf die Starttaste, und schon beginnt das Zählen Ihrer Schritte. Egal, ob Sie Ihr Telefon in der Hand, in der Tasche oder am Armband tragen, es zählt Ihre Schritte.</v>
      </c>
      <c r="H589" s="4" t="str">
        <f>IFERROR(__xludf.DUMMYFUNCTION("GOOGLETRANSLATE(B589,""en"",""es"")"),"Solo tienes que pulsar el botón de inicio y empezará a contar tus pasos. Ya sea que lleves el teléfono en la mano, en el bolso, en el bolsillo o en el brazalete, contará tus pasos.")</f>
        <v>Solo tienes que pulsar el botón de inicio y empezará a contar tus pasos. Ya sea que lleves el teléfono en la mano, en el bolso, en el bolsillo o en el brazalete, contará tus pasos.</v>
      </c>
      <c r="I589" s="4" t="str">
        <f>IFERROR(__xludf.DUMMYFUNCTION("GOOGLETRANSLATE(B589,""en"",""fr"")"),"Appuyez simplement sur le bouton de démarrage et le compteur de pas commence. Que votre téléphone soit dans votre main, votre sac, votre poche ou votre brassard, il compte vos pas.")</f>
        <v>Appuyez simplement sur le bouton de démarrage et le compteur de pas commence. Que votre téléphone soit dans votre main, votre sac, votre poche ou votre brassard, il compte vos pas.</v>
      </c>
      <c r="J589" s="4" t="str">
        <f>IFERROR(__xludf.DUMMYFUNCTION("GOOGLETRANSLATE(B589,""en"",""it"")"),"Basta toccare il pulsante di avvio e inizierà a contare i tuoi passi. Che tu abbia il telefono in mano, in borsa, in tasca o nella fascia da braccio, conterà i tuoi passi.")</f>
        <v>Basta toccare il pulsante di avvio e inizierà a contare i tuoi passi. Che tu abbia il telefono in mano, in borsa, in tasca o nella fascia da braccio, conterà i tuoi passi.</v>
      </c>
      <c r="K589" s="4" t="str">
        <f>IFERROR(__xludf.DUMMYFUNCTION("GOOGLETRANSLATE(B589,""en"",""pt"")"),"Basta tocar no botão Iniciar e ele começará a contar seus passos. Esteja o seu celular na mão, na bolsa, no bolso ou na braçadeira, ele contará seus passos.")</f>
        <v>Basta tocar no botão Iniciar e ele começará a contar seus passos. Esteja o seu celular na mão, na bolsa, no bolso ou na braçadeira, ele contará seus passos.</v>
      </c>
      <c r="L589" s="4" t="str">
        <f>IFERROR(__xludf.DUMMYFUNCTION("GOOGLETRANSLATE(B589,""en"",""ro"")"),"Doar atingeți butonul de pornire și începe să vă număre pașii. Indiferent dacă telefonul este în mână, geantă, buzunar sau banderolă, acesta vă va număra pașii.")</f>
        <v>Doar atingeți butonul de pornire și începe să vă număre pașii. Indiferent dacă telefonul este în mână, geantă, buzunar sau banderolă, acesta vă va număra pașii.</v>
      </c>
      <c r="M589" s="4" t="str">
        <f>IFERROR(__xludf.DUMMYFUNCTION("GOOGLETRANSLATE(B589,""en"",""vi"")"),"Chỉ cần chạm vào nút bắt đầu và nó sẽ bắt đầu đếm số bước chân của bạn. Cho dù điện thoại của bạn đang ở trong tay, trong túi, trong túi quần hay trong vòng đeo tay, nó sẽ đếm số bước chân của bạn.")</f>
        <v>Chỉ cần chạm vào nút bắt đầu và nó sẽ bắt đầu đếm số bước chân của bạn. Cho dù điện thoại của bạn đang ở trong tay, trong túi, trong túi quần hay trong vòng đeo tay, nó sẽ đếm số bước chân của bạn.</v>
      </c>
      <c r="N589" s="4" t="str">
        <f>IFERROR(__xludf.DUMMYFUNCTION("GOOGLETRANSLATE(B589,""en"",""ru"")"),"Просто нажмите кнопку «Старт», и он начнет подсчет ваших шагов. Независимо от того, находится ли ваш телефон в руке, сумке, кармане или нарукавном браслете, он будет подсчитывать ваши шаги.")</f>
        <v>Просто нажмите кнопку «Старт», и он начнет подсчет ваших шагов. Независимо от того, находится ли ваш телефон в руке, сумке, кармане или нарукавном браслете, он будет подсчитывать ваши шаги.</v>
      </c>
      <c r="O589" s="4" t="str">
        <f>IFERROR(__xludf.DUMMYFUNCTION("GOOGLETRANSLATE(B589,""en"",""tr"")"),"Başlat düğmesine dokunmanız yeterli ve adımlarınızı saymaya başlar. Telefonunuz elinizde, çantanızda, cebinizde veya kol bandınızda olsun, adımlarınızı sayacaktır.")</f>
        <v>Başlat düğmesine dokunmanız yeterli ve adımlarınızı saymaya başlar. Telefonunuz elinizde, çantanızda, cebinizde veya kol bandınızda olsun, adımlarınızı sayacaktır.</v>
      </c>
      <c r="P589" s="4" t="str">
        <f>IFERROR(__xludf.DUMMYFUNCTION("GOOGLETRANSLATE(B589,""en"",""ar"")"),"ما عليك سوى الضغط على زر البدء، وسيبدأ التطبيق بحساب خطواتك. سواءً كان هاتفك في يدك، أو حقيبتك، أو جيبك، أو سوارك، فسيحسب خطواتك.")</f>
        <v>ما عليك سوى الضغط على زر البدء، وسيبدأ التطبيق بحساب خطواتك. سواءً كان هاتفك في يدك، أو حقيبتك، أو جيبك، أو سوارك، فسيحسب خطواتك.</v>
      </c>
      <c r="Q589" s="4" t="str">
        <f>IFERROR(__xludf.DUMMYFUNCTION("GOOGLETRANSLATE(B589,""en"",""mr"")"),"फक्त स्टार्ट बटणावर टॅप करा आणि ते तुमच्या पायऱ्या मोजण्यास सुरुवात करेल. तुमचा फोन तुमच्या हातात, पिशवी, खिशात किंवा आर्मबँडमध्ये असो, तो तुमची पावले मोजेल.")</f>
        <v>फक्त स्टार्ट बटणावर टॅप करा आणि ते तुमच्या पायऱ्या मोजण्यास सुरुवात करेल. तुमचा फोन तुमच्या हातात, पिशवी, खिशात किंवा आर्मबँडमध्ये असो, तो तुमची पावले मोजेल.</v>
      </c>
      <c r="R589" s="4" t="str">
        <f>IFERROR(__xludf.DUMMYFUNCTION("GOOGLETRANSLATE(B589,""en"",""gu"")"),"ફક્ત પ્રારંભ બટનને ટેપ કરો, અને તે તમારા પગલાઓની ગણતરી કરવાનું શરૂ કરે છે. ભલે તમારો ફોન તમારા હાથમાં હોય, બેગમાં, ખિસ્સામાં કે આર્મબેન્ડમાં હોય, તે તમારા પગલાંની ગણતરી કરશે.")</f>
        <v>ફક્ત પ્રારંભ બટનને ટેપ કરો, અને તે તમારા પગલાઓની ગણતરી કરવાનું શરૂ કરે છે. ભલે તમારો ફોન તમારા હાથમાં હોય, બેગમાં, ખિસ્સામાં કે આર્મબેન્ડમાં હોય, તે તમારા પગલાંની ગણતરી કરશે.</v>
      </c>
      <c r="S589" s="4" t="str">
        <f>IFERROR(__xludf.DUMMYFUNCTION("GOOGLETRANSLATE(B589,""en"",""bn"")"),"শুধু স্টার্ট বোতামটি আলতো চাপুন, এবং এটি আপনার পদক্ষেপগুলি গণনা শুরু করে। আপনার ফোন আপনার হাতে, ব্যাগ, পকেটে বা আর্মব্যান্ডে থাকুক না কেন, এটি আপনার পদক্ষেপ গণনা করবে।")</f>
        <v>শুধু স্টার্ট বোতামটি আলতো চাপুন, এবং এটি আপনার পদক্ষেপগুলি গণনা শুরু করে। আপনার ফোন আপনার হাতে, ব্যাগ, পকেটে বা আর্মব্যান্ডে থাকুক না কেন, এটি আপনার পদক্ষেপ গণনা করবে।</v>
      </c>
      <c r="T589" s="4" t="str">
        <f>IFERROR(__xludf.DUMMYFUNCTION("GOOGLETRANSLATE(B589,""en"",""pa"")"),"ਬੱਸ ਸਟਾਰਟ ਬਟਨ ਨੂੰ ਟੈਪ ਕਰੋ, ਅਤੇ ਇਹ ਤੁਹਾਡੇ ਕਦਮਾਂ ਦੀ ਗਿਣਤੀ ਕਰਨਾ ਸ਼ੁਰੂ ਕਰ ਦਿੰਦਾ ਹੈ। ਭਾਵੇਂ ਤੁਹਾਡਾ ਫ਼ੋਨ ਤੁਹਾਡੇ ਹੱਥ, ਬੈਗ, ਜੇਬ ਜਾਂ ਆਰਮਬੈਂਡ ਵਿੱਚ ਹੋਵੇ, ਇਹ ਤੁਹਾਡੇ ਕਦਮਾਂ ਦੀ ਗਿਣਤੀ ਕਰੇਗਾ।")</f>
        <v>ਬੱਸ ਸਟਾਰਟ ਬਟਨ ਨੂੰ ਟੈਪ ਕਰੋ, ਅਤੇ ਇਹ ਤੁਹਾਡੇ ਕਦਮਾਂ ਦੀ ਗਿਣਤੀ ਕਰਨਾ ਸ਼ੁਰੂ ਕਰ ਦਿੰਦਾ ਹੈ। ਭਾਵੇਂ ਤੁਹਾਡਾ ਫ਼ੋਨ ਤੁਹਾਡੇ ਹੱਥ, ਬੈਗ, ਜੇਬ ਜਾਂ ਆਰਮਬੈਂਡ ਵਿੱਚ ਹੋਵੇ, ਇਹ ਤੁਹਾਡੇ ਕਦਮਾਂ ਦੀ ਗਿਣਤੀ ਕਰੇਗਾ।</v>
      </c>
      <c r="U589" s="4" t="str">
        <f>IFERROR(__xludf.DUMMYFUNCTION("GOOGLETRANSLATE(B589,""en"",""te"")"),"ప్రారంభ బటన్‌ను నొక్కండి మరియు అది మీ దశలను లెక్కించడం ప్రారంభిస్తుంది. మీ ఫోన్ మీ చేతిలో, బ్యాగ్‌లో, జేబులో లేదా ఆర్మ్‌బ్యాండ్‌లో ఉన్నా, అది మీ దశలను లెక్కిస్తుంది.")</f>
        <v>ప్రారంభ బటన్‌ను నొక్కండి మరియు అది మీ దశలను లెక్కించడం ప్రారంభిస్తుంది. మీ ఫోన్ మీ చేతిలో, బ్యాగ్‌లో, జేబులో లేదా ఆర్మ్‌బ్యాండ్‌లో ఉన్నా, అది మీ దశలను లెక్కిస్తుంది.</v>
      </c>
      <c r="V589" s="4" t="str">
        <f>IFERROR(__xludf.DUMMYFUNCTION("GOOGLETRANSLATE(B589,""en"",""kn"")"),"ಪ್ರಾರಂಭ ಬಟನ್ ಅನ್ನು ಟ್ಯಾಪ್ ಮಾಡಿ ಮತ್ತು ಅದು ನಿಮ್ಮ ಹಂತಗಳನ್ನು ಎಣಿಸಲು ಪ್ರಾರಂಭಿಸುತ್ತದೆ. ನಿಮ್ಮ ಫೋನ್ ನಿಮ್ಮ ಕೈಯಲ್ಲಿ, ಬ್ಯಾಗ್, ಪಾಕೆಟ್ ಅಥವಾ ಆರ್ಮ್‌ಬ್ಯಾಂಡ್‌ನಲ್ಲಿರಲಿ, ಅದು ನಿಮ್ಮ ಹೆಜ್ಜೆಗಳನ್ನು ಎಣಿಸುತ್ತದೆ.")</f>
        <v>ಪ್ರಾರಂಭ ಬಟನ್ ಅನ್ನು ಟ್ಯಾಪ್ ಮಾಡಿ ಮತ್ತು ಅದು ನಿಮ್ಮ ಹಂತಗಳನ್ನು ಎಣಿಸಲು ಪ್ರಾರಂಭಿಸುತ್ತದೆ. ನಿಮ್ಮ ಫೋನ್ ನಿಮ್ಮ ಕೈಯಲ್ಲಿ, ಬ್ಯಾಗ್, ಪಾಕೆಟ್ ಅಥವಾ ಆರ್ಮ್‌ಬ್ಯಾಂಡ್‌ನಲ್ಲಿರಲಿ, ಅದು ನಿಮ್ಮ ಹೆಜ್ಜೆಗಳನ್ನು ಎಣಿಸುತ್ತದೆ.</v>
      </c>
      <c r="W589" s="4" t="str">
        <f>IFERROR(__xludf.DUMMYFUNCTION("GOOGLETRANSLATE(B589,""en"",""ml"")"),"ആരംഭ ബട്ടൺ ടാപ്പുചെയ്യുക, അത് നിങ്ങളുടെ ഘട്ടങ്ങൾ എണ്ണാൻ തുടങ്ങുന്നു. നിങ്ങളുടെ ഫോൺ നിങ്ങളുടെ കയ്യിലോ ബാഗിലോ പോക്കറ്റിലോ ആംബാൻഡിലോ ഉണ്ടെങ്കിലും, അത് നിങ്ങളുടെ ചുവടുകൾ കണക്കാക്കും.")</f>
        <v>ആരംഭ ബട്ടൺ ടാപ്പുചെയ്യുക, അത് നിങ്ങളുടെ ഘട്ടങ്ങൾ എണ്ണാൻ തുടങ്ങുന്നു. നിങ്ങളുടെ ഫോൺ നിങ്ങളുടെ കയ്യിലോ ബാഗിലോ പോക്കറ്റിലോ ആംബാൻഡിലോ ഉണ്ടെങ്കിലും, അത് നിങ്ങളുടെ ചുവടുകൾ കണക്കാക്കും.</v>
      </c>
      <c r="X589" s="4" t="str">
        <f>IFERROR(__xludf.DUMMYFUNCTION("GOOGLETRANSLATE(B589,""en"",""th"")"),"เพียงแตะปุ่มเริ่มต้น แล้วเครื่องจะเริ่มนับก้าวของคุณ ไม่ว่าโทรศัพท์จะอยู่ในมือ กระเป๋า กระเป๋าเสื้อ หรือปลอกแขน เครื่องก็จะนับก้าวของคุณ")</f>
        <v>เพียงแตะปุ่มเริ่มต้น แล้วเครื่องจะเริ่มนับก้าวของคุณ ไม่ว่าโทรศัพท์จะอยู่ในมือ กระเป๋า กระเป๋าเสื้อ หรือปลอกแขน เครื่องก็จะนับก้าวของคุณ</v>
      </c>
      <c r="Y589" s="4" t="str">
        <f>IFERROR(__xludf.DUMMYFUNCTION("GOOGLETRANSLATE(B589,""en"",""ko"")"),"시작 버튼을 누르기만 하면 걸음 수를 측정하기 시작합니다. 휴대폰이 손에 있든, 가방에 있든, 주머니에 있든, 암밴드에 있든, 걸음 수를 측정합니다.")</f>
        <v>시작 버튼을 누르기만 하면 걸음 수를 측정하기 시작합니다. 휴대폰이 손에 있든, 가방에 있든, 주머니에 있든, 암밴드에 있든, 걸음 수를 측정합니다.</v>
      </c>
      <c r="Z589" s="4" t="str">
        <f>IFERROR(__xludf.DUMMYFUNCTION("GOOGLETRANSLATE(B589,""en"",""zh"")"),"只需轻触“开始”按钮，即可开始计算步数。无论您的手机放在手中、包里、口袋里还是臂环里，它都会计算您的步数。")</f>
        <v>只需轻触“开始”按钮，即可开始计算步数。无论您的手机放在手中、包里、口袋里还是臂环里，它都会计算您的步数。</v>
      </c>
      <c r="AA589" s="4" t="str">
        <f>IFERROR(__xludf.DUMMYFUNCTION("GOOGLETRANSLATE(B589,""en"",""zh-TW"")"),"只需輕觸「開始」按鈕，即可開始計算步數。無論您的手機放在手中、包包、口袋或臂環裡，它都會計算您的步數。")</f>
        <v>只需輕觸「開始」按鈕，即可開始計算步數。無論您的手機放在手中、包包、口袋或臂環裡，它都會計算您的步數。</v>
      </c>
      <c r="AB589" s="4" t="str">
        <f>IFERROR(__xludf.DUMMYFUNCTION("GOOGLETRANSLATE(B589,""en"",""ja"")"),"スタートボタンをタップするだけで歩数のカウントが始まります。スマートフォンを手に持っていても、バッグ、ポケット、アームバンドに入れていても、歩数をカウントします。")</f>
        <v>スタートボタンをタップするだけで歩数のカウントが始まります。スマートフォンを手に持っていても、バッグ、ポケット、アームバンドに入れていても、歩数をカウントします。</v>
      </c>
      <c r="AC589" s="4" t="str">
        <f>IFERROR(__xludf.DUMMYFUNCTION("GOOGLETRANSLATE(B589,""en"",""bg"")"),"Просто докоснете бутона за стартиране и той започва да брои стъпките ви. Независимо дали телефонът ви е в ръката, чантата, джоба или лентата за ръка, той ще брои стъпките ви.")</f>
        <v>Просто докоснете бутона за стартиране и той започва да брои стъпките ви. Независимо дали телефонът ви е в ръката, чантата, джоба или лентата за ръка, той ще брои стъпките ви.</v>
      </c>
      <c r="AD589" s="4" t="str">
        <f>IFERROR(__xludf.DUMMYFUNCTION("GOOGLETRANSLATE(B589,""en"",""cs"")"),"Stačí klepnout na tlačítko Start a začne počítat vaše kroky. Ať už máte telefon v ruce, tašce, kapse nebo náramku, bude počítat vaše kroky.")</f>
        <v>Stačí klepnout na tlačítko Start a začne počítat vaše kroky. Ať už máte telefon v ruce, tašce, kapse nebo náramku, bude počítat vaše kroky.</v>
      </c>
      <c r="AE589" s="4" t="str">
        <f>IFERROR(__xludf.DUMMYFUNCTION("GOOGLETRANSLATE(B589,""en"",""da"")"),"Bare tryk på startknappen, og den begynder at tælle dine skridt. Uanset om din telefon er i din hånd, taske, lomme eller armbånd, vil den tælle dine skridt.")</f>
        <v>Bare tryk på startknappen, og den begynder at tælle dine skridt. Uanset om din telefon er i din hånd, taske, lomme eller armbånd, vil den tælle dine skridt.</v>
      </c>
      <c r="AF589" s="4" t="str">
        <f>IFERROR(__xludf.DUMMYFUNCTION("GOOGLETRANSLATE(B589,""en"",""el"")"),"Απλώς πατήστε το κουμπί έναρξης και θα αρχίσει να μετράει τα βήματά σας. Είτε το τηλέφωνό σας βρίσκεται στο χέρι, στην τσάντα, στην τσέπη ή στο περιβραχιόνιο, θα μετρήσει τα βήματά σας.")</f>
        <v>Απλώς πατήστε το κουμπί έναρξης και θα αρχίσει να μετράει τα βήματά σας. Είτε το τηλέφωνό σας βρίσκεται στο χέρι, στην τσάντα, στην τσέπη ή στο περιβραχιόνιο, θα μετρήσει τα βήματά σας.</v>
      </c>
      <c r="AG589" s="4" t="str">
        <f>IFERROR(__xludf.DUMMYFUNCTION("GOOGLETRANSLATE(B589,""en"",""et"")"),"Puudutage lihtsalt käivitusnuppu ja see hakkab teie samme lugema. Olenemata sellest, kas telefon on käes, kotis, taskus või käepael, loeb see teie samme.")</f>
        <v>Puudutage lihtsalt käivitusnuppu ja see hakkab teie samme lugema. Olenemata sellest, kas telefon on käes, kotis, taskus või käepael, loeb see teie samme.</v>
      </c>
      <c r="AH589" s="4" t="str">
        <f>IFERROR(__xludf.DUMMYFUNCTION("GOOGLETRANSLATE(B589,""en"",""fi"")"),"Napauta vain aloituspainiketta, ja se alkaa laskea askeleitasi. Olipa puhelimesi kädessäsi, laukussasi, taskussasi tai käsivarsinauhassa, se laskee askeleesi.")</f>
        <v>Napauta vain aloituspainiketta, ja se alkaa laskea askeleitasi. Olipa puhelimesi kädessäsi, laukussasi, taskussasi tai käsivarsinauhassa, se laskee askeleesi.</v>
      </c>
      <c r="AI589" s="4" t="str">
        <f>IFERROR(__xludf.DUMMYFUNCTION("GOOGLETRANSLATE(B589,""en"",""hr"")"),"Samo dodirnite gumb za početak i ono će početi brojati vaše korake. Bilo da vam je telefon u ruci, torbi, džepu ili narukvici, brojat će vaše korake.")</f>
        <v>Samo dodirnite gumb za početak i ono će početi brojati vaše korake. Bilo da vam je telefon u ruci, torbi, džepu ili narukvici, brojat će vaše korake.</v>
      </c>
      <c r="AJ589" s="4" t="str">
        <f>IFERROR(__xludf.DUMMYFUNCTION("GOOGLETRANSLATE(B589,""en"",""hu"")"),"Csak érintse meg a Start gombot, és elkezdi számolni a lépéseket. Akár a kezében, akár a táskájában, a zsebében vagy a karszalagjában van a telefon, számolni fogja a lépéseit.")</f>
        <v>Csak érintse meg a Start gombot, és elkezdi számolni a lépéseket. Akár a kezében, akár a táskájában, a zsebében vagy a karszalagjában van a telefon, számolni fogja a lépéseit.</v>
      </c>
      <c r="AK589" s="4" t="str">
        <f>IFERROR(__xludf.DUMMYFUNCTION("GOOGLETRANSLATE(B589,""en"",""hy"")"),"Պարզապես սեղմեք մեկնարկի կոճակը, և այն սկսում է հաշվել ձեր քայլերը: Անկախ նրանից՝ ձեր հեռախոսը ձեռքում է, պայուսակում, գրպանում կամ թեւկապով, այն կհաշվի ձեր քայլերը:")</f>
        <v>Պարզապես սեղմեք մեկնարկի կոճակը, և այն սկսում է հաշվել ձեր քայլերը: Անկախ նրանից՝ ձեր հեռախոսը ձեռքում է, պայուսակում, գրպանում կամ թեւկապով, այն կհաշվի ձեր քայլերը:</v>
      </c>
      <c r="AL589" s="4" t="str">
        <f>IFERROR(__xludf.DUMMYFUNCTION("GOOGLETRANSLATE(B589,""en"",""ca"")"),"Només cal que toqueu el botó d'inici i començarà a comptar els vostres passos. Tant si el teu telèfon està a la mà, a la bossa, a la butxaca o al braç, comptarà els teus passos.")</f>
        <v>Només cal que toqueu el botó d'inici i començarà a comptar els vostres passos. Tant si el teu telèfon està a la mà, a la bossa, a la butxaca o al braç, comptarà els teus passos.</v>
      </c>
      <c r="AM589" s="4" t="str">
        <f>IFERROR(__xludf.DUMMYFUNCTION("GOOGLETRANSLATE(B589,""en"",""nl"")"),"Tik gewoon op de startknop en het apparaat begint je stappen te tellen. Of je je telefoon nu in je hand, tas, zak of armband hebt, het telt je stappen.")</f>
        <v>Tik gewoon op de startknop en het apparaat begint je stappen te tellen. Of je je telefoon nu in je hand, tas, zak of armband hebt, het telt je stappen.</v>
      </c>
      <c r="AN589" s="4" t="str">
        <f>IFERROR(__xludf.DUMMYFUNCTION("GOOGLETRANSLATE(B589,""en"",""he"")"),"פשוט הקש על כפתור ההתחלה, והוא יתחיל לספור את הצעדים שלך. בין אם הטלפון שלך נמצא ביד, בתיק, בכיס או בסרט הזרוע, הוא יספור את הצעדים שלך.")</f>
        <v>פשוט הקש על כפתור ההתחלה, והוא יתחיל לספור את הצעדים שלך. בין אם הטלפון שלך נמצא ביד, בתיק, בכיס או בסרט הזרוע, הוא יספור את הצעדים שלך.</v>
      </c>
      <c r="AO589" s="4" t="str">
        <f>IFERROR(__xludf.DUMMYFUNCTION("GOOGLETRANSLATE(B589,""en"",""is"")"),"Bankaðu bara á byrjunarhnappinn og hann byrjar að telja skrefin þín. Hvort sem síminn þinn er í hendinni, töskunni, vasanum eða armbandinu mun hann telja skrefin þín.")</f>
        <v>Bankaðu bara á byrjunarhnappinn og hann byrjar að telja skrefin þín. Hvort sem síminn þinn er í hendinni, töskunni, vasanum eða armbandinu mun hann telja skrefin þín.</v>
      </c>
      <c r="AP589" s="4" t="str">
        <f>IFERROR(__xludf.DUMMYFUNCTION("GOOGLETRANSLATE(B589,""en"",""no"")"),"Bare trykk på startknappen, så begynner den å telle skrittene dine. Enten telefonen din er i hånden, vesken, lommen eller armbåndet, vil den telle skrittene dine.")</f>
        <v>Bare trykk på startknappen, så begynner den å telle skrittene dine. Enten telefonen din er i hånden, vesken, lommen eller armbåndet, vil den telle skrittene dine.</v>
      </c>
      <c r="AQ589" s="4" t="str">
        <f>IFERROR(__xludf.DUMMYFUNCTION("GOOGLETRANSLATE(B589,""en"",""fa"")"),"فقط روی دکمه شروع ضربه بزنید و شروع به شمارش قدم های شما می کند. چه تلفن شما در دست باشد، چه کیف، چه جیب یا بازوبند، قدم های شما را می شمارد.")</f>
        <v>فقط روی دکمه شروع ضربه بزنید و شروع به شمارش قدم های شما می کند. چه تلفن شما در دست باشد، چه کیف، چه جیب یا بازوبند، قدم های شما را می شمارد.</v>
      </c>
      <c r="AR589" s="4" t="str">
        <f>IFERROR(__xludf.DUMMYFUNCTION("GOOGLETRANSLATE(B589,""en"",""pl"")"),"Wystarczy nacisnąć przycisk start, a urządzenie zacznie liczyć Twoje kroki. Niezależnie od tego, czy telefon znajduje się w Twojej dłoni, torbie, kieszeni czy opasce na ramię, urządzenie będzie liczyć Twoje kroki.")</f>
        <v>Wystarczy nacisnąć przycisk start, a urządzenie zacznie liczyć Twoje kroki. Niezależnie od tego, czy telefon znajduje się w Twojej dłoni, torbie, kieszeni czy opasce na ramię, urządzenie będzie liczyć Twoje kroki.</v>
      </c>
      <c r="AS589" s="4" t="str">
        <f>IFERROR(__xludf.DUMMYFUNCTION("GOOGLETRANSLATE(B589,""en"",""sv"")"),"Tryck bara på startknappen så börjar den räkna dina steg. Oavsett om din telefon ligger i handen, väskan, fickan eller armbandet, kommer den att räkna dina steg.")</f>
        <v>Tryck bara på startknappen så börjar den räkna dina steg. Oavsett om din telefon ligger i handen, väskan, fickan eller armbandet, kommer den att räkna dina steg.</v>
      </c>
      <c r="AT589" s="4" t="str">
        <f>IFERROR(__xludf.DUMMYFUNCTION("GOOGLETRANSLATE(B589,""en"",""uk"")"),"Просто натисніть кнопку «Пуск», і він почне підраховувати ваші кроки. У руці, сумці, кишені чи пов’язці телефон рахуватиме ваші кроки.")</f>
        <v>Просто натисніть кнопку «Пуск», і він почне підраховувати ваші кроки. У руці, сумці, кишені чи пов’язці телефон рахуватиме ваші кроки.</v>
      </c>
      <c r="AU589" s="4" t="str">
        <f>IFERROR(__xludf.DUMMYFUNCTION("GOOGLETRANSLATE(B589,""en"",""zu"")"),"Vele uthephe inkinobho yokuqala, bese iqala ukubala izinyathelo zakho. Noma ngabe ifoni yakho isesandleni sakho, esikhwameni, ephaketheni, noma ebhandeni lengalo, izobala izinyathelo zakho.")</f>
        <v>Vele uthephe inkinobho yokuqala, bese iqala ukubala izinyathelo zakho. Noma ngabe ifoni yakho isesandleni sakho, esikhwameni, ephaketheni, noma ebhandeni lengalo, izobala izinyathelo zakho.</v>
      </c>
      <c r="AV589" s="4" t="str">
        <f>IFERROR(__xludf.DUMMYFUNCTION("GOOGLETRANSLATE(B589,""en"",""sr"")"),"Само додирните дугме за почетак и оно почиње да броји ваше кораке. Без обзира да ли вам је телефон у руци, торби, џепу или наруквици, он ће бројати ваше кораке.")</f>
        <v>Само додирните дугме за почетак и оно почиње да броји ваше кораке. Без обзира да ли вам је телефон у руци, торби, џепу или наруквици, он ће бројати ваше кораке.</v>
      </c>
    </row>
    <row r="590">
      <c r="A590" s="3" t="s">
        <v>1129</v>
      </c>
      <c r="B590" s="3" t="s">
        <v>1130</v>
      </c>
      <c r="C590" s="4" t="str">
        <f>IFERROR(__xludf.DUMMYFUNCTION("GOOGLETRANSLATE(B590,""en"",""ta"")"),"தற்போதைய படிகள்")</f>
        <v>தற்போதைய படிகள்</v>
      </c>
      <c r="D590" s="4" t="str">
        <f>IFERROR(__xludf.DUMMYFUNCTION("GOOGLETRANSLATE(B590,""en"",""hi"")"),"वर्तमान कदम")</f>
        <v>वर्तमान कदम</v>
      </c>
      <c r="E590" s="4" t="str">
        <f>IFERROR(__xludf.DUMMYFUNCTION("GOOGLETRANSLATE(B590,""en"",""id"")"),"Langkah Saat Ini")</f>
        <v>Langkah Saat Ini</v>
      </c>
      <c r="F590" s="4" t="str">
        <f>IFERROR(__xludf.DUMMYFUNCTION("GOOGLETRANSLATE(B590,""en"",""ms"")"),"Langkah Semasa")</f>
        <v>Langkah Semasa</v>
      </c>
      <c r="G590" s="4" t="str">
        <f>IFERROR(__xludf.DUMMYFUNCTION("GOOGLETRANSLATE(B590,""en"",""de"")"),"Aktuelle Schritte")</f>
        <v>Aktuelle Schritte</v>
      </c>
      <c r="H590" s="4" t="str">
        <f>IFERROR(__xludf.DUMMYFUNCTION("GOOGLETRANSLATE(B590,""en"",""es"")"),"Pasos actuales")</f>
        <v>Pasos actuales</v>
      </c>
      <c r="I590" s="4" t="str">
        <f>IFERROR(__xludf.DUMMYFUNCTION("GOOGLETRANSLATE(B590,""en"",""fr"")"),"Étapes actuelles")</f>
        <v>Étapes actuelles</v>
      </c>
      <c r="J590" s="4" t="str">
        <f>IFERROR(__xludf.DUMMYFUNCTION("GOOGLETRANSLATE(B590,""en"",""it"")"),"Passaggi attuali")</f>
        <v>Passaggi attuali</v>
      </c>
      <c r="K590" s="4" t="str">
        <f>IFERROR(__xludf.DUMMYFUNCTION("GOOGLETRANSLATE(B590,""en"",""pt"")"),"Etapas atuais")</f>
        <v>Etapas atuais</v>
      </c>
      <c r="L590" s="4" t="str">
        <f>IFERROR(__xludf.DUMMYFUNCTION("GOOGLETRANSLATE(B590,""en"",""ro"")"),"Pașii actuali")</f>
        <v>Pașii actuali</v>
      </c>
      <c r="M590" s="4" t="str">
        <f>IFERROR(__xludf.DUMMYFUNCTION("GOOGLETRANSLATE(B590,""en"",""vi"")"),"Các bước hiện tại")</f>
        <v>Các bước hiện tại</v>
      </c>
      <c r="N590" s="4" t="str">
        <f>IFERROR(__xludf.DUMMYFUNCTION("GOOGLETRANSLATE(B590,""en"",""ru"")"),"Текущие шаги")</f>
        <v>Текущие шаги</v>
      </c>
      <c r="O590" s="4" t="str">
        <f>IFERROR(__xludf.DUMMYFUNCTION("GOOGLETRANSLATE(B590,""en"",""tr"")"),"Mevcut Adımlar")</f>
        <v>Mevcut Adımlar</v>
      </c>
      <c r="P590" s="4" t="str">
        <f>IFERROR(__xludf.DUMMYFUNCTION("GOOGLETRANSLATE(B590,""en"",""ar"")"),"الخطوات الحالية")</f>
        <v>الخطوات الحالية</v>
      </c>
      <c r="Q590" s="4" t="str">
        <f>IFERROR(__xludf.DUMMYFUNCTION("GOOGLETRANSLATE(B590,""en"",""mr"")"),"वर्तमान पायऱ्या")</f>
        <v>वर्तमान पायऱ्या</v>
      </c>
      <c r="R590" s="4" t="str">
        <f>IFERROR(__xludf.DUMMYFUNCTION("GOOGLETRANSLATE(B590,""en"",""gu"")"),"વર્તમાન પગલાં")</f>
        <v>વર્તમાન પગલાં</v>
      </c>
      <c r="S590" s="4" t="str">
        <f>IFERROR(__xludf.DUMMYFUNCTION("GOOGLETRANSLATE(B590,""en"",""bn"")"),"বর্তমান পদক্ষেপ")</f>
        <v>বর্তমান পদক্ষেপ</v>
      </c>
      <c r="T590" s="4" t="str">
        <f>IFERROR(__xludf.DUMMYFUNCTION("GOOGLETRANSLATE(B590,""en"",""pa"")"),"ਮੌਜੂਦਾ ਕਦਮ")</f>
        <v>ਮੌਜੂਦਾ ਕਦਮ</v>
      </c>
      <c r="U590" s="4" t="str">
        <f>IFERROR(__xludf.DUMMYFUNCTION("GOOGLETRANSLATE(B590,""en"",""te"")"),"ప్రస్తుత దశలు")</f>
        <v>ప్రస్తుత దశలు</v>
      </c>
      <c r="V590" s="4" t="str">
        <f>IFERROR(__xludf.DUMMYFUNCTION("GOOGLETRANSLATE(B590,""en"",""kn"")"),"ಪ್ರಸ್ತುತ ಹಂತಗಳು")</f>
        <v>ಪ್ರಸ್ತುತ ಹಂತಗಳು</v>
      </c>
      <c r="W590" s="4" t="str">
        <f>IFERROR(__xludf.DUMMYFUNCTION("GOOGLETRANSLATE(B590,""en"",""ml"")"),"നിലവിലെ ഘട്ടങ്ങൾ")</f>
        <v>നിലവിലെ ഘട്ടങ്ങൾ</v>
      </c>
      <c r="X590" s="4" t="str">
        <f>IFERROR(__xludf.DUMMYFUNCTION("GOOGLETRANSLATE(B590,""en"",""th"")"),"ขั้นตอนปัจจุบัน")</f>
        <v>ขั้นตอนปัจจุบัน</v>
      </c>
      <c r="Y590" s="4" t="str">
        <f>IFERROR(__xludf.DUMMYFUNCTION("GOOGLETRANSLATE(B590,""en"",""ko"")"),"현재 단계")</f>
        <v>현재 단계</v>
      </c>
      <c r="Z590" s="4" t="str">
        <f>IFERROR(__xludf.DUMMYFUNCTION("GOOGLETRANSLATE(B590,""en"",""zh"")"),"当前步骤")</f>
        <v>当前步骤</v>
      </c>
      <c r="AA590" s="4" t="str">
        <f>IFERROR(__xludf.DUMMYFUNCTION("GOOGLETRANSLATE(B590,""en"",""zh-TW"")"),"目前步驟")</f>
        <v>目前步驟</v>
      </c>
      <c r="AB590" s="4" t="str">
        <f>IFERROR(__xludf.DUMMYFUNCTION("GOOGLETRANSLATE(B590,""en"",""ja"")"),"現在のステップ")</f>
        <v>現在のステップ</v>
      </c>
      <c r="AC590" s="4" t="str">
        <f>IFERROR(__xludf.DUMMYFUNCTION("GOOGLETRANSLATE(B590,""en"",""bg"")"),"Текущи стъпки")</f>
        <v>Текущи стъпки</v>
      </c>
      <c r="AD590" s="4" t="str">
        <f>IFERROR(__xludf.DUMMYFUNCTION("GOOGLETRANSLATE(B590,""en"",""cs"")"),"Aktuální kroky")</f>
        <v>Aktuální kroky</v>
      </c>
      <c r="AE590" s="4" t="str">
        <f>IFERROR(__xludf.DUMMYFUNCTION("GOOGLETRANSLATE(B590,""en"",""da"")"),"Aktuelle trin")</f>
        <v>Aktuelle trin</v>
      </c>
      <c r="AF590" s="4" t="str">
        <f>IFERROR(__xludf.DUMMYFUNCTION("GOOGLETRANSLATE(B590,""en"",""el"")"),"Τρέχοντα Βήματα")</f>
        <v>Τρέχοντα Βήματα</v>
      </c>
      <c r="AG590" s="4" t="str">
        <f>IFERROR(__xludf.DUMMYFUNCTION("GOOGLETRANSLATE(B590,""en"",""et"")"),"Praegused sammud")</f>
        <v>Praegused sammud</v>
      </c>
      <c r="AH590" s="4" t="str">
        <f>IFERROR(__xludf.DUMMYFUNCTION("GOOGLETRANSLATE(B590,""en"",""fi"")"),"Nykyiset vaiheet")</f>
        <v>Nykyiset vaiheet</v>
      </c>
      <c r="AI590" s="4" t="str">
        <f>IFERROR(__xludf.DUMMYFUNCTION("GOOGLETRANSLATE(B590,""en"",""hr"")"),"Trenutačni koraci")</f>
        <v>Trenutačni koraci</v>
      </c>
      <c r="AJ590" s="4" t="str">
        <f>IFERROR(__xludf.DUMMYFUNCTION("GOOGLETRANSLATE(B590,""en"",""hu"")"),"Aktuális lépések")</f>
        <v>Aktuális lépések</v>
      </c>
      <c r="AK590" s="4" t="str">
        <f>IFERROR(__xludf.DUMMYFUNCTION("GOOGLETRANSLATE(B590,""en"",""hy"")"),"Ընթացիկ քայլեր")</f>
        <v>Ընթացիկ քայլեր</v>
      </c>
      <c r="AL590" s="4" t="str">
        <f>IFERROR(__xludf.DUMMYFUNCTION("GOOGLETRANSLATE(B590,""en"",""ca"")"),"Passos actuals")</f>
        <v>Passos actuals</v>
      </c>
      <c r="AM590" s="4" t="str">
        <f>IFERROR(__xludf.DUMMYFUNCTION("GOOGLETRANSLATE(B590,""en"",""nl"")"),"Huidige stappen")</f>
        <v>Huidige stappen</v>
      </c>
      <c r="AN590" s="4" t="str">
        <f>IFERROR(__xludf.DUMMYFUNCTION("GOOGLETRANSLATE(B590,""en"",""he"")"),"שלבים נוכחיים")</f>
        <v>שלבים נוכחיים</v>
      </c>
      <c r="AO590" s="4" t="str">
        <f>IFERROR(__xludf.DUMMYFUNCTION("GOOGLETRANSLATE(B590,""en"",""is"")"),"Núverandi skref")</f>
        <v>Núverandi skref</v>
      </c>
      <c r="AP590" s="4" t="str">
        <f>IFERROR(__xludf.DUMMYFUNCTION("GOOGLETRANSLATE(B590,""en"",""no"")"),"Gjeldende trinn")</f>
        <v>Gjeldende trinn</v>
      </c>
      <c r="AQ590" s="4" t="str">
        <f>IFERROR(__xludf.DUMMYFUNCTION("GOOGLETRANSLATE(B590,""en"",""fa"")"),"مراحل فعلی")</f>
        <v>مراحل فعلی</v>
      </c>
      <c r="AR590" s="4" t="str">
        <f>IFERROR(__xludf.DUMMYFUNCTION("GOOGLETRANSLATE(B590,""en"",""pl"")"),"Bieżące kroki")</f>
        <v>Bieżące kroki</v>
      </c>
      <c r="AS590" s="4" t="str">
        <f>IFERROR(__xludf.DUMMYFUNCTION("GOOGLETRANSLATE(B590,""en"",""sv"")"),"Aktuella steg")</f>
        <v>Aktuella steg</v>
      </c>
      <c r="AT590" s="4" t="str">
        <f>IFERROR(__xludf.DUMMYFUNCTION("GOOGLETRANSLATE(B590,""en"",""uk"")"),"Поточні кроки")</f>
        <v>Поточні кроки</v>
      </c>
      <c r="AU590" s="4" t="str">
        <f>IFERROR(__xludf.DUMMYFUNCTION("GOOGLETRANSLATE(B590,""en"",""zu"")"),"Izinyathelo Zamanje")</f>
        <v>Izinyathelo Zamanje</v>
      </c>
      <c r="AV590" s="4" t="str">
        <f>IFERROR(__xludf.DUMMYFUNCTION("GOOGLETRANSLATE(B590,""en"",""sr"")"),"Цуррент Степс")</f>
        <v>Цуррент Степс</v>
      </c>
    </row>
    <row r="591">
      <c r="A591" s="3" t="s">
        <v>1131</v>
      </c>
      <c r="B591" s="3" t="s">
        <v>1132</v>
      </c>
      <c r="C591" s="4" t="str">
        <f>IFERROR(__xludf.DUMMYFUNCTION("GOOGLETRANSLATE(B591,""en"",""ta"")"),"START")</f>
        <v>START</v>
      </c>
      <c r="D591" s="4" t="str">
        <f>IFERROR(__xludf.DUMMYFUNCTION("GOOGLETRANSLATE(B591,""en"",""hi"")"),"शुरू")</f>
        <v>शुरू</v>
      </c>
      <c r="E591" s="4" t="str">
        <f>IFERROR(__xludf.DUMMYFUNCTION("GOOGLETRANSLATE(B591,""en"",""id"")"),"AWAL")</f>
        <v>AWAL</v>
      </c>
      <c r="F591" s="4" t="str">
        <f>IFERROR(__xludf.DUMMYFUNCTION("GOOGLETRANSLATE(B591,""en"",""ms"")"),"MULAKAN")</f>
        <v>MULAKAN</v>
      </c>
      <c r="G591" s="4" t="str">
        <f>IFERROR(__xludf.DUMMYFUNCTION("GOOGLETRANSLATE(B591,""en"",""de"")"),"START")</f>
        <v>START</v>
      </c>
      <c r="H591" s="4" t="str">
        <f>IFERROR(__xludf.DUMMYFUNCTION("GOOGLETRANSLATE(B591,""en"",""es"")"),"COMENZAR")</f>
        <v>COMENZAR</v>
      </c>
      <c r="I591" s="4" t="str">
        <f>IFERROR(__xludf.DUMMYFUNCTION("GOOGLETRANSLATE(B591,""en"",""fr"")"),"COMMENCER")</f>
        <v>COMMENCER</v>
      </c>
      <c r="J591" s="4" t="str">
        <f>IFERROR(__xludf.DUMMYFUNCTION("GOOGLETRANSLATE(B591,""en"",""it"")"),"INIZIO")</f>
        <v>INIZIO</v>
      </c>
      <c r="K591" s="4" t="str">
        <f>IFERROR(__xludf.DUMMYFUNCTION("GOOGLETRANSLATE(B591,""en"",""pt"")"),"COMEÇAR")</f>
        <v>COMEÇAR</v>
      </c>
      <c r="L591" s="4" t="str">
        <f>IFERROR(__xludf.DUMMYFUNCTION("GOOGLETRANSLATE(B591,""en"",""ro"")"),"ÎNCEPUT")</f>
        <v>ÎNCEPUT</v>
      </c>
      <c r="M591" s="4" t="str">
        <f>IFERROR(__xludf.DUMMYFUNCTION("GOOGLETRANSLATE(B591,""en"",""vi"")"),"BẮT ĐẦU")</f>
        <v>BẮT ĐẦU</v>
      </c>
      <c r="N591" s="4" t="str">
        <f>IFERROR(__xludf.DUMMYFUNCTION("GOOGLETRANSLATE(B591,""en"",""ru"")"),"НАЧИНАТЬ")</f>
        <v>НАЧИНАТЬ</v>
      </c>
      <c r="O591" s="4" t="str">
        <f>IFERROR(__xludf.DUMMYFUNCTION("GOOGLETRANSLATE(B591,""en"",""tr"")"),"BAŞLANGIÇ")</f>
        <v>BAŞLANGIÇ</v>
      </c>
      <c r="P591" s="4" t="str">
        <f>IFERROR(__xludf.DUMMYFUNCTION("GOOGLETRANSLATE(B591,""en"",""ar"")"),"يبدأ")</f>
        <v>يبدأ</v>
      </c>
      <c r="Q591" s="4" t="str">
        <f>IFERROR(__xludf.DUMMYFUNCTION("GOOGLETRANSLATE(B591,""en"",""mr"")"),"सुरू करा")</f>
        <v>सुरू करा</v>
      </c>
      <c r="R591" s="4" t="str">
        <f>IFERROR(__xludf.DUMMYFUNCTION("GOOGLETRANSLATE(B591,""en"",""gu"")"),"START")</f>
        <v>START</v>
      </c>
      <c r="S591" s="4" t="str">
        <f>IFERROR(__xludf.DUMMYFUNCTION("GOOGLETRANSLATE(B591,""en"",""bn"")"),"শুরু")</f>
        <v>শুরু</v>
      </c>
      <c r="T591" s="4" t="str">
        <f>IFERROR(__xludf.DUMMYFUNCTION("GOOGLETRANSLATE(B591,""en"",""pa"")"),"START")</f>
        <v>START</v>
      </c>
      <c r="U591" s="4" t="str">
        <f>IFERROR(__xludf.DUMMYFUNCTION("GOOGLETRANSLATE(B591,""en"",""te"")"),"START")</f>
        <v>START</v>
      </c>
      <c r="V591" s="4" t="str">
        <f>IFERROR(__xludf.DUMMYFUNCTION("GOOGLETRANSLATE(B591,""en"",""kn"")"),"ಪ್ರಾರಂಭಿಸಿ")</f>
        <v>ಪ್ರಾರಂಭಿಸಿ</v>
      </c>
      <c r="W591" s="4" t="str">
        <f>IFERROR(__xludf.DUMMYFUNCTION("GOOGLETRANSLATE(B591,""en"",""ml"")"),"ആരംഭിക്കുക")</f>
        <v>ആരംഭിക്കുക</v>
      </c>
      <c r="X591" s="4" t="str">
        <f>IFERROR(__xludf.DUMMYFUNCTION("GOOGLETRANSLATE(B591,""en"",""th"")"),"เริ่ม")</f>
        <v>เริ่ม</v>
      </c>
      <c r="Y591" s="4" t="str">
        <f>IFERROR(__xludf.DUMMYFUNCTION("GOOGLETRANSLATE(B591,""en"",""ko"")"),"시작")</f>
        <v>시작</v>
      </c>
      <c r="Z591" s="4" t="str">
        <f>IFERROR(__xludf.DUMMYFUNCTION("GOOGLETRANSLATE(B591,""en"",""zh"")"),"开始")</f>
        <v>开始</v>
      </c>
      <c r="AA591" s="4" t="str">
        <f>IFERROR(__xludf.DUMMYFUNCTION("GOOGLETRANSLATE(B591,""en"",""zh-TW"")"),"開始")</f>
        <v>開始</v>
      </c>
      <c r="AB591" s="4" t="str">
        <f>IFERROR(__xludf.DUMMYFUNCTION("GOOGLETRANSLATE(B591,""en"",""ja"")"),"始める")</f>
        <v>始める</v>
      </c>
      <c r="AC591" s="4" t="str">
        <f>IFERROR(__xludf.DUMMYFUNCTION("GOOGLETRANSLATE(B591,""en"",""bg"")"),"СТАРТ")</f>
        <v>СТАРТ</v>
      </c>
      <c r="AD591" s="4" t="str">
        <f>IFERROR(__xludf.DUMMYFUNCTION("GOOGLETRANSLATE(B591,""en"",""cs"")"),"START")</f>
        <v>START</v>
      </c>
      <c r="AE591" s="4" t="str">
        <f>IFERROR(__xludf.DUMMYFUNCTION("GOOGLETRANSLATE(B591,""en"",""da"")"),"STARTE")</f>
        <v>STARTE</v>
      </c>
      <c r="AF591" s="4" t="str">
        <f>IFERROR(__xludf.DUMMYFUNCTION("GOOGLETRANSLATE(B591,""en"",""el"")"),"ΑΡΧΗ")</f>
        <v>ΑΡΧΗ</v>
      </c>
      <c r="AG591" s="4" t="str">
        <f>IFERROR(__xludf.DUMMYFUNCTION("GOOGLETRANSLATE(B591,""en"",""et"")"),"START")</f>
        <v>START</v>
      </c>
      <c r="AH591" s="4" t="str">
        <f>IFERROR(__xludf.DUMMYFUNCTION("GOOGLETRANSLATE(B591,""en"",""fi"")"),"ALOITA")</f>
        <v>ALOITA</v>
      </c>
      <c r="AI591" s="4" t="str">
        <f>IFERROR(__xludf.DUMMYFUNCTION("GOOGLETRANSLATE(B591,""en"",""hr"")"),"START")</f>
        <v>START</v>
      </c>
      <c r="AJ591" s="4" t="str">
        <f>IFERROR(__xludf.DUMMYFUNCTION("GOOGLETRANSLATE(B591,""en"",""hu"")"),"INDUL")</f>
        <v>INDUL</v>
      </c>
      <c r="AK591" s="4" t="str">
        <f>IFERROR(__xludf.DUMMYFUNCTION("GOOGLETRANSLATE(B591,""en"",""hy"")"),"ՍԿՍԵԼ")</f>
        <v>ՍԿՍԵԼ</v>
      </c>
      <c r="AL591" s="4" t="str">
        <f>IFERROR(__xludf.DUMMYFUNCTION("GOOGLETRANSLATE(B591,""en"",""ca"")"),"COMENÇA")</f>
        <v>COMENÇA</v>
      </c>
      <c r="AM591" s="4" t="str">
        <f>IFERROR(__xludf.DUMMYFUNCTION("GOOGLETRANSLATE(B591,""en"",""nl"")"),"BEGIN")</f>
        <v>BEGIN</v>
      </c>
      <c r="AN591" s="4" t="str">
        <f>IFERROR(__xludf.DUMMYFUNCTION("GOOGLETRANSLATE(B591,""en"",""he"")"),"הַתחָלָה")</f>
        <v>הַתחָלָה</v>
      </c>
      <c r="AO591" s="4" t="str">
        <f>IFERROR(__xludf.DUMMYFUNCTION("GOOGLETRANSLATE(B591,""en"",""is"")"),"BYRJA")</f>
        <v>BYRJA</v>
      </c>
      <c r="AP591" s="4" t="str">
        <f>IFERROR(__xludf.DUMMYFUNCTION("GOOGLETRANSLATE(B591,""en"",""no"")"),"START")</f>
        <v>START</v>
      </c>
      <c r="AQ591" s="4" t="str">
        <f>IFERROR(__xludf.DUMMYFUNCTION("GOOGLETRANSLATE(B591,""en"",""fa"")"),"شروع کنید")</f>
        <v>شروع کنید</v>
      </c>
      <c r="AR591" s="4" t="str">
        <f>IFERROR(__xludf.DUMMYFUNCTION("GOOGLETRANSLATE(B591,""en"",""pl"")"),"START")</f>
        <v>START</v>
      </c>
      <c r="AS591" s="4" t="str">
        <f>IFERROR(__xludf.DUMMYFUNCTION("GOOGLETRANSLATE(B591,""en"",""sv"")"),"START")</f>
        <v>START</v>
      </c>
      <c r="AT591" s="4" t="str">
        <f>IFERROR(__xludf.DUMMYFUNCTION("GOOGLETRANSLATE(B591,""en"",""uk"")"),"ПОЧАТОК")</f>
        <v>ПОЧАТОК</v>
      </c>
      <c r="AU591" s="4" t="str">
        <f>IFERROR(__xludf.DUMMYFUNCTION("GOOGLETRANSLATE(B591,""en"",""zu"")"),"QALA")</f>
        <v>QALA</v>
      </c>
      <c r="AV591" s="4" t="str">
        <f>IFERROR(__xludf.DUMMYFUNCTION("GOOGLETRANSLATE(B591,""en"",""sr"")"),"СТАРТ")</f>
        <v>СТАРТ</v>
      </c>
    </row>
    <row r="592">
      <c r="A592" s="3" t="s">
        <v>1133</v>
      </c>
      <c r="B592" s="3" t="s">
        <v>1134</v>
      </c>
      <c r="C592" s="4" t="str">
        <f>IFERROR(__xludf.DUMMYFUNCTION("GOOGLETRANSLATE(B592,""en"",""ta"")"),"நிறுத்து")</f>
        <v>நிறுத்து</v>
      </c>
      <c r="D592" s="4" t="str">
        <f>IFERROR(__xludf.DUMMYFUNCTION("GOOGLETRANSLATE(B592,""en"",""hi"")"),"रुकना")</f>
        <v>रुकना</v>
      </c>
      <c r="E592" s="4" t="str">
        <f>IFERROR(__xludf.DUMMYFUNCTION("GOOGLETRANSLATE(B592,""en"",""id"")"),"BERHENTI")</f>
        <v>BERHENTI</v>
      </c>
      <c r="F592" s="4" t="str">
        <f>IFERROR(__xludf.DUMMYFUNCTION("GOOGLETRANSLATE(B592,""en"",""ms"")"),"BERHENTI")</f>
        <v>BERHENTI</v>
      </c>
      <c r="G592" s="4" t="str">
        <f>IFERROR(__xludf.DUMMYFUNCTION("GOOGLETRANSLATE(B592,""en"",""de"")"),"STOPPEN")</f>
        <v>STOPPEN</v>
      </c>
      <c r="H592" s="4" t="str">
        <f>IFERROR(__xludf.DUMMYFUNCTION("GOOGLETRANSLATE(B592,""en"",""es"")"),"DETENER")</f>
        <v>DETENER</v>
      </c>
      <c r="I592" s="4" t="str">
        <f>IFERROR(__xludf.DUMMYFUNCTION("GOOGLETRANSLATE(B592,""en"",""fr"")"),"ARRÊT")</f>
        <v>ARRÊT</v>
      </c>
      <c r="J592" s="4" t="str">
        <f>IFERROR(__xludf.DUMMYFUNCTION("GOOGLETRANSLATE(B592,""en"",""it"")"),"FERMARE")</f>
        <v>FERMARE</v>
      </c>
      <c r="K592" s="4" t="str">
        <f>IFERROR(__xludf.DUMMYFUNCTION("GOOGLETRANSLATE(B592,""en"",""pt"")"),"PARAR")</f>
        <v>PARAR</v>
      </c>
      <c r="L592" s="4" t="str">
        <f>IFERROR(__xludf.DUMMYFUNCTION("GOOGLETRANSLATE(B592,""en"",""ro"")"),"STOP")</f>
        <v>STOP</v>
      </c>
      <c r="M592" s="4" t="str">
        <f>IFERROR(__xludf.DUMMYFUNCTION("GOOGLETRANSLATE(B592,""en"",""vi"")"),"DỪNG LẠI")</f>
        <v>DỪNG LẠI</v>
      </c>
      <c r="N592" s="4" t="str">
        <f>IFERROR(__xludf.DUMMYFUNCTION("GOOGLETRANSLATE(B592,""en"",""ru"")"),"ОСТАНАВЛИВАТЬСЯ")</f>
        <v>ОСТАНАВЛИВАТЬСЯ</v>
      </c>
      <c r="O592" s="4" t="str">
        <f>IFERROR(__xludf.DUMMYFUNCTION("GOOGLETRANSLATE(B592,""en"",""tr"")"),"DURMAK")</f>
        <v>DURMAK</v>
      </c>
      <c r="P592" s="4" t="str">
        <f>IFERROR(__xludf.DUMMYFUNCTION("GOOGLETRANSLATE(B592,""en"",""ar"")"),"قف")</f>
        <v>قف</v>
      </c>
      <c r="Q592" s="4" t="str">
        <f>IFERROR(__xludf.DUMMYFUNCTION("GOOGLETRANSLATE(B592,""en"",""mr"")"),"थांबा")</f>
        <v>थांबा</v>
      </c>
      <c r="R592" s="4" t="str">
        <f>IFERROR(__xludf.DUMMYFUNCTION("GOOGLETRANSLATE(B592,""en"",""gu"")"),"રોકો")</f>
        <v>રોકો</v>
      </c>
      <c r="S592" s="4" t="str">
        <f>IFERROR(__xludf.DUMMYFUNCTION("GOOGLETRANSLATE(B592,""en"",""bn"")"),"স্টপ")</f>
        <v>স্টপ</v>
      </c>
      <c r="T592" s="4" t="str">
        <f>IFERROR(__xludf.DUMMYFUNCTION("GOOGLETRANSLATE(B592,""en"",""pa"")"),"ਰੂਕੋ")</f>
        <v>ਰੂਕੋ</v>
      </c>
      <c r="U592" s="4" t="str">
        <f>IFERROR(__xludf.DUMMYFUNCTION("GOOGLETRANSLATE(B592,""en"",""te"")"),"ఆపు")</f>
        <v>ఆపు</v>
      </c>
      <c r="V592" s="4" t="str">
        <f>IFERROR(__xludf.DUMMYFUNCTION("GOOGLETRANSLATE(B592,""en"",""kn"")"),"ನಿಲ್ಲಿಸು")</f>
        <v>ನಿಲ್ಲಿಸು</v>
      </c>
      <c r="W592" s="4" t="str">
        <f>IFERROR(__xludf.DUMMYFUNCTION("GOOGLETRANSLATE(B592,""en"",""ml"")"),"നിർത്തുക")</f>
        <v>നിർത്തുക</v>
      </c>
      <c r="X592" s="4" t="str">
        <f>IFERROR(__xludf.DUMMYFUNCTION("GOOGLETRANSLATE(B592,""en"",""th"")"),"หยุด")</f>
        <v>หยุด</v>
      </c>
      <c r="Y592" s="4" t="str">
        <f>IFERROR(__xludf.DUMMYFUNCTION("GOOGLETRANSLATE(B592,""en"",""ko"")"),"멈추다")</f>
        <v>멈추다</v>
      </c>
      <c r="Z592" s="4" t="str">
        <f>IFERROR(__xludf.DUMMYFUNCTION("GOOGLETRANSLATE(B592,""en"",""zh"")"),"停止")</f>
        <v>停止</v>
      </c>
      <c r="AA592" s="4" t="str">
        <f>IFERROR(__xludf.DUMMYFUNCTION("GOOGLETRANSLATE(B592,""en"",""zh-TW"")"),"停止")</f>
        <v>停止</v>
      </c>
      <c r="AB592" s="4" t="str">
        <f>IFERROR(__xludf.DUMMYFUNCTION("GOOGLETRANSLATE(B592,""en"",""ja"")"),"停止")</f>
        <v>停止</v>
      </c>
      <c r="AC592" s="4" t="str">
        <f>IFERROR(__xludf.DUMMYFUNCTION("GOOGLETRANSLATE(B592,""en"",""bg"")"),"СПРИ")</f>
        <v>СПРИ</v>
      </c>
      <c r="AD592" s="4" t="str">
        <f>IFERROR(__xludf.DUMMYFUNCTION("GOOGLETRANSLATE(B592,""en"",""cs"")"),"ZASTÁVKA")</f>
        <v>ZASTÁVKA</v>
      </c>
      <c r="AE592" s="4" t="str">
        <f>IFERROR(__xludf.DUMMYFUNCTION("GOOGLETRANSLATE(B592,""en"",""da"")"),"STOP")</f>
        <v>STOP</v>
      </c>
      <c r="AF592" s="4" t="str">
        <f>IFERROR(__xludf.DUMMYFUNCTION("GOOGLETRANSLATE(B592,""en"",""el"")"),"ΣΤΑΣΗ")</f>
        <v>ΣΤΑΣΗ</v>
      </c>
      <c r="AG592" s="4" t="str">
        <f>IFERROR(__xludf.DUMMYFUNCTION("GOOGLETRANSLATE(B592,""en"",""et"")"),"STOP")</f>
        <v>STOP</v>
      </c>
      <c r="AH592" s="4" t="str">
        <f>IFERROR(__xludf.DUMMYFUNCTION("GOOGLETRANSLATE(B592,""en"",""fi"")"),"STOP")</f>
        <v>STOP</v>
      </c>
      <c r="AI592" s="4" t="str">
        <f>IFERROR(__xludf.DUMMYFUNCTION("GOOGLETRANSLATE(B592,""en"",""hr"")"),"STOP")</f>
        <v>STOP</v>
      </c>
      <c r="AJ592" s="4" t="str">
        <f>IFERROR(__xludf.DUMMYFUNCTION("GOOGLETRANSLATE(B592,""en"",""hu"")"),"STOP")</f>
        <v>STOP</v>
      </c>
      <c r="AK592" s="4" t="str">
        <f>IFERROR(__xludf.DUMMYFUNCTION("GOOGLETRANSLATE(B592,""en"",""hy"")"),"STOP")</f>
        <v>STOP</v>
      </c>
      <c r="AL592" s="4" t="str">
        <f>IFERROR(__xludf.DUMMYFUNCTION("GOOGLETRANSLATE(B592,""en"",""ca"")"),"STOP")</f>
        <v>STOP</v>
      </c>
      <c r="AM592" s="4" t="str">
        <f>IFERROR(__xludf.DUMMYFUNCTION("GOOGLETRANSLATE(B592,""en"",""nl"")"),"STOP")</f>
        <v>STOP</v>
      </c>
      <c r="AN592" s="4" t="str">
        <f>IFERROR(__xludf.DUMMYFUNCTION("GOOGLETRANSLATE(B592,""en"",""he"")"),"לְהַפְסִיק")</f>
        <v>לְהַפְסִיק</v>
      </c>
      <c r="AO592" s="4" t="str">
        <f>IFERROR(__xludf.DUMMYFUNCTION("GOOGLETRANSLATE(B592,""en"",""is"")"),"HÆTTU")</f>
        <v>HÆTTU</v>
      </c>
      <c r="AP592" s="4" t="str">
        <f>IFERROR(__xludf.DUMMYFUNCTION("GOOGLETRANSLATE(B592,""en"",""no"")"),"STOPPE")</f>
        <v>STOPPE</v>
      </c>
      <c r="AQ592" s="4" t="str">
        <f>IFERROR(__xludf.DUMMYFUNCTION("GOOGLETRANSLATE(B592,""en"",""fa"")"),"توقف")</f>
        <v>توقف</v>
      </c>
      <c r="AR592" s="4" t="str">
        <f>IFERROR(__xludf.DUMMYFUNCTION("GOOGLETRANSLATE(B592,""en"",""pl"")"),"ZATRZYMYWAĆ SIĘ")</f>
        <v>ZATRZYMYWAĆ SIĘ</v>
      </c>
      <c r="AS592" s="4" t="str">
        <f>IFERROR(__xludf.DUMMYFUNCTION("GOOGLETRANSLATE(B592,""en"",""sv"")"),"STOPP")</f>
        <v>STOPP</v>
      </c>
      <c r="AT592" s="4" t="str">
        <f>IFERROR(__xludf.DUMMYFUNCTION("GOOGLETRANSLATE(B592,""en"",""uk"")"),"СТІЙ")</f>
        <v>СТІЙ</v>
      </c>
      <c r="AU592" s="4" t="str">
        <f>IFERROR(__xludf.DUMMYFUNCTION("GOOGLETRANSLATE(B592,""en"",""zu"")"),"IMA")</f>
        <v>IMA</v>
      </c>
      <c r="AV592" s="4" t="str">
        <f>IFERROR(__xludf.DUMMYFUNCTION("GOOGLETRANSLATE(B592,""en"",""sr"")"),"СТОП")</f>
        <v>СТОП</v>
      </c>
    </row>
    <row r="593">
      <c r="A593" s="3" t="s">
        <v>1135</v>
      </c>
      <c r="B593" s="3" t="s">
        <v>125</v>
      </c>
      <c r="C593" s="4" t="str">
        <f>IFERROR(__xludf.DUMMYFUNCTION("GOOGLETRANSLATE(B593,""en"",""ta"")"),"ஜிபிஎஸ் அலாரம்")</f>
        <v>ஜிபிஎஸ் அலாரம்</v>
      </c>
      <c r="D593" s="4" t="str">
        <f>IFERROR(__xludf.DUMMYFUNCTION("GOOGLETRANSLATE(B593,""en"",""hi"")"),"जीपीएस अलार्म")</f>
        <v>जीपीएस अलार्म</v>
      </c>
      <c r="E593" s="4" t="str">
        <f>IFERROR(__xludf.DUMMYFUNCTION("GOOGLETRANSLATE(B593,""en"",""id"")"),"Alarm GPS")</f>
        <v>Alarm GPS</v>
      </c>
      <c r="F593" s="4" t="str">
        <f>IFERROR(__xludf.DUMMYFUNCTION("GOOGLETRANSLATE(B593,""en"",""ms"")"),"Penggera GPS")</f>
        <v>Penggera GPS</v>
      </c>
      <c r="G593" s="4" t="str">
        <f>IFERROR(__xludf.DUMMYFUNCTION("GOOGLETRANSLATE(B593,""en"",""de"")"),"GPS-Alarm")</f>
        <v>GPS-Alarm</v>
      </c>
      <c r="H593" s="4" t="str">
        <f>IFERROR(__xludf.DUMMYFUNCTION("GOOGLETRANSLATE(B593,""en"",""es"")"),"Alarma GPS")</f>
        <v>Alarma GPS</v>
      </c>
      <c r="I593" s="4" t="str">
        <f>IFERROR(__xludf.DUMMYFUNCTION("GOOGLETRANSLATE(B593,""en"",""fr"")"),"Alarme GPS")</f>
        <v>Alarme GPS</v>
      </c>
      <c r="J593" s="4" t="str">
        <f>IFERROR(__xludf.DUMMYFUNCTION("GOOGLETRANSLATE(B593,""en"",""it"")"),"Allarme GPS")</f>
        <v>Allarme GPS</v>
      </c>
      <c r="K593" s="4" t="str">
        <f>IFERROR(__xludf.DUMMYFUNCTION("GOOGLETRANSLATE(B593,""en"",""pt"")"),"Alarme GPS")</f>
        <v>Alarme GPS</v>
      </c>
      <c r="L593" s="4" t="str">
        <f>IFERROR(__xludf.DUMMYFUNCTION("GOOGLETRANSLATE(B593,""en"",""ro"")"),"Alarmă GPS")</f>
        <v>Alarmă GPS</v>
      </c>
      <c r="M593" s="4" t="str">
        <f>IFERROR(__xludf.DUMMYFUNCTION("GOOGLETRANSLATE(B593,""en"",""vi"")"),"Báo động GPS")</f>
        <v>Báo động GPS</v>
      </c>
      <c r="N593" s="4" t="str">
        <f>IFERROR(__xludf.DUMMYFUNCTION("GOOGLETRANSLATE(B593,""en"",""ru"")"),"GPS-сигнализация")</f>
        <v>GPS-сигнализация</v>
      </c>
      <c r="O593" s="4" t="str">
        <f>IFERROR(__xludf.DUMMYFUNCTION("GOOGLETRANSLATE(B593,""en"",""tr"")"),"GPS Alarm")</f>
        <v>GPS Alarm</v>
      </c>
      <c r="P593" s="4" t="str">
        <f>IFERROR(__xludf.DUMMYFUNCTION("GOOGLETRANSLATE(B593,""en"",""ar"")"),"إنذار GPS")</f>
        <v>إنذار GPS</v>
      </c>
      <c r="Q593" s="4" t="str">
        <f>IFERROR(__xludf.DUMMYFUNCTION("GOOGLETRANSLATE(B593,""en"",""mr"")"),"GPS अलार्म")</f>
        <v>GPS अलार्म</v>
      </c>
      <c r="R593" s="4" t="str">
        <f>IFERROR(__xludf.DUMMYFUNCTION("GOOGLETRANSLATE(B593,""en"",""gu"")"),"જીપીએસ એલાર્મ")</f>
        <v>જીપીએસ એલાર્મ</v>
      </c>
      <c r="S593" s="4" t="str">
        <f>IFERROR(__xludf.DUMMYFUNCTION("GOOGLETRANSLATE(B593,""en"",""bn"")"),"জিপিএস অ্যালার্ম")</f>
        <v>জিপিএস অ্যালার্ম</v>
      </c>
      <c r="T593" s="4" t="str">
        <f>IFERROR(__xludf.DUMMYFUNCTION("GOOGLETRANSLATE(B593,""en"",""pa"")"),"GPS ਅਲਾਰਮ")</f>
        <v>GPS ਅਲਾਰਮ</v>
      </c>
      <c r="U593" s="4" t="str">
        <f>IFERROR(__xludf.DUMMYFUNCTION("GOOGLETRANSLATE(B593,""en"",""te"")"),"GPS అలారం")</f>
        <v>GPS అలారం</v>
      </c>
      <c r="V593" s="4" t="str">
        <f>IFERROR(__xludf.DUMMYFUNCTION("GOOGLETRANSLATE(B593,""en"",""kn"")"),"ಜಿಪಿಎಸ್ ಅಲಾರಂ")</f>
        <v>ಜಿಪಿಎಸ್ ಅಲಾರಂ</v>
      </c>
      <c r="W593" s="4" t="str">
        <f>IFERROR(__xludf.DUMMYFUNCTION("GOOGLETRANSLATE(B593,""en"",""ml"")"),"GPS അലാറം")</f>
        <v>GPS അലാറം</v>
      </c>
      <c r="X593" s="4" t="str">
        <f>IFERROR(__xludf.DUMMYFUNCTION("GOOGLETRANSLATE(B593,""en"",""th"")"),"ระบบแจ้งเตือน GPS")</f>
        <v>ระบบแจ้งเตือน GPS</v>
      </c>
      <c r="Y593" s="4" t="str">
        <f>IFERROR(__xludf.DUMMYFUNCTION("GOOGLETRANSLATE(B593,""en"",""ko"")"),"GPS 알람")</f>
        <v>GPS 알람</v>
      </c>
      <c r="Z593" s="4" t="str">
        <f>IFERROR(__xludf.DUMMYFUNCTION("GOOGLETRANSLATE(B593,""en"",""zh"")"),"GPS报警")</f>
        <v>GPS报警</v>
      </c>
      <c r="AA593" s="4" t="str">
        <f>IFERROR(__xludf.DUMMYFUNCTION("GOOGLETRANSLATE(B593,""en"",""zh-TW"")"),"GPS警報")</f>
        <v>GPS警報</v>
      </c>
      <c r="AB593" s="4" t="str">
        <f>IFERROR(__xludf.DUMMYFUNCTION("GOOGLETRANSLATE(B593,""en"",""ja"")"),"GPSアラーム")</f>
        <v>GPSアラーム</v>
      </c>
      <c r="AC593" s="4" t="str">
        <f>IFERROR(__xludf.DUMMYFUNCTION("GOOGLETRANSLATE(B593,""en"",""bg"")"),"GPS аларма")</f>
        <v>GPS аларма</v>
      </c>
      <c r="AD593" s="4" t="str">
        <f>IFERROR(__xludf.DUMMYFUNCTION("GOOGLETRANSLATE(B593,""en"",""cs"")"),"GPS alarm")</f>
        <v>GPS alarm</v>
      </c>
      <c r="AE593" s="4" t="str">
        <f>IFERROR(__xludf.DUMMYFUNCTION("GOOGLETRANSLATE(B593,""en"",""da"")"),"GPS alarm")</f>
        <v>GPS alarm</v>
      </c>
      <c r="AF593" s="4" t="str">
        <f>IFERROR(__xludf.DUMMYFUNCTION("GOOGLETRANSLATE(B593,""en"",""el"")"),"Συναγερμός GPS")</f>
        <v>Συναγερμός GPS</v>
      </c>
      <c r="AG593" s="4" t="str">
        <f>IFERROR(__xludf.DUMMYFUNCTION("GOOGLETRANSLATE(B593,""en"",""et"")"),"GPS alarm")</f>
        <v>GPS alarm</v>
      </c>
      <c r="AH593" s="4" t="str">
        <f>IFERROR(__xludf.DUMMYFUNCTION("GOOGLETRANSLATE(B593,""en"",""fi"")"),"GPS-hälytys")</f>
        <v>GPS-hälytys</v>
      </c>
      <c r="AI593" s="4" t="str">
        <f>IFERROR(__xludf.DUMMYFUNCTION("GOOGLETRANSLATE(B593,""en"",""hr"")"),"GPS alarm")</f>
        <v>GPS alarm</v>
      </c>
      <c r="AJ593" s="4" t="str">
        <f>IFERROR(__xludf.DUMMYFUNCTION("GOOGLETRANSLATE(B593,""en"",""hu"")"),"GPS riasztás")</f>
        <v>GPS riasztás</v>
      </c>
      <c r="AK593" s="4" t="str">
        <f>IFERROR(__xludf.DUMMYFUNCTION("GOOGLETRANSLATE(B593,""en"",""hy"")"),"GPS ահազանգ")</f>
        <v>GPS ահազանգ</v>
      </c>
      <c r="AL593" s="4" t="str">
        <f>IFERROR(__xludf.DUMMYFUNCTION("GOOGLETRANSLATE(B593,""en"",""ca"")"),"Alarma GPS")</f>
        <v>Alarma GPS</v>
      </c>
      <c r="AM593" s="4" t="str">
        <f>IFERROR(__xludf.DUMMYFUNCTION("GOOGLETRANSLATE(B593,""en"",""nl"")"),"GPS-alarm")</f>
        <v>GPS-alarm</v>
      </c>
      <c r="AN593" s="4" t="str">
        <f>IFERROR(__xludf.DUMMYFUNCTION("GOOGLETRANSLATE(B593,""en"",""he"")"),"אזעקת GPS")</f>
        <v>אזעקת GPS</v>
      </c>
      <c r="AO593" s="4" t="str">
        <f>IFERROR(__xludf.DUMMYFUNCTION("GOOGLETRANSLATE(B593,""en"",""is"")"),"GPS viðvörun")</f>
        <v>GPS viðvörun</v>
      </c>
      <c r="AP593" s="4" t="str">
        <f>IFERROR(__xludf.DUMMYFUNCTION("GOOGLETRANSLATE(B593,""en"",""no"")"),"GPS-alarm")</f>
        <v>GPS-alarm</v>
      </c>
      <c r="AQ593" s="4" t="str">
        <f>IFERROR(__xludf.DUMMYFUNCTION("GOOGLETRANSLATE(B593,""en"",""fa"")"),"زنگ هشدار GPS")</f>
        <v>زنگ هشدار GPS</v>
      </c>
      <c r="AR593" s="4" t="str">
        <f>IFERROR(__xludf.DUMMYFUNCTION("GOOGLETRANSLATE(B593,""en"",""pl"")"),"Alarm GPS")</f>
        <v>Alarm GPS</v>
      </c>
      <c r="AS593" s="4" t="str">
        <f>IFERROR(__xludf.DUMMYFUNCTION("GOOGLETRANSLATE(B593,""en"",""sv"")"),"GPS-larm")</f>
        <v>GPS-larm</v>
      </c>
      <c r="AT593" s="4" t="str">
        <f>IFERROR(__xludf.DUMMYFUNCTION("GOOGLETRANSLATE(B593,""en"",""uk"")"),"GPS сигналізація")</f>
        <v>GPS сигналізація</v>
      </c>
      <c r="AU593" s="4" t="str">
        <f>IFERROR(__xludf.DUMMYFUNCTION("GOOGLETRANSLATE(B593,""en"",""zu"")"),"I-alamu ye-GPS")</f>
        <v>I-alamu ye-GPS</v>
      </c>
      <c r="AV593" s="4" t="str">
        <f>IFERROR(__xludf.DUMMYFUNCTION("GOOGLETRANSLATE(B593,""en"",""sr"")"),"ГПС Аларм")</f>
        <v>ГПС Аларм</v>
      </c>
    </row>
    <row r="594">
      <c r="A594" s="3" t="s">
        <v>1136</v>
      </c>
      <c r="B594" s="3" t="s">
        <v>1137</v>
      </c>
      <c r="C594" s="4" t="str">
        <f>IFERROR(__xludf.DUMMYFUNCTION("GOOGLETRANSLATE(B594,""en"",""ta"")"),"உங்கள் இலக்கை மீண்டும் ஒருபோதும் தவறவிடாதீர்கள்! உங்கள் இலக்கை சரியான நேரத்தில் அடைய ஜிபிஎஸ் அலாரம் உதவுகிறது.")</f>
        <v>உங்கள் இலக்கை மீண்டும் ஒருபோதும் தவறவிடாதீர்கள்! உங்கள் இலக்கை சரியான நேரத்தில் அடைய ஜிபிஎஸ் அலாரம் உதவுகிறது.</v>
      </c>
      <c r="D594" s="4" t="str">
        <f>IFERROR(__xludf.DUMMYFUNCTION("GOOGLETRANSLATE(B594,""en"",""hi"")"),"अब कभी भी अपने गंतव्य से न चूकें! जीपीएस अलार्म आपको समय पर अपने गंतव्य तक पहुंचने में मदद करता है।")</f>
        <v>अब कभी भी अपने गंतव्य से न चूकें! जीपीएस अलार्म आपको समय पर अपने गंतव्य तक पहुंचने में मदद करता है।</v>
      </c>
      <c r="E594" s="4" t="str">
        <f>IFERROR(__xludf.DUMMYFUNCTION("GOOGLETRANSLATE(B594,""en"",""id"")"),"Jangan sampai Anda ketinggalan tujuan lagi! Alarm GPS membantu Anda mencapai tujuan tepat waktu.")</f>
        <v>Jangan sampai Anda ketinggalan tujuan lagi! Alarm GPS membantu Anda mencapai tujuan tepat waktu.</v>
      </c>
      <c r="F594" s="4" t="str">
        <f>IFERROR(__xludf.DUMMYFUNCTION("GOOGLETRANSLATE(B594,""en"",""ms"")"),"Jangan sekali-kali terlepas destinasi anda lagi! Penggera GPS membantu anda sampai ke destinasi tepat pada masanya.")</f>
        <v>Jangan sekali-kali terlepas destinasi anda lagi! Penggera GPS membantu anda sampai ke destinasi tepat pada masanya.</v>
      </c>
      <c r="G594" s="4" t="str">
        <f>IFERROR(__xludf.DUMMYFUNCTION("GOOGLETRANSLATE(B594,""en"",""de"")"),"Verpassen Sie nie wieder Ihr Ziel! Der GPS-Alarm hilft Ihnen, Ihr Ziel pünktlich zu erreichen.")</f>
        <v>Verpassen Sie nie wieder Ihr Ziel! Der GPS-Alarm hilft Ihnen, Ihr Ziel pünktlich zu erreichen.</v>
      </c>
      <c r="H594" s="4" t="str">
        <f>IFERROR(__xludf.DUMMYFUNCTION("GOOGLETRANSLATE(B594,""en"",""es"")"),"¡No te pierdas tu destino! La alarma GPS te ayuda a llegar a tiempo.")</f>
        <v>¡No te pierdas tu destino! La alarma GPS te ayuda a llegar a tiempo.</v>
      </c>
      <c r="I594" s="4" t="str">
        <f>IFERROR(__xludf.DUMMYFUNCTION("GOOGLETRANSLATE(B594,""en"",""fr"")"),"Ne ratez plus jamais votre destination ! L'alarme GPS vous aide à atteindre votre destination à temps.")</f>
        <v>Ne ratez plus jamais votre destination ! L'alarme GPS vous aide à atteindre votre destination à temps.</v>
      </c>
      <c r="J594" s="4" t="str">
        <f>IFERROR(__xludf.DUMMYFUNCTION("GOOGLETRANSLATE(B594,""en"",""it"")"),"Non perdere mai più la tua destinazione! L'allarme GPS ti aiuta a raggiungere la tua destinazione in tempo.")</f>
        <v>Non perdere mai più la tua destinazione! L'allarme GPS ti aiuta a raggiungere la tua destinazione in tempo.</v>
      </c>
      <c r="K594" s="4" t="str">
        <f>IFERROR(__xludf.DUMMYFUNCTION("GOOGLETRANSLATE(B594,""en"",""pt"")"),"Nunca mais perca seu destino! O Alarme GPS ajuda você a chegar ao seu destino na hora certa.")</f>
        <v>Nunca mais perca seu destino! O Alarme GPS ajuda você a chegar ao seu destino na hora certa.</v>
      </c>
      <c r="L594" s="4" t="str">
        <f>IFERROR(__xludf.DUMMYFUNCTION("GOOGLETRANSLATE(B594,""en"",""ro"")"),"Nu ratați niciodată destinația! Alarma GPS vă ajută să ajungeți la timp la destinație.")</f>
        <v>Nu ratați niciodată destinația! Alarma GPS vă ajută să ajungeți la timp la destinație.</v>
      </c>
      <c r="M594" s="4" t="str">
        <f>IFERROR(__xludf.DUMMYFUNCTION("GOOGLETRANSLATE(B594,""en"",""vi"")"),"Không bao giờ bỏ lỡ điểm đến nữa! GPS Alarm giúp bạn đến đích đúng giờ.")</f>
        <v>Không bao giờ bỏ lỡ điểm đến nữa! GPS Alarm giúp bạn đến đích đúng giờ.</v>
      </c>
      <c r="N594" s="4" t="str">
        <f>IFERROR(__xludf.DUMMYFUNCTION("GOOGLETRANSLATE(B594,""en"",""ru"")"),"Никогда больше не пропустите пункт назначения! GPS-будильник поможет вам добраться до пункта назначения вовремя.")</f>
        <v>Никогда больше не пропустите пункт назначения! GPS-будильник поможет вам добраться до пункта назначения вовремя.</v>
      </c>
      <c r="O594" s="4" t="str">
        <f>IFERROR(__xludf.DUMMYFUNCTION("GOOGLETRANSLATE(B594,""en"",""tr"")"),"Hedefinizi bir daha asla kaçırmayın! GPS Alarmı hedefinize zamanında ulaşmanıza yardımcı olur.")</f>
        <v>Hedefinizi bir daha asla kaçırmayın! GPS Alarmı hedefinize zamanında ulaşmanıza yardımcı olur.</v>
      </c>
      <c r="P594" s="4" t="str">
        <f>IFERROR(__xludf.DUMMYFUNCTION("GOOGLETRANSLATE(B594,""en"",""ar"")"),"لا تفوت وجهتك مرة أخرى! يساعدك منبه GPS على الوصول إلى وجهتك في الوقت المحدد.")</f>
        <v>لا تفوت وجهتك مرة أخرى! يساعدك منبه GPS على الوصول إلى وجهتك في الوقت المحدد.</v>
      </c>
      <c r="Q594" s="4" t="str">
        <f>IFERROR(__xludf.DUMMYFUNCTION("GOOGLETRANSLATE(B594,""en"",""mr"")"),"आपले गंतव्य पुन्हा कधीही चुकवू नका! GPS अलार्म तुम्हाला तुमच्या गंतव्यस्थानावर वेळेवर पोहोचण्यात मदत करतो.")</f>
        <v>आपले गंतव्य पुन्हा कधीही चुकवू नका! GPS अलार्म तुम्हाला तुमच्या गंतव्यस्थानावर वेळेवर पोहोचण्यात मदत करतो.</v>
      </c>
      <c r="R594" s="4" t="str">
        <f>IFERROR(__xludf.DUMMYFUNCTION("GOOGLETRANSLATE(B594,""en"",""gu"")"),"તમારા મુકામને ફરી ક્યારેય ચૂકશો નહીં! GPS એલાર્મ તમને તમારા ગંતવ્ય પર સમયસર પહોંચવામાં મદદ કરે છે.")</f>
        <v>તમારા મુકામને ફરી ક્યારેય ચૂકશો નહીં! GPS એલાર્મ તમને તમારા ગંતવ્ય પર સમયસર પહોંચવામાં મદદ કરે છે.</v>
      </c>
      <c r="S594" s="4" t="str">
        <f>IFERROR(__xludf.DUMMYFUNCTION("GOOGLETRANSLATE(B594,""en"",""bn"")"),"আর কখনও আপনার গন্তব্য মিস করবেন না! জিপিএস অ্যালার্ম আপনাকে সময়মতো আপনার গন্তব্যে পৌঁছাতে সহায়তা করে।")</f>
        <v>আর কখনও আপনার গন্তব্য মিস করবেন না! জিপিএস অ্যালার্ম আপনাকে সময়মতো আপনার গন্তব্যে পৌঁছাতে সহায়তা করে।</v>
      </c>
      <c r="T594" s="4" t="str">
        <f>IFERROR(__xludf.DUMMYFUNCTION("GOOGLETRANSLATE(B594,""en"",""pa"")"),"ਆਪਣੀ ਮੰਜ਼ਿਲ ਨੂੰ ਦੁਬਾਰਾ ਕਦੇ ਨਾ ਭੁੱਲੋ! GPS ਅਲਾਰਮ ਤੁਹਾਡੀ ਮੰਜ਼ਿਲ 'ਤੇ ਸਮੇਂ ਸਿਰ ਪਹੁੰਚਣ ਵਿੱਚ ਤੁਹਾਡੀ ਮਦਦ ਕਰਦਾ ਹੈ।")</f>
        <v>ਆਪਣੀ ਮੰਜ਼ਿਲ ਨੂੰ ਦੁਬਾਰਾ ਕਦੇ ਨਾ ਭੁੱਲੋ! GPS ਅਲਾਰਮ ਤੁਹਾਡੀ ਮੰਜ਼ਿਲ 'ਤੇ ਸਮੇਂ ਸਿਰ ਪਹੁੰਚਣ ਵਿੱਚ ਤੁਹਾਡੀ ਮਦਦ ਕਰਦਾ ਹੈ।</v>
      </c>
      <c r="U594" s="4" t="str">
        <f>IFERROR(__xludf.DUMMYFUNCTION("GOOGLETRANSLATE(B594,""en"",""te"")"),"మీ గమ్యాన్ని మళ్లీ ఎప్పటికీ కోల్పోకండి! GPS అలారం మీ గమ్యాన్ని సమయానికి చేరుకోవడంలో మీకు సహాయపడుతుంది.")</f>
        <v>మీ గమ్యాన్ని మళ్లీ ఎప్పటికీ కోల్పోకండి! GPS అలారం మీ గమ్యాన్ని సమయానికి చేరుకోవడంలో మీకు సహాయపడుతుంది.</v>
      </c>
      <c r="V594" s="4" t="str">
        <f>IFERROR(__xludf.DUMMYFUNCTION("GOOGLETRANSLATE(B594,""en"",""kn"")"),"ನಿಮ್ಮ ಗಮ್ಯಸ್ಥಾನವನ್ನು ಮತ್ತೊಮ್ಮೆ ತಪ್ಪಿಸಿಕೊಳ್ಳಬೇಡಿ! GPS ಅಲಾರ್ಮ್ ನಿಮ್ಮ ಗಮ್ಯಸ್ಥಾನವನ್ನು ಸಮಯಕ್ಕೆ ತಲುಪಲು ಸಹಾಯ ಮಾಡುತ್ತದೆ.")</f>
        <v>ನಿಮ್ಮ ಗಮ್ಯಸ್ಥಾನವನ್ನು ಮತ್ತೊಮ್ಮೆ ತಪ್ಪಿಸಿಕೊಳ್ಳಬೇಡಿ! GPS ಅಲಾರ್ಮ್ ನಿಮ್ಮ ಗಮ್ಯಸ್ಥಾನವನ್ನು ಸಮಯಕ್ಕೆ ತಲುಪಲು ಸಹಾಯ ಮಾಡುತ್ತದೆ.</v>
      </c>
      <c r="W594" s="4" t="str">
        <f>IFERROR(__xludf.DUMMYFUNCTION("GOOGLETRANSLATE(B594,""en"",""ml"")"),"ഇനി ഒരിക്കലും നിങ്ങളുടെ ലക്ഷ്യസ്ഥാനം നഷ്‌ടപ്പെടുത്തരുത്! കൃത്യസമയത്ത് നിങ്ങളുടെ ലക്ഷ്യസ്ഥാനത്ത് എത്തിച്ചേരാൻ GPS അലാറം നിങ്ങളെ സഹായിക്കുന്നു.")</f>
        <v>ഇനി ഒരിക്കലും നിങ്ങളുടെ ലക്ഷ്യസ്ഥാനം നഷ്‌ടപ്പെടുത്തരുത്! കൃത്യസമയത്ത് നിങ്ങളുടെ ലക്ഷ്യസ്ഥാനത്ത് എത്തിച്ചേരാൻ GPS അലാറം നിങ്ങളെ സഹായിക്കുന്നു.</v>
      </c>
      <c r="X594" s="4" t="str">
        <f>IFERROR(__xludf.DUMMYFUNCTION("GOOGLETRANSLATE(B594,""en"",""th"")"),"อย่าพลาดจุดหมายปลายทางอีกต่อไป! GPS Alarm ช่วยให้คุณไปถึงจุดหมายปลายทางได้ตรงเวลา")</f>
        <v>อย่าพลาดจุดหมายปลายทางอีกต่อไป! GPS Alarm ช่วยให้คุณไปถึงจุดหมายปลายทางได้ตรงเวลา</v>
      </c>
      <c r="Y594" s="4" t="str">
        <f>IFERROR(__xludf.DUMMYFUNCTION("GOOGLETRANSLATE(B594,""en"",""ko"")"),"더 이상 목적지를 놓치지 마세요! GPS 알람이 목적지에 제시간에 도착할 수 있도록 도와줍니다.")</f>
        <v>더 이상 목적지를 놓치지 마세요! GPS 알람이 목적지에 제시간에 도착할 수 있도록 도와줍니다.</v>
      </c>
      <c r="Z594" s="4" t="str">
        <f>IFERROR(__xludf.DUMMYFUNCTION("GOOGLETRANSLATE(B594,""en"",""zh"")"),"再也不会错过目的地！GPS 闹钟助您准时到达目的地。")</f>
        <v>再也不会错过目的地！GPS 闹钟助您准时到达目的地。</v>
      </c>
      <c r="AA594" s="4" t="str">
        <f>IFERROR(__xludf.DUMMYFUNCTION("GOOGLETRANSLATE(B594,""en"",""zh-TW"")"),"再也不會錯過目的地！ GPS 鬧鐘協助您準時抵達目的地。")</f>
        <v>再也不會錯過目的地！ GPS 鬧鐘協助您準時抵達目的地。</v>
      </c>
      <c r="AB594" s="4" t="str">
        <f>IFERROR(__xludf.DUMMYFUNCTION("GOOGLETRANSLATE(B594,""en"",""ja"")"),"もう目的地を見逃すことはありません! GPS アラームが目的地に時間通りに到着できるようお手伝いします。")</f>
        <v>もう目的地を見逃すことはありません! GPS アラームが目的地に時間通りに到着できるようお手伝いします。</v>
      </c>
      <c r="AC594" s="4" t="str">
        <f>IFERROR(__xludf.DUMMYFUNCTION("GOOGLETRANSLATE(B594,""en"",""bg"")"),"Никога повече не пропускайте дестинацията си! GPS алармата ви помага да стигнете до местоназначението си навреме.")</f>
        <v>Никога повече не пропускайте дестинацията си! GPS алармата ви помага да стигнете до местоназначението си навреме.</v>
      </c>
      <c r="AD594" s="4" t="str">
        <f>IFERROR(__xludf.DUMMYFUNCTION("GOOGLETRANSLATE(B594,""en"",""cs"")"),"Už nikdy nezmeškáte svůj cíl! GPS Alarm vám pomůže dosáhnout cíle včas.")</f>
        <v>Už nikdy nezmeškáte svůj cíl! GPS Alarm vám pomůže dosáhnout cíle včas.</v>
      </c>
      <c r="AE594" s="4" t="str">
        <f>IFERROR(__xludf.DUMMYFUNCTION("GOOGLETRANSLATE(B594,""en"",""da"")"),"Gå aldrig glip af din destination igen! GPS Alarm hjælper dig med at nå din destination til tiden.")</f>
        <v>Gå aldrig glip af din destination igen! GPS Alarm hjælper dig med at nå din destination til tiden.</v>
      </c>
      <c r="AF594" s="4" t="str">
        <f>IFERROR(__xludf.DUMMYFUNCTION("GOOGLETRANSLATE(B594,""en"",""el"")"),"Μην χάσετε ποτέ ξανά τον προορισμό σας! Το GPS Alarm σάς βοηθά να φτάσετε στον προορισμό σας εγκαίρως.")</f>
        <v>Μην χάσετε ποτέ ξανά τον προορισμό σας! Το GPS Alarm σάς βοηθά να φτάσετε στον προορισμό σας εγκαίρως.</v>
      </c>
      <c r="AG594" s="4" t="str">
        <f>IFERROR(__xludf.DUMMYFUNCTION("GOOGLETRANSLATE(B594,""en"",""et"")"),"Ärge jätke enam kunagi oma sihtkohta maha! GPS-alarm aitab teil õigel ajal sihtkohta jõuda.")</f>
        <v>Ärge jätke enam kunagi oma sihtkohta maha! GPS-alarm aitab teil õigel ajal sihtkohta jõuda.</v>
      </c>
      <c r="AH594" s="4" t="str">
        <f>IFERROR(__xludf.DUMMYFUNCTION("GOOGLETRANSLATE(B594,""en"",""fi"")"),"Älä koskaan unohda määränpäätäsi uudelleen! GPS-hälytys auttaa sinua saavuttamaan määränpääsi ajoissa.")</f>
        <v>Älä koskaan unohda määränpäätäsi uudelleen! GPS-hälytys auttaa sinua saavuttamaan määränpääsi ajoissa.</v>
      </c>
      <c r="AI594" s="4" t="str">
        <f>IFERROR(__xludf.DUMMYFUNCTION("GOOGLETRANSLATE(B594,""en"",""hr"")"),"Nikad više ne propustite svoje odredište! GPS alarm pomaže vam da stignete na odredište na vrijeme.")</f>
        <v>Nikad više ne propustite svoje odredište! GPS alarm pomaže vam da stignete na odredište na vrijeme.</v>
      </c>
      <c r="AJ594" s="4" t="str">
        <f>IFERROR(__xludf.DUMMYFUNCTION("GOOGLETRANSLATE(B594,""en"",""hu"")"),"Soha többé ne hagyd ki az úti célt! A GPS riasztás segít abban, hogy időben elérje úticélját.")</f>
        <v>Soha többé ne hagyd ki az úti célt! A GPS riasztás segít abban, hogy időben elérje úticélját.</v>
      </c>
      <c r="AK594" s="4" t="str">
        <f>IFERROR(__xludf.DUMMYFUNCTION("GOOGLETRANSLATE(B594,""en"",""hy"")"),"Այլևս երբեք բաց մի թողեք ձեր նպատակակետը: GPS Զարթուցիչը օգնում է ձեզ ժամանակին հասնել ձեր նպատակակետին:")</f>
        <v>Այլևս երբեք բաց մի թողեք ձեր նպատակակետը: GPS Զարթուցիչը օգնում է ձեզ ժամանակին հասնել ձեր նպատակակետին:</v>
      </c>
      <c r="AL594" s="4" t="str">
        <f>IFERROR(__xludf.DUMMYFUNCTION("GOOGLETRANSLATE(B594,""en"",""ca"")"),"No et perdis mai més el teu destí! L'alarma GPS us ajuda a arribar a temps a la vostra destinació.")</f>
        <v>No et perdis mai més el teu destí! L'alarma GPS us ajuda a arribar a temps a la vostra destinació.</v>
      </c>
      <c r="AM594" s="4" t="str">
        <f>IFERROR(__xludf.DUMMYFUNCTION("GOOGLETRANSLATE(B594,""en"",""nl"")"),"Mis nooit meer uw bestemming! GPS Alarm helpt u op tijd uw bestemming te bereiken.")</f>
        <v>Mis nooit meer uw bestemming! GPS Alarm helpt u op tijd uw bestemming te bereiken.</v>
      </c>
      <c r="AN594" s="4" t="str">
        <f>IFERROR(__xludf.DUMMYFUNCTION("GOOGLETRANSLATE(B594,""en"",""he"")"),"לעולם אל תחמיץ את היעד שלך שוב! אזעקת GPS עוזרת לך להגיע ליעד שלך בזמן.")</f>
        <v>לעולם אל תחמיץ את היעד שלך שוב! אזעקת GPS עוזרת לך להגיע ליעד שלך בזמן.</v>
      </c>
      <c r="AO594" s="4" t="str">
        <f>IFERROR(__xludf.DUMMYFUNCTION("GOOGLETRANSLATE(B594,""en"",""is"")"),"Aldrei missa af áfangastað aftur! GPS viðvörun hjálpar þér að ná áfangastað á réttum tíma.")</f>
        <v>Aldrei missa af áfangastað aftur! GPS viðvörun hjálpar þér að ná áfangastað á réttum tíma.</v>
      </c>
      <c r="AP594" s="4" t="str">
        <f>IFERROR(__xludf.DUMMYFUNCTION("GOOGLETRANSLATE(B594,""en"",""no"")"),"Gå aldri glipp av reisemålet ditt igjen! GPS Alarm hjelper deg med å nå målet ditt i tide.")</f>
        <v>Gå aldri glipp av reisemålet ditt igjen! GPS Alarm hjelper deg med å nå målet ditt i tide.</v>
      </c>
      <c r="AQ594" s="4" t="str">
        <f>IFERROR(__xludf.DUMMYFUNCTION("GOOGLETRANSLATE(B594,""en"",""fa"")"),"دیگر هرگز مقصد خود را از دست ندهید! هشدار GPS به شما کمک می کند به موقع به مقصد برسید.")</f>
        <v>دیگر هرگز مقصد خود را از دست ندهید! هشدار GPS به شما کمک می کند به موقع به مقصد برسید.</v>
      </c>
      <c r="AR594" s="4" t="str">
        <f>IFERROR(__xludf.DUMMYFUNCTION("GOOGLETRANSLATE(B594,""en"",""pl"")"),"Nie przegap już nigdy celu! Alarm GPS pomoże Ci dotrzeć do celu na czas.")</f>
        <v>Nie przegap już nigdy celu! Alarm GPS pomoże Ci dotrzeć do celu na czas.</v>
      </c>
      <c r="AS594" s="4" t="str">
        <f>IFERROR(__xludf.DUMMYFUNCTION("GOOGLETRANSLATE(B594,""en"",""sv"")"),"Missa aldrig din destination igen! GPS Alarm hjälper dig att nå din destination i tid.")</f>
        <v>Missa aldrig din destination igen! GPS Alarm hjälper dig att nå din destination i tid.</v>
      </c>
      <c r="AT594" s="4" t="str">
        <f>IFERROR(__xludf.DUMMYFUNCTION("GOOGLETRANSLATE(B594,""en"",""uk"")"),"Ніколи більше не пропустіть пункт призначення! GPS сигналізація допоможе вам дістатися до пункту призначення вчасно.")</f>
        <v>Ніколи більше не пропустіть пункт призначення! GPS сигналізація допоможе вам дістатися до пункту призначення вчасно.</v>
      </c>
      <c r="AU594" s="4" t="str">
        <f>IFERROR(__xludf.DUMMYFUNCTION("GOOGLETRANSLATE(B594,""en"",""zu"")"),"Ungaphinde uphuthelwe indawo oya kuyo futhi! I-GPS Alarm ikusiza ukuthi ufinyelele lapho uya khona ngesikhathi.")</f>
        <v>Ungaphinde uphuthelwe indawo oya kuyo futhi! I-GPS Alarm ikusiza ukuthi ufinyelele lapho uya khona ngesikhathi.</v>
      </c>
      <c r="AV594" s="4" t="str">
        <f>IFERROR(__xludf.DUMMYFUNCTION("GOOGLETRANSLATE(B594,""en"",""sr"")"),"Никада више не пропустите своју дестинацију! ГПС аларм вам помаже да стигнете на одредиште на време.")</f>
        <v>Никада више не пропустите своју дестинацију! ГПС аларм вам помаже да стигнете на одредиште на време.</v>
      </c>
    </row>
    <row r="595">
      <c r="A595" s="3" t="s">
        <v>1138</v>
      </c>
      <c r="B595" s="3" t="s">
        <v>1139</v>
      </c>
      <c r="C595" s="4" t="str">
        <f>IFERROR(__xludf.DUMMYFUNCTION("GOOGLETRANSLATE(B595,""en"",""ta"")"),"இது எவ்வாறு செயல்படுகிறது:")</f>
        <v>இது எவ்வாறு செயல்படுகிறது:</v>
      </c>
      <c r="D595" s="4" t="str">
        <f>IFERROR(__xludf.DUMMYFUNCTION("GOOGLETRANSLATE(B595,""en"",""hi"")"),"यह काम किस प्रकार करता है:")</f>
        <v>यह काम किस प्रकार करता है:</v>
      </c>
      <c r="E595" s="4" t="str">
        <f>IFERROR(__xludf.DUMMYFUNCTION("GOOGLETRANSLATE(B595,""en"",""id"")"),"Cara kerjanya:")</f>
        <v>Cara kerjanya:</v>
      </c>
      <c r="F595" s="4" t="str">
        <f>IFERROR(__xludf.DUMMYFUNCTION("GOOGLETRANSLATE(B595,""en"",""ms"")"),"Cara ia berfungsi:")</f>
        <v>Cara ia berfungsi:</v>
      </c>
      <c r="G595" s="4" t="str">
        <f>IFERROR(__xludf.DUMMYFUNCTION("GOOGLETRANSLATE(B595,""en"",""de"")"),"Und so funktioniert es:")</f>
        <v>Und so funktioniert es:</v>
      </c>
      <c r="H595" s="4" t="str">
        <f>IFERROR(__xludf.DUMMYFUNCTION("GOOGLETRANSLATE(B595,""en"",""es"")"),"Cómo funciona:")</f>
        <v>Cómo funciona:</v>
      </c>
      <c r="I595" s="4" t="str">
        <f>IFERROR(__xludf.DUMMYFUNCTION("GOOGLETRANSLATE(B595,""en"",""fr"")"),"Comment ça marche :")</f>
        <v>Comment ça marche :</v>
      </c>
      <c r="J595" s="4" t="str">
        <f>IFERROR(__xludf.DUMMYFUNCTION("GOOGLETRANSLATE(B595,""en"",""it"")"),"Come funziona:")</f>
        <v>Come funziona:</v>
      </c>
      <c r="K595" s="4" t="str">
        <f>IFERROR(__xludf.DUMMYFUNCTION("GOOGLETRANSLATE(B595,""en"",""pt"")"),"Como funciona:")</f>
        <v>Como funciona:</v>
      </c>
      <c r="L595" s="4" t="str">
        <f>IFERROR(__xludf.DUMMYFUNCTION("GOOGLETRANSLATE(B595,""en"",""ro"")"),"Cum funcționează:")</f>
        <v>Cum funcționează:</v>
      </c>
      <c r="M595" s="4" t="str">
        <f>IFERROR(__xludf.DUMMYFUNCTION("GOOGLETRANSLATE(B595,""en"",""vi"")"),"Cách thức hoạt động:")</f>
        <v>Cách thức hoạt động:</v>
      </c>
      <c r="N595" s="4" t="str">
        <f>IFERROR(__xludf.DUMMYFUNCTION("GOOGLETRANSLATE(B595,""en"",""ru"")"),"Как это работает:")</f>
        <v>Как это работает:</v>
      </c>
      <c r="O595" s="4" t="str">
        <f>IFERROR(__xludf.DUMMYFUNCTION("GOOGLETRANSLATE(B595,""en"",""tr"")"),"Nasıl çalışır:")</f>
        <v>Nasıl çalışır:</v>
      </c>
      <c r="P595" s="4" t="str">
        <f>IFERROR(__xludf.DUMMYFUNCTION("GOOGLETRANSLATE(B595,""en"",""ar"")"),"كيف يعمل:")</f>
        <v>كيف يعمل:</v>
      </c>
      <c r="Q595" s="4" t="str">
        <f>IFERROR(__xludf.DUMMYFUNCTION("GOOGLETRANSLATE(B595,""en"",""mr"")"),"ते कसे कार्य करते:")</f>
        <v>ते कसे कार्य करते:</v>
      </c>
      <c r="R595" s="4" t="str">
        <f>IFERROR(__xludf.DUMMYFUNCTION("GOOGLETRANSLATE(B595,""en"",""gu"")"),"તે કેવી રીતે કાર્ય કરે છે:")</f>
        <v>તે કેવી રીતે કાર્ય કરે છે:</v>
      </c>
      <c r="S595" s="4" t="str">
        <f>IFERROR(__xludf.DUMMYFUNCTION("GOOGLETRANSLATE(B595,""en"",""bn"")"),"এটি কিভাবে কাজ করে:")</f>
        <v>এটি কিভাবে কাজ করে:</v>
      </c>
      <c r="T595" s="4" t="str">
        <f>IFERROR(__xludf.DUMMYFUNCTION("GOOGLETRANSLATE(B595,""en"",""pa"")"),"ਇਹ ਕਿਵੇਂ ਕੰਮ ਕਰਦਾ ਹੈ:")</f>
        <v>ਇਹ ਕਿਵੇਂ ਕੰਮ ਕਰਦਾ ਹੈ:</v>
      </c>
      <c r="U595" s="4" t="str">
        <f>IFERROR(__xludf.DUMMYFUNCTION("GOOGLETRANSLATE(B595,""en"",""te"")"),"ఇది ఎలా పని చేస్తుంది:")</f>
        <v>ఇది ఎలా పని చేస్తుంది:</v>
      </c>
      <c r="V595" s="4" t="str">
        <f>IFERROR(__xludf.DUMMYFUNCTION("GOOGLETRANSLATE(B595,""en"",""kn"")"),"ಇದು ಹೇಗೆ ಕೆಲಸ ಮಾಡುತ್ತದೆ:")</f>
        <v>ಇದು ಹೇಗೆ ಕೆಲಸ ಮಾಡುತ್ತದೆ:</v>
      </c>
      <c r="W595" s="4" t="str">
        <f>IFERROR(__xludf.DUMMYFUNCTION("GOOGLETRANSLATE(B595,""en"",""ml"")"),"ഇത് എങ്ങനെ പ്രവർത്തിക്കുന്നു:")</f>
        <v>ഇത് എങ്ങനെ പ്രവർത്തിക്കുന്നു:</v>
      </c>
      <c r="X595" s="4" t="str">
        <f>IFERROR(__xludf.DUMMYFUNCTION("GOOGLETRANSLATE(B595,""en"",""th"")"),"มันทำงานอย่างไร:")</f>
        <v>มันทำงานอย่างไร:</v>
      </c>
      <c r="Y595" s="4" t="str">
        <f>IFERROR(__xludf.DUMMYFUNCTION("GOOGLETRANSLATE(B595,""en"",""ko"")"),"작동 원리:")</f>
        <v>작동 원리:</v>
      </c>
      <c r="Z595" s="4" t="str">
        <f>IFERROR(__xludf.DUMMYFUNCTION("GOOGLETRANSLATE(B595,""en"",""zh"")"),"工作原理：")</f>
        <v>工作原理：</v>
      </c>
      <c r="AA595" s="4" t="str">
        <f>IFERROR(__xludf.DUMMYFUNCTION("GOOGLETRANSLATE(B595,""en"",""zh-TW"")"),"工作原理：")</f>
        <v>工作原理：</v>
      </c>
      <c r="AB595" s="4" t="str">
        <f>IFERROR(__xludf.DUMMYFUNCTION("GOOGLETRANSLATE(B595,""en"",""ja"")"),"仕組み:")</f>
        <v>仕組み:</v>
      </c>
      <c r="AC595" s="4" t="str">
        <f>IFERROR(__xludf.DUMMYFUNCTION("GOOGLETRANSLATE(B595,""en"",""bg"")"),"Как работи:")</f>
        <v>Как работи:</v>
      </c>
      <c r="AD595" s="4" t="str">
        <f>IFERROR(__xludf.DUMMYFUNCTION("GOOGLETRANSLATE(B595,""en"",""cs"")"),"Jak to funguje:")</f>
        <v>Jak to funguje:</v>
      </c>
      <c r="AE595" s="4" t="str">
        <f>IFERROR(__xludf.DUMMYFUNCTION("GOOGLETRANSLATE(B595,""en"",""da"")"),"Sådan fungerer det:")</f>
        <v>Sådan fungerer det:</v>
      </c>
      <c r="AF595" s="4" t="str">
        <f>IFERROR(__xludf.DUMMYFUNCTION("GOOGLETRANSLATE(B595,""en"",""el"")"),"Πώς λειτουργεί:")</f>
        <v>Πώς λειτουργεί:</v>
      </c>
      <c r="AG595" s="4" t="str">
        <f>IFERROR(__xludf.DUMMYFUNCTION("GOOGLETRANSLATE(B595,""en"",""et"")"),"Kuidas see toimib:")</f>
        <v>Kuidas see toimib:</v>
      </c>
      <c r="AH595" s="4" t="str">
        <f>IFERROR(__xludf.DUMMYFUNCTION("GOOGLETRANSLATE(B595,""en"",""fi"")"),"Miten se toimii:")</f>
        <v>Miten se toimii:</v>
      </c>
      <c r="AI595" s="4" t="str">
        <f>IFERROR(__xludf.DUMMYFUNCTION("GOOGLETRANSLATE(B595,""en"",""hr"")"),"Kako radi:")</f>
        <v>Kako radi:</v>
      </c>
      <c r="AJ595" s="4" t="str">
        <f>IFERROR(__xludf.DUMMYFUNCTION("GOOGLETRANSLATE(B595,""en"",""hu"")"),"Hogyan működik:")</f>
        <v>Hogyan működik:</v>
      </c>
      <c r="AK595" s="4" t="str">
        <f>IFERROR(__xludf.DUMMYFUNCTION("GOOGLETRANSLATE(B595,""en"",""hy"")"),"Ինչպես է այն աշխատում.")</f>
        <v>Ինչպես է այն աշխատում.</v>
      </c>
      <c r="AL595" s="4" t="str">
        <f>IFERROR(__xludf.DUMMYFUNCTION("GOOGLETRANSLATE(B595,""en"",""ca"")"),"Com funciona:")</f>
        <v>Com funciona:</v>
      </c>
      <c r="AM595" s="4" t="str">
        <f>IFERROR(__xludf.DUMMYFUNCTION("GOOGLETRANSLATE(B595,""en"",""nl"")"),"Hoe het werkt:")</f>
        <v>Hoe het werkt:</v>
      </c>
      <c r="AN595" s="4" t="str">
        <f>IFERROR(__xludf.DUMMYFUNCTION("GOOGLETRANSLATE(B595,""en"",""he"")"),"איך זה עובד:")</f>
        <v>איך זה עובד:</v>
      </c>
      <c r="AO595" s="4" t="str">
        <f>IFERROR(__xludf.DUMMYFUNCTION("GOOGLETRANSLATE(B595,""en"",""is"")"),"Hvernig það virkar:")</f>
        <v>Hvernig það virkar:</v>
      </c>
      <c r="AP595" s="4" t="str">
        <f>IFERROR(__xludf.DUMMYFUNCTION("GOOGLETRANSLATE(B595,""en"",""no"")"),"Slik fungerer det:")</f>
        <v>Slik fungerer det:</v>
      </c>
      <c r="AQ595" s="4" t="str">
        <f>IFERROR(__xludf.DUMMYFUNCTION("GOOGLETRANSLATE(B595,""en"",""fa"")"),"چگونه کار می کند:")</f>
        <v>چگونه کار می کند:</v>
      </c>
      <c r="AR595" s="4" t="str">
        <f>IFERROR(__xludf.DUMMYFUNCTION("GOOGLETRANSLATE(B595,""en"",""pl"")"),"Jak to działa:")</f>
        <v>Jak to działa:</v>
      </c>
      <c r="AS595" s="4" t="str">
        <f>IFERROR(__xludf.DUMMYFUNCTION("GOOGLETRANSLATE(B595,""en"",""sv"")"),"Hur det fungerar:")</f>
        <v>Hur det fungerar:</v>
      </c>
      <c r="AT595" s="4" t="str">
        <f>IFERROR(__xludf.DUMMYFUNCTION("GOOGLETRANSLATE(B595,""en"",""uk"")"),"Як це працює:")</f>
        <v>Як це працює:</v>
      </c>
      <c r="AU595" s="4" t="str">
        <f>IFERROR(__xludf.DUMMYFUNCTION("GOOGLETRANSLATE(B595,""en"",""zu"")"),"Isebenza kanjani:")</f>
        <v>Isebenza kanjani:</v>
      </c>
      <c r="AV595" s="4" t="str">
        <f>IFERROR(__xludf.DUMMYFUNCTION("GOOGLETRANSLATE(B595,""en"",""sr"")"),"Како то ради:")</f>
        <v>Како то ради:</v>
      </c>
    </row>
    <row r="596">
      <c r="A596" s="3" t="s">
        <v>1140</v>
      </c>
      <c r="B596" s="3" t="s">
        <v>1141</v>
      </c>
      <c r="C596" s="4" t="str">
        <f>IFERROR(__xludf.DUMMYFUNCTION("GOOGLETRANSLATE(B596,""en"",""ta"")"),"வரைபடத்தில் உங்கள் இலக்கை அமைக்கவும்")</f>
        <v>வரைபடத்தில் உங்கள் இலக்கை அமைக்கவும்</v>
      </c>
      <c r="D596" s="4" t="str">
        <f>IFERROR(__xludf.DUMMYFUNCTION("GOOGLETRANSLATE(B596,""en"",""hi"")"),"मानचित्र पर अपना गंतव्य स्थान निर्धारित करें")</f>
        <v>मानचित्र पर अपना गंतव्य स्थान निर्धारित करें</v>
      </c>
      <c r="E596" s="4" t="str">
        <f>IFERROR(__xludf.DUMMYFUNCTION("GOOGLETRANSLATE(B596,""en"",""id"")"),"Tetapkan tujuan Anda di peta")</f>
        <v>Tetapkan tujuan Anda di peta</v>
      </c>
      <c r="F596" s="4" t="str">
        <f>IFERROR(__xludf.DUMMYFUNCTION("GOOGLETRANSLATE(B596,""en"",""ms"")"),"Tetapkan destinasi anda pada peta")</f>
        <v>Tetapkan destinasi anda pada peta</v>
      </c>
      <c r="G596" s="4" t="str">
        <f>IFERROR(__xludf.DUMMYFUNCTION("GOOGLETRANSLATE(B596,""en"",""de"")"),"Legen Sie Ihr Ziel auf der Karte fest")</f>
        <v>Legen Sie Ihr Ziel auf der Karte fest</v>
      </c>
      <c r="H596" s="4" t="str">
        <f>IFERROR(__xludf.DUMMYFUNCTION("GOOGLETRANSLATE(B596,""en"",""es"")"),"Establece tu destino en el mapa")</f>
        <v>Establece tu destino en el mapa</v>
      </c>
      <c r="I596" s="4" t="str">
        <f>IFERROR(__xludf.DUMMYFUNCTION("GOOGLETRANSLATE(B596,""en"",""fr"")"),"Définissez votre destination sur la carte")</f>
        <v>Définissez votre destination sur la carte</v>
      </c>
      <c r="J596" s="4" t="str">
        <f>IFERROR(__xludf.DUMMYFUNCTION("GOOGLETRANSLATE(B596,""en"",""it"")"),"Imposta la tua destinazione sulla mappa")</f>
        <v>Imposta la tua destinazione sulla mappa</v>
      </c>
      <c r="K596" s="4" t="str">
        <f>IFERROR(__xludf.DUMMYFUNCTION("GOOGLETRANSLATE(B596,""en"",""pt"")"),"Defina seu destino no mapa")</f>
        <v>Defina seu destino no mapa</v>
      </c>
      <c r="L596" s="4" t="str">
        <f>IFERROR(__xludf.DUMMYFUNCTION("GOOGLETRANSLATE(B596,""en"",""ro"")"),"Setați-vă destinația pe hartă")</f>
        <v>Setați-vă destinația pe hartă</v>
      </c>
      <c r="M596" s="4" t="str">
        <f>IFERROR(__xludf.DUMMYFUNCTION("GOOGLETRANSLATE(B596,""en"",""vi"")"),"Đặt điểm đến của bạn trên bản đồ")</f>
        <v>Đặt điểm đến của bạn trên bản đồ</v>
      </c>
      <c r="N596" s="4" t="str">
        <f>IFERROR(__xludf.DUMMYFUNCTION("GOOGLETRANSLATE(B596,""en"",""ru"")"),"Укажите пункт назначения на карте")</f>
        <v>Укажите пункт назначения на карте</v>
      </c>
      <c r="O596" s="4" t="str">
        <f>IFERROR(__xludf.DUMMYFUNCTION("GOOGLETRANSLATE(B596,""en"",""tr"")"),"Hedefinizi haritada belirleyin")</f>
        <v>Hedefinizi haritada belirleyin</v>
      </c>
      <c r="P596" s="4" t="str">
        <f>IFERROR(__xludf.DUMMYFUNCTION("GOOGLETRANSLATE(B596,""en"",""ar"")"),"حدد وجهتك على الخريطة")</f>
        <v>حدد وجهتك على الخريطة</v>
      </c>
      <c r="Q596" s="4" t="str">
        <f>IFERROR(__xludf.DUMMYFUNCTION("GOOGLETRANSLATE(B596,""en"",""mr"")"),"नकाशावर तुमचे गंतव्यस्थान सेट करा")</f>
        <v>नकाशावर तुमचे गंतव्यस्थान सेट करा</v>
      </c>
      <c r="R596" s="4" t="str">
        <f>IFERROR(__xludf.DUMMYFUNCTION("GOOGLETRANSLATE(B596,""en"",""gu"")"),"નકશા પર તમારું ગંતવ્ય સેટ કરો")</f>
        <v>નકશા પર તમારું ગંતવ્ય સેટ કરો</v>
      </c>
      <c r="S596" s="4" t="str">
        <f>IFERROR(__xludf.DUMMYFUNCTION("GOOGLETRANSLATE(B596,""en"",""bn"")"),"মানচিত্রে আপনার গন্তব্য সেট করুন")</f>
        <v>মানচিত্রে আপনার গন্তব্য সেট করুন</v>
      </c>
      <c r="T596" s="4" t="str">
        <f>IFERROR(__xludf.DUMMYFUNCTION("GOOGLETRANSLATE(B596,""en"",""pa"")"),"ਨਕਸ਼ੇ 'ਤੇ ਆਪਣੀ ਮੰਜ਼ਿਲ ਸੈੱਟ ਕਰੋ")</f>
        <v>ਨਕਸ਼ੇ 'ਤੇ ਆਪਣੀ ਮੰਜ਼ਿਲ ਸੈੱਟ ਕਰੋ</v>
      </c>
      <c r="U596" s="4" t="str">
        <f>IFERROR(__xludf.DUMMYFUNCTION("GOOGLETRANSLATE(B596,""en"",""te"")"),"మ్యాప్‌లో మీ గమ్యాన్ని సెట్ చేయండి")</f>
        <v>మ్యాప్‌లో మీ గమ్యాన్ని సెట్ చేయండి</v>
      </c>
      <c r="V596" s="4" t="str">
        <f>IFERROR(__xludf.DUMMYFUNCTION("GOOGLETRANSLATE(B596,""en"",""kn"")"),"ನಕ್ಷೆಯಲ್ಲಿ ನಿಮ್ಮ ಗಮ್ಯಸ್ಥಾನವನ್ನು ಹೊಂದಿಸಿ")</f>
        <v>ನಕ್ಷೆಯಲ್ಲಿ ನಿಮ್ಮ ಗಮ್ಯಸ್ಥಾನವನ್ನು ಹೊಂದಿಸಿ</v>
      </c>
      <c r="W596" s="4" t="str">
        <f>IFERROR(__xludf.DUMMYFUNCTION("GOOGLETRANSLATE(B596,""en"",""ml"")"),"മാപ്പിൽ നിങ്ങളുടെ ലക്ഷ്യസ്ഥാനം സജ്ജമാക്കുക")</f>
        <v>മാപ്പിൽ നിങ്ങളുടെ ലക്ഷ്യസ്ഥാനം സജ്ജമാക്കുക</v>
      </c>
      <c r="X596" s="4" t="str">
        <f>IFERROR(__xludf.DUMMYFUNCTION("GOOGLETRANSLATE(B596,""en"",""th"")"),"กำหนดจุดหมายปลายทางของคุณบนแผนที่")</f>
        <v>กำหนดจุดหมายปลายทางของคุณบนแผนที่</v>
      </c>
      <c r="Y596" s="4" t="str">
        <f>IFERROR(__xludf.DUMMYFUNCTION("GOOGLETRANSLATE(B596,""en"",""ko"")"),"지도에 목적지를 설정하세요")</f>
        <v>지도에 목적지를 설정하세요</v>
      </c>
      <c r="Z596" s="4" t="str">
        <f>IFERROR(__xludf.DUMMYFUNCTION("GOOGLETRANSLATE(B596,""en"",""zh"")"),"在地图上设置您的目的地")</f>
        <v>在地图上设置您的目的地</v>
      </c>
      <c r="AA596" s="4" t="str">
        <f>IFERROR(__xludf.DUMMYFUNCTION("GOOGLETRANSLATE(B596,""en"",""zh-TW"")"),"在地圖上設定您的目的地")</f>
        <v>在地圖上設定您的目的地</v>
      </c>
      <c r="AB596" s="4" t="str">
        <f>IFERROR(__xludf.DUMMYFUNCTION("GOOGLETRANSLATE(B596,""en"",""ja"")"),"地図上で目的地を設定する")</f>
        <v>地図上で目的地を設定する</v>
      </c>
      <c r="AC596" s="4" t="str">
        <f>IFERROR(__xludf.DUMMYFUNCTION("GOOGLETRANSLATE(B596,""en"",""bg"")"),"Задайте вашата дестинация на картата")</f>
        <v>Задайте вашата дестинация на картата</v>
      </c>
      <c r="AD596" s="4" t="str">
        <f>IFERROR(__xludf.DUMMYFUNCTION("GOOGLETRANSLATE(B596,""en"",""cs"")"),"Nastavte cíl na mapě")</f>
        <v>Nastavte cíl na mapě</v>
      </c>
      <c r="AE596" s="4" t="str">
        <f>IFERROR(__xludf.DUMMYFUNCTION("GOOGLETRANSLATE(B596,""en"",""da"")"),"Indstil din destination på kortet")</f>
        <v>Indstil din destination på kortet</v>
      </c>
      <c r="AF596" s="4" t="str">
        <f>IFERROR(__xludf.DUMMYFUNCTION("GOOGLETRANSLATE(B596,""en"",""el"")"),"Ορίστε τον προορισμό σας στο χάρτη")</f>
        <v>Ορίστε τον προορισμό σας στο χάρτη</v>
      </c>
      <c r="AG596" s="4" t="str">
        <f>IFERROR(__xludf.DUMMYFUNCTION("GOOGLETRANSLATE(B596,""en"",""et"")"),"Määrake oma sihtkoht kaardil")</f>
        <v>Määrake oma sihtkoht kaardil</v>
      </c>
      <c r="AH596" s="4" t="str">
        <f>IFERROR(__xludf.DUMMYFUNCTION("GOOGLETRANSLATE(B596,""en"",""fi"")"),"Aseta määränpääsi kartalle")</f>
        <v>Aseta määränpääsi kartalle</v>
      </c>
      <c r="AI596" s="4" t="str">
        <f>IFERROR(__xludf.DUMMYFUNCTION("GOOGLETRANSLATE(B596,""en"",""hr"")"),"Postavite svoje odredište na karti")</f>
        <v>Postavite svoje odredište na karti</v>
      </c>
      <c r="AJ596" s="4" t="str">
        <f>IFERROR(__xludf.DUMMYFUNCTION("GOOGLETRANSLATE(B596,""en"",""hu"")"),"Állítsa be úti célját a térképen")</f>
        <v>Állítsa be úti célját a térképen</v>
      </c>
      <c r="AK596" s="4" t="str">
        <f>IFERROR(__xludf.DUMMYFUNCTION("GOOGLETRANSLATE(B596,""en"",""hy"")"),"Սահմանեք ձեր նպատակակետը քարտեզի վրա")</f>
        <v>Սահմանեք ձեր նպատակակետը քարտեզի վրա</v>
      </c>
      <c r="AL596" s="4" t="str">
        <f>IFERROR(__xludf.DUMMYFUNCTION("GOOGLETRANSLATE(B596,""en"",""ca"")"),"Establiu la vostra destinació al mapa")</f>
        <v>Establiu la vostra destinació al mapa</v>
      </c>
      <c r="AM596" s="4" t="str">
        <f>IFERROR(__xludf.DUMMYFUNCTION("GOOGLETRANSLATE(B596,""en"",""nl"")"),"Zet uw bestemming op de kaart")</f>
        <v>Zet uw bestemming op de kaart</v>
      </c>
      <c r="AN596" s="4" t="str">
        <f>IFERROR(__xludf.DUMMYFUNCTION("GOOGLETRANSLATE(B596,""en"",""he"")"),"הגדר את היעד שלך על המפה")</f>
        <v>הגדר את היעד שלך על המפה</v>
      </c>
      <c r="AO596" s="4" t="str">
        <f>IFERROR(__xludf.DUMMYFUNCTION("GOOGLETRANSLATE(B596,""en"",""is"")"),"Stilltu áfangastað á kortinu")</f>
        <v>Stilltu áfangastað á kortinu</v>
      </c>
      <c r="AP596" s="4" t="str">
        <f>IFERROR(__xludf.DUMMYFUNCTION("GOOGLETRANSLATE(B596,""en"",""no"")"),"Angi reisemålet ditt på kartet")</f>
        <v>Angi reisemålet ditt på kartet</v>
      </c>
      <c r="AQ596" s="4" t="str">
        <f>IFERROR(__xludf.DUMMYFUNCTION("GOOGLETRANSLATE(B596,""en"",""fa"")"),"مقصد خود را روی نقشه تنظیم کنید")</f>
        <v>مقصد خود را روی نقشه تنظیم کنید</v>
      </c>
      <c r="AR596" s="4" t="str">
        <f>IFERROR(__xludf.DUMMYFUNCTION("GOOGLETRANSLATE(B596,""en"",""pl"")"),"Ustaw cel podróży na mapie")</f>
        <v>Ustaw cel podróży na mapie</v>
      </c>
      <c r="AS596" s="4" t="str">
        <f>IFERROR(__xludf.DUMMYFUNCTION("GOOGLETRANSLATE(B596,""en"",""sv"")"),"Ställ in din destination på kartan")</f>
        <v>Ställ in din destination på kartan</v>
      </c>
      <c r="AT596" s="4" t="str">
        <f>IFERROR(__xludf.DUMMYFUNCTION("GOOGLETRANSLATE(B596,""en"",""uk"")"),"Встановіть пункт призначення на карті")</f>
        <v>Встановіть пункт призначення на карті</v>
      </c>
      <c r="AU596" s="4" t="str">
        <f>IFERROR(__xludf.DUMMYFUNCTION("GOOGLETRANSLATE(B596,""en"",""zu"")"),"Setha indawo oya kuyo kumephu")</f>
        <v>Setha indawo oya kuyo kumephu</v>
      </c>
      <c r="AV596" s="4" t="str">
        <f>IFERROR(__xludf.DUMMYFUNCTION("GOOGLETRANSLATE(B596,""en"",""sr"")"),"Поставите своје одредиште на мапи")</f>
        <v>Поставите своје одредиште на мапи</v>
      </c>
    </row>
    <row r="597">
      <c r="A597" s="3" t="s">
        <v>1142</v>
      </c>
      <c r="B597" s="3" t="s">
        <v>1143</v>
      </c>
      <c r="C597" s="4" t="str">
        <f>IFERROR(__xludf.DUMMYFUNCTION("GOOGLETRANSLATE(B597,""en"",""ta"")"),"நீங்கள் சேருமிடத்தை நெருங்கும்போது அறிவிப்பைப் பெறுங்கள்")</f>
        <v>நீங்கள் சேருமிடத்தை நெருங்கும்போது அறிவிப்பைப் பெறுங்கள்</v>
      </c>
      <c r="D597" s="4" t="str">
        <f>IFERROR(__xludf.DUMMYFUNCTION("GOOGLETRANSLATE(B597,""en"",""hi"")"),"जब आप अपने गंतव्य के निकट पहुंचें तो सूचना प्राप्त करें")</f>
        <v>जब आप अपने गंतव्य के निकट पहुंचें तो सूचना प्राप्त करें</v>
      </c>
      <c r="E597" s="4" t="str">
        <f>IFERROR(__xludf.DUMMYFUNCTION("GOOGLETRANSLATE(B597,""en"",""id"")"),"Dapatkan pemberitahuan saat Anda mendekati tujuan Anda")</f>
        <v>Dapatkan pemberitahuan saat Anda mendekati tujuan Anda</v>
      </c>
      <c r="F597" s="4" t="str">
        <f>IFERROR(__xludf.DUMMYFUNCTION("GOOGLETRANSLATE(B597,""en"",""ms"")"),"Dapatkan pemberitahuan apabila anda menghampiri destinasi anda")</f>
        <v>Dapatkan pemberitahuan apabila anda menghampiri destinasi anda</v>
      </c>
      <c r="G597" s="4" t="str">
        <f>IFERROR(__xludf.DUMMYFUNCTION("GOOGLETRANSLATE(B597,""en"",""de"")"),"Lassen Sie sich benachrichtigen, wenn Sie sich Ihrem Ziel nähern")</f>
        <v>Lassen Sie sich benachrichtigen, wenn Sie sich Ihrem Ziel nähern</v>
      </c>
      <c r="H597" s="4" t="str">
        <f>IFERROR(__xludf.DUMMYFUNCTION("GOOGLETRANSLATE(B597,""en"",""es"")"),"Recibe notificaciones cuando te acerques a tu destino")</f>
        <v>Recibe notificaciones cuando te acerques a tu destino</v>
      </c>
      <c r="I597" s="4" t="str">
        <f>IFERROR(__xludf.DUMMYFUNCTION("GOOGLETRANSLATE(B597,""en"",""fr"")"),"Soyez averti lorsque vous approchez de votre destination")</f>
        <v>Soyez averti lorsque vous approchez de votre destination</v>
      </c>
      <c r="J597" s="4" t="str">
        <f>IFERROR(__xludf.DUMMYFUNCTION("GOOGLETRANSLATE(B597,""en"",""it"")"),"Ricevi una notifica quando ti stai avvicinando alla tua destinazione")</f>
        <v>Ricevi una notifica quando ti stai avvicinando alla tua destinazione</v>
      </c>
      <c r="K597" s="4" t="str">
        <f>IFERROR(__xludf.DUMMYFUNCTION("GOOGLETRANSLATE(B597,""en"",""pt"")"),"Receba notificações quando estiver se aproximando do seu destino")</f>
        <v>Receba notificações quando estiver se aproximando do seu destino</v>
      </c>
      <c r="L597" s="4" t="str">
        <f>IFERROR(__xludf.DUMMYFUNCTION("GOOGLETRANSLATE(B597,""en"",""ro"")"),"Primiți notificări când vă apropiați de destinație")</f>
        <v>Primiți notificări când vă apropiați de destinație</v>
      </c>
      <c r="M597" s="4" t="str">
        <f>IFERROR(__xludf.DUMMYFUNCTION("GOOGLETRANSLATE(B597,""en"",""vi"")"),"Nhận thông báo khi bạn đang đến gần đích đến của mình")</f>
        <v>Nhận thông báo khi bạn đang đến gần đích đến của mình</v>
      </c>
      <c r="N597" s="4" t="str">
        <f>IFERROR(__xludf.DUMMYFUNCTION("GOOGLETRANSLATE(B597,""en"",""ru"")"),"Получайте уведомления, когда приближаетесь к месту назначения")</f>
        <v>Получайте уведомления, когда приближаетесь к месту назначения</v>
      </c>
      <c r="O597" s="4" t="str">
        <f>IFERROR(__xludf.DUMMYFUNCTION("GOOGLETRANSLATE(B597,""en"",""tr"")"),"Hedefinize yaklaştığınızda bildirim alın")</f>
        <v>Hedefinize yaklaştığınızda bildirim alın</v>
      </c>
      <c r="P597" s="4" t="str">
        <f>IFERROR(__xludf.DUMMYFUNCTION("GOOGLETRANSLATE(B597,""en"",""ar"")"),"احصل على إشعار عند اقترابك من وجهتك")</f>
        <v>احصل على إشعار عند اقترابك من وجهتك</v>
      </c>
      <c r="Q597" s="4" t="str">
        <f>IFERROR(__xludf.DUMMYFUNCTION("GOOGLETRANSLATE(B597,""en"",""mr"")"),"तुम्ही तुमच्या गंतव्यस्थानाकडे जाता तेव्हा सूचना मिळवा")</f>
        <v>तुम्ही तुमच्या गंतव्यस्थानाकडे जाता तेव्हा सूचना मिळवा</v>
      </c>
      <c r="R597" s="4" t="str">
        <f>IFERROR(__xludf.DUMMYFUNCTION("GOOGLETRANSLATE(B597,""en"",""gu"")"),"જ્યારે તમે તમારા ગંતવ્યની નજીક આવો ત્યારે સૂચના મેળવો")</f>
        <v>જ્યારે તમે તમારા ગંતવ્યની નજીક આવો ત્યારે સૂચના મેળવો</v>
      </c>
      <c r="S597" s="4" t="str">
        <f>IFERROR(__xludf.DUMMYFUNCTION("GOOGLETRANSLATE(B597,""en"",""bn"")"),"আপনি যখন আপনার গন্তব্যে পৌঁছাচ্ছেন তখন বিজ্ঞপ্তি পান")</f>
        <v>আপনি যখন আপনার গন্তব্যে পৌঁছাচ্ছেন তখন বিজ্ঞপ্তি পান</v>
      </c>
      <c r="T597" s="4" t="str">
        <f>IFERROR(__xludf.DUMMYFUNCTION("GOOGLETRANSLATE(B597,""en"",""pa"")"),"ਜਦੋਂ ਤੁਸੀਂ ਆਪਣੀ ਮੰਜ਼ਿਲ 'ਤੇ ਪਹੁੰਚ ਰਹੇ ਹੋਵੋ ਤਾਂ ਸੂਚਨਾ ਪ੍ਰਾਪਤ ਕਰੋ")</f>
        <v>ਜਦੋਂ ਤੁਸੀਂ ਆਪਣੀ ਮੰਜ਼ਿਲ 'ਤੇ ਪਹੁੰਚ ਰਹੇ ਹੋਵੋ ਤਾਂ ਸੂਚਨਾ ਪ੍ਰਾਪਤ ਕਰੋ</v>
      </c>
      <c r="U597" s="4" t="str">
        <f>IFERROR(__xludf.DUMMYFUNCTION("GOOGLETRANSLATE(B597,""en"",""te"")"),"మీరు మీ గమ్యస్థానానికి చేరుకున్నప్పుడు నోటిఫికేషన్ పొందండి")</f>
        <v>మీరు మీ గమ్యస్థానానికి చేరుకున్నప్పుడు నోటిఫికేషన్ పొందండి</v>
      </c>
      <c r="V597" s="4" t="str">
        <f>IFERROR(__xludf.DUMMYFUNCTION("GOOGLETRANSLATE(B597,""en"",""kn"")"),"ನಿಮ್ಮ ಗಮ್ಯಸ್ಥಾನವನ್ನು ನೀವು ಸಮೀಪಿಸುತ್ತಿರುವಾಗ ಸೂಚನೆ ಪಡೆಯಿರಿ")</f>
        <v>ನಿಮ್ಮ ಗಮ್ಯಸ್ಥಾನವನ್ನು ನೀವು ಸಮೀಪಿಸುತ್ತಿರುವಾಗ ಸೂಚನೆ ಪಡೆಯಿರಿ</v>
      </c>
      <c r="W597" s="4" t="str">
        <f>IFERROR(__xludf.DUMMYFUNCTION("GOOGLETRANSLATE(B597,""en"",""ml"")"),"നിങ്ങൾ ലക്ഷ്യസ്ഥാനത്ത് എത്തുമ്പോൾ അറിയിപ്പ് നേടുക")</f>
        <v>നിങ്ങൾ ലക്ഷ്യസ്ഥാനത്ത് എത്തുമ്പോൾ അറിയിപ്പ് നേടുക</v>
      </c>
      <c r="X597" s="4" t="str">
        <f>IFERROR(__xludf.DUMMYFUNCTION("GOOGLETRANSLATE(B597,""en"",""th"")"),"รับการแจ้งเตือนเมื่อคุณใกล้ถึงจุดหมายปลายทาง")</f>
        <v>รับการแจ้งเตือนเมื่อคุณใกล้ถึงจุดหมายปลายทาง</v>
      </c>
      <c r="Y597" s="4" t="str">
        <f>IFERROR(__xludf.DUMMYFUNCTION("GOOGLETRANSLATE(B597,""en"",""ko"")"),"목적지에 접근하면 알림을 받으세요")</f>
        <v>목적지에 접근하면 알림을 받으세요</v>
      </c>
      <c r="Z597" s="4" t="str">
        <f>IFERROR(__xludf.DUMMYFUNCTION("GOOGLETRANSLATE(B597,""en"",""zh"")"),"接近目的地时收到通知")</f>
        <v>接近目的地时收到通知</v>
      </c>
      <c r="AA597" s="4" t="str">
        <f>IFERROR(__xludf.DUMMYFUNCTION("GOOGLETRANSLATE(B597,""en"",""zh-TW"")"),"接近目的地時收到通知")</f>
        <v>接近目的地時收到通知</v>
      </c>
      <c r="AB597" s="4" t="str">
        <f>IFERROR(__xludf.DUMMYFUNCTION("GOOGLETRANSLATE(B597,""en"",""ja"")"),"目的地に近づくと通知を受け取る")</f>
        <v>目的地に近づくと通知を受け取る</v>
      </c>
      <c r="AC597" s="4" t="str">
        <f>IFERROR(__xludf.DUMMYFUNCTION("GOOGLETRANSLATE(B597,""en"",""bg"")"),"Получавайте известия, когато наближавате дестинацията си")</f>
        <v>Получавайте известия, когато наближавате дестинацията си</v>
      </c>
      <c r="AD597" s="4" t="str">
        <f>IFERROR(__xludf.DUMMYFUNCTION("GOOGLETRANSLATE(B597,""en"",""cs"")"),"Získejte upozornění, když se blížíte k cíli")</f>
        <v>Získejte upozornění, když se blížíte k cíli</v>
      </c>
      <c r="AE597" s="4" t="str">
        <f>IFERROR(__xludf.DUMMYFUNCTION("GOOGLETRANSLATE(B597,""en"",""da"")"),"Få besked, når du nærmer dig din destination")</f>
        <v>Få besked, når du nærmer dig din destination</v>
      </c>
      <c r="AF597" s="4" t="str">
        <f>IFERROR(__xludf.DUMMYFUNCTION("GOOGLETRANSLATE(B597,""en"",""el"")"),"Λάβετε ειδοποιήσεις όταν πλησιάζετε στον προορισμό σας")</f>
        <v>Λάβετε ειδοποιήσεις όταν πλησιάζετε στον προορισμό σας</v>
      </c>
      <c r="AG597" s="4" t="str">
        <f>IFERROR(__xludf.DUMMYFUNCTION("GOOGLETRANSLATE(B597,""en"",""et"")"),"Saate märguande, kui lähenete oma sihtkohale")</f>
        <v>Saate märguande, kui lähenete oma sihtkohale</v>
      </c>
      <c r="AH597" s="4" t="str">
        <f>IFERROR(__xludf.DUMMYFUNCTION("GOOGLETRANSLATE(B597,""en"",""fi"")"),"Saat ilmoituksen, kun lähestyt määränpäätäsi")</f>
        <v>Saat ilmoituksen, kun lähestyt määränpäätäsi</v>
      </c>
      <c r="AI597" s="4" t="str">
        <f>IFERROR(__xludf.DUMMYFUNCTION("GOOGLETRANSLATE(B597,""en"",""hr"")"),"Primite obavijest kada se približavate odredištu")</f>
        <v>Primite obavijest kada se približavate odredištu</v>
      </c>
      <c r="AJ597" s="4" t="str">
        <f>IFERROR(__xludf.DUMMYFUNCTION("GOOGLETRANSLATE(B597,""en"",""hu"")"),"Értesítést kap, ha közeledik úti céljához")</f>
        <v>Értesítést kap, ha közeledik úti céljához</v>
      </c>
      <c r="AK597" s="4" t="str">
        <f>IFERROR(__xludf.DUMMYFUNCTION("GOOGLETRANSLATE(B597,""en"",""hy"")"),"Ստացեք ծանուցում, երբ մոտենում եք ձեր նպատակակետին")</f>
        <v>Ստացեք ծանուցում, երբ մոտենում եք ձեր նպատակակետին</v>
      </c>
      <c r="AL597" s="4" t="str">
        <f>IFERROR(__xludf.DUMMYFUNCTION("GOOGLETRANSLATE(B597,""en"",""ca"")"),"Rebeu una notificació quan us acosteu a la vostra destinació")</f>
        <v>Rebeu una notificació quan us acosteu a la vostra destinació</v>
      </c>
      <c r="AM597" s="4" t="str">
        <f>IFERROR(__xludf.DUMMYFUNCTION("GOOGLETRANSLATE(B597,""en"",""nl"")"),"Ontvang een melding wanneer u uw bestemming nadert")</f>
        <v>Ontvang een melding wanneer u uw bestemming nadert</v>
      </c>
      <c r="AN597" s="4" t="str">
        <f>IFERROR(__xludf.DUMMYFUNCTION("GOOGLETRANSLATE(B597,""en"",""he"")"),"קבל התראה כאשר אתה מתקרב ליעד שלך")</f>
        <v>קבל התראה כאשר אתה מתקרב ליעד שלך</v>
      </c>
      <c r="AO597" s="4" t="str">
        <f>IFERROR(__xludf.DUMMYFUNCTION("GOOGLETRANSLATE(B597,""en"",""is"")"),"Fáðu tilkynningu þegar þú ert að nálgast áfangastað")</f>
        <v>Fáðu tilkynningu þegar þú ert að nálgast áfangastað</v>
      </c>
      <c r="AP597" s="4" t="str">
        <f>IFERROR(__xludf.DUMMYFUNCTION("GOOGLETRANSLATE(B597,""en"",""no"")"),"Bli varslet når du nærmer deg destinasjonen")</f>
        <v>Bli varslet når du nærmer deg destinasjonen</v>
      </c>
      <c r="AQ597" s="4" t="str">
        <f>IFERROR(__xludf.DUMMYFUNCTION("GOOGLETRANSLATE(B597,""en"",""fa"")"),"هنگامی که به مقصد خود نزدیک می شوید مطلع شوید")</f>
        <v>هنگامی که به مقصد خود نزدیک می شوید مطلع شوید</v>
      </c>
      <c r="AR597" s="4" t="str">
        <f>IFERROR(__xludf.DUMMYFUNCTION("GOOGLETRANSLATE(B597,""en"",""pl"")"),"Otrzymuj powiadomienia, gdy zbliżasz się do celu")</f>
        <v>Otrzymuj powiadomienia, gdy zbliżasz się do celu</v>
      </c>
      <c r="AS597" s="4" t="str">
        <f>IFERROR(__xludf.DUMMYFUNCTION("GOOGLETRANSLATE(B597,""en"",""sv"")"),"Få ett meddelande när du närmar dig din destination")</f>
        <v>Få ett meddelande när du närmar dig din destination</v>
      </c>
      <c r="AT597" s="4" t="str">
        <f>IFERROR(__xludf.DUMMYFUNCTION("GOOGLETRANSLATE(B597,""en"",""uk"")"),"Отримуйте сповіщення, коли наближаєтеся до місця призначення")</f>
        <v>Отримуйте сповіщення, коли наближаєтеся до місця призначення</v>
      </c>
      <c r="AU597" s="4" t="str">
        <f>IFERROR(__xludf.DUMMYFUNCTION("GOOGLETRANSLATE(B597,""en"",""zu"")"),"Thola isaziso uma usondela endaweni oya kuyo")</f>
        <v>Thola isaziso uma usondela endaweni oya kuyo</v>
      </c>
      <c r="AV597" s="4" t="str">
        <f>IFERROR(__xludf.DUMMYFUNCTION("GOOGLETRANSLATE(B597,""en"",""sr"")"),"Добијајте обавештења када се приближавате свом одредишту")</f>
        <v>Добијајте обавештења када се приближавате свом одредишту</v>
      </c>
    </row>
    <row r="598">
      <c r="A598" s="3" t="s">
        <v>1144</v>
      </c>
      <c r="B598" s="3" t="s">
        <v>1145</v>
      </c>
      <c r="C598" s="4" t="str">
        <f>IFERROR(__xludf.DUMMYFUNCTION("GOOGLETRANSLATE(B598,""en"",""ta"")"),"ஆப்ஸ் பின்னணியில் இருந்தாலும் வேலை செய்யும்")</f>
        <v>ஆப்ஸ் பின்னணியில் இருந்தாலும் வேலை செய்யும்</v>
      </c>
      <c r="D598" s="4" t="str">
        <f>IFERROR(__xludf.DUMMYFUNCTION("GOOGLETRANSLATE(B598,""en"",""hi"")"),"ऐप बैकग्राउंड में होने पर भी काम करता है")</f>
        <v>ऐप बैकग्राउंड में होने पर भी काम करता है</v>
      </c>
      <c r="E598" s="4" t="str">
        <f>IFERROR(__xludf.DUMMYFUNCTION("GOOGLETRANSLATE(B598,""en"",""id"")"),"Berfungsi bahkan saat aplikasi berada di latar belakang")</f>
        <v>Berfungsi bahkan saat aplikasi berada di latar belakang</v>
      </c>
      <c r="F598" s="4" t="str">
        <f>IFERROR(__xludf.DUMMYFUNCTION("GOOGLETRANSLATE(B598,""en"",""ms"")"),"Berfungsi walaupun semasa apl berada di latar belakang")</f>
        <v>Berfungsi walaupun semasa apl berada di latar belakang</v>
      </c>
      <c r="G598" s="4" t="str">
        <f>IFERROR(__xludf.DUMMYFUNCTION("GOOGLETRANSLATE(B598,""en"",""de"")"),"Funktioniert auch, wenn die App im Hintergrund läuft")</f>
        <v>Funktioniert auch, wenn die App im Hintergrund läuft</v>
      </c>
      <c r="H598" s="4" t="str">
        <f>IFERROR(__xludf.DUMMYFUNCTION("GOOGLETRANSLATE(B598,""en"",""es"")"),"Funciona incluso cuando la aplicación está en segundo plano.")</f>
        <v>Funciona incluso cuando la aplicación está en segundo plano.</v>
      </c>
      <c r="I598" s="4" t="str">
        <f>IFERROR(__xludf.DUMMYFUNCTION("GOOGLETRANSLATE(B598,""en"",""fr"")"),"Fonctionne même lorsque l'application est en arrière-plan")</f>
        <v>Fonctionne même lorsque l'application est en arrière-plan</v>
      </c>
      <c r="J598" s="4" t="str">
        <f>IFERROR(__xludf.DUMMYFUNCTION("GOOGLETRANSLATE(B598,""en"",""it"")"),"Funziona anche quando l'app è in background")</f>
        <v>Funziona anche quando l'app è in background</v>
      </c>
      <c r="K598" s="4" t="str">
        <f>IFERROR(__xludf.DUMMYFUNCTION("GOOGLETRANSLATE(B598,""en"",""pt"")"),"Funciona mesmo quando o aplicativo está em segundo plano")</f>
        <v>Funciona mesmo quando o aplicativo está em segundo plano</v>
      </c>
      <c r="L598" s="4" t="str">
        <f>IFERROR(__xludf.DUMMYFUNCTION("GOOGLETRANSLATE(B598,""en"",""ro"")"),"Funcționează chiar și atunci când aplicația este în fundal")</f>
        <v>Funcționează chiar și atunci când aplicația este în fundal</v>
      </c>
      <c r="M598" s="4" t="str">
        <f>IFERROR(__xludf.DUMMYFUNCTION("GOOGLETRANSLATE(B598,""en"",""vi"")"),"Hoạt động ngay cả khi ứng dụng đang ở chế độ nền")</f>
        <v>Hoạt động ngay cả khi ứng dụng đang ở chế độ nền</v>
      </c>
      <c r="N598" s="4" t="str">
        <f>IFERROR(__xludf.DUMMYFUNCTION("GOOGLETRANSLATE(B598,""en"",""ru"")"),"Работает даже когда приложение находится в фоновом режиме")</f>
        <v>Работает даже когда приложение находится в фоновом режиме</v>
      </c>
      <c r="O598" s="4" t="str">
        <f>IFERROR(__xludf.DUMMYFUNCTION("GOOGLETRANSLATE(B598,""en"",""tr"")"),"Uygulama arka planda olsa bile çalışır")</f>
        <v>Uygulama arka planda olsa bile çalışır</v>
      </c>
      <c r="P598" s="4" t="str">
        <f>IFERROR(__xludf.DUMMYFUNCTION("GOOGLETRANSLATE(B598,""en"",""ar"")"),"يعمل حتى عندما يكون التطبيق في الخلفية")</f>
        <v>يعمل حتى عندما يكون التطبيق في الخلفية</v>
      </c>
      <c r="Q598" s="4" t="str">
        <f>IFERROR(__xludf.DUMMYFUNCTION("GOOGLETRANSLATE(B598,""en"",""mr"")"),"ॲप बॅकग्राउंडमध्ये असताना देखील कार्य करते")</f>
        <v>ॲप बॅकग्राउंडमध्ये असताना देखील कार्य करते</v>
      </c>
      <c r="R598" s="4" t="str">
        <f>IFERROR(__xludf.DUMMYFUNCTION("GOOGLETRANSLATE(B598,""en"",""gu"")"),"જ્યારે એપ્લિકેશન પૃષ્ઠભૂમિમાં હોય ત્યારે પણ કાર્ય કરે છે")</f>
        <v>જ્યારે એપ્લિકેશન પૃષ્ઠભૂમિમાં હોય ત્યારે પણ કાર્ય કરે છે</v>
      </c>
      <c r="S598" s="4" t="str">
        <f>IFERROR(__xludf.DUMMYFUNCTION("GOOGLETRANSLATE(B598,""en"",""bn"")"),"অ্যাপটি ব্যাকগ্রাউন্ডে থাকলেও কাজ করে")</f>
        <v>অ্যাপটি ব্যাকগ্রাউন্ডে থাকলেও কাজ করে</v>
      </c>
      <c r="T598" s="4" t="str">
        <f>IFERROR(__xludf.DUMMYFUNCTION("GOOGLETRANSLATE(B598,""en"",""pa"")"),"ਐਪ ਬੈਕਗ੍ਰਾਊਂਡ ਵਿੱਚ ਹੋਣ 'ਤੇ ਵੀ ਕੰਮ ਕਰਦਾ ਹੈ")</f>
        <v>ਐਪ ਬੈਕਗ੍ਰਾਊਂਡ ਵਿੱਚ ਹੋਣ 'ਤੇ ਵੀ ਕੰਮ ਕਰਦਾ ਹੈ</v>
      </c>
      <c r="U598" s="4" t="str">
        <f>IFERROR(__xludf.DUMMYFUNCTION("GOOGLETRANSLATE(B598,""en"",""te"")"),"యాప్ బ్యాక్‌గ్రౌండ్‌లో ఉన్నప్పుడు కూడా పని చేస్తుంది")</f>
        <v>యాప్ బ్యాక్‌గ్రౌండ్‌లో ఉన్నప్పుడు కూడా పని చేస్తుంది</v>
      </c>
      <c r="V598" s="4" t="str">
        <f>IFERROR(__xludf.DUMMYFUNCTION("GOOGLETRANSLATE(B598,""en"",""kn"")"),"ಅಪ್ಲಿಕೇಶನ್ ಹಿನ್ನೆಲೆಯಲ್ಲಿ ಇದ್ದರೂ ಸಹ ಕಾರ್ಯನಿರ್ವಹಿಸುತ್ತದೆ")</f>
        <v>ಅಪ್ಲಿಕೇಶನ್ ಹಿನ್ನೆಲೆಯಲ್ಲಿ ಇದ್ದರೂ ಸಹ ಕಾರ್ಯನಿರ್ವಹಿಸುತ್ತದೆ</v>
      </c>
      <c r="W598" s="4" t="str">
        <f>IFERROR(__xludf.DUMMYFUNCTION("GOOGLETRANSLATE(B598,""en"",""ml"")"),"ആപ്പ് പശ്ചാത്തലത്തിലാണെങ്കിലും പ്രവർത്തിക്കുന്നു")</f>
        <v>ആപ്പ് പശ്ചാത്തലത്തിലാണെങ്കിലും പ്രവർത്തിക്കുന്നു</v>
      </c>
      <c r="X598" s="4" t="str">
        <f>IFERROR(__xludf.DUMMYFUNCTION("GOOGLETRANSLATE(B598,""en"",""th"")"),"ทำงานได้แม้ในขณะที่แอปอยู่ในพื้นหลัง")</f>
        <v>ทำงานได้แม้ในขณะที่แอปอยู่ในพื้นหลัง</v>
      </c>
      <c r="Y598" s="4" t="str">
        <f>IFERROR(__xludf.DUMMYFUNCTION("GOOGLETRANSLATE(B598,""en"",""ko"")"),"앱이 백그라운드에 있을 때도 작동합니다.")</f>
        <v>앱이 백그라운드에 있을 때도 작동합니다.</v>
      </c>
      <c r="Z598" s="4" t="str">
        <f>IFERROR(__xludf.DUMMYFUNCTION("GOOGLETRANSLATE(B598,""en"",""zh"")"),"即使应用程序在后台运行也能正常工作")</f>
        <v>即使应用程序在后台运行也能正常工作</v>
      </c>
      <c r="AA598" s="4" t="str">
        <f>IFERROR(__xludf.DUMMYFUNCTION("GOOGLETRANSLATE(B598,""en"",""zh-TW"")"),"即使應用程式在背景運行也能正常運作")</f>
        <v>即使應用程式在背景運行也能正常運作</v>
      </c>
      <c r="AB598" s="4" t="str">
        <f>IFERROR(__xludf.DUMMYFUNCTION("GOOGLETRANSLATE(B598,""en"",""ja"")"),"アプリがバックグラウンドにあるときでも動作します")</f>
        <v>アプリがバックグラウンドにあるときでも動作します</v>
      </c>
      <c r="AC598" s="4" t="str">
        <f>IFERROR(__xludf.DUMMYFUNCTION("GOOGLETRANSLATE(B598,""en"",""bg"")"),"Работи дори когато приложението е във фонов режим")</f>
        <v>Работи дори когато приложението е във фонов режим</v>
      </c>
      <c r="AD598" s="4" t="str">
        <f>IFERROR(__xludf.DUMMYFUNCTION("GOOGLETRANSLATE(B598,""en"",""cs"")"),"Funguje, i když je aplikace na pozadí")</f>
        <v>Funguje, i když je aplikace na pozadí</v>
      </c>
      <c r="AE598" s="4" t="str">
        <f>IFERROR(__xludf.DUMMYFUNCTION("GOOGLETRANSLATE(B598,""en"",""da"")"),"Virker selv når appen er i baggrunden")</f>
        <v>Virker selv når appen er i baggrunden</v>
      </c>
      <c r="AF598" s="4" t="str">
        <f>IFERROR(__xludf.DUMMYFUNCTION("GOOGLETRANSLATE(B598,""en"",""el"")"),"Λειτουργεί ακόμα και όταν η εφαρμογή βρίσκεται στο παρασκήνιο")</f>
        <v>Λειτουργεί ακόμα και όταν η εφαρμογή βρίσκεται στο παρασκήνιο</v>
      </c>
      <c r="AG598" s="4" t="str">
        <f>IFERROR(__xludf.DUMMYFUNCTION("GOOGLETRANSLATE(B598,""en"",""et"")"),"Töötab isegi siis, kui rakendus on taustal")</f>
        <v>Töötab isegi siis, kui rakendus on taustal</v>
      </c>
      <c r="AH598" s="4" t="str">
        <f>IFERROR(__xludf.DUMMYFUNCTION("GOOGLETRANSLATE(B598,""en"",""fi"")"),"Toimii, vaikka sovellus olisi taustalla")</f>
        <v>Toimii, vaikka sovellus olisi taustalla</v>
      </c>
      <c r="AI598" s="4" t="str">
        <f>IFERROR(__xludf.DUMMYFUNCTION("GOOGLETRANSLATE(B598,""en"",""hr"")"),"Radi čak i kada je aplikacija u pozadini")</f>
        <v>Radi čak i kada je aplikacija u pozadini</v>
      </c>
      <c r="AJ598" s="4" t="str">
        <f>IFERROR(__xludf.DUMMYFUNCTION("GOOGLETRANSLATE(B598,""en"",""hu"")"),"Akkor is működik, ha az alkalmazás a háttérben van")</f>
        <v>Akkor is működik, ha az alkalmazás a háttérben van</v>
      </c>
      <c r="AK598" s="4" t="str">
        <f>IFERROR(__xludf.DUMMYFUNCTION("GOOGLETRANSLATE(B598,""en"",""hy"")"),"Աշխատում է նույնիսկ այն ժամանակ, երբ հավելվածը հետին պլանում է")</f>
        <v>Աշխատում է նույնիսկ այն ժամանակ, երբ հավելվածը հետին պլանում է</v>
      </c>
      <c r="AL598" s="4" t="str">
        <f>IFERROR(__xludf.DUMMYFUNCTION("GOOGLETRANSLATE(B598,""en"",""ca"")"),"Funciona fins i tot quan l'aplicació està en segon pla")</f>
        <v>Funciona fins i tot quan l'aplicació està en segon pla</v>
      </c>
      <c r="AM598" s="4" t="str">
        <f>IFERROR(__xludf.DUMMYFUNCTION("GOOGLETRANSLATE(B598,""en"",""nl"")"),"Werkt zelfs als de app op de achtergrond draait")</f>
        <v>Werkt zelfs als de app op de achtergrond draait</v>
      </c>
      <c r="AN598" s="4" t="str">
        <f>IFERROR(__xludf.DUMMYFUNCTION("GOOGLETRANSLATE(B598,""en"",""he"")"),"עובד גם כשהאפליקציה ברקע")</f>
        <v>עובד גם כשהאפליקציה ברקע</v>
      </c>
      <c r="AO598" s="4" t="str">
        <f>IFERROR(__xludf.DUMMYFUNCTION("GOOGLETRANSLATE(B598,""en"",""is"")"),"Virkar jafnvel þegar appið er í bakgrunni")</f>
        <v>Virkar jafnvel þegar appið er í bakgrunni</v>
      </c>
      <c r="AP598" s="4" t="str">
        <f>IFERROR(__xludf.DUMMYFUNCTION("GOOGLETRANSLATE(B598,""en"",""no"")"),"Fungerer selv når appen er i bakgrunnen")</f>
        <v>Fungerer selv når appen er i bakgrunnen</v>
      </c>
      <c r="AQ598" s="4" t="str">
        <f>IFERROR(__xludf.DUMMYFUNCTION("GOOGLETRANSLATE(B598,""en"",""fa"")"),"حتی زمانی که برنامه در پس زمینه است کار می کند")</f>
        <v>حتی زمانی که برنامه در پس زمینه است کار می کند</v>
      </c>
      <c r="AR598" s="4" t="str">
        <f>IFERROR(__xludf.DUMMYFUNCTION("GOOGLETRANSLATE(B598,""en"",""pl"")"),"Działa nawet wtedy, gdy aplikacja działa w tle")</f>
        <v>Działa nawet wtedy, gdy aplikacja działa w tle</v>
      </c>
      <c r="AS598" s="4" t="str">
        <f>IFERROR(__xludf.DUMMYFUNCTION("GOOGLETRANSLATE(B598,""en"",""sv"")"),"Fungerar även när appen är i bakgrunden")</f>
        <v>Fungerar även när appen är i bakgrunden</v>
      </c>
      <c r="AT598" s="4" t="str">
        <f>IFERROR(__xludf.DUMMYFUNCTION("GOOGLETRANSLATE(B598,""en"",""uk"")"),"Працює навіть у фоновому режимі")</f>
        <v>Працює навіть у фоновому режимі</v>
      </c>
      <c r="AU598" s="4" t="str">
        <f>IFERROR(__xludf.DUMMYFUNCTION("GOOGLETRANSLATE(B598,""en"",""zu"")"),"Isebenza noma ngabe uhlelo lokusebenza lungemuva")</f>
        <v>Isebenza noma ngabe uhlelo lokusebenza lungemuva</v>
      </c>
      <c r="AV598" s="4" t="str">
        <f>IFERROR(__xludf.DUMMYFUNCTION("GOOGLETRANSLATE(B598,""en"",""sr"")"),"Ради чак и када је апликација у позадини")</f>
        <v>Ради чак и када је апликација у позадини</v>
      </c>
    </row>
    <row r="599">
      <c r="A599" s="3" t="s">
        <v>1146</v>
      </c>
      <c r="B599" s="3" t="s">
        <v>1147</v>
      </c>
      <c r="C599" s="4" t="str">
        <f>IFERROR(__xludf.DUMMYFUNCTION("GOOGLETRANSLATE(B599,""en"",""ta"")"),"இலக்கு இருப்பிடத்தை அமைக்கவும்")</f>
        <v>இலக்கு இருப்பிடத்தை அமைக்கவும்</v>
      </c>
      <c r="D599" s="4" t="str">
        <f>IFERROR(__xludf.DUMMYFUNCTION("GOOGLETRANSLATE(B599,""en"",""hi"")"),"लक्ष्य स्थान निर्धारित करें")</f>
        <v>लक्ष्य स्थान निर्धारित करें</v>
      </c>
      <c r="E599" s="4" t="str">
        <f>IFERROR(__xludf.DUMMYFUNCTION("GOOGLETRANSLATE(B599,""en"",""id"")"),"TETAPKAN LOKASI TARGET")</f>
        <v>TETAPKAN LOKASI TARGET</v>
      </c>
      <c r="F599" s="4" t="str">
        <f>IFERROR(__xludf.DUMMYFUNCTION("GOOGLETRANSLATE(B599,""en"",""ms"")"),"TETAPKAN LOKASI SASARAN")</f>
        <v>TETAPKAN LOKASI SASARAN</v>
      </c>
      <c r="G599" s="4" t="str">
        <f>IFERROR(__xludf.DUMMYFUNCTION("GOOGLETRANSLATE(B599,""en"",""de"")"),"ZIELORT FESTLEGEN")</f>
        <v>ZIELORT FESTLEGEN</v>
      </c>
      <c r="H599" s="4" t="str">
        <f>IFERROR(__xludf.DUMMYFUNCTION("GOOGLETRANSLATE(B599,""en"",""es"")"),"ESTABLECER UBICACIÓN DE OBJETIVO")</f>
        <v>ESTABLECER UBICACIÓN DE OBJETIVO</v>
      </c>
      <c r="I599" s="4" t="str">
        <f>IFERROR(__xludf.DUMMYFUNCTION("GOOGLETRANSLATE(B599,""en"",""fr"")"),"DÉFINIR L'EMPLACEMENT CIBLE")</f>
        <v>DÉFINIR L'EMPLACEMENT CIBLE</v>
      </c>
      <c r="J599" s="4" t="str">
        <f>IFERROR(__xludf.DUMMYFUNCTION("GOOGLETRANSLATE(B599,""en"",""it"")"),"IMPOSTA LA POSIZIONE DI DESTINAZIONE")</f>
        <v>IMPOSTA LA POSIZIONE DI DESTINAZIONE</v>
      </c>
      <c r="K599" s="4" t="str">
        <f>IFERROR(__xludf.DUMMYFUNCTION("GOOGLETRANSLATE(B599,""en"",""pt"")"),"DEFINIR LOCAL ALVO")</f>
        <v>DEFINIR LOCAL ALVO</v>
      </c>
      <c r="L599" s="4" t="str">
        <f>IFERROR(__xludf.DUMMYFUNCTION("GOOGLETRANSLATE(B599,""en"",""ro"")"),"SETĂ LOCAȚIA ȚINTĂ")</f>
        <v>SETĂ LOCAȚIA ȚINTĂ</v>
      </c>
      <c r="M599" s="4" t="str">
        <f>IFERROR(__xludf.DUMMYFUNCTION("GOOGLETRANSLATE(B599,""en"",""vi"")"),"ĐẶT VỊ TRÍ MỤC TIÊU")</f>
        <v>ĐẶT VỊ TRÍ MỤC TIÊU</v>
      </c>
      <c r="N599" s="4" t="str">
        <f>IFERROR(__xludf.DUMMYFUNCTION("GOOGLETRANSLATE(B599,""en"",""ru"")"),"УСТАНОВИТЬ ЦЕЛЕВОЕ МЕСТОПОЛОЖЕНИЕ")</f>
        <v>УСТАНОВИТЬ ЦЕЛЕВОЕ МЕСТОПОЛОЖЕНИЕ</v>
      </c>
      <c r="O599" s="4" t="str">
        <f>IFERROR(__xludf.DUMMYFUNCTION("GOOGLETRANSLATE(B599,""en"",""tr"")"),"HEDEF KONUMU AYARLA")</f>
        <v>HEDEF KONUMU AYARLA</v>
      </c>
      <c r="P599" s="4" t="str">
        <f>IFERROR(__xludf.DUMMYFUNCTION("GOOGLETRANSLATE(B599,""en"",""ar"")"),"تعيين موقع الهدف")</f>
        <v>تعيين موقع الهدف</v>
      </c>
      <c r="Q599" s="4" t="str">
        <f>IFERROR(__xludf.DUMMYFUNCTION("GOOGLETRANSLATE(B599,""en"",""mr"")"),"लक्ष्य स्थान सेट करा")</f>
        <v>लक्ष्य स्थान सेट करा</v>
      </c>
      <c r="R599" s="4" t="str">
        <f>IFERROR(__xludf.DUMMYFUNCTION("GOOGLETRANSLATE(B599,""en"",""gu"")"),"લક્ષ્ય સ્થાન સેટ કરો")</f>
        <v>લક્ષ્ય સ્થાન સેટ કરો</v>
      </c>
      <c r="S599" s="4" t="str">
        <f>IFERROR(__xludf.DUMMYFUNCTION("GOOGLETRANSLATE(B599,""en"",""bn"")"),"টার্গেট লোকেশন সেট করুন")</f>
        <v>টার্গেট লোকেশন সেট করুন</v>
      </c>
      <c r="T599" s="4" t="str">
        <f>IFERROR(__xludf.DUMMYFUNCTION("GOOGLETRANSLATE(B599,""en"",""pa"")"),"ਟਾਰਗੇਟ ਟਿਕਾਣਾ ਸੈੱਟ ਕਰੋ")</f>
        <v>ਟਾਰਗੇਟ ਟਿਕਾਣਾ ਸੈੱਟ ਕਰੋ</v>
      </c>
      <c r="U599" s="4" t="str">
        <f>IFERROR(__xludf.DUMMYFUNCTION("GOOGLETRANSLATE(B599,""en"",""te"")"),"లక్ష్య స్థానాన్ని సెట్ చేయండి")</f>
        <v>లక్ష్య స్థానాన్ని సెట్ చేయండి</v>
      </c>
      <c r="V599" s="4" t="str">
        <f>IFERROR(__xludf.DUMMYFUNCTION("GOOGLETRANSLATE(B599,""en"",""kn"")"),"ಗುರಿಯ ಸ್ಥಳವನ್ನು ಹೊಂದಿಸಿ")</f>
        <v>ಗುರಿಯ ಸ್ಥಳವನ್ನು ಹೊಂದಿಸಿ</v>
      </c>
      <c r="W599" s="4" t="str">
        <f>IFERROR(__xludf.DUMMYFUNCTION("GOOGLETRANSLATE(B599,""en"",""ml"")"),"ടാർഗെറ്റ് ലൊക്കേഷൻ സജ്ജമാക്കുക")</f>
        <v>ടാർഗെറ്റ് ലൊക്കേഷൻ സജ്ജമാക്കുക</v>
      </c>
      <c r="X599" s="4" t="str">
        <f>IFERROR(__xludf.DUMMYFUNCTION("GOOGLETRANSLATE(B599,""en"",""th"")"),"ตั้งค่าตำแหน่งเป้าหมาย")</f>
        <v>ตั้งค่าตำแหน่งเป้าหมาย</v>
      </c>
      <c r="Y599" s="4" t="str">
        <f>IFERROR(__xludf.DUMMYFUNCTION("GOOGLETRANSLATE(B599,""en"",""ko"")"),"목표 위치 설정")</f>
        <v>목표 위치 설정</v>
      </c>
      <c r="Z599" s="4" t="str">
        <f>IFERROR(__xludf.DUMMYFUNCTION("GOOGLETRANSLATE(B599,""en"",""zh"")"),"设置目标位置")</f>
        <v>设置目标位置</v>
      </c>
      <c r="AA599" s="4" t="str">
        <f>IFERROR(__xludf.DUMMYFUNCTION("GOOGLETRANSLATE(B599,""en"",""zh-TW"")"),"設定目標位置")</f>
        <v>設定目標位置</v>
      </c>
      <c r="AB599" s="4" t="str">
        <f>IFERROR(__xludf.DUMMYFUNCTION("GOOGLETRANSLATE(B599,""en"",""ja"")"),"ターゲット場所の設定")</f>
        <v>ターゲット場所の設定</v>
      </c>
      <c r="AC599" s="4" t="str">
        <f>IFERROR(__xludf.DUMMYFUNCTION("GOOGLETRANSLATE(B599,""en"",""bg"")"),"ЗАДАДЕТЕ ЦЕЛЕВО МЕСТОПОЛОЖЕНИЕ")</f>
        <v>ЗАДАДЕТЕ ЦЕЛЕВО МЕСТОПОЛОЖЕНИЕ</v>
      </c>
      <c r="AD599" s="4" t="str">
        <f>IFERROR(__xludf.DUMMYFUNCTION("GOOGLETRANSLATE(B599,""en"",""cs"")"),"NASTAVIT CÍLOVÉ POLOHA")</f>
        <v>NASTAVIT CÍLOVÉ POLOHA</v>
      </c>
      <c r="AE599" s="4" t="str">
        <f>IFERROR(__xludf.DUMMYFUNCTION("GOOGLETRANSLATE(B599,""en"",""da"")"),"SÆT MÅLPLACERING")</f>
        <v>SÆT MÅLPLACERING</v>
      </c>
      <c r="AF599" s="4" t="str">
        <f>IFERROR(__xludf.DUMMYFUNCTION("GOOGLETRANSLATE(B599,""en"",""el"")"),"ΟΡΙΣΤΕ ΤΟΠΟΘΕΣΙΑ ΣΤΟΧΟΥ")</f>
        <v>ΟΡΙΣΤΕ ΤΟΠΟΘΕΣΙΑ ΣΤΟΧΟΥ</v>
      </c>
      <c r="AG599" s="4" t="str">
        <f>IFERROR(__xludf.DUMMYFUNCTION("GOOGLETRANSLATE(B599,""en"",""et"")"),"MÄÄRAKE SIHTASUKOHT")</f>
        <v>MÄÄRAKE SIHTASUKOHT</v>
      </c>
      <c r="AH599" s="4" t="str">
        <f>IFERROR(__xludf.DUMMYFUNCTION("GOOGLETRANSLATE(B599,""en"",""fi"")"),"MÄÄRITÄ KOHDESIJAINTI")</f>
        <v>MÄÄRITÄ KOHDESIJAINTI</v>
      </c>
      <c r="AI599" s="4" t="str">
        <f>IFERROR(__xludf.DUMMYFUNCTION("GOOGLETRANSLATE(B599,""en"",""hr"")"),"POSTAVITE CILJNU LOKACIJU")</f>
        <v>POSTAVITE CILJNU LOKACIJU</v>
      </c>
      <c r="AJ599" s="4" t="str">
        <f>IFERROR(__xludf.DUMMYFUNCTION("GOOGLETRANSLATE(B599,""en"",""hu"")"),"CÉLHELY BEÁLLÍTÁSA")</f>
        <v>CÉLHELY BEÁLLÍTÁSA</v>
      </c>
      <c r="AK599" s="4" t="str">
        <f>IFERROR(__xludf.DUMMYFUNCTION("GOOGLETRANSLATE(B599,""en"",""hy"")"),"ՍԱՀՄԱՆԵԼ ՆՊԱՏԱԿԱՅԻՆ Վայրը")</f>
        <v>ՍԱՀՄԱՆԵԼ ՆՊԱՏԱԿԱՅԻՆ Վայրը</v>
      </c>
      <c r="AL599" s="4" t="str">
        <f>IFERROR(__xludf.DUMMYFUNCTION("GOOGLETRANSLATE(B599,""en"",""ca"")"),"DEFINIR LA Ubicació objectiu")</f>
        <v>DEFINIR LA Ubicació objectiu</v>
      </c>
      <c r="AM599" s="4" t="str">
        <f>IFERROR(__xludf.DUMMYFUNCTION("GOOGLETRANSLATE(B599,""en"",""nl"")"),"DOELLOCATIE INSTELLEN")</f>
        <v>DOELLOCATIE INSTELLEN</v>
      </c>
      <c r="AN599" s="4" t="str">
        <f>IFERROR(__xludf.DUMMYFUNCTION("GOOGLETRANSLATE(B599,""en"",""he"")"),"הגדר מיקום יעד")</f>
        <v>הגדר מיקום יעד</v>
      </c>
      <c r="AO599" s="4" t="str">
        <f>IFERROR(__xludf.DUMMYFUNCTION("GOOGLETRANSLATE(B599,""en"",""is"")"),"SETJA MARKSTAÐ")</f>
        <v>SETJA MARKSTAÐ</v>
      </c>
      <c r="AP599" s="4" t="str">
        <f>IFERROR(__xludf.DUMMYFUNCTION("GOOGLETRANSLATE(B599,""en"",""no"")"),"ANGI MÅLPLASSERING")</f>
        <v>ANGI MÅLPLASSERING</v>
      </c>
      <c r="AQ599" s="4" t="str">
        <f>IFERROR(__xludf.DUMMYFUNCTION("GOOGLETRANSLATE(B599,""en"",""fa"")"),"مکان هدف را تنظیم کنید")</f>
        <v>مکان هدف را تنظیم کنید</v>
      </c>
      <c r="AR599" s="4" t="str">
        <f>IFERROR(__xludf.DUMMYFUNCTION("GOOGLETRANSLATE(B599,""en"",""pl"")"),"Ustaw lokalizację docelową")</f>
        <v>Ustaw lokalizację docelową</v>
      </c>
      <c r="AS599" s="4" t="str">
        <f>IFERROR(__xludf.DUMMYFUNCTION("GOOGLETRANSLATE(B599,""en"",""sv"")"),"SÄTT MÅLPLATS")</f>
        <v>SÄTT MÅLPLATS</v>
      </c>
      <c r="AT599" s="4" t="str">
        <f>IFERROR(__xludf.DUMMYFUNCTION("GOOGLETRANSLATE(B599,""en"",""uk"")"),"ВСТАНОВИТИ ЦІЛЬОВЕ МІСЦЕ")</f>
        <v>ВСТАНОВИТИ ЦІЛЬОВЕ МІСЦЕ</v>
      </c>
      <c r="AU599" s="4" t="str">
        <f>IFERROR(__xludf.DUMMYFUNCTION("GOOGLETRANSLATE(B599,""en"",""zu"")"),"ISETHA INDAWO EHLOSIWE")</f>
        <v>ISETHA INDAWO EHLOSIWE</v>
      </c>
      <c r="AV599" s="4" t="str">
        <f>IFERROR(__xludf.DUMMYFUNCTION("GOOGLETRANSLATE(B599,""en"",""sr"")"),"ПОДЕШАВАЊЕ ЦИЉНЕ ЛОКАЦИЈЕ")</f>
        <v>ПОДЕШАВАЊЕ ЦИЉНЕ ЛОКАЦИЈЕ</v>
      </c>
    </row>
    <row r="600">
      <c r="A600" s="3" t="s">
        <v>1148</v>
      </c>
      <c r="B600" s="3" t="s">
        <v>1149</v>
      </c>
      <c r="C600" s="4" t="str">
        <f>IFERROR(__xludf.DUMMYFUNCTION("GOOGLETRANSLATE(B600,""en"",""ta"")"),"இருப்பிட அனுமதிகள் தேவை")</f>
        <v>இருப்பிட அனுமதிகள் தேவை</v>
      </c>
      <c r="D600" s="4" t="str">
        <f>IFERROR(__xludf.DUMMYFUNCTION("GOOGLETRANSLATE(B600,""en"",""hi"")"),"स्थान अनुमतियाँ आवश्यक")</f>
        <v>स्थान अनुमतियाँ आवश्यक</v>
      </c>
      <c r="E600" s="4" t="str">
        <f>IFERROR(__xludf.DUMMYFUNCTION("GOOGLETRANSLATE(B600,""en"",""id"")"),"Izin Lokasi Diperlukan")</f>
        <v>Izin Lokasi Diperlukan</v>
      </c>
      <c r="F600" s="4" t="str">
        <f>IFERROR(__xludf.DUMMYFUNCTION("GOOGLETRANSLATE(B600,""en"",""ms"")"),"Kebenaran Lokasi Diperlukan")</f>
        <v>Kebenaran Lokasi Diperlukan</v>
      </c>
      <c r="G600" s="4" t="str">
        <f>IFERROR(__xludf.DUMMYFUNCTION("GOOGLETRANSLATE(B600,""en"",""de"")"),"Standortberechtigungen erforderlich")</f>
        <v>Standortberechtigungen erforderlich</v>
      </c>
      <c r="H600" s="4" t="str">
        <f>IFERROR(__xludf.DUMMYFUNCTION("GOOGLETRANSLATE(B600,""en"",""es"")"),"Se requieren permisos de ubicación")</f>
        <v>Se requieren permisos de ubicación</v>
      </c>
      <c r="I600" s="4" t="str">
        <f>IFERROR(__xludf.DUMMYFUNCTION("GOOGLETRANSLATE(B600,""en"",""fr"")"),"Autorisations de localisation requises")</f>
        <v>Autorisations de localisation requises</v>
      </c>
      <c r="J600" s="4" t="str">
        <f>IFERROR(__xludf.DUMMYFUNCTION("GOOGLETRANSLATE(B600,""en"",""it"")"),"Autorizzazioni di posizione richieste")</f>
        <v>Autorizzazioni di posizione richieste</v>
      </c>
      <c r="K600" s="4" t="str">
        <f>IFERROR(__xludf.DUMMYFUNCTION("GOOGLETRANSLATE(B600,""en"",""pt"")"),"Permissões de localização necessárias")</f>
        <v>Permissões de localização necessárias</v>
      </c>
      <c r="L600" s="4" t="str">
        <f>IFERROR(__xludf.DUMMYFUNCTION("GOOGLETRANSLATE(B600,""en"",""ro"")"),"Permisiuni de locație necesare")</f>
        <v>Permisiuni de locație necesare</v>
      </c>
      <c r="M600" s="4" t="str">
        <f>IFERROR(__xludf.DUMMYFUNCTION("GOOGLETRANSLATE(B600,""en"",""vi"")"),"Cần có Quyền Vị trí")</f>
        <v>Cần có Quyền Vị trí</v>
      </c>
      <c r="N600" s="4" t="str">
        <f>IFERROR(__xludf.DUMMYFUNCTION("GOOGLETRANSLATE(B600,""en"",""ru"")"),"Требуются разрешения на местоположение")</f>
        <v>Требуются разрешения на местоположение</v>
      </c>
      <c r="O600" s="4" t="str">
        <f>IFERROR(__xludf.DUMMYFUNCTION("GOOGLETRANSLATE(B600,""en"",""tr"")"),"Konum İzinleri Gerekli")</f>
        <v>Konum İzinleri Gerekli</v>
      </c>
      <c r="P600" s="4" t="str">
        <f>IFERROR(__xludf.DUMMYFUNCTION("GOOGLETRANSLATE(B600,""en"",""ar"")"),"مطلوب أذونات الموقع")</f>
        <v>مطلوب أذونات الموقع</v>
      </c>
      <c r="Q600" s="4" t="str">
        <f>IFERROR(__xludf.DUMMYFUNCTION("GOOGLETRANSLATE(B600,""en"",""mr"")"),"स्थान परवानग्या आवश्यक")</f>
        <v>स्थान परवानग्या आवश्यक</v>
      </c>
      <c r="R600" s="4" t="str">
        <f>IFERROR(__xludf.DUMMYFUNCTION("GOOGLETRANSLATE(B600,""en"",""gu"")"),"સ્થાન પરવાનગીઓ જરૂરી")</f>
        <v>સ્થાન પરવાનગીઓ જરૂરી</v>
      </c>
      <c r="S600" s="4" t="str">
        <f>IFERROR(__xludf.DUMMYFUNCTION("GOOGLETRANSLATE(B600,""en"",""bn"")"),"অবস্থান অনুমতি প্রয়োজন")</f>
        <v>অবস্থান অনুমতি প্রয়োজন</v>
      </c>
      <c r="T600" s="4" t="str">
        <f>IFERROR(__xludf.DUMMYFUNCTION("GOOGLETRANSLATE(B600,""en"",""pa"")"),"ਟਿਕਾਣਾ ਅਨੁਮਤੀਆਂ ਦੀ ਲੋੜ ਹੈ")</f>
        <v>ਟਿਕਾਣਾ ਅਨੁਮਤੀਆਂ ਦੀ ਲੋੜ ਹੈ</v>
      </c>
      <c r="U600" s="4" t="str">
        <f>IFERROR(__xludf.DUMMYFUNCTION("GOOGLETRANSLATE(B600,""en"",""te"")"),"స్థాన అనుమతులు అవసరం")</f>
        <v>స్థాన అనుమతులు అవసరం</v>
      </c>
      <c r="V600" s="4" t="str">
        <f>IFERROR(__xludf.DUMMYFUNCTION("GOOGLETRANSLATE(B600,""en"",""kn"")"),"ಸ್ಥಳ ಅನುಮತಿಗಳು ಅಗತ್ಯವಿದೆ")</f>
        <v>ಸ್ಥಳ ಅನುಮತಿಗಳು ಅಗತ್ಯವಿದೆ</v>
      </c>
      <c r="W600" s="4" t="str">
        <f>IFERROR(__xludf.DUMMYFUNCTION("GOOGLETRANSLATE(B600,""en"",""ml"")"),"ലൊക്കേഷൻ അനുമതികൾ ആവശ്യമാണ്")</f>
        <v>ലൊക്കേഷൻ അനുമതികൾ ആവശ്യമാണ്</v>
      </c>
      <c r="X600" s="4" t="str">
        <f>IFERROR(__xludf.DUMMYFUNCTION("GOOGLETRANSLATE(B600,""en"",""th"")"),"ต้องได้รับอนุญาตในการระบุตำแหน่ง")</f>
        <v>ต้องได้รับอนุญาตในการระบุตำแหน่ง</v>
      </c>
      <c r="Y600" s="4" t="str">
        <f>IFERROR(__xludf.DUMMYFUNCTION("GOOGLETRANSLATE(B600,""en"",""ko"")"),"위치 권한이 필요합니다")</f>
        <v>위치 권한이 필요합니다</v>
      </c>
      <c r="Z600" s="4" t="str">
        <f>IFERROR(__xludf.DUMMYFUNCTION("GOOGLETRANSLATE(B600,""en"",""zh"")"),"需要位置权限")</f>
        <v>需要位置权限</v>
      </c>
      <c r="AA600" s="4" t="str">
        <f>IFERROR(__xludf.DUMMYFUNCTION("GOOGLETRANSLATE(B600,""en"",""zh-TW"")"),"需要位置權限")</f>
        <v>需要位置權限</v>
      </c>
      <c r="AB600" s="4" t="str">
        <f>IFERROR(__xludf.DUMMYFUNCTION("GOOGLETRANSLATE(B600,""en"",""ja"")"),"位置情報の許可が必要です")</f>
        <v>位置情報の許可が必要です</v>
      </c>
      <c r="AC600" s="4" t="str">
        <f>IFERROR(__xludf.DUMMYFUNCTION("GOOGLETRANSLATE(B600,""en"",""bg"")"),"Изискват се разрешения за местоположение")</f>
        <v>Изискват се разрешения за местоположение</v>
      </c>
      <c r="AD600" s="4" t="str">
        <f>IFERROR(__xludf.DUMMYFUNCTION("GOOGLETRANSLATE(B600,""en"",""cs"")"),"Jsou vyžadována oprávnění k umístění")</f>
        <v>Jsou vyžadována oprávnění k umístění</v>
      </c>
      <c r="AE600" s="4" t="str">
        <f>IFERROR(__xludf.DUMMYFUNCTION("GOOGLETRANSLATE(B600,""en"",""da"")"),"Placeringstilladelser påkrævet")</f>
        <v>Placeringstilladelser påkrævet</v>
      </c>
      <c r="AF600" s="4" t="str">
        <f>IFERROR(__xludf.DUMMYFUNCTION("GOOGLETRANSLATE(B600,""en"",""el"")"),"Απαιτούνται άδειες τοποθεσίας")</f>
        <v>Απαιτούνται άδειες τοποθεσίας</v>
      </c>
      <c r="AG600" s="4" t="str">
        <f>IFERROR(__xludf.DUMMYFUNCTION("GOOGLETRANSLATE(B600,""en"",""et"")"),"Vajalikud asukohaõigused")</f>
        <v>Vajalikud asukohaõigused</v>
      </c>
      <c r="AH600" s="4" t="str">
        <f>IFERROR(__xludf.DUMMYFUNCTION("GOOGLETRANSLATE(B600,""en"",""fi"")"),"Paikkaluvat vaaditaan")</f>
        <v>Paikkaluvat vaaditaan</v>
      </c>
      <c r="AI600" s="4" t="str">
        <f>IFERROR(__xludf.DUMMYFUNCTION("GOOGLETRANSLATE(B600,""en"",""hr"")"),"Potrebne su dozvole za lokaciju")</f>
        <v>Potrebne su dozvole za lokaciju</v>
      </c>
      <c r="AJ600" s="4" t="str">
        <f>IFERROR(__xludf.DUMMYFUNCTION("GOOGLETRANSLATE(B600,""en"",""hu"")"),"Helyengedélyek szükségesek")</f>
        <v>Helyengedélyek szükségesek</v>
      </c>
      <c r="AK600" s="4" t="str">
        <f>IFERROR(__xludf.DUMMYFUNCTION("GOOGLETRANSLATE(B600,""en"",""hy"")"),"Պահանջվում է տեղադրության թույլտվություններ")</f>
        <v>Պահանջվում է տեղադրության թույլտվություններ</v>
      </c>
      <c r="AL600" s="4" t="str">
        <f>IFERROR(__xludf.DUMMYFUNCTION("GOOGLETRANSLATE(B600,""en"",""ca"")"),"Permisos d'ubicació necessaris")</f>
        <v>Permisos d'ubicació necessaris</v>
      </c>
      <c r="AM600" s="4" t="str">
        <f>IFERROR(__xludf.DUMMYFUNCTION("GOOGLETRANSLATE(B600,""en"",""nl"")"),"Locatiemachtigingen vereist")</f>
        <v>Locatiemachtigingen vereist</v>
      </c>
      <c r="AN600" s="4" t="str">
        <f>IFERROR(__xludf.DUMMYFUNCTION("GOOGLETRANSLATE(B600,""en"",""he"")"),"נדרשות הרשאות מיקום")</f>
        <v>נדרשות הרשאות מיקום</v>
      </c>
      <c r="AO600" s="4" t="str">
        <f>IFERROR(__xludf.DUMMYFUNCTION("GOOGLETRANSLATE(B600,""en"",""is"")"),"Staðsetningarheimildir nauðsynlegar")</f>
        <v>Staðsetningarheimildir nauðsynlegar</v>
      </c>
      <c r="AP600" s="4" t="str">
        <f>IFERROR(__xludf.DUMMYFUNCTION("GOOGLETRANSLATE(B600,""en"",""no"")"),"Plasseringstillatelser kreves")</f>
        <v>Plasseringstillatelser kreves</v>
      </c>
      <c r="AQ600" s="4" t="str">
        <f>IFERROR(__xludf.DUMMYFUNCTION("GOOGLETRANSLATE(B600,""en"",""fa"")"),"مجوزهای مکان مورد نیاز است")</f>
        <v>مجوزهای مکان مورد نیاز است</v>
      </c>
      <c r="AR600" s="4" t="str">
        <f>IFERROR(__xludf.DUMMYFUNCTION("GOOGLETRANSLATE(B600,""en"",""pl"")"),"Wymagane uprawnienia do lokalizacji")</f>
        <v>Wymagane uprawnienia do lokalizacji</v>
      </c>
      <c r="AS600" s="4" t="str">
        <f>IFERROR(__xludf.DUMMYFUNCTION("GOOGLETRANSLATE(B600,""en"",""sv"")"),"Platsbehörigheter krävs")</f>
        <v>Platsbehörigheter krävs</v>
      </c>
      <c r="AT600" s="4" t="str">
        <f>IFERROR(__xludf.DUMMYFUNCTION("GOOGLETRANSLATE(B600,""en"",""uk"")"),"Потрібні дозволи на місцезнаходження")</f>
        <v>Потрібні дозволи на місцезнаходження</v>
      </c>
      <c r="AU600" s="4" t="str">
        <f>IFERROR(__xludf.DUMMYFUNCTION("GOOGLETRANSLATE(B600,""en"",""zu"")"),"Izimvume Zendawo Ziyadingeka")</f>
        <v>Izimvume Zendawo Ziyadingeka</v>
      </c>
      <c r="AV600" s="4" t="str">
        <f>IFERROR(__xludf.DUMMYFUNCTION("GOOGLETRANSLATE(B600,""en"",""sr"")"),"Потребне су дозволе за локацију")</f>
        <v>Потребне су дозволе за локацију</v>
      </c>
    </row>
    <row r="601">
      <c r="A601" s="3" t="s">
        <v>1150</v>
      </c>
      <c r="B601" s="3" t="s">
        <v>1151</v>
      </c>
      <c r="C601" s="4" t="str">
        <f>IFERROR(__xludf.DUMMYFUNCTION("GOOGLETRANSLATE(B601,""en"",""ta"")"),"GPS அலாரத்திற்கு உங்கள் நிலையைக் கண்காணிக்கவும், உங்கள் இலக்கை அடையும்போது உங்களுக்குத் தெரிவிக்கவும் இருப்பிட அனுமதிகள் தேவை.")</f>
        <v>GPS அலாரத்திற்கு உங்கள் நிலையைக் கண்காணிக்கவும், உங்கள் இலக்கை அடையும்போது உங்களுக்குத் தெரிவிக்கவும் இருப்பிட அனுமதிகள் தேவை.</v>
      </c>
      <c r="D601" s="4" t="str">
        <f>IFERROR(__xludf.DUMMYFUNCTION("GOOGLETRANSLATE(B601,""en"",""hi"")"),"जीपीएस अलार्म को आपकी स्थिति को ट्रैक करने और आपके गंतव्य पर पहुंचने पर आपको सूचित करने के लिए स्थान अनुमतियों की आवश्यकता होती है।")</f>
        <v>जीपीएस अलार्म को आपकी स्थिति को ट्रैक करने और आपके गंतव्य पर पहुंचने पर आपको सूचित करने के लिए स्थान अनुमतियों की आवश्यकता होती है।</v>
      </c>
      <c r="E601" s="4" t="str">
        <f>IFERROR(__xludf.DUMMYFUNCTION("GOOGLETRANSLATE(B601,""en"",""id"")"),"Alarm GPS memerlukan izin lokasi untuk melacak posisi Anda dan memberitahukan Anda saat Anda mencapai tujuan.")</f>
        <v>Alarm GPS memerlukan izin lokasi untuk melacak posisi Anda dan memberitahukan Anda saat Anda mencapai tujuan.</v>
      </c>
      <c r="F601" s="4" t="str">
        <f>IFERROR(__xludf.DUMMYFUNCTION("GOOGLETRANSLATE(B601,""en"",""ms"")"),"Penggera GPS memerlukan kebenaran lokasi untuk menjejaki kedudukan anda dan memberitahu anda apabila anda sampai ke destinasi anda.")</f>
        <v>Penggera GPS memerlukan kebenaran lokasi untuk menjejaki kedudukan anda dan memberitahu anda apabila anda sampai ke destinasi anda.</v>
      </c>
      <c r="G601" s="4" t="str">
        <f>IFERROR(__xludf.DUMMYFUNCTION("GOOGLETRANSLATE(B601,""en"",""de"")"),"GPS Alarm benötigt Standortberechtigungen, um Ihre Position zu verfolgen und Sie zu benachrichtigen, wenn Sie Ihr Ziel erreichen.")</f>
        <v>GPS Alarm benötigt Standortberechtigungen, um Ihre Position zu verfolgen und Sie zu benachrichtigen, wenn Sie Ihr Ziel erreichen.</v>
      </c>
      <c r="H601" s="4" t="str">
        <f>IFERROR(__xludf.DUMMYFUNCTION("GOOGLETRANSLATE(B601,""en"",""es"")"),"La alarma GPS necesita permisos de ubicación para rastrear su posición y notificarle cuando llegue a su destino.")</f>
        <v>La alarma GPS necesita permisos de ubicación para rastrear su posición y notificarle cuando llegue a su destino.</v>
      </c>
      <c r="I601" s="4" t="str">
        <f>IFERROR(__xludf.DUMMYFUNCTION("GOOGLETRANSLATE(B601,""en"",""fr"")"),"L'alarme GPS a besoin d'autorisations de localisation pour suivre votre position et vous avertir lorsque vous atteignez votre destination.")</f>
        <v>L'alarme GPS a besoin d'autorisations de localisation pour suivre votre position et vous avertir lorsque vous atteignez votre destination.</v>
      </c>
      <c r="J601" s="4" t="str">
        <f>IFERROR(__xludf.DUMMYFUNCTION("GOOGLETRANSLATE(B601,""en"",""it"")"),"GPS Alarm necessita delle autorizzazioni di localizzazione per tracciare la tua posizione e avvisarti quando raggiungi la destinazione.")</f>
        <v>GPS Alarm necessita delle autorizzazioni di localizzazione per tracciare la tua posizione e avvisarti quando raggiungi la destinazione.</v>
      </c>
      <c r="K601" s="4" t="str">
        <f>IFERROR(__xludf.DUMMYFUNCTION("GOOGLETRANSLATE(B601,""en"",""pt"")"),"O Alarme GPS precisa de permissões de localização para rastrear sua posição e notificá-lo quando chegar ao seu destino.")</f>
        <v>O Alarme GPS precisa de permissões de localização para rastrear sua posição e notificá-lo quando chegar ao seu destino.</v>
      </c>
      <c r="L601" s="4" t="str">
        <f>IFERROR(__xludf.DUMMYFUNCTION("GOOGLETRANSLATE(B601,""en"",""ro"")"),"Alarma GPS are nevoie de permisiuni de locație pentru a vă urmări poziția și pentru a vă anunța când ajungeți la destinație.")</f>
        <v>Alarma GPS are nevoie de permisiuni de locație pentru a vă urmări poziția și pentru a vă anunța când ajungeți la destinație.</v>
      </c>
      <c r="M601" s="4" t="str">
        <f>IFERROR(__xludf.DUMMYFUNCTION("GOOGLETRANSLATE(B601,""en"",""vi"")"),"GPS Alarm cần có quyền truy cập vị trí để theo dõi vị trí của bạn và thông báo cho bạn khi bạn đến đích.")</f>
        <v>GPS Alarm cần có quyền truy cập vị trí để theo dõi vị trí của bạn và thông báo cho bạn khi bạn đến đích.</v>
      </c>
      <c r="N601" s="4" t="str">
        <f>IFERROR(__xludf.DUMMYFUNCTION("GOOGLETRANSLATE(B601,""en"",""ru"")"),"Приложению GPS Alarm необходимы разрешения на определение местоположения, чтобы отслеживать ваше местоположение и уведомлять вас о прибытии в пункт назначения.")</f>
        <v>Приложению GPS Alarm необходимы разрешения на определение местоположения, чтобы отслеживать ваше местоположение и уведомлять вас о прибытии в пункт назначения.</v>
      </c>
      <c r="O601" s="4" t="str">
        <f>IFERROR(__xludf.DUMMYFUNCTION("GOOGLETRANSLATE(B601,""en"",""tr"")"),"GPS Alarm'ın konumunuzu takip edebilmesi ve hedefinize ulaştığınızda sizi bilgilendirebilmesi için konum izinlerine ihtiyacı vardır.")</f>
        <v>GPS Alarm'ın konumunuzu takip edebilmesi ve hedefinize ulaştığınızda sizi bilgilendirebilmesi için konum izinlerine ihtiyacı vardır.</v>
      </c>
      <c r="P601" s="4" t="str">
        <f>IFERROR(__xludf.DUMMYFUNCTION("GOOGLETRANSLATE(B601,""en"",""ar"")"),"يحتاج تطبيق GPS Alarm إلى أذونات الموقع لتتبع موقعك وإعلامك عند وصولك إلى وجهتك.")</f>
        <v>يحتاج تطبيق GPS Alarm إلى أذونات الموقع لتتبع موقعك وإعلامك عند وصولك إلى وجهتك.</v>
      </c>
      <c r="Q601" s="4" t="str">
        <f>IFERROR(__xludf.DUMMYFUNCTION("GOOGLETRANSLATE(B601,""en"",""mr"")"),"GPS अलार्मला तुमची स्थिती ट्रॅक करण्यासाठी आणि तुम्ही तुमच्या गंतव्यस्थानावर पोहोचल्यावर तुम्हाला सूचित करण्यासाठी स्थान परवानग्या आवश्यक आहेत.")</f>
        <v>GPS अलार्मला तुमची स्थिती ट्रॅक करण्यासाठी आणि तुम्ही तुमच्या गंतव्यस्थानावर पोहोचल्यावर तुम्हाला सूचित करण्यासाठी स्थान परवानग्या आवश्यक आहेत.</v>
      </c>
      <c r="R601" s="4" t="str">
        <f>IFERROR(__xludf.DUMMYFUNCTION("GOOGLETRANSLATE(B601,""en"",""gu"")"),"GPS એલાર્મને તમારી સ્થિતિને ટ્રૅક કરવા અને જ્યારે તમે તમારા ગંતવ્ય પર પહોંચો ત્યારે તમને સૂચિત કરવા માટે સ્થાન પરવાનગીની જરૂર છે.")</f>
        <v>GPS એલાર્મને તમારી સ્થિતિને ટ્રૅક કરવા અને જ્યારે તમે તમારા ગંતવ્ય પર પહોંચો ત્યારે તમને સૂચિત કરવા માટે સ્થાન પરવાનગીની જરૂર છે.</v>
      </c>
      <c r="S601" s="4" t="str">
        <f>IFERROR(__xludf.DUMMYFUNCTION("GOOGLETRANSLATE(B601,""en"",""bn"")"),"আপনার অবস্থান ট্র্যাক করতে এবং আপনি যখন আপনার গন্তব্যে পৌঁছাবেন তখন আপনাকে অবহিত করতে GPS অ্যালার্মের অবস্থানের অনুমতি প্রয়োজন৷")</f>
        <v>আপনার অবস্থান ট্র্যাক করতে এবং আপনি যখন আপনার গন্তব্যে পৌঁছাবেন তখন আপনাকে অবহিত করতে GPS অ্যালার্মের অবস্থানের অনুমতি প্রয়োজন৷</v>
      </c>
      <c r="T601" s="4" t="str">
        <f>IFERROR(__xludf.DUMMYFUNCTION("GOOGLETRANSLATE(B601,""en"",""pa"")"),"GPS ਅਲਾਰਮ ਨੂੰ ਤੁਹਾਡੀ ਸਥਿਤੀ ਨੂੰ ਟਰੈਕ ਕਰਨ ਅਤੇ ਜਦੋਂ ਤੁਸੀਂ ਆਪਣੀ ਮੰਜ਼ਿਲ 'ਤੇ ਪਹੁੰਚਦੇ ਹੋ ਤਾਂ ਤੁਹਾਨੂੰ ਸੂਚਿਤ ਕਰਨ ਲਈ ਟਿਕਾਣਾ ਅਨੁਮਤੀਆਂ ਦੀ ਲੋੜ ਹੁੰਦੀ ਹੈ।")</f>
        <v>GPS ਅਲਾਰਮ ਨੂੰ ਤੁਹਾਡੀ ਸਥਿਤੀ ਨੂੰ ਟਰੈਕ ਕਰਨ ਅਤੇ ਜਦੋਂ ਤੁਸੀਂ ਆਪਣੀ ਮੰਜ਼ਿਲ 'ਤੇ ਪਹੁੰਚਦੇ ਹੋ ਤਾਂ ਤੁਹਾਨੂੰ ਸੂਚਿਤ ਕਰਨ ਲਈ ਟਿਕਾਣਾ ਅਨੁਮਤੀਆਂ ਦੀ ਲੋੜ ਹੁੰਦੀ ਹੈ।</v>
      </c>
      <c r="U601" s="4" t="str">
        <f>IFERROR(__xludf.DUMMYFUNCTION("GOOGLETRANSLATE(B601,""en"",""te"")"),"మీ స్థానాన్ని ట్రాక్ చేయడానికి మరియు మీరు మీ గమ్యాన్ని చేరుకున్నప్పుడు మీకు తెలియజేయడానికి GPS అలారంకు స్థాన అనుమతులు అవసరం.")</f>
        <v>మీ స్థానాన్ని ట్రాక్ చేయడానికి మరియు మీరు మీ గమ్యాన్ని చేరుకున్నప్పుడు మీకు తెలియజేయడానికి GPS అలారంకు స్థాన అనుమతులు అవసరం.</v>
      </c>
      <c r="V601" s="4" t="str">
        <f>IFERROR(__xludf.DUMMYFUNCTION("GOOGLETRANSLATE(B601,""en"",""kn"")"),"ನಿಮ್ಮ ಸ್ಥಾನವನ್ನು ಟ್ರ್ಯಾಕ್ ಮಾಡಲು ಮತ್ತು ನಿಮ್ಮ ಗಮ್ಯಸ್ಥಾನವನ್ನು ನೀವು ತಲುಪಿದಾಗ ನಿಮಗೆ ತಿಳಿಸಲು GPS ಅಲಾರಂಗೆ ಸ್ಥಳ ಅನುಮತಿಗಳ ಅಗತ್ಯವಿದೆ.")</f>
        <v>ನಿಮ್ಮ ಸ್ಥಾನವನ್ನು ಟ್ರ್ಯಾಕ್ ಮಾಡಲು ಮತ್ತು ನಿಮ್ಮ ಗಮ್ಯಸ್ಥಾನವನ್ನು ನೀವು ತಲುಪಿದಾಗ ನಿಮಗೆ ತಿಳಿಸಲು GPS ಅಲಾರಂಗೆ ಸ್ಥಳ ಅನುಮತಿಗಳ ಅಗತ್ಯವಿದೆ.</v>
      </c>
      <c r="W601" s="4" t="str">
        <f>IFERROR(__xludf.DUMMYFUNCTION("GOOGLETRANSLATE(B601,""en"",""ml"")"),"നിങ്ങളുടെ സ്ഥാനം ട്രാക്ക് ചെയ്യാനും ലക്ഷ്യസ്ഥാനത്ത് എത്തുമ്പോൾ നിങ്ങളെ അറിയിക്കാനും GPS അലാറത്തിന് ലൊക്കേഷൻ അനുമതികൾ ആവശ്യമാണ്.")</f>
        <v>നിങ്ങളുടെ സ്ഥാനം ട്രാക്ക് ചെയ്യാനും ലക്ഷ്യസ്ഥാനത്ത് എത്തുമ്പോൾ നിങ്ങളെ അറിയിക്കാനും GPS അലാറത്തിന് ലൊക്കേഷൻ അനുമതികൾ ആവശ്യമാണ്.</v>
      </c>
      <c r="X601" s="4" t="str">
        <f>IFERROR(__xludf.DUMMYFUNCTION("GOOGLETRANSLATE(B601,""en"",""th"")"),"ระบบแจ้งเตือน GPS ต้องได้รับอนุญาตในการระบุตำแหน่งเพื่อติดตามตำแหน่งของคุณ และแจ้งให้คุณทราบเมื่อคุณถึงจุดหมายปลายทาง")</f>
        <v>ระบบแจ้งเตือน GPS ต้องได้รับอนุญาตในการระบุตำแหน่งเพื่อติดตามตำแหน่งของคุณ และแจ้งให้คุณทราบเมื่อคุณถึงจุดหมายปลายทาง</v>
      </c>
      <c r="Y601" s="4" t="str">
        <f>IFERROR(__xludf.DUMMYFUNCTION("GOOGLETRANSLATE(B601,""en"",""ko"")"),"GPS 알람은 사용자의 위치를 ​​추적하고 목적지에 도착했을 때 알림을 제공하기 위해 위치 권한이 필요합니다.")</f>
        <v>GPS 알람은 사용자의 위치를 ​​추적하고 목적지에 도착했을 때 알림을 제공하기 위해 위치 권한이 필요합니다.</v>
      </c>
      <c r="Z601" s="4" t="str">
        <f>IFERROR(__xludf.DUMMYFUNCTION("GOOGLETRANSLATE(B601,""en"",""zh"")"),"GPS 警报需要位置权限来跟踪您的位置并在您到达目的地时通知您。")</f>
        <v>GPS 警报需要位置权限来跟踪您的位置并在您到达目的地时通知您。</v>
      </c>
      <c r="AA601" s="4" t="str">
        <f>IFERROR(__xludf.DUMMYFUNCTION("GOOGLETRANSLATE(B601,""en"",""zh-TW"")"),"GPS 警報需要位置權限來追蹤您的位置並在您到達目的地時通知您。")</f>
        <v>GPS 警報需要位置權限來追蹤您的位置並在您到達目的地時通知您。</v>
      </c>
      <c r="AB601" s="4" t="str">
        <f>IFERROR(__xludf.DUMMYFUNCTION("GOOGLETRANSLATE(B601,""en"",""ja"")"),"GPS アラームは、あなたの位置を追跡し、目的地に到着したときに通知するために位置情報の許可を必要とします。")</f>
        <v>GPS アラームは、あなたの位置を追跡し、目的地に到着したときに通知するために位置情報の許可を必要とします。</v>
      </c>
      <c r="AC601" s="4" t="str">
        <f>IFERROR(__xludf.DUMMYFUNCTION("GOOGLETRANSLATE(B601,""en"",""bg"")"),"GPS алармата се нуждае от разрешения за местоположение, за да проследи позицията ви и да ви уведоми, когато стигнете до местоназначението си.")</f>
        <v>GPS алармата се нуждае от разрешения за местоположение, за да проследи позицията ви и да ви уведоми, когато стигнете до местоназначението си.</v>
      </c>
      <c r="AD601" s="4" t="str">
        <f>IFERROR(__xludf.DUMMYFUNCTION("GOOGLETRANSLATE(B601,""en"",""cs"")"),"GPS Alarm potřebuje oprávnění k poloze, aby mohl sledovat vaši polohu a informovat vás, když dorazíte do cíle.")</f>
        <v>GPS Alarm potřebuje oprávnění k poloze, aby mohl sledovat vaši polohu a informovat vás, když dorazíte do cíle.</v>
      </c>
      <c r="AE601" s="4" t="str">
        <f>IFERROR(__xludf.DUMMYFUNCTION("GOOGLETRANSLATE(B601,""en"",""da"")"),"GPS Alarm har brug for placeringstilladelser for at spore din position og give dig besked, når du når din destination.")</f>
        <v>GPS Alarm har brug for placeringstilladelser for at spore din position og give dig besked, når du når din destination.</v>
      </c>
      <c r="AF601" s="4" t="str">
        <f>IFERROR(__xludf.DUMMYFUNCTION("GOOGLETRANSLATE(B601,""en"",""el"")"),"Το GPS Alarm χρειάζεται άδειες τοποθεσίας για να παρακολουθεί τη θέση σας και να σας ειδοποιεί όταν φτάσετε στον προορισμό σας.")</f>
        <v>Το GPS Alarm χρειάζεται άδειες τοποθεσίας για να παρακολουθεί τη θέση σας και να σας ειδοποιεί όταν φτάσετε στον προορισμό σας.</v>
      </c>
      <c r="AG601" s="4" t="str">
        <f>IFERROR(__xludf.DUMMYFUNCTION("GOOGLETRANSLATE(B601,""en"",""et"")"),"GPS-alarm vajab teie asukoha jälgimiseks ja sihtpunkti jõudmisest teavitamiseks asukohalube.")</f>
        <v>GPS-alarm vajab teie asukoha jälgimiseks ja sihtpunkti jõudmisest teavitamiseks asukohalube.</v>
      </c>
      <c r="AH601" s="4" t="str">
        <f>IFERROR(__xludf.DUMMYFUNCTION("GOOGLETRANSLATE(B601,""en"",""fi"")"),"GPS-hälytys tarvitsee sijaintiluvat, jotta se voi seurata sijaintiasi ja ilmoittaa, kun saavut määränpäähän.")</f>
        <v>GPS-hälytys tarvitsee sijaintiluvat, jotta se voi seurata sijaintiasi ja ilmoittaa, kun saavut määränpäähän.</v>
      </c>
      <c r="AI601" s="4" t="str">
        <f>IFERROR(__xludf.DUMMYFUNCTION("GOOGLETRANSLATE(B601,""en"",""hr"")"),"GPS Alarm treba dopuštenja za lokaciju kako bi pratio vaš položaj i obavijestio vas kada stignete na odredište.")</f>
        <v>GPS Alarm treba dopuštenja za lokaciju kako bi pratio vaš položaj i obavijestio vas kada stignete na odredište.</v>
      </c>
      <c r="AJ601" s="4" t="str">
        <f>IFERROR(__xludf.DUMMYFUNCTION("GOOGLETRANSLATE(B601,""en"",""hu"")"),"A GPS-riasztásnak helyengedélyekre van szüksége ahhoz, hogy nyomon követhesse pozícióját, és értesítse Önt, amikor eléri az úticélt.")</f>
        <v>A GPS-riasztásnak helyengedélyekre van szüksége ahhoz, hogy nyomon követhesse pozícióját, és értesítse Önt, amikor eléri az úticélt.</v>
      </c>
      <c r="AK601" s="4" t="str">
        <f>IFERROR(__xludf.DUMMYFUNCTION("GOOGLETRANSLATE(B601,""en"",""hy"")"),"GPS Alarm-ին անհրաժեշտ են տեղորոշման թույլտվություններ՝ ձեր դիրքը հետևելու և ձեզ տեղյակ հասնելու ժամանակ տեղյակ պահելու համար:")</f>
        <v>GPS Alarm-ին անհրաժեշտ են տեղորոշման թույլտվություններ՝ ձեր դիրքը հետևելու և ձեզ տեղյակ հասնելու ժամանակ տեղյակ պահելու համար:</v>
      </c>
      <c r="AL601" s="4" t="str">
        <f>IFERROR(__xludf.DUMMYFUNCTION("GOOGLETRANSLATE(B601,""en"",""ca"")"),"GPS Alarm necessita permisos d'ubicació per fer un seguiment de la vostra posició i notificar-vos quan arribeu a la vostra destinació.")</f>
        <v>GPS Alarm necessita permisos d'ubicació per fer un seguiment de la vostra posició i notificar-vos quan arribeu a la vostra destinació.</v>
      </c>
      <c r="AM601" s="4" t="str">
        <f>IFERROR(__xludf.DUMMYFUNCTION("GOOGLETRANSLATE(B601,""en"",""nl"")"),"GPS Alarm heeft locatietoestemming nodig om uw positie te kunnen bepalen en u te waarschuwen wanneer u uw bestemming hebt bereikt.")</f>
        <v>GPS Alarm heeft locatietoestemming nodig om uw positie te kunnen bepalen en u te waarschuwen wanneer u uw bestemming hebt bereikt.</v>
      </c>
      <c r="AN601" s="4" t="str">
        <f>IFERROR(__xludf.DUMMYFUNCTION("GOOGLETRANSLATE(B601,""en"",""he"")"),"אזעקת GPS זקוקה להרשאות מיקום כדי לעקוב אחר המיקום שלך ולהודיע ​​לך כאשר אתה מגיע ליעד שלך.")</f>
        <v>אזעקת GPS זקוקה להרשאות מיקום כדי לעקוב אחר המיקום שלך ולהודיע ​​לך כאשר אתה מגיע ליעד שלך.</v>
      </c>
      <c r="AO601" s="4" t="str">
        <f>IFERROR(__xludf.DUMMYFUNCTION("GOOGLETRANSLATE(B601,""en"",""is"")"),"GPS Alarm þarf staðsetningarheimildir til að fylgjast með staðsetningu þinni og láta þig vita þegar þú nærð áfangastað.")</f>
        <v>GPS Alarm þarf staðsetningarheimildir til að fylgjast með staðsetningu þinni og láta þig vita þegar þú nærð áfangastað.</v>
      </c>
      <c r="AP601" s="4" t="str">
        <f>IFERROR(__xludf.DUMMYFUNCTION("GOOGLETRANSLATE(B601,""en"",""no"")"),"GPS Alarm trenger plasseringstillatelser for å spore posisjonen din og varsle deg når du når destinasjonen.")</f>
        <v>GPS Alarm trenger plasseringstillatelser for å spore posisjonen din og varsle deg når du når destinasjonen.</v>
      </c>
      <c r="AQ601" s="4" t="str">
        <f>IFERROR(__xludf.DUMMYFUNCTION("GOOGLETRANSLATE(B601,""en"",""fa"")"),"GPS Alarm برای ردیابی موقعیت شما و اطلاع شما هنگام رسیدن به مقصد به مجوزهای مکان نیاز دارد.")</f>
        <v>GPS Alarm برای ردیابی موقعیت شما و اطلاع شما هنگام رسیدن به مقصد به مجوزهای مکان نیاز دارد.</v>
      </c>
      <c r="AR601" s="4" t="str">
        <f>IFERROR(__xludf.DUMMYFUNCTION("GOOGLETRANSLATE(B601,""en"",""pl"")"),"GPS Alarm potrzebuje uprawnień do określania lokalizacji, aby śledzić Twoją pozycję i powiadamiać Cię o dotarciu do celu.")</f>
        <v>GPS Alarm potrzebuje uprawnień do określania lokalizacji, aby śledzić Twoją pozycję i powiadamiać Cię o dotarciu do celu.</v>
      </c>
      <c r="AS601" s="4" t="str">
        <f>IFERROR(__xludf.DUMMYFUNCTION("GOOGLETRANSLATE(B601,""en"",""sv"")"),"GPS Alarm behöver platsbehörighet för att spåra din position och meddela dig när du når din destination.")</f>
        <v>GPS Alarm behöver platsbehörighet för att spåra din position och meddela dig när du når din destination.</v>
      </c>
      <c r="AT601" s="4" t="str">
        <f>IFERROR(__xludf.DUMMYFUNCTION("GOOGLETRANSLATE(B601,""en"",""uk"")"),"GPS-сигналу потрібні дозволи на визначення місцезнаходження, щоб відстежувати ваше місцезнаходження та повідомляти вас, коли ви досягнете місця призначення.")</f>
        <v>GPS-сигналу потрібні дозволи на визначення місцезнаходження, щоб відстежувати ваше місцезнаходження та повідомляти вас, коли ви досягнете місця призначення.</v>
      </c>
      <c r="AU601" s="4" t="str">
        <f>IFERROR(__xludf.DUMMYFUNCTION("GOOGLETRANSLATE(B601,""en"",""zu"")"),"I-GPS Alarm idinga izimvume zendawo ukuze ilandelele indawo yakho futhi ikwazise lapho ufika endaweni oya kuyo.")</f>
        <v>I-GPS Alarm idinga izimvume zendawo ukuze ilandelele indawo yakho futhi ikwazise lapho ufika endaweni oya kuyo.</v>
      </c>
      <c r="AV601" s="4" t="str">
        <f>IFERROR(__xludf.DUMMYFUNCTION("GOOGLETRANSLATE(B601,""en"",""sr"")"),"ГПС Аларму су потребне дозволе за локацију да прати вашу позицију и обавештава вас када стигнете на одредиште.")</f>
        <v>ГПС Аларму су потребне дозволе за локацију да прати вашу позицију и обавештава вас када стигнете на одредиште.</v>
      </c>
    </row>
    <row r="602">
      <c r="A602" s="3" t="s">
        <v>1152</v>
      </c>
      <c r="B602" s="3" t="s">
        <v>1153</v>
      </c>
      <c r="C602" s="4" t="str">
        <f>IFERROR(__xludf.DUMMYFUNCTION("GOOGLETRANSLATE(B602,""en"",""ta"")"),"நமக்குத் தேவை:")</f>
        <v>நமக்குத் தேவை:</v>
      </c>
      <c r="D602" s="4" t="str">
        <f>IFERROR(__xludf.DUMMYFUNCTION("GOOGLETRANSLATE(B602,""en"",""hi"")"),"ज़रुरत है:")</f>
        <v>ज़रुरत है:</v>
      </c>
      <c r="E602" s="4" t="str">
        <f>IFERROR(__xludf.DUMMYFUNCTION("GOOGLETRANSLATE(B602,""en"",""id"")"),"Kita butuh:")</f>
        <v>Kita butuh:</v>
      </c>
      <c r="F602" s="4" t="str">
        <f>IFERROR(__xludf.DUMMYFUNCTION("GOOGLETRANSLATE(B602,""en"",""ms"")"),"Kami memerlukan:")</f>
        <v>Kami memerlukan:</v>
      </c>
      <c r="G602" s="4" t="str">
        <f>IFERROR(__xludf.DUMMYFUNCTION("GOOGLETRANSLATE(B602,""en"",""de"")"),"Wir brauchen:")</f>
        <v>Wir brauchen:</v>
      </c>
      <c r="H602" s="4" t="str">
        <f>IFERROR(__xludf.DUMMYFUNCTION("GOOGLETRANSLATE(B602,""en"",""es"")"),"Necesitamos:")</f>
        <v>Necesitamos:</v>
      </c>
      <c r="I602" s="4" t="str">
        <f>IFERROR(__xludf.DUMMYFUNCTION("GOOGLETRANSLATE(B602,""en"",""fr"")"),"Nous avons besoin de :")</f>
        <v>Nous avons besoin de :</v>
      </c>
      <c r="J602" s="4" t="str">
        <f>IFERROR(__xludf.DUMMYFUNCTION("GOOGLETRANSLATE(B602,""en"",""it"")"),"Abbiamo bisogno di:")</f>
        <v>Abbiamo bisogno di:</v>
      </c>
      <c r="K602" s="4" t="str">
        <f>IFERROR(__xludf.DUMMYFUNCTION("GOOGLETRANSLATE(B602,""en"",""pt"")"),"Precisamos:")</f>
        <v>Precisamos:</v>
      </c>
      <c r="L602" s="4" t="str">
        <f>IFERROR(__xludf.DUMMYFUNCTION("GOOGLETRANSLATE(B602,""en"",""ro"")"),"Avem nevoie de:")</f>
        <v>Avem nevoie de:</v>
      </c>
      <c r="M602" s="4" t="str">
        <f>IFERROR(__xludf.DUMMYFUNCTION("GOOGLETRANSLATE(B602,""en"",""vi"")"),"Chúng ta cần:")</f>
        <v>Chúng ta cần:</v>
      </c>
      <c r="N602" s="4" t="str">
        <f>IFERROR(__xludf.DUMMYFUNCTION("GOOGLETRANSLATE(B602,""en"",""ru"")"),"Нам нужно:")</f>
        <v>Нам нужно:</v>
      </c>
      <c r="O602" s="4" t="str">
        <f>IFERROR(__xludf.DUMMYFUNCTION("GOOGLETRANSLATE(B602,""en"",""tr"")"),"İhtiyacımız olan:")</f>
        <v>İhtiyacımız olan:</v>
      </c>
      <c r="P602" s="4" t="str">
        <f>IFERROR(__xludf.DUMMYFUNCTION("GOOGLETRANSLATE(B602,""en"",""ar"")"),"نحن بحاجة إلى:")</f>
        <v>نحن بحاجة إلى:</v>
      </c>
      <c r="Q602" s="4" t="str">
        <f>IFERROR(__xludf.DUMMYFUNCTION("GOOGLETRANSLATE(B602,""en"",""mr"")"),"आम्हाला आवश्यक आहे:")</f>
        <v>आम्हाला आवश्यक आहे:</v>
      </c>
      <c r="R602" s="4" t="str">
        <f>IFERROR(__xludf.DUMMYFUNCTION("GOOGLETRANSLATE(B602,""en"",""gu"")"),"અમને જરૂર છે:")</f>
        <v>અમને જરૂર છે:</v>
      </c>
      <c r="S602" s="4" t="str">
        <f>IFERROR(__xludf.DUMMYFUNCTION("GOOGLETRANSLATE(B602,""en"",""bn"")"),"আমাদের প্রয়োজন:")</f>
        <v>আমাদের প্রয়োজন:</v>
      </c>
      <c r="T602" s="4" t="str">
        <f>IFERROR(__xludf.DUMMYFUNCTION("GOOGLETRANSLATE(B602,""en"",""pa"")"),"ਸਾਨੂੰ ਲੋੜ ਹੈ:")</f>
        <v>ਸਾਨੂੰ ਲੋੜ ਹੈ:</v>
      </c>
      <c r="U602" s="4" t="str">
        <f>IFERROR(__xludf.DUMMYFUNCTION("GOOGLETRANSLATE(B602,""en"",""te"")"),"మాకు అవసరం:")</f>
        <v>మాకు అవసరం:</v>
      </c>
      <c r="V602" s="4" t="str">
        <f>IFERROR(__xludf.DUMMYFUNCTION("GOOGLETRANSLATE(B602,""en"",""kn"")"),"ನಮಗೆ ಅಗತ್ಯವಿದೆ:")</f>
        <v>ನಮಗೆ ಅಗತ್ಯವಿದೆ:</v>
      </c>
      <c r="W602" s="4" t="str">
        <f>IFERROR(__xludf.DUMMYFUNCTION("GOOGLETRANSLATE(B602,""en"",""ml"")"),"ഞങ്ങൾക്ക് ആവശ്യമാണ്:")</f>
        <v>ഞങ്ങൾക്ക് ആവശ്യമാണ്:</v>
      </c>
      <c r="X602" s="4" t="str">
        <f>IFERROR(__xludf.DUMMYFUNCTION("GOOGLETRANSLATE(B602,""en"",""th"")"),"เราต้องการ:")</f>
        <v>เราต้องการ:</v>
      </c>
      <c r="Y602" s="4" t="str">
        <f>IFERROR(__xludf.DUMMYFUNCTION("GOOGLETRANSLATE(B602,""en"",""ko"")"),"우리에게 필요한 것:")</f>
        <v>우리에게 필요한 것:</v>
      </c>
      <c r="Z602" s="4" t="str">
        <f>IFERROR(__xludf.DUMMYFUNCTION("GOOGLETRANSLATE(B602,""en"",""zh"")"),"我们需要：")</f>
        <v>我们需要：</v>
      </c>
      <c r="AA602" s="4" t="str">
        <f>IFERROR(__xludf.DUMMYFUNCTION("GOOGLETRANSLATE(B602,""en"",""zh-TW"")"),"我們需要：")</f>
        <v>我們需要：</v>
      </c>
      <c r="AB602" s="4" t="str">
        <f>IFERROR(__xludf.DUMMYFUNCTION("GOOGLETRANSLATE(B602,""en"",""ja"")"),"必要なもの:")</f>
        <v>必要なもの:</v>
      </c>
      <c r="AC602" s="4" t="str">
        <f>IFERROR(__xludf.DUMMYFUNCTION("GOOGLETRANSLATE(B602,""en"",""bg"")"),"Имаме нужда от:")</f>
        <v>Имаме нужда от:</v>
      </c>
      <c r="AD602" s="4" t="str">
        <f>IFERROR(__xludf.DUMMYFUNCTION("GOOGLETRANSLATE(B602,""en"",""cs"")"),"Potřebujeme:")</f>
        <v>Potřebujeme:</v>
      </c>
      <c r="AE602" s="4" t="str">
        <f>IFERROR(__xludf.DUMMYFUNCTION("GOOGLETRANSLATE(B602,""en"",""da"")"),"Vi har brug for:")</f>
        <v>Vi har brug for:</v>
      </c>
      <c r="AF602" s="4" t="str">
        <f>IFERROR(__xludf.DUMMYFUNCTION("GOOGLETRANSLATE(B602,""en"",""el"")"),"Χρειαζόμαστε:")</f>
        <v>Χρειαζόμαστε:</v>
      </c>
      <c r="AG602" s="4" t="str">
        <f>IFERROR(__xludf.DUMMYFUNCTION("GOOGLETRANSLATE(B602,""en"",""et"")"),"Vajame:")</f>
        <v>Vajame:</v>
      </c>
      <c r="AH602" s="4" t="str">
        <f>IFERROR(__xludf.DUMMYFUNCTION("GOOGLETRANSLATE(B602,""en"",""fi"")"),"Tarvitsemme:")</f>
        <v>Tarvitsemme:</v>
      </c>
      <c r="AI602" s="4" t="str">
        <f>IFERROR(__xludf.DUMMYFUNCTION("GOOGLETRANSLATE(B602,""en"",""hr"")"),"Trebamo:")</f>
        <v>Trebamo:</v>
      </c>
      <c r="AJ602" s="4" t="str">
        <f>IFERROR(__xludf.DUMMYFUNCTION("GOOGLETRANSLATE(B602,""en"",""hu"")"),"Szükségünk van:")</f>
        <v>Szükségünk van:</v>
      </c>
      <c r="AK602" s="4" t="str">
        <f>IFERROR(__xludf.DUMMYFUNCTION("GOOGLETRANSLATE(B602,""en"",""hy"")"),"Մեզ անհրաժեշտ է՝")</f>
        <v>Մեզ անհրաժեշտ է՝</v>
      </c>
      <c r="AL602" s="4" t="str">
        <f>IFERROR(__xludf.DUMMYFUNCTION("GOOGLETRANSLATE(B602,""en"",""ca"")"),"Necessitem:")</f>
        <v>Necessitem:</v>
      </c>
      <c r="AM602" s="4" t="str">
        <f>IFERROR(__xludf.DUMMYFUNCTION("GOOGLETRANSLATE(B602,""en"",""nl"")"),"Wij hebben nodig:")</f>
        <v>Wij hebben nodig:</v>
      </c>
      <c r="AN602" s="4" t="str">
        <f>IFERROR(__xludf.DUMMYFUNCTION("GOOGLETRANSLATE(B602,""en"",""he"")"),"אנחנו צריכים:")</f>
        <v>אנחנו צריכים:</v>
      </c>
      <c r="AO602" s="4" t="str">
        <f>IFERROR(__xludf.DUMMYFUNCTION("GOOGLETRANSLATE(B602,""en"",""is"")"),"Við þurfum:")</f>
        <v>Við þurfum:</v>
      </c>
      <c r="AP602" s="4" t="str">
        <f>IFERROR(__xludf.DUMMYFUNCTION("GOOGLETRANSLATE(B602,""en"",""no"")"),"Vi trenger:")</f>
        <v>Vi trenger:</v>
      </c>
      <c r="AQ602" s="4" t="str">
        <f>IFERROR(__xludf.DUMMYFUNCTION("GOOGLETRANSLATE(B602,""en"",""fa"")"),"ما نیاز داریم:")</f>
        <v>ما نیاز داریم:</v>
      </c>
      <c r="AR602" s="4" t="str">
        <f>IFERROR(__xludf.DUMMYFUNCTION("GOOGLETRANSLATE(B602,""en"",""pl"")"),"Potrzebujemy:")</f>
        <v>Potrzebujemy:</v>
      </c>
      <c r="AS602" s="4" t="str">
        <f>IFERROR(__xludf.DUMMYFUNCTION("GOOGLETRANSLATE(B602,""en"",""sv"")"),"Vi behöver:")</f>
        <v>Vi behöver:</v>
      </c>
      <c r="AT602" s="4" t="str">
        <f>IFERROR(__xludf.DUMMYFUNCTION("GOOGLETRANSLATE(B602,""en"",""uk"")"),"Нам потрібно:")</f>
        <v>Нам потрібно:</v>
      </c>
      <c r="AU602" s="4" t="str">
        <f>IFERROR(__xludf.DUMMYFUNCTION("GOOGLETRANSLATE(B602,""en"",""zu"")"),"Sidinga:")</f>
        <v>Sidinga:</v>
      </c>
      <c r="AV602" s="4" t="str">
        <f>IFERROR(__xludf.DUMMYFUNCTION("GOOGLETRANSLATE(B602,""en"",""sr"")"),"треба нам:")</f>
        <v>треба нам:</v>
      </c>
    </row>
    <row r="603">
      <c r="A603" s="3" t="s">
        <v>1154</v>
      </c>
      <c r="B603" s="3" t="s">
        <v>1155</v>
      </c>
      <c r="C603" s="4" t="str">
        <f>IFERROR(__xludf.DUMMYFUNCTION("GOOGLETRANSLATE(B603,""en"",""ta"")"),"உங்கள் நிலையைத் துல்லியமாகக் கண்காணிக்க துல்லியமான இருப்பிட அணுகல்")</f>
        <v>உங்கள் நிலையைத் துல்லியமாகக் கண்காணிக்க துல்லியமான இருப்பிட அணுகல்</v>
      </c>
      <c r="D603" s="4" t="str">
        <f>IFERROR(__xludf.DUMMYFUNCTION("GOOGLETRANSLATE(B603,""en"",""hi"")"),"अपनी स्थिति को सटीक रूप से ट्रैक करने के लिए सटीक स्थान तक पहुंच")</f>
        <v>अपनी स्थिति को सटीक रूप से ट्रैक करने के लिए सटीक स्थान तक पहुंच</v>
      </c>
      <c r="E603" s="4" t="str">
        <f>IFERROR(__xludf.DUMMYFUNCTION("GOOGLETRANSLATE(B603,""en"",""id"")"),"Akses lokasi yang tepat untuk melacak posisi Anda secara akurat")</f>
        <v>Akses lokasi yang tepat untuk melacak posisi Anda secara akurat</v>
      </c>
      <c r="F603" s="4" t="str">
        <f>IFERROR(__xludf.DUMMYFUNCTION("GOOGLETRANSLATE(B603,""en"",""ms"")"),"Akses lokasi yang tepat untuk menjejaki kedudukan anda dengan tepat")</f>
        <v>Akses lokasi yang tepat untuk menjejaki kedudukan anda dengan tepat</v>
      </c>
      <c r="G603" s="4" t="str">
        <f>IFERROR(__xludf.DUMMYFUNCTION("GOOGLETRANSLATE(B603,""en"",""de"")"),"Präziser Standortzugriff zur genauen Verfolgung Ihrer Position")</f>
        <v>Präziser Standortzugriff zur genauen Verfolgung Ihrer Position</v>
      </c>
      <c r="H603" s="4" t="str">
        <f>IFERROR(__xludf.DUMMYFUNCTION("GOOGLETRANSLATE(B603,""en"",""es"")"),"Acceso a ubicación precisa para rastrear con precisión su posición")</f>
        <v>Acceso a ubicación precisa para rastrear con precisión su posición</v>
      </c>
      <c r="I603" s="4" t="str">
        <f>IFERROR(__xludf.DUMMYFUNCTION("GOOGLETRANSLATE(B603,""en"",""fr"")"),"Accès précis à la localisation pour suivre avec précision votre position")</f>
        <v>Accès précis à la localisation pour suivre avec précision votre position</v>
      </c>
      <c r="J603" s="4" t="str">
        <f>IFERROR(__xludf.DUMMYFUNCTION("GOOGLETRANSLATE(B603,""en"",""it"")"),"Accesso alla posizione precisa per tracciare accuratamente la tua posizione")</f>
        <v>Accesso alla posizione precisa per tracciare accuratamente la tua posizione</v>
      </c>
      <c r="K603" s="4" t="str">
        <f>IFERROR(__xludf.DUMMYFUNCTION("GOOGLETRANSLATE(B603,""en"",""pt"")"),"Acesso preciso à localização para rastrear sua posição com precisão")</f>
        <v>Acesso preciso à localização para rastrear sua posição com precisão</v>
      </c>
      <c r="L603" s="4" t="str">
        <f>IFERROR(__xludf.DUMMYFUNCTION("GOOGLETRANSLATE(B603,""en"",""ro"")"),"Acces precis la locație pentru a vă urmări cu precizie poziția")</f>
        <v>Acces precis la locație pentru a vă urmări cu precizie poziția</v>
      </c>
      <c r="M603" s="4" t="str">
        <f>IFERROR(__xludf.DUMMYFUNCTION("GOOGLETRANSLATE(B603,""en"",""vi"")"),"Truy cập vị trí chính xác để theo dõi chính xác vị trí của bạn")</f>
        <v>Truy cập vị trí chính xác để theo dõi chính xác vị trí của bạn</v>
      </c>
      <c r="N603" s="4" t="str">
        <f>IFERROR(__xludf.DUMMYFUNCTION("GOOGLETRANSLATE(B603,""en"",""ru"")"),"Точный доступ к местоположению для точного отслеживания вашего местоположения")</f>
        <v>Точный доступ к местоположению для точного отслеживания вашего местоположения</v>
      </c>
      <c r="O603" s="4" t="str">
        <f>IFERROR(__xludf.DUMMYFUNCTION("GOOGLETRANSLATE(B603,""en"",""tr"")"),"Konumunuzu doğru bir şekilde takip etmek için hassas konum erişimi")</f>
        <v>Konumunuzu doğru bir şekilde takip etmek için hassas konum erişimi</v>
      </c>
      <c r="P603" s="4" t="str">
        <f>IFERROR(__xludf.DUMMYFUNCTION("GOOGLETRANSLATE(B603,""en"",""ar"")"),"الوصول إلى الموقع الدقيق لتتبع موقعك بدقة")</f>
        <v>الوصول إلى الموقع الدقيق لتتبع موقعك بدقة</v>
      </c>
      <c r="Q603" s="4" t="str">
        <f>IFERROR(__xludf.DUMMYFUNCTION("GOOGLETRANSLATE(B603,""en"",""mr"")"),"तुमची स्थिती अचूकपणे ट्रॅक करण्यासाठी अचूक स्थान प्रवेश")</f>
        <v>तुमची स्थिती अचूकपणे ट्रॅक करण्यासाठी अचूक स्थान प्रवेश</v>
      </c>
      <c r="R603" s="4" t="str">
        <f>IFERROR(__xludf.DUMMYFUNCTION("GOOGLETRANSLATE(B603,""en"",""gu"")"),"તમારી સ્થિતિને ચોક્કસપણે ટ્રૅક કરવા માટે ચોક્કસ સ્થાન ઍક્સેસ")</f>
        <v>તમારી સ્થિતિને ચોક્કસપણે ટ્રૅક કરવા માટે ચોક્કસ સ્થાન ઍક્સેસ</v>
      </c>
      <c r="S603" s="4" t="str">
        <f>IFERROR(__xludf.DUMMYFUNCTION("GOOGLETRANSLATE(B603,""en"",""bn"")"),"আপনার অবস্থান সঠিকভাবে ট্র্যাক করতে সুনির্দিষ্ট অবস্থান অ্যাক্সেস")</f>
        <v>আপনার অবস্থান সঠিকভাবে ট্র্যাক করতে সুনির্দিষ্ট অবস্থান অ্যাক্সেস</v>
      </c>
      <c r="T603" s="4" t="str">
        <f>IFERROR(__xludf.DUMMYFUNCTION("GOOGLETRANSLATE(B603,""en"",""pa"")"),"ਤੁਹਾਡੀ ਸਥਿਤੀ ਨੂੰ ਸਹੀ ਢੰਗ ਨਾਲ ਟ੍ਰੈਕ ਕਰਨ ਲਈ ਸਟੀਕ ਟਿਕਾਣਾ ਪਹੁੰਚ")</f>
        <v>ਤੁਹਾਡੀ ਸਥਿਤੀ ਨੂੰ ਸਹੀ ਢੰਗ ਨਾਲ ਟ੍ਰੈਕ ਕਰਨ ਲਈ ਸਟੀਕ ਟਿਕਾਣਾ ਪਹੁੰਚ</v>
      </c>
      <c r="U603" s="4" t="str">
        <f>IFERROR(__xludf.DUMMYFUNCTION("GOOGLETRANSLATE(B603,""en"",""te"")"),"మీ స్థానాన్ని ఖచ్చితంగా ట్రాక్ చేయడానికి ఖచ్చితమైన స్థాన యాక్సెస్")</f>
        <v>మీ స్థానాన్ని ఖచ్చితంగా ట్రాక్ చేయడానికి ఖచ్చితమైన స్థాన యాక్సెస్</v>
      </c>
      <c r="V603" s="4" t="str">
        <f>IFERROR(__xludf.DUMMYFUNCTION("GOOGLETRANSLATE(B603,""en"",""kn"")"),"ನಿಮ್ಮ ಸ್ಥಾನವನ್ನು ನಿಖರವಾಗಿ ಟ್ರ್ಯಾಕ್ ಮಾಡಲು ನಿಖರವಾದ ಸ್ಥಳ ಪ್ರವೇಶ")</f>
        <v>ನಿಮ್ಮ ಸ್ಥಾನವನ್ನು ನಿಖರವಾಗಿ ಟ್ರ್ಯಾಕ್ ಮಾಡಲು ನಿಖರವಾದ ಸ್ಥಳ ಪ್ರವೇಶ</v>
      </c>
      <c r="W603" s="4" t="str">
        <f>IFERROR(__xludf.DUMMYFUNCTION("GOOGLETRANSLATE(B603,""en"",""ml"")"),"നിങ്ങളുടെ സ്ഥാനം കൃത്യമായി ട്രാക്ക് ചെയ്യുന്നതിന് കൃത്യമായ ലൊക്കേഷൻ ആക്സസ്")</f>
        <v>നിങ്ങളുടെ സ്ഥാനം കൃത്യമായി ട്രാക്ക് ചെയ്യുന്നതിന് കൃത്യമായ ലൊക്കേഷൻ ആക്സസ്</v>
      </c>
      <c r="X603" s="4" t="str">
        <f>IFERROR(__xludf.DUMMYFUNCTION("GOOGLETRANSLATE(B603,""en"",""th"")"),"การเข้าถึงตำแหน่งที่แม่นยำเพื่อติดตามตำแหน่งของคุณอย่างแม่นยำ")</f>
        <v>การเข้าถึงตำแหน่งที่แม่นยำเพื่อติดตามตำแหน่งของคุณอย่างแม่นยำ</v>
      </c>
      <c r="Y603" s="4" t="str">
        <f>IFERROR(__xludf.DUMMYFUNCTION("GOOGLETRANSLATE(B603,""en"",""ko"")"),"정확한 위치 접근으로 위치를 정확하게 추적하세요")</f>
        <v>정확한 위치 접근으로 위치를 정확하게 추적하세요</v>
      </c>
      <c r="Z603" s="4" t="str">
        <f>IFERROR(__xludf.DUMMYFUNCTION("GOOGLETRANSLATE(B603,""en"",""zh"")"),"精确位置访问，准确追踪您的位置")</f>
        <v>精确位置访问，准确追踪您的位置</v>
      </c>
      <c r="AA603" s="4" t="str">
        <f>IFERROR(__xludf.DUMMYFUNCTION("GOOGLETRANSLATE(B603,""en"",""zh-TW"")"),"精確位置訪問，準確追蹤您的位置")</f>
        <v>精確位置訪問，準確追蹤您的位置</v>
      </c>
      <c r="AB603" s="4" t="str">
        <f>IFERROR(__xludf.DUMMYFUNCTION("GOOGLETRANSLATE(B603,""en"",""ja"")"),"正確な位置情報アクセスであなたの位置を正確に追跡")</f>
        <v>正確な位置情報アクセスであなたの位置を正確に追跡</v>
      </c>
      <c r="AC603" s="4" t="str">
        <f>IFERROR(__xludf.DUMMYFUNCTION("GOOGLETRANSLATE(B603,""en"",""bg"")"),"Достъп до прецизно местоположение за точно проследяване на вашата позиция")</f>
        <v>Достъп до прецизно местоположение за точно проследяване на вашата позиция</v>
      </c>
      <c r="AD603" s="4" t="str">
        <f>IFERROR(__xludf.DUMMYFUNCTION("GOOGLETRANSLATE(B603,""en"",""cs"")"),"Přesný přístup k poloze pro přesné sledování vaší polohy")</f>
        <v>Přesný přístup k poloze pro přesné sledování vaší polohy</v>
      </c>
      <c r="AE603" s="4" t="str">
        <f>IFERROR(__xludf.DUMMYFUNCTION("GOOGLETRANSLATE(B603,""en"",""da"")"),"Præcis placeringsadgang for nøjagtigt at spore din position")</f>
        <v>Præcis placeringsadgang for nøjagtigt at spore din position</v>
      </c>
      <c r="AF603" s="4" t="str">
        <f>IFERROR(__xludf.DUMMYFUNCTION("GOOGLETRANSLATE(B603,""en"",""el"")"),"Ακριβής πρόσβαση στην τοποθεσία για να παρακολουθείτε με ακρίβεια τη θέση σας")</f>
        <v>Ακριβής πρόσβαση στην τοποθεσία για να παρακολουθείτε με ακρίβεια τη θέση σας</v>
      </c>
      <c r="AG603" s="4" t="str">
        <f>IFERROR(__xludf.DUMMYFUNCTION("GOOGLETRANSLATE(B603,""en"",""et"")"),"Täpne juurdepääs asukohale, et teie asukohta täpselt jälgida")</f>
        <v>Täpne juurdepääs asukohale, et teie asukohta täpselt jälgida</v>
      </c>
      <c r="AH603" s="4" t="str">
        <f>IFERROR(__xludf.DUMMYFUNCTION("GOOGLETRANSLATE(B603,""en"",""fi"")"),"Tarkka sijainti pääsy sijaintisi tarkkaan seurantaan")</f>
        <v>Tarkka sijainti pääsy sijaintisi tarkkaan seurantaan</v>
      </c>
      <c r="AI603" s="4" t="str">
        <f>IFERROR(__xludf.DUMMYFUNCTION("GOOGLETRANSLATE(B603,""en"",""hr"")"),"Pristup preciznoj lokaciji za točno praćenje vaše pozicije")</f>
        <v>Pristup preciznoj lokaciji za točno praćenje vaše pozicije</v>
      </c>
      <c r="AJ603" s="4" t="str">
        <f>IFERROR(__xludf.DUMMYFUNCTION("GOOGLETRANSLATE(B603,""en"",""hu"")"),"Pontos helyhozzáférés a pozíció pontos nyomon követéséhez")</f>
        <v>Pontos helyhozzáférés a pozíció pontos nyomon követéséhez</v>
      </c>
      <c r="AK603" s="4" t="str">
        <f>IFERROR(__xludf.DUMMYFUNCTION("GOOGLETRANSLATE(B603,""en"",""hy"")"),"Տեղադրության ճշգրիտ հասանելիություն՝ ձեր դիրքը ճշգրիտ հետևելու համար")</f>
        <v>Տեղադրության ճշգրիտ հասանելիություն՝ ձեր դիրքը ճշգրիտ հետևելու համար</v>
      </c>
      <c r="AL603" s="4" t="str">
        <f>IFERROR(__xludf.DUMMYFUNCTION("GOOGLETRANSLATE(B603,""en"",""ca"")"),"Accés a la ubicació precisa per fer un seguiment exacte de la vostra posició")</f>
        <v>Accés a la ubicació precisa per fer un seguiment exacte de la vostra posició</v>
      </c>
      <c r="AM603" s="4" t="str">
        <f>IFERROR(__xludf.DUMMYFUNCTION("GOOGLETRANSLATE(B603,""en"",""nl"")"),"Nauwkeurige locatietoegang om uw positie nauwkeurig te volgen")</f>
        <v>Nauwkeurige locatietoegang om uw positie nauwkeurig te volgen</v>
      </c>
      <c r="AN603" s="4" t="str">
        <f>IFERROR(__xludf.DUMMYFUNCTION("GOOGLETRANSLATE(B603,""en"",""he"")"),"גישה למיקום מדויק למעקב מדויק אחר המיקום שלך")</f>
        <v>גישה למיקום מדויק למעקב מדויק אחר המיקום שלך</v>
      </c>
      <c r="AO603" s="4" t="str">
        <f>IFERROR(__xludf.DUMMYFUNCTION("GOOGLETRANSLATE(B603,""en"",""is"")"),"Nákvæm staðsetningaraðgangur til að fylgjast nákvæmlega með staðsetningu þinni")</f>
        <v>Nákvæm staðsetningaraðgangur til að fylgjast nákvæmlega með staðsetningu þinni</v>
      </c>
      <c r="AP603" s="4" t="str">
        <f>IFERROR(__xludf.DUMMYFUNCTION("GOOGLETRANSLATE(B603,""en"",""no"")"),"Nøyaktig posisjonstilgang for nøyaktig å spore posisjonen din")</f>
        <v>Nøyaktig posisjonstilgang for nøyaktig å spore posisjonen din</v>
      </c>
      <c r="AQ603" s="4" t="str">
        <f>IFERROR(__xludf.DUMMYFUNCTION("GOOGLETRANSLATE(B603,""en"",""fa"")"),"دسترسی دقیق به موقعیت مکانی برای ردیابی دقیق موقعیت شما")</f>
        <v>دسترسی دقیق به موقعیت مکانی برای ردیابی دقیق موقعیت شما</v>
      </c>
      <c r="AR603" s="4" t="str">
        <f>IFERROR(__xludf.DUMMYFUNCTION("GOOGLETRANSLATE(B603,""en"",""pl"")"),"Dokładny dostęp do lokalizacji umożliwiający dokładne śledzenie Twojej pozycji")</f>
        <v>Dokładny dostęp do lokalizacji umożliwiający dokładne śledzenie Twojej pozycji</v>
      </c>
      <c r="AS603" s="4" t="str">
        <f>IFERROR(__xludf.DUMMYFUNCTION("GOOGLETRANSLATE(B603,""en"",""sv"")"),"Exakt platsåtkomst för att exakt spåra din position")</f>
        <v>Exakt platsåtkomst för att exakt spåra din position</v>
      </c>
      <c r="AT603" s="4" t="str">
        <f>IFERROR(__xludf.DUMMYFUNCTION("GOOGLETRANSLATE(B603,""en"",""uk"")"),"Доступ до точного місцезнаходження для точного відстеження вашого місцезнаходження")</f>
        <v>Доступ до точного місцезнаходження для точного відстеження вашого місцезнаходження</v>
      </c>
      <c r="AU603" s="4" t="str">
        <f>IFERROR(__xludf.DUMMYFUNCTION("GOOGLETRANSLATE(B603,""en"",""zu"")"),"Ukufinyelela indawo okunembile ukuze ulandelele ngokunembile indawo yakho")</f>
        <v>Ukufinyelela indawo okunembile ukuze ulandelele ngokunembile indawo yakho</v>
      </c>
      <c r="AV603" s="4" t="str">
        <f>IFERROR(__xludf.DUMMYFUNCTION("GOOGLETRANSLATE(B603,""en"",""sr"")"),"Прецизан приступ локацији за прецизно праћење ваше позиције")</f>
        <v>Прецизан приступ локацији за прецизно праћење ваше позиције</v>
      </c>
    </row>
    <row r="604">
      <c r="A604" s="3" t="s">
        <v>1156</v>
      </c>
      <c r="B604" s="3" t="s">
        <v>1157</v>
      </c>
      <c r="C604" s="4" t="str">
        <f>IFERROR(__xludf.DUMMYFUNCTION("GOOGLETRANSLATE(B604,""en"",""ta"")"),"ஆப்ஸ் மூடப்பட்டிருந்தாலும் உங்களுக்குத் தெரிவிக்க பின்னணி இருப்பிட அணுகல்")</f>
        <v>ஆப்ஸ் மூடப்பட்டிருந்தாலும் உங்களுக்குத் தெரிவிக்க பின்னணி இருப்பிட அணுகல்</v>
      </c>
      <c r="D604" s="4" t="str">
        <f>IFERROR(__xludf.DUMMYFUNCTION("GOOGLETRANSLATE(B604,""en"",""hi"")"),"ऐप बंद होने पर भी आपको सूचित करने के लिए पृष्ठभूमि स्थान तक पहुंच")</f>
        <v>ऐप बंद होने पर भी आपको सूचित करने के लिए पृष्ठभूमि स्थान तक पहुंच</v>
      </c>
      <c r="E604" s="4" t="str">
        <f>IFERROR(__xludf.DUMMYFUNCTION("GOOGLETRANSLATE(B604,""en"",""id"")"),"Akses lokasi latar belakang untuk memberi tahu Anda bahkan saat aplikasi ditutup")</f>
        <v>Akses lokasi latar belakang untuk memberi tahu Anda bahkan saat aplikasi ditutup</v>
      </c>
      <c r="F604" s="4" t="str">
        <f>IFERROR(__xludf.DUMMYFUNCTION("GOOGLETRANSLATE(B604,""en"",""ms"")"),"Akses lokasi latar belakang untuk memberitahu anda walaupun apl ditutup")</f>
        <v>Akses lokasi latar belakang untuk memberitahu anda walaupun apl ditutup</v>
      </c>
      <c r="G604" s="4" t="str">
        <f>IFERROR(__xludf.DUMMYFUNCTION("GOOGLETRANSLATE(B604,""en"",""de"")"),"Standortzugriff im Hintergrund, um Sie auch bei geschlossener App zu benachrichtigen")</f>
        <v>Standortzugriff im Hintergrund, um Sie auch bei geschlossener App zu benachrichtigen</v>
      </c>
      <c r="H604" s="4" t="str">
        <f>IFERROR(__xludf.DUMMYFUNCTION("GOOGLETRANSLATE(B604,""en"",""es"")"),"Acceso a la ubicación en segundo plano para notificarte incluso cuando la aplicación está cerrada")</f>
        <v>Acceso a la ubicación en segundo plano para notificarte incluso cuando la aplicación está cerrada</v>
      </c>
      <c r="I604" s="4" t="str">
        <f>IFERROR(__xludf.DUMMYFUNCTION("GOOGLETRANSLATE(B604,""en"",""fr"")"),"Accès à la localisation en arrière-plan pour vous avertir même lorsque l'application est fermée")</f>
        <v>Accès à la localisation en arrière-plan pour vous avertir même lorsque l'application est fermée</v>
      </c>
      <c r="J604" s="4" t="str">
        <f>IFERROR(__xludf.DUMMYFUNCTION("GOOGLETRANSLATE(B604,""en"",""it"")"),"Accesso alla posizione in background per avvisarti anche quando l'app è chiusa")</f>
        <v>Accesso alla posizione in background per avvisarti anche quando l'app è chiusa</v>
      </c>
      <c r="K604" s="4" t="str">
        <f>IFERROR(__xludf.DUMMYFUNCTION("GOOGLETRANSLATE(B604,""en"",""pt"")"),"Acesso à localização em segundo plano para notificá-lo mesmo quando o aplicativo estiver fechado")</f>
        <v>Acesso à localização em segundo plano para notificá-lo mesmo quando o aplicativo estiver fechado</v>
      </c>
      <c r="L604" s="4" t="str">
        <f>IFERROR(__xludf.DUMMYFUNCTION("GOOGLETRANSLATE(B604,""en"",""ro"")"),"Acces la locație în fundal pentru a vă anunța chiar și atunci când aplicația este închisă")</f>
        <v>Acces la locație în fundal pentru a vă anunța chiar și atunci când aplicația este închisă</v>
      </c>
      <c r="M604" s="4" t="str">
        <f>IFERROR(__xludf.DUMMYFUNCTION("GOOGLETRANSLATE(B604,""en"",""vi"")"),"Truy cập vị trí nền để thông báo cho bạn ngay cả khi ứng dụng đã đóng")</f>
        <v>Truy cập vị trí nền để thông báo cho bạn ngay cả khi ứng dụng đã đóng</v>
      </c>
      <c r="N604" s="4" t="str">
        <f>IFERROR(__xludf.DUMMYFUNCTION("GOOGLETRANSLATE(B604,""en"",""ru"")"),"Фоновый доступ к местоположению для получения уведомлений, даже если приложение закрыто")</f>
        <v>Фоновый доступ к местоположению для получения уведомлений, даже если приложение закрыто</v>
      </c>
      <c r="O604" s="4" t="str">
        <f>IFERROR(__xludf.DUMMYFUNCTION("GOOGLETRANSLATE(B604,""en"",""tr"")"),"Uygulama kapalıyken bile sizi bilgilendirmek için arka plan konum erişimi")</f>
        <v>Uygulama kapalıyken bile sizi bilgilendirmek için arka plan konum erişimi</v>
      </c>
      <c r="P604" s="4" t="str">
        <f>IFERROR(__xludf.DUMMYFUNCTION("GOOGLETRANSLATE(B604,""en"",""ar"")"),"إمكانية الوصول إلى الموقع في الخلفية لإعلامك حتى عند إغلاق التطبيق")</f>
        <v>إمكانية الوصول إلى الموقع في الخلفية لإعلامك حتى عند إغلاق التطبيق</v>
      </c>
      <c r="Q604" s="4" t="str">
        <f>IFERROR(__xludf.DUMMYFUNCTION("GOOGLETRANSLATE(B604,""en"",""mr"")"),"ॲप बंद असताना देखील तुम्हाला सूचित करण्यासाठी पार्श्वभूमी स्थान प्रवेश")</f>
        <v>ॲप बंद असताना देखील तुम्हाला सूचित करण्यासाठी पार्श्वभूमी स्थान प्रवेश</v>
      </c>
      <c r="R604" s="4" t="str">
        <f>IFERROR(__xludf.DUMMYFUNCTION("GOOGLETRANSLATE(B604,""en"",""gu"")"),"એપ્લિકેશન બંધ હોય ત્યારે પણ તમને સૂચિત કરવા માટે પૃષ્ઠભૂમિ સ્થાન ઍક્સેસ")</f>
        <v>એપ્લિકેશન બંધ હોય ત્યારે પણ તમને સૂચિત કરવા માટે પૃષ્ઠભૂમિ સ્થાન ઍક્સેસ</v>
      </c>
      <c r="S604" s="4" t="str">
        <f>IFERROR(__xludf.DUMMYFUNCTION("GOOGLETRANSLATE(B604,""en"",""bn"")"),"অ্যাপ বন্ধ থাকা অবস্থায়ও আপনাকে জানানোর জন্য পটভূমির অবস্থানের অ্যাক্সেস")</f>
        <v>অ্যাপ বন্ধ থাকা অবস্থায়ও আপনাকে জানানোর জন্য পটভূমির অবস্থানের অ্যাক্সেস</v>
      </c>
      <c r="T604" s="4" t="str">
        <f>IFERROR(__xludf.DUMMYFUNCTION("GOOGLETRANSLATE(B604,""en"",""pa"")"),"ਐਪ ਬੰਦ ਹੋਣ 'ਤੇ ਵੀ ਤੁਹਾਨੂੰ ਸੂਚਿਤ ਕਰਨ ਲਈ ਬੈਕਗ੍ਰਾਊਂਡ ਟਿਕਾਣਾ ਪਹੁੰਚ")</f>
        <v>ਐਪ ਬੰਦ ਹੋਣ 'ਤੇ ਵੀ ਤੁਹਾਨੂੰ ਸੂਚਿਤ ਕਰਨ ਲਈ ਬੈਕਗ੍ਰਾਊਂਡ ਟਿਕਾਣਾ ਪਹੁੰਚ</v>
      </c>
      <c r="U604" s="4" t="str">
        <f>IFERROR(__xludf.DUMMYFUNCTION("GOOGLETRANSLATE(B604,""en"",""te"")"),"యాప్ మూసివేయబడినప్పటికీ మీకు తెలియజేయడానికి నేపథ్య స్థాన యాక్సెస్")</f>
        <v>యాప్ మూసివేయబడినప్పటికీ మీకు తెలియజేయడానికి నేపథ్య స్థాన యాక్సెస్</v>
      </c>
      <c r="V604" s="4" t="str">
        <f>IFERROR(__xludf.DUMMYFUNCTION("GOOGLETRANSLATE(B604,""en"",""kn"")"),"ಅಪ್ಲಿಕೇಶನ್ ಮುಚ್ಚಿದಾಗಲೂ ನಿಮಗೆ ತಿಳಿಸಲು ಹಿನ್ನೆಲೆ ಸ್ಥಳ ಪ್ರವೇಶ")</f>
        <v>ಅಪ್ಲಿಕೇಶನ್ ಮುಚ್ಚಿದಾಗಲೂ ನಿಮಗೆ ತಿಳಿಸಲು ಹಿನ್ನೆಲೆ ಸ್ಥಳ ಪ್ರವೇಶ</v>
      </c>
      <c r="W604" s="4" t="str">
        <f>IFERROR(__xludf.DUMMYFUNCTION("GOOGLETRANSLATE(B604,""en"",""ml"")"),"ആപ്പ് അടച്ചിരിക്കുമ്പോൾ പോലും നിങ്ങളെ അറിയിക്കാനുള്ള പശ്ചാത്തല ലൊക്കേഷൻ ആക്‌സസ്")</f>
        <v>ആപ്പ് അടച്ചിരിക്കുമ്പോൾ പോലും നിങ്ങളെ അറിയിക്കാനുള്ള പശ്ചാത്തല ലൊക്കേഷൻ ആക്‌സസ്</v>
      </c>
      <c r="X604" s="4" t="str">
        <f>IFERROR(__xludf.DUMMYFUNCTION("GOOGLETRANSLATE(B604,""en"",""th"")"),"การเข้าถึงตำแหน่งพื้นหลังเพื่อแจ้งให้คุณทราบแม้ในขณะที่แอปปิดอยู่")</f>
        <v>การเข้าถึงตำแหน่งพื้นหลังเพื่อแจ้งให้คุณทราบแม้ในขณะที่แอปปิดอยู่</v>
      </c>
      <c r="Y604" s="4" t="str">
        <f>IFERROR(__xludf.DUMMYFUNCTION("GOOGLETRANSLATE(B604,""en"",""ko"")"),"앱이 닫혀 있어도 알림을 받을 수 있도록 백그라운드 위치 접근")</f>
        <v>앱이 닫혀 있어도 알림을 받을 수 있도록 백그라운드 위치 접근</v>
      </c>
      <c r="Z604" s="4" t="str">
        <f>IFERROR(__xludf.DUMMYFUNCTION("GOOGLETRANSLATE(B604,""en"",""zh"")"),"即使应用程序关闭，也可以通过后台位置访问通知您")</f>
        <v>即使应用程序关闭，也可以通过后台位置访问通知您</v>
      </c>
      <c r="AA604" s="4" t="str">
        <f>IFERROR(__xludf.DUMMYFUNCTION("GOOGLETRANSLATE(B604,""en"",""zh-TW"")"),"即使應用程式關閉，也可以透過後台位置存取通知您")</f>
        <v>即使應用程式關閉，也可以透過後台位置存取通知您</v>
      </c>
      <c r="AB604" s="4" t="str">
        <f>IFERROR(__xludf.DUMMYFUNCTION("GOOGLETRANSLATE(B604,""en"",""ja"")"),"アプリが閉じられているときでも通知するバックグラウンド位置情報アクセス")</f>
        <v>アプリが閉じられているときでも通知するバックグラウンド位置情報アクセス</v>
      </c>
      <c r="AC604" s="4" t="str">
        <f>IFERROR(__xludf.DUMMYFUNCTION("GOOGLETRANSLATE(B604,""en"",""bg"")"),"Достъп до местоположението във фонов режим, за да ви уведомява дори когато приложението е затворено")</f>
        <v>Достъп до местоположението във фонов режим, за да ви уведомява дори когато приложението е затворено</v>
      </c>
      <c r="AD604" s="4" t="str">
        <f>IFERROR(__xludf.DUMMYFUNCTION("GOOGLETRANSLATE(B604,""en"",""cs"")"),"Přístup k poloze na pozadí, který vás upozorní, i když je aplikace zavřená")</f>
        <v>Přístup k poloze na pozadí, který vás upozorní, i když je aplikace zavřená</v>
      </c>
      <c r="AE604" s="4" t="str">
        <f>IFERROR(__xludf.DUMMYFUNCTION("GOOGLETRANSLATE(B604,""en"",""da"")"),"Baggrundsplaceringsadgang for at give dig besked, selv når appen er lukket")</f>
        <v>Baggrundsplaceringsadgang for at give dig besked, selv når appen er lukket</v>
      </c>
      <c r="AF604" s="4" t="str">
        <f>IFERROR(__xludf.DUMMYFUNCTION("GOOGLETRANSLATE(B604,""en"",""el"")"),"Πρόσβαση τοποθεσίας στο παρασκήνιο για να σας ειδοποιεί ακόμα και όταν η εφαρμογή είναι κλειστή")</f>
        <v>Πρόσβαση τοποθεσίας στο παρασκήνιο για να σας ειδοποιεί ακόμα και όταν η εφαρμογή είναι κλειστή</v>
      </c>
      <c r="AG604" s="4" t="str">
        <f>IFERROR(__xludf.DUMMYFUNCTION("GOOGLETRANSLATE(B604,""en"",""et"")"),"Juurdepääs asukohale taustal, et teavitada teid isegi siis, kui rakendus on suletud")</f>
        <v>Juurdepääs asukohale taustal, et teavitada teid isegi siis, kui rakendus on suletud</v>
      </c>
      <c r="AH604" s="4" t="str">
        <f>IFERROR(__xludf.DUMMYFUNCTION("GOOGLETRANSLATE(B604,""en"",""fi"")"),"Taustasijainnin käyttöoikeus ilmoittaa sinulle, vaikka sovellus on suljettu")</f>
        <v>Taustasijainnin käyttöoikeus ilmoittaa sinulle, vaikka sovellus on suljettu</v>
      </c>
      <c r="AI604" s="4" t="str">
        <f>IFERROR(__xludf.DUMMYFUNCTION("GOOGLETRANSLATE(B604,""en"",""hr"")"),"Pristup lokaciji u pozadini za obavještavanje čak i kada je aplikacija zatvorena")</f>
        <v>Pristup lokaciji u pozadini za obavještavanje čak i kada je aplikacija zatvorena</v>
      </c>
      <c r="AJ604" s="4" t="str">
        <f>IFERROR(__xludf.DUMMYFUNCTION("GOOGLETRANSLATE(B604,""en"",""hu"")"),"Hozzáférés a háttérben lévő helyhez, hogy értesítse Önt akkor is, ha az alkalmazás be van zárva")</f>
        <v>Hozzáférés a háttérben lévő helyhez, hogy értesítse Önt akkor is, ha az alkalmazás be van zárva</v>
      </c>
      <c r="AK604" s="4" t="str">
        <f>IFERROR(__xludf.DUMMYFUNCTION("GOOGLETRANSLATE(B604,""en"",""hy"")"),"Ֆոնային տեղադրության հասանելիություն՝ ձեզ ծանուցելու համար, նույնիսկ երբ հավելվածը փակ է")</f>
        <v>Ֆոնային տեղադրության հասանելիություն՝ ձեզ ծանուցելու համար, նույնիսկ երբ հավելվածը փակ է</v>
      </c>
      <c r="AL604" s="4" t="str">
        <f>IFERROR(__xludf.DUMMYFUNCTION("GOOGLETRANSLATE(B604,""en"",""ca"")"),"Accés a la ubicació en segon pla per notificar-vos fins i tot quan l'aplicació està tancada")</f>
        <v>Accés a la ubicació en segon pla per notificar-vos fins i tot quan l'aplicació està tancada</v>
      </c>
      <c r="AM604" s="4" t="str">
        <f>IFERROR(__xludf.DUMMYFUNCTION("GOOGLETRANSLATE(B604,""en"",""nl"")"),"Toegang tot de achtergrondlocatie om u op de hoogte te stellen, zelfs wanneer de app gesloten is")</f>
        <v>Toegang tot de achtergrondlocatie om u op de hoogte te stellen, zelfs wanneer de app gesloten is</v>
      </c>
      <c r="AN604" s="4" t="str">
        <f>IFERROR(__xludf.DUMMYFUNCTION("GOOGLETRANSLATE(B604,""en"",""he"")"),"גישה למיקום ברקע כדי להודיע ​​לך גם כשהאפליקציה סגורה")</f>
        <v>גישה למיקום ברקע כדי להודיע ​​לך גם כשהאפליקציה סגורה</v>
      </c>
      <c r="AO604" s="4" t="str">
        <f>IFERROR(__xludf.DUMMYFUNCTION("GOOGLETRANSLATE(B604,""en"",""is"")"),"Aðgangur að staðsetningu í bakgrunni til að láta þig vita jafnvel þegar forritinu er lokað")</f>
        <v>Aðgangur að staðsetningu í bakgrunni til að láta þig vita jafnvel þegar forritinu er lokað</v>
      </c>
      <c r="AP604" s="4" t="str">
        <f>IFERROR(__xludf.DUMMYFUNCTION("GOOGLETRANSLATE(B604,""en"",""no"")"),"Bakgrunnsposisjonstilgang for å varsle deg selv når appen er stengt")</f>
        <v>Bakgrunnsposisjonstilgang for å varsle deg selv når appen er stengt</v>
      </c>
      <c r="AQ604" s="4" t="str">
        <f>IFERROR(__xludf.DUMMYFUNCTION("GOOGLETRANSLATE(B604,""en"",""fa"")"),"دسترسی به موقعیت مکانی پس‌زمینه برای اطلاع شما حتی زمانی که برنامه بسته است")</f>
        <v>دسترسی به موقعیت مکانی پس‌زمینه برای اطلاع شما حتی زمانی که برنامه بسته است</v>
      </c>
      <c r="AR604" s="4" t="str">
        <f>IFERROR(__xludf.DUMMYFUNCTION("GOOGLETRANSLATE(B604,""en"",""pl"")"),"Dostęp do lokalizacji w tle, aby otrzymywać powiadomienia nawet po zamknięciu aplikacji")</f>
        <v>Dostęp do lokalizacji w tle, aby otrzymywać powiadomienia nawet po zamknięciu aplikacji</v>
      </c>
      <c r="AS604" s="4" t="str">
        <f>IFERROR(__xludf.DUMMYFUNCTION("GOOGLETRANSLATE(B604,""en"",""sv"")"),"Bakgrundsplatsåtkomst för att meddela dig även när appen är stängd")</f>
        <v>Bakgrundsplatsåtkomst för att meddela dig även när appen är stängd</v>
      </c>
      <c r="AT604" s="4" t="str">
        <f>IFERROR(__xludf.DUMMYFUNCTION("GOOGLETRANSLATE(B604,""en"",""uk"")"),"Доступ до геоданих у фоновому режимі, щоб повідомляти вас, навіть коли додаток закрито")</f>
        <v>Доступ до геоданих у фоновому режимі, щоб повідомляти вас, навіть коли додаток закрито</v>
      </c>
      <c r="AU604" s="4" t="str">
        <f>IFERROR(__xludf.DUMMYFUNCTION("GOOGLETRANSLATE(B604,""en"",""zu"")"),"Ukufinyelela kwendawo engemuva ukuze sikwazise nanoma uhlelo lokusebenza luvaliwe")</f>
        <v>Ukufinyelela kwendawo engemuva ukuze sikwazise nanoma uhlelo lokusebenza luvaliwe</v>
      </c>
      <c r="AV604" s="4" t="str">
        <f>IFERROR(__xludf.DUMMYFUNCTION("GOOGLETRANSLATE(B604,""en"",""sr"")"),"Приступ локацији у позадини да вас обавести чак и када је апликација затворена")</f>
        <v>Приступ локацији у позадини да вас обавести чак и када је апликација затворена</v>
      </c>
    </row>
    <row r="605">
      <c r="A605" s="3" t="s">
        <v>1158</v>
      </c>
      <c r="B605" s="3" t="s">
        <v>1159</v>
      </c>
      <c r="C605" s="4" t="str">
        <f>IFERROR(__xludf.DUMMYFUNCTION("GOOGLETRANSLATE(B605,""en"",""ta"")"),"தொடர்ச்சியான கண்காணிப்புக்கு ""எல்லா நேரமும்"" அனுமதியை இயக்கவும்")</f>
        <v>தொடர்ச்சியான கண்காணிப்புக்கு "எல்லா நேரமும்" அனுமதியை இயக்கவும்</v>
      </c>
      <c r="D605" s="4" t="str">
        <f>IFERROR(__xludf.DUMMYFUNCTION("GOOGLETRANSLATE(B605,""en"",""hi"")"),"निरंतर ट्रैकिंग के लिए ""हर समय"" अनुमति सक्षम करें")</f>
        <v>निरंतर ट्रैकिंग के लिए "हर समय" अनुमति सक्षम करें</v>
      </c>
      <c r="E605" s="4" t="str">
        <f>IFERROR(__xludf.DUMMYFUNCTION("GOOGLETRANSLATE(B605,""en"",""id"")"),"Aktifkan izin ""Sepanjang waktu"" untuk pelacakan berkelanjutan")</f>
        <v>Aktifkan izin "Sepanjang waktu" untuk pelacakan berkelanjutan</v>
      </c>
      <c r="F605" s="4" t="str">
        <f>IFERROR(__xludf.DUMMYFUNCTION("GOOGLETRANSLATE(B605,""en"",""ms"")"),"Dayakan kebenaran ""Sepanjang masa"" untuk penjejakan berterusan")</f>
        <v>Dayakan kebenaran "Sepanjang masa" untuk penjejakan berterusan</v>
      </c>
      <c r="G605" s="4" t="str">
        <f>IFERROR(__xludf.DUMMYFUNCTION("GOOGLETRANSLATE(B605,""en"",""de"")"),"Aktivieren Sie die Berechtigung „Immer“ für kontinuierliches Tracking")</f>
        <v>Aktivieren Sie die Berechtigung „Immer“ für kontinuierliches Tracking</v>
      </c>
      <c r="H605" s="4" t="str">
        <f>IFERROR(__xludf.DUMMYFUNCTION("GOOGLETRANSLATE(B605,""en"",""es"")"),"Habilitar el permiso ""Todo el tiempo"" para el seguimiento continuo")</f>
        <v>Habilitar el permiso "Todo el tiempo" para el seguimiento continuo</v>
      </c>
      <c r="I605" s="4" t="str">
        <f>IFERROR(__xludf.DUMMYFUNCTION("GOOGLETRANSLATE(B605,""en"",""fr"")"),"Activer l'autorisation « Tout le temps » pour un suivi continu")</f>
        <v>Activer l'autorisation « Tout le temps » pour un suivi continu</v>
      </c>
      <c r="J605" s="4" t="str">
        <f>IFERROR(__xludf.DUMMYFUNCTION("GOOGLETRANSLATE(B605,""en"",""it"")"),"Abilita l'autorizzazione ""Sempre"" per il monitoraggio continuo")</f>
        <v>Abilita l'autorizzazione "Sempre" per il monitoraggio continuo</v>
      </c>
      <c r="K605" s="4" t="str">
        <f>IFERROR(__xludf.DUMMYFUNCTION("GOOGLETRANSLATE(B605,""en"",""pt"")"),"Habilitar a permissão ""O tempo todo"" para rastreamento contínuo")</f>
        <v>Habilitar a permissão "O tempo todo" para rastreamento contínuo</v>
      </c>
      <c r="L605" s="4" t="str">
        <f>IFERROR(__xludf.DUMMYFUNCTION("GOOGLETRANSLATE(B605,""en"",""ro"")"),"Activați permisiunea „Tot timpul” pentru urmărirea continuă")</f>
        <v>Activați permisiunea „Tot timpul” pentru urmărirea continuă</v>
      </c>
      <c r="M605" s="4" t="str">
        <f>IFERROR(__xludf.DUMMYFUNCTION("GOOGLETRANSLATE(B605,""en"",""vi"")"),"Bật quyền ""Mọi lúc"" để theo dõi liên tục")</f>
        <v>Bật quyền "Mọi lúc" để theo dõi liên tục</v>
      </c>
      <c r="N605" s="4" t="str">
        <f>IFERROR(__xludf.DUMMYFUNCTION("GOOGLETRANSLATE(B605,""en"",""ru"")"),"Включите разрешение «Все время» для непрерывного отслеживания")</f>
        <v>Включите разрешение «Все время» для непрерывного отслеживания</v>
      </c>
      <c r="O605" s="4" t="str">
        <f>IFERROR(__xludf.DUMMYFUNCTION("GOOGLETRANSLATE(B605,""en"",""tr"")"),"Sürekli izleme için ""Her zaman"" iznini etkinleştirin")</f>
        <v>Sürekli izleme için "Her zaman" iznini etkinleştirin</v>
      </c>
      <c r="P605" s="4" t="str">
        <f>IFERROR(__xludf.DUMMYFUNCTION("GOOGLETRANSLATE(B605,""en"",""ar"")"),"تمكين إذن ""طوال الوقت"" للتتبع المستمر")</f>
        <v>تمكين إذن "طوال الوقت" للتتبع المستمر</v>
      </c>
      <c r="Q605" s="4" t="str">
        <f>IFERROR(__xludf.DUMMYFUNCTION("GOOGLETRANSLATE(B605,""en"",""mr"")"),"सतत ट्रॅकिंगसाठी ""सर्व वेळ"" परवानगी सक्षम करा")</f>
        <v>सतत ट्रॅकिंगसाठी "सर्व वेळ" परवानगी सक्षम करा</v>
      </c>
      <c r="R605" s="4" t="str">
        <f>IFERROR(__xludf.DUMMYFUNCTION("GOOGLETRANSLATE(B605,""en"",""gu"")"),"સતત ટ્રેકિંગ માટે ""બધા સમય"" પરવાનગીને સક્ષમ કરો")</f>
        <v>સતત ટ્રેકિંગ માટે "બધા સમય" પરવાનગીને સક્ષમ કરો</v>
      </c>
      <c r="S605" s="4" t="str">
        <f>IFERROR(__xludf.DUMMYFUNCTION("GOOGLETRANSLATE(B605,""en"",""bn"")"),"ক্রমাগত ট্র্যাকিংয়ের জন্য ""সব সময়"" অনুমতি সক্ষম করুন")</f>
        <v>ক্রমাগত ট্র্যাকিংয়ের জন্য "সব সময়" অনুমতি সক্ষম করুন</v>
      </c>
      <c r="T605" s="4" t="str">
        <f>IFERROR(__xludf.DUMMYFUNCTION("GOOGLETRANSLATE(B605,""en"",""pa"")"),"ਲਗਾਤਾਰ ਟਰੈਕਿੰਗ ਲਈ ""ਹਰ ਸਮੇਂ"" ਅਨੁਮਤੀ ਨੂੰ ਸਮਰੱਥ ਬਣਾਓ")</f>
        <v>ਲਗਾਤਾਰ ਟਰੈਕਿੰਗ ਲਈ "ਹਰ ਸਮੇਂ" ਅਨੁਮਤੀ ਨੂੰ ਸਮਰੱਥ ਬਣਾਓ</v>
      </c>
      <c r="U605" s="4" t="str">
        <f>IFERROR(__xludf.DUMMYFUNCTION("GOOGLETRANSLATE(B605,""en"",""te"")"),"నిరంతర ట్రాకింగ్ కోసం ""ఆల్ టైమ్"" అనుమతిని ప్రారంభించండి")</f>
        <v>నిరంతర ట్రాకింగ్ కోసం "ఆల్ టైమ్" అనుమతిని ప్రారంభించండి</v>
      </c>
      <c r="V605" s="4" t="str">
        <f>IFERROR(__xludf.DUMMYFUNCTION("GOOGLETRANSLATE(B605,""en"",""kn"")"),"ನಿರಂತರ ಟ್ರ್ಯಾಕಿಂಗ್‌ಗಾಗಿ ""ಸಾರ್ವಕಾಲಿಕ"" ಅನುಮತಿಯನ್ನು ಸಕ್ರಿಯಗೊಳಿಸಿ")</f>
        <v>ನಿರಂತರ ಟ್ರ್ಯಾಕಿಂಗ್‌ಗಾಗಿ "ಸಾರ್ವಕಾಲಿಕ" ಅನುಮತಿಯನ್ನು ಸಕ್ರಿಯಗೊಳಿಸಿ</v>
      </c>
      <c r="W605" s="4" t="str">
        <f>IFERROR(__xludf.DUMMYFUNCTION("GOOGLETRANSLATE(B605,""en"",""ml"")"),"തുടർച്ചയായ ട്രാക്കിംഗിനായി ""എല്ലാ സമയത്തും"" അനുമതി പ്രവർത്തനക്ഷമമാക്കുക")</f>
        <v>തുടർച്ചയായ ട്രാക്കിംഗിനായി "എല്ലാ സമയത്തും" അനുമതി പ്രവർത്തനക്ഷമമാക്കുക</v>
      </c>
      <c r="X605" s="4" t="str">
        <f>IFERROR(__xludf.DUMMYFUNCTION("GOOGLETRANSLATE(B605,""en"",""th"")"),"เปิดใช้งานการอนุญาต ""ตลอดเวลา"" เพื่อการติดตามอย่างต่อเนื่อง")</f>
        <v>เปิดใช้งานการอนุญาต "ตลอดเวลา" เพื่อการติดตามอย่างต่อเนื่อง</v>
      </c>
      <c r="Y605" s="4" t="str">
        <f>IFERROR(__xludf.DUMMYFUNCTION("GOOGLETRANSLATE(B605,""en"",""ko"")"),"지속적인 추적을 위해 ""항상"" 권한을 활성화하세요.")</f>
        <v>지속적인 추적을 위해 "항상" 권한을 활성화하세요.</v>
      </c>
      <c r="Z605" s="4" t="str">
        <f>IFERROR(__xludf.DUMMYFUNCTION("GOOGLETRANSLATE(B605,""en"",""zh"")"),"启用“所有时间”权限以进行持续跟踪")</f>
        <v>启用“所有时间”权限以进行持续跟踪</v>
      </c>
      <c r="AA605" s="4" t="str">
        <f>IFERROR(__xludf.DUMMYFUNCTION("GOOGLETRANSLATE(B605,""en"",""zh-TW"")"),"啟用“所有時間”權限以進行持續跟踪")</f>
        <v>啟用“所有時間”權限以進行持續跟踪</v>
      </c>
      <c r="AB605" s="4" t="str">
        <f>IFERROR(__xludf.DUMMYFUNCTION("GOOGLETRANSLATE(B605,""en"",""ja"")"),"継続的な追跡のために「常時」権限を有効にする")</f>
        <v>継続的な追跡のために「常時」権限を有効にする</v>
      </c>
      <c r="AC605" s="4" t="str">
        <f>IFERROR(__xludf.DUMMYFUNCTION("GOOGLETRANSLATE(B605,""en"",""bg"")"),"Активирайте разрешението „През цялото време“ за непрекъснато проследяване")</f>
        <v>Активирайте разрешението „През цялото време“ за непрекъснато проследяване</v>
      </c>
      <c r="AD605" s="4" t="str">
        <f>IFERROR(__xludf.DUMMYFUNCTION("GOOGLETRANSLATE(B605,""en"",""cs"")"),"Povolte oprávnění „Po celou dobu“ pro nepřetržité sledování")</f>
        <v>Povolte oprávnění „Po celou dobu“ pro nepřetržité sledování</v>
      </c>
      <c r="AE605" s="4" t="str">
        <f>IFERROR(__xludf.DUMMYFUNCTION("GOOGLETRANSLATE(B605,""en"",""da"")"),"Aktiver tilladelsen ""Hele tiden"" for kontinuerlig sporing")</f>
        <v>Aktiver tilladelsen "Hele tiden" for kontinuerlig sporing</v>
      </c>
      <c r="AF605" s="4" t="str">
        <f>IFERROR(__xludf.DUMMYFUNCTION("GOOGLETRANSLATE(B605,""en"",""el"")"),"Ενεργοποιήστε την άδεια ""All the time"" για συνεχή παρακολούθηση")</f>
        <v>Ενεργοποιήστε την άδεια "All the time" για συνεχή παρακολούθηση</v>
      </c>
      <c r="AG605" s="4" t="str">
        <f>IFERROR(__xludf.DUMMYFUNCTION("GOOGLETRANSLATE(B605,""en"",""et"")"),"Lubage pidevaks jälgimiseks luba „Kogu aeg”.")</f>
        <v>Lubage pidevaks jälgimiseks luba „Kogu aeg”.</v>
      </c>
      <c r="AH605" s="4" t="str">
        <f>IFERROR(__xludf.DUMMYFUNCTION("GOOGLETRANSLATE(B605,""en"",""fi"")"),"Ota ""All the time"" -käyttöoikeus käyttöön jatkuvaa seurantaa varten")</f>
        <v>Ota "All the time" -käyttöoikeus käyttöön jatkuvaa seurantaa varten</v>
      </c>
      <c r="AI605" s="4" t="str">
        <f>IFERROR(__xludf.DUMMYFUNCTION("GOOGLETRANSLATE(B605,""en"",""hr"")"),"Omogućite dozvolu ""Sve vrijeme"" za kontinuirano praćenje")</f>
        <v>Omogućite dozvolu "Sve vrijeme" za kontinuirano praćenje</v>
      </c>
      <c r="AJ605" s="4" t="str">
        <f>IFERROR(__xludf.DUMMYFUNCTION("GOOGLETRANSLATE(B605,""en"",""hu"")"),"Engedélyezze a „Mindig” engedélyt a folyamatos nyomon követéshez")</f>
        <v>Engedélyezze a „Mindig” engedélyt a folyamatos nyomon követéshez</v>
      </c>
      <c r="AK605" s="4" t="str">
        <f>IFERROR(__xludf.DUMMYFUNCTION("GOOGLETRANSLATE(B605,""en"",""hy"")"),"Միացնել «Ամեն ժամանակ» թույլտվությունը շարունակական հետևելու համար")</f>
        <v>Միացնել «Ամեն ժամանակ» թույլտվությունը շարունակական հետևելու համար</v>
      </c>
      <c r="AL605" s="4" t="str">
        <f>IFERROR(__xludf.DUMMYFUNCTION("GOOGLETRANSLATE(B605,""en"",""ca"")"),"Activeu el permís ""Tot el temps"" per al seguiment continu")</f>
        <v>Activeu el permís "Tot el temps" per al seguiment continu</v>
      </c>
      <c r="AM605" s="4" t="str">
        <f>IFERROR(__xludf.DUMMYFUNCTION("GOOGLETRANSLATE(B605,""en"",""nl"")"),"Schakel de machtiging 'Altijd' in voor continue tracking")</f>
        <v>Schakel de machtiging 'Altijd' in voor continue tracking</v>
      </c>
      <c r="AN605" s="4" t="str">
        <f>IFERROR(__xludf.DUMMYFUNCTION("GOOGLETRANSLATE(B605,""en"",""he"")"),"אפשר הרשאת ""כל הזמן"" למעקב רציף")</f>
        <v>אפשר הרשאת "כל הזמן" למעקב רציף</v>
      </c>
      <c r="AO605" s="4" t="str">
        <f>IFERROR(__xludf.DUMMYFUNCTION("GOOGLETRANSLATE(B605,""en"",""is"")"),"Virkjaðu „Allan tímann“ leyfi fyrir stöðuga rakningu")</f>
        <v>Virkjaðu „Allan tímann“ leyfi fyrir stöðuga rakningu</v>
      </c>
      <c r="AP605" s="4" t="str">
        <f>IFERROR(__xludf.DUMMYFUNCTION("GOOGLETRANSLATE(B605,""en"",""no"")"),"Aktiver «Hele tiden»-tillatelse for kontinuerlig sporing")</f>
        <v>Aktiver «Hele tiden»-tillatelse for kontinuerlig sporing</v>
      </c>
      <c r="AQ605" s="4" t="str">
        <f>IFERROR(__xludf.DUMMYFUNCTION("GOOGLETRANSLATE(B605,""en"",""fa"")"),"مجوز ""همیشه"" را برای ردیابی مداوم فعال کنید")</f>
        <v>مجوز "همیشه" را برای ردیابی مداوم فعال کنید</v>
      </c>
      <c r="AR605" s="4" t="str">
        <f>IFERROR(__xludf.DUMMYFUNCTION("GOOGLETRANSLATE(B605,""en"",""pl"")"),"Włącz uprawnienie „Cały czas” w celu ciągłego śledzenia")</f>
        <v>Włącz uprawnienie „Cały czas” w celu ciągłego śledzenia</v>
      </c>
      <c r="AS605" s="4" t="str">
        <f>IFERROR(__xludf.DUMMYFUNCTION("GOOGLETRANSLATE(B605,""en"",""sv"")"),"Aktivera ""Hela tiden""-behörighet för kontinuerlig spårning")</f>
        <v>Aktivera "Hela tiden"-behörighet för kontinuerlig spårning</v>
      </c>
      <c r="AT605" s="4" t="str">
        <f>IFERROR(__xludf.DUMMYFUNCTION("GOOGLETRANSLATE(B605,""en"",""uk"")"),"Увімкніть дозвіл «Весь час» для постійного відстеження")</f>
        <v>Увімкніть дозвіл «Весь час» для постійного відстеження</v>
      </c>
      <c r="AU605" s="4" t="str">
        <f>IFERROR(__xludf.DUMMYFUNCTION("GOOGLETRANSLATE(B605,""en"",""zu"")"),"Nika amandla imvume ""Ngaso sonke isikhathi"" yokulandelela okuqhubekayo")</f>
        <v>Nika amandla imvume "Ngaso sonke isikhathi" yokulandelela okuqhubekayo</v>
      </c>
      <c r="AV605" s="4" t="str">
        <f>IFERROR(__xludf.DUMMYFUNCTION("GOOGLETRANSLATE(B605,""en"",""sr"")"),"Омогућите дозволу „Све време“ за непрекидно праћење")</f>
        <v>Омогућите дозволу „Све време“ за непрекидно праћење</v>
      </c>
    </row>
    <row r="606">
      <c r="A606" s="3" t="s">
        <v>1160</v>
      </c>
      <c r="B606" s="3" t="s">
        <v>1161</v>
      </c>
      <c r="C606" s="4" t="str">
        <f>IFERROR(__xludf.DUMMYFUNCTION("GOOGLETRANSLATE(B606,""en"",""ta"")"),"அனுமதிகளை வழங்கிய பிறகு, நீங்கள் உங்கள் இலக்கை அமைக்கலாம் மற்றும் நீங்கள் அதை அடைந்ததும் அறிவிப்பைப் பெறலாம்.")</f>
        <v>அனுமதிகளை வழங்கிய பிறகு, நீங்கள் உங்கள் இலக்கை அமைக்கலாம் மற்றும் நீங்கள் அதை அடைந்ததும் அறிவிப்பைப் பெறலாம்.</v>
      </c>
      <c r="D606" s="4" t="str">
        <f>IFERROR(__xludf.DUMMYFUNCTION("GOOGLETRANSLATE(B606,""en"",""hi"")"),"अनुमति देने के बाद, आप अपना गंतव्य निर्धारित कर सकते हैं और वहां पहुंचने पर सूचना प्राप्त कर सकते हैं।")</f>
        <v>अनुमति देने के बाद, आप अपना गंतव्य निर्धारित कर सकते हैं और वहां पहुंचने पर सूचना प्राप्त कर सकते हैं।</v>
      </c>
      <c r="E606" s="4" t="str">
        <f>IFERROR(__xludf.DUMMYFUNCTION("GOOGLETRANSLATE(B606,""en"",""id"")"),"Setelah memberikan izin, Anda dapat mengatur tujuan dan mendapatkan pemberitahuan saat Anda telah mencapainya.")</f>
        <v>Setelah memberikan izin, Anda dapat mengatur tujuan dan mendapatkan pemberitahuan saat Anda telah mencapainya.</v>
      </c>
      <c r="F606" s="4" t="str">
        <f>IFERROR(__xludf.DUMMYFUNCTION("GOOGLETRANSLATE(B606,""en"",""ms"")"),"Selepas memberikan kebenaran, anda boleh menetapkan destinasi anda dan mendapat pemberitahuan apabila anda sampai ke destinasi tersebut.")</f>
        <v>Selepas memberikan kebenaran, anda boleh menetapkan destinasi anda dan mendapat pemberitahuan apabila anda sampai ke destinasi tersebut.</v>
      </c>
      <c r="G606" s="4" t="str">
        <f>IFERROR(__xludf.DUMMYFUNCTION("GOOGLETRANSLATE(B606,""en"",""de"")"),"Nachdem Sie die Berechtigungen erteilt haben, können Sie Ihr Ziel festlegen und werden benachrichtigt, wenn Sie es erreichen.")</f>
        <v>Nachdem Sie die Berechtigungen erteilt haben, können Sie Ihr Ziel festlegen und werden benachrichtigt, wenn Sie es erreichen.</v>
      </c>
      <c r="H606" s="4" t="str">
        <f>IFERROR(__xludf.DUMMYFUNCTION("GOOGLETRANSLATE(B606,""en"",""es"")"),"Después de otorgar los permisos, puedes establecer tu destino y recibir una notificación cuando lo alcances.")</f>
        <v>Después de otorgar los permisos, puedes establecer tu destino y recibir una notificación cuando lo alcances.</v>
      </c>
      <c r="I606" s="4" t="str">
        <f>IFERROR(__xludf.DUMMYFUNCTION("GOOGLETRANSLATE(B606,""en"",""fr"")"),"Après avoir accordé les autorisations, vous pouvez définir votre destination et être averti lorsque vous l'atteignez.")</f>
        <v>Après avoir accordé les autorisations, vous pouvez définir votre destination et être averti lorsque vous l'atteignez.</v>
      </c>
      <c r="J606" s="4" t="str">
        <f>IFERROR(__xludf.DUMMYFUNCTION("GOOGLETRANSLATE(B606,""en"",""it"")"),"Dopo aver concesso le autorizzazioni, puoi impostare la tua destinazione e ricevere una notifica quando la raggiungi.")</f>
        <v>Dopo aver concesso le autorizzazioni, puoi impostare la tua destinazione e ricevere una notifica quando la raggiungi.</v>
      </c>
      <c r="K606" s="4" t="str">
        <f>IFERROR(__xludf.DUMMYFUNCTION("GOOGLETRANSLATE(B606,""en"",""pt"")"),"Depois de conceder permissões, você pode definir seu destino e ser notificado quando alcançá-lo.")</f>
        <v>Depois de conceder permissões, você pode definir seu destino e ser notificado quando alcançá-lo.</v>
      </c>
      <c r="L606" s="4" t="str">
        <f>IFERROR(__xludf.DUMMYFUNCTION("GOOGLETRANSLATE(B606,""en"",""ro"")"),"După acordarea permisiunilor, vă puteți seta destinația și puteți primi notificări când ajungeți la ea.")</f>
        <v>După acordarea permisiunilor, vă puteți seta destinația și puteți primi notificări când ajungeți la ea.</v>
      </c>
      <c r="M606" s="4" t="str">
        <f>IFERROR(__xludf.DUMMYFUNCTION("GOOGLETRANSLATE(B606,""en"",""vi"")"),"Sau khi cấp quyền, bạn có thể đặt đích đến và nhận thông báo khi đến nơi.")</f>
        <v>Sau khi cấp quyền, bạn có thể đặt đích đến và nhận thông báo khi đến nơi.</v>
      </c>
      <c r="N606" s="4" t="str">
        <f>IFERROR(__xludf.DUMMYFUNCTION("GOOGLETRANSLATE(B606,""en"",""ru"")"),"После предоставления разрешений вы можете указать пункт назначения и получить уведомление по его достижению.")</f>
        <v>После предоставления разрешений вы можете указать пункт назначения и получить уведомление по его достижению.</v>
      </c>
      <c r="O606" s="4" t="str">
        <f>IFERROR(__xludf.DUMMYFUNCTION("GOOGLETRANSLATE(B606,""en"",""tr"")"),"İzinleri verdikten sonra varış noktanızı belirleyebilir ve varış noktanıza ulaştığınızda bildirim alabilirsiniz.")</f>
        <v>İzinleri verdikten sonra varış noktanızı belirleyebilir ve varış noktanıza ulaştığınızda bildirim alabilirsiniz.</v>
      </c>
      <c r="P606" s="4" t="str">
        <f>IFERROR(__xludf.DUMMYFUNCTION("GOOGLETRANSLATE(B606,""en"",""ar"")"),"بعد منح الأذونات، يمكنك تحديد وجهتك والحصول على إشعار عند الوصول إليها.")</f>
        <v>بعد منح الأذونات، يمكنك تحديد وجهتك والحصول على إشعار عند الوصول إليها.</v>
      </c>
      <c r="Q606" s="4" t="str">
        <f>IFERROR(__xludf.DUMMYFUNCTION("GOOGLETRANSLATE(B606,""en"",""mr"")"),"परवानग्या दिल्यानंतर, तुम्ही तुमचे गंतव्यस्थान सेट करू शकता आणि जेव्हा तुम्ही पोहोचाल तेव्हा सूचना मिळवू शकता.")</f>
        <v>परवानग्या दिल्यानंतर, तुम्ही तुमचे गंतव्यस्थान सेट करू शकता आणि जेव्हा तुम्ही पोहोचाल तेव्हा सूचना मिळवू शकता.</v>
      </c>
      <c r="R606" s="4" t="str">
        <f>IFERROR(__xludf.DUMMYFUNCTION("GOOGLETRANSLATE(B606,""en"",""gu"")"),"પરવાનગીઓ આપ્યા પછી, તમે તમારું ગંતવ્ય સેટ કરી શકો છો અને જ્યારે તમે તેના પર પહોંચો ત્યારે સૂચના મેળવી શકો છો.")</f>
        <v>પરવાનગીઓ આપ્યા પછી, તમે તમારું ગંતવ્ય સેટ કરી શકો છો અને જ્યારે તમે તેના પર પહોંચો ત્યારે સૂચના મેળવી શકો છો.</v>
      </c>
      <c r="S606" s="4" t="str">
        <f>IFERROR(__xludf.DUMMYFUNCTION("GOOGLETRANSLATE(B606,""en"",""bn"")"),"অনুমতি দেওয়ার পরে, আপনি আপনার গন্তব্য সেট করতে পারেন এবং যখন আপনি সেখানে পৌঁছাবেন তখন বিজ্ঞপ্তি পেতে পারেন।")</f>
        <v>অনুমতি দেওয়ার পরে, আপনি আপনার গন্তব্য সেট করতে পারেন এবং যখন আপনি সেখানে পৌঁছাবেন তখন বিজ্ঞপ্তি পেতে পারেন।</v>
      </c>
      <c r="T606" s="4" t="str">
        <f>IFERROR(__xludf.DUMMYFUNCTION("GOOGLETRANSLATE(B606,""en"",""pa"")"),"ਇਜਾਜ਼ਤਾਂ ਦੇਣ ਤੋਂ ਬਾਅਦ, ਤੁਸੀਂ ਆਪਣੀ ਮੰਜ਼ਿਲ ਸੈੱਟ ਕਰ ਸਕਦੇ ਹੋ ਅਤੇ ਜਦੋਂ ਤੁਸੀਂ ਇਸ 'ਤੇ ਪਹੁੰਚਦੇ ਹੋ ਤਾਂ ਸੂਚਨਾ ਪ੍ਰਾਪਤ ਕਰ ਸਕਦੇ ਹੋ।")</f>
        <v>ਇਜਾਜ਼ਤਾਂ ਦੇਣ ਤੋਂ ਬਾਅਦ, ਤੁਸੀਂ ਆਪਣੀ ਮੰਜ਼ਿਲ ਸੈੱਟ ਕਰ ਸਕਦੇ ਹੋ ਅਤੇ ਜਦੋਂ ਤੁਸੀਂ ਇਸ 'ਤੇ ਪਹੁੰਚਦੇ ਹੋ ਤਾਂ ਸੂਚਨਾ ਪ੍ਰਾਪਤ ਕਰ ਸਕਦੇ ਹੋ।</v>
      </c>
      <c r="U606" s="4" t="str">
        <f>IFERROR(__xludf.DUMMYFUNCTION("GOOGLETRANSLATE(B606,""en"",""te"")"),"అనుమతులను మంజూరు చేసిన తర్వాత, మీరు మీ గమ్యాన్ని సెట్ చేసుకోవచ్చు మరియు మీరు దానిని చేరుకున్నప్పుడు తెలియజేయవచ్చు.")</f>
        <v>అనుమతులను మంజూరు చేసిన తర్వాత, మీరు మీ గమ్యాన్ని సెట్ చేసుకోవచ్చు మరియు మీరు దానిని చేరుకున్నప్పుడు తెలియజేయవచ్చు.</v>
      </c>
      <c r="V606" s="4" t="str">
        <f>IFERROR(__xludf.DUMMYFUNCTION("GOOGLETRANSLATE(B606,""en"",""kn"")"),"ಅನುಮತಿಗಳನ್ನು ನೀಡಿದ ನಂತರ, ನಿಮ್ಮ ಗಮ್ಯಸ್ಥಾನವನ್ನು ನೀವು ಹೊಂದಿಸಬಹುದು ಮತ್ತು ನೀವು ಅದನ್ನು ತಲುಪಿದಾಗ ಸೂಚನೆ ಪಡೆಯಬಹುದು.")</f>
        <v>ಅನುಮತಿಗಳನ್ನು ನೀಡಿದ ನಂತರ, ನಿಮ್ಮ ಗಮ್ಯಸ್ಥಾನವನ್ನು ನೀವು ಹೊಂದಿಸಬಹುದು ಮತ್ತು ನೀವು ಅದನ್ನು ತಲುಪಿದಾಗ ಸೂಚನೆ ಪಡೆಯಬಹುದು.</v>
      </c>
      <c r="W606" s="4" t="str">
        <f>IFERROR(__xludf.DUMMYFUNCTION("GOOGLETRANSLATE(B606,""en"",""ml"")"),"അനുമതികൾ നൽകിയ ശേഷം, നിങ്ങളുടെ ലക്ഷ്യസ്ഥാനം സജ്ജീകരിക്കാനും നിങ്ങൾ അവിടെ എത്തുമ്പോൾ അറിയിപ്പ് നേടാനും കഴിയും.")</f>
        <v>അനുമതികൾ നൽകിയ ശേഷം, നിങ്ങളുടെ ലക്ഷ്യസ്ഥാനം സജ്ജീകരിക്കാനും നിങ്ങൾ അവിടെ എത്തുമ്പോൾ അറിയിപ്പ് നേടാനും കഴിയും.</v>
      </c>
      <c r="X606" s="4" t="str">
        <f>IFERROR(__xludf.DUMMYFUNCTION("GOOGLETRANSLATE(B606,""en"",""th"")"),"หลังจากให้สิทธิ์แล้ว คุณสามารถกำหนดจุดหมายปลายทางและรับการแจ้งเตือนเมื่อถึงจุดหมายนั้น")</f>
        <v>หลังจากให้สิทธิ์แล้ว คุณสามารถกำหนดจุดหมายปลายทางและรับการแจ้งเตือนเมื่อถึงจุดหมายนั้น</v>
      </c>
      <c r="Y606" s="4" t="str">
        <f>IFERROR(__xludf.DUMMYFUNCTION("GOOGLETRANSLATE(B606,""en"",""ko"")"),"권한을 부여한 후 목적지를 설정하고 해당 목적지에 도착하면 알림을 받을 수 있습니다.")</f>
        <v>권한을 부여한 후 목적지를 설정하고 해당 목적지에 도착하면 알림을 받을 수 있습니다.</v>
      </c>
      <c r="Z606" s="4" t="str">
        <f>IFERROR(__xludf.DUMMYFUNCTION("GOOGLETRANSLATE(B606,""en"",""zh"")"),"授予权限后，您可以设置目的地并在到达目的地时收到通知。")</f>
        <v>授予权限后，您可以设置目的地并在到达目的地时收到通知。</v>
      </c>
      <c r="AA606" s="4" t="str">
        <f>IFERROR(__xludf.DUMMYFUNCTION("GOOGLETRANSLATE(B606,""en"",""zh-TW"")"),"授予權限後，您可以設定目的地並在到達目的地時收到通知。")</f>
        <v>授予權限後，您可以設定目的地並在到達目的地時收到通知。</v>
      </c>
      <c r="AB606" s="4" t="str">
        <f>IFERROR(__xludf.DUMMYFUNCTION("GOOGLETRANSLATE(B606,""en"",""ja"")"),"権限を付与すると、目的地を設定し、そこに到達したときに通知を受け取ることができます。")</f>
        <v>権限を付与すると、目的地を設定し、そこに到達したときに通知を受け取ることができます。</v>
      </c>
      <c r="AC606" s="4" t="str">
        <f>IFERROR(__xludf.DUMMYFUNCTION("GOOGLETRANSLATE(B606,""en"",""bg"")"),"След като предоставите разрешения, можете да зададете дестинацията си и да получите известие, когато я достигнете.")</f>
        <v>След като предоставите разрешения, можете да зададете дестинацията си и да получите известие, когато я достигнете.</v>
      </c>
      <c r="AD606" s="4" t="str">
        <f>IFERROR(__xludf.DUMMYFUNCTION("GOOGLETRANSLATE(B606,""en"",""cs"")"),"Po udělení oprávnění můžete nastavit cíl a dostat upozornění, když ho dosáhnete.")</f>
        <v>Po udělení oprávnění můžete nastavit cíl a dostat upozornění, když ho dosáhnete.</v>
      </c>
      <c r="AE606" s="4" t="str">
        <f>IFERROR(__xludf.DUMMYFUNCTION("GOOGLETRANSLATE(B606,""en"",""da"")"),"Når du har givet tilladelser, kan du indstille din destination og få besked, når du når den.")</f>
        <v>Når du har givet tilladelser, kan du indstille din destination og få besked, når du når den.</v>
      </c>
      <c r="AF606" s="4" t="str">
        <f>IFERROR(__xludf.DUMMYFUNCTION("GOOGLETRANSLATE(B606,""en"",""el"")"),"Αφού παραχωρήσετε δικαιώματα, μπορείτε να ορίσετε τον προορισμό σας και να ειδοποιηθείτε όταν τον φτάσετε.")</f>
        <v>Αφού παραχωρήσετε δικαιώματα, μπορείτε να ορίσετε τον προορισμό σας και να ειδοποιηθείτε όταν τον φτάσετε.</v>
      </c>
      <c r="AG606" s="4" t="str">
        <f>IFERROR(__xludf.DUMMYFUNCTION("GOOGLETRANSLATE(B606,""en"",""et"")"),"Pärast lubade andmist saate määrata oma sihtkoha ja saada märguande selleni jõudmisel.")</f>
        <v>Pärast lubade andmist saate määrata oma sihtkoha ja saada märguande selleni jõudmisel.</v>
      </c>
      <c r="AH606" s="4" t="str">
        <f>IFERROR(__xludf.DUMMYFUNCTION("GOOGLETRANSLATE(B606,""en"",""fi"")"),"Lupien myöntämisen jälkeen voit määrittää määränpääsi ja saada ilmoituksen, kun saavutat sen.")</f>
        <v>Lupien myöntämisen jälkeen voit määrittää määränpääsi ja saada ilmoituksen, kun saavutat sen.</v>
      </c>
      <c r="AI606" s="4" t="str">
        <f>IFERROR(__xludf.DUMMYFUNCTION("GOOGLETRANSLATE(B606,""en"",""hr"")"),"Nakon davanja dopuštenja, možete postaviti svoje odredište i dobiti obavijest kada stignete do njega.")</f>
        <v>Nakon davanja dopuštenja, možete postaviti svoje odredište i dobiti obavijest kada stignete do njega.</v>
      </c>
      <c r="AJ606" s="4" t="str">
        <f>IFERROR(__xludf.DUMMYFUNCTION("GOOGLETRANSLATE(B606,""en"",""hu"")"),"Az engedélyek megadása után beállíthatja az úti célt, és értesítést kaphat, amikor eléri azt.")</f>
        <v>Az engedélyek megadása után beállíthatja az úti célt, és értesítést kaphat, amikor eléri azt.</v>
      </c>
      <c r="AK606" s="4" t="str">
        <f>IFERROR(__xludf.DUMMYFUNCTION("GOOGLETRANSLATE(B606,""en"",""hy"")"),"Թույլտվություններ տալուց հետո դուք կարող եք սահմանել ձեր նպատակակետը և ծանուցվել, երբ հասնեք դրան:")</f>
        <v>Թույլտվություններ տալուց հետո դուք կարող եք սահմանել ձեր նպատակակետը և ծանուցվել, երբ հասնեք դրան:</v>
      </c>
      <c r="AL606" s="4" t="str">
        <f>IFERROR(__xludf.DUMMYFUNCTION("GOOGLETRANSLATE(B606,""en"",""ca"")"),"Després de concedir els permisos, podeu establir la vostra destinació i rebre una notificació quan hi arribeu.")</f>
        <v>Després de concedir els permisos, podeu establir la vostra destinació i rebre una notificació quan hi arribeu.</v>
      </c>
      <c r="AM606" s="4" t="str">
        <f>IFERROR(__xludf.DUMMYFUNCTION("GOOGLETRANSLATE(B606,""en"",""nl"")"),"Nadat u toestemming hebt verleend, kunt u uw bestemming instellen en een melding ontvangen wanneer u deze bereikt.")</f>
        <v>Nadat u toestemming hebt verleend, kunt u uw bestemming instellen en een melding ontvangen wanneer u deze bereikt.</v>
      </c>
      <c r="AN606" s="4" t="str">
        <f>IFERROR(__xludf.DUMMYFUNCTION("GOOGLETRANSLATE(B606,""en"",""he"")"),"לאחר מתן הרשאות, תוכל להגדיר את היעד שלך ולקבל הודעה כאשר אתה מגיע אליו.")</f>
        <v>לאחר מתן הרשאות, תוכל להגדיר את היעד שלך ולקבל הודעה כאשר אתה מגיע אליו.</v>
      </c>
      <c r="AO606" s="4" t="str">
        <f>IFERROR(__xludf.DUMMYFUNCTION("GOOGLETRANSLATE(B606,""en"",""is"")"),"Eftir að þú hefur veitt leyfi geturðu stillt áfangastað og fengið tilkynningu þegar þú nærð honum.")</f>
        <v>Eftir að þú hefur veitt leyfi geturðu stillt áfangastað og fengið tilkynningu þegar þú nærð honum.</v>
      </c>
      <c r="AP606" s="4" t="str">
        <f>IFERROR(__xludf.DUMMYFUNCTION("GOOGLETRANSLATE(B606,""en"",""no"")"),"Etter å ha gitt tillatelser, kan du angi destinasjonen din og bli varslet når du når den.")</f>
        <v>Etter å ha gitt tillatelser, kan du angi destinasjonen din og bli varslet når du når den.</v>
      </c>
      <c r="AQ606" s="4" t="str">
        <f>IFERROR(__xludf.DUMMYFUNCTION("GOOGLETRANSLATE(B606,""en"",""fa"")"),"پس از اعطای مجوزها، می توانید مقصد خود را تنظیم کنید و هنگامی که به آن رسیدید از آن مطلع شوید.")</f>
        <v>پس از اعطای مجوزها، می توانید مقصد خود را تنظیم کنید و هنگامی که به آن رسیدید از آن مطلع شوید.</v>
      </c>
      <c r="AR606" s="4" t="str">
        <f>IFERROR(__xludf.DUMMYFUNCTION("GOOGLETRANSLATE(B606,""en"",""pl"")"),"Po udzieleniu uprawnień możesz ustawić cel podróży i otrzymać powiadomienie po dotarciu na miejsce.")</f>
        <v>Po udzieleniu uprawnień możesz ustawić cel podróży i otrzymać powiadomienie po dotarciu na miejsce.</v>
      </c>
      <c r="AS606" s="4" t="str">
        <f>IFERROR(__xludf.DUMMYFUNCTION("GOOGLETRANSLATE(B606,""en"",""sv"")"),"Efter att ha beviljat behörigheter kan du ställa in din destination och få ett meddelande när du når det.")</f>
        <v>Efter att ha beviljat behörigheter kan du ställa in din destination och få ett meddelande när du når det.</v>
      </c>
      <c r="AT606" s="4" t="str">
        <f>IFERROR(__xludf.DUMMYFUNCTION("GOOGLETRANSLATE(B606,""en"",""uk"")"),"Надавши дозвіл, ви можете встановити пункт призначення та отримувати сповіщення, коли досягнете його.")</f>
        <v>Надавши дозвіл, ви можете встановити пункт призначення та отримувати сповіщення, коли досягнете його.</v>
      </c>
      <c r="AU606" s="4" t="str">
        <f>IFERROR(__xludf.DUMMYFUNCTION("GOOGLETRANSLATE(B606,""en"",""zu"")"),"Ngemva kokunikeza izimvume, ungasetha indawo oya kuyo futhi waziswe lapho ufika kuyo.")</f>
        <v>Ngemva kokunikeza izimvume, ungasetha indawo oya kuyo futhi waziswe lapho ufika kuyo.</v>
      </c>
      <c r="AV606" s="4" t="str">
        <f>IFERROR(__xludf.DUMMYFUNCTION("GOOGLETRANSLATE(B606,""en"",""sr"")"),"Након давања дозвола, можете поставити своје одредиште и добити обавештење када га стигнете.")</f>
        <v>Након давања дозвола, можете поставити своје одредиште и добити обавештење када га стигнете.</v>
      </c>
    </row>
    <row r="607">
      <c r="A607" s="3" t="s">
        <v>1162</v>
      </c>
      <c r="B607" s="3" t="s">
        <v>1163</v>
      </c>
      <c r="C607" s="4" t="str">
        <f>IFERROR(__xludf.DUMMYFUNCTION("GOOGLETRANSLATE(B607,""en"",""ta"")"),"அனுமதிகளை வழங்கவும்")</f>
        <v>அனுமதிகளை வழங்கவும்</v>
      </c>
      <c r="D607" s="4" t="str">
        <f>IFERROR(__xludf.DUMMYFUNCTION("GOOGLETRANSLATE(B607,""en"",""hi"")"),"अनुमति प्रदान करें")</f>
        <v>अनुमति प्रदान करें</v>
      </c>
      <c r="E607" s="4" t="str">
        <f>IFERROR(__xludf.DUMMYFUNCTION("GOOGLETRANSLATE(B607,""en"",""id"")"),"MEMBERIKAN IZIN")</f>
        <v>MEMBERIKAN IZIN</v>
      </c>
      <c r="F607" s="4" t="str">
        <f>IFERROR(__xludf.DUMMYFUNCTION("GOOGLETRANSLATE(B607,""en"",""ms"")"),"BERI KEBENARAN")</f>
        <v>BERI KEBENARAN</v>
      </c>
      <c r="G607" s="4" t="str">
        <f>IFERROR(__xludf.DUMMYFUNCTION("GOOGLETRANSLATE(B607,""en"",""de"")"),"Berechtigungen erteilen")</f>
        <v>Berechtigungen erteilen</v>
      </c>
      <c r="H607" s="4" t="str">
        <f>IFERROR(__xludf.DUMMYFUNCTION("GOOGLETRANSLATE(B607,""en"",""es"")"),"CONCEDER PERMISOS")</f>
        <v>CONCEDER PERMISOS</v>
      </c>
      <c r="I607" s="4" t="str">
        <f>IFERROR(__xludf.DUMMYFUNCTION("GOOGLETRANSLATE(B607,""en"",""fr"")"),"ACCORDER DES AUTORISATIONS")</f>
        <v>ACCORDER DES AUTORISATIONS</v>
      </c>
      <c r="J607" s="4" t="str">
        <f>IFERROR(__xludf.DUMMYFUNCTION("GOOGLETRANSLATE(B607,""en"",""it"")"),"CONCEDERE PERMESSI")</f>
        <v>CONCEDERE PERMESSI</v>
      </c>
      <c r="K607" s="4" t="str">
        <f>IFERROR(__xludf.DUMMYFUNCTION("GOOGLETRANSLATE(B607,""en"",""pt"")"),"CONCEDER PERMISSÕES")</f>
        <v>CONCEDER PERMISSÕES</v>
      </c>
      <c r="L607" s="4" t="str">
        <f>IFERROR(__xludf.DUMMYFUNCTION("GOOGLETRANSLATE(B607,""en"",""ro"")"),"Acordați PERMISIUNI")</f>
        <v>Acordați PERMISIUNI</v>
      </c>
      <c r="M607" s="4" t="str">
        <f>IFERROR(__xludf.DUMMYFUNCTION("GOOGLETRANSLATE(B607,""en"",""vi"")"),"CẤP QUYỀN")</f>
        <v>CẤP QUYỀN</v>
      </c>
      <c r="N607" s="4" t="str">
        <f>IFERROR(__xludf.DUMMYFUNCTION("GOOGLETRANSLATE(B607,""en"",""ru"")"),"ПРЕДОСТАВЛЕНИЕ РАЗРЕШЕНИЙ")</f>
        <v>ПРЕДОСТАВЛЕНИЕ РАЗРЕШЕНИЙ</v>
      </c>
      <c r="O607" s="4" t="str">
        <f>IFERROR(__xludf.DUMMYFUNCTION("GOOGLETRANSLATE(B607,""en"",""tr"")"),"İZİN VERME")</f>
        <v>İZİN VERME</v>
      </c>
      <c r="P607" s="4" t="str">
        <f>IFERROR(__xludf.DUMMYFUNCTION("GOOGLETRANSLATE(B607,""en"",""ar"")"),"منح الأذونات")</f>
        <v>منح الأذونات</v>
      </c>
      <c r="Q607" s="4" t="str">
        <f>IFERROR(__xludf.DUMMYFUNCTION("GOOGLETRANSLATE(B607,""en"",""mr"")"),"परवानग्या द्या")</f>
        <v>परवानग्या द्या</v>
      </c>
      <c r="R607" s="4" t="str">
        <f>IFERROR(__xludf.DUMMYFUNCTION("GOOGLETRANSLATE(B607,""en"",""gu"")"),"પરવાનગીઓ આપો")</f>
        <v>પરવાનગીઓ આપો</v>
      </c>
      <c r="S607" s="4" t="str">
        <f>IFERROR(__xludf.DUMMYFUNCTION("GOOGLETRANSLATE(B607,""en"",""bn"")"),"অনুমতি দিন")</f>
        <v>অনুমতি দিন</v>
      </c>
      <c r="T607" s="4" t="str">
        <f>IFERROR(__xludf.DUMMYFUNCTION("GOOGLETRANSLATE(B607,""en"",""pa"")"),"ਅਨੁਮਤੀਆਂ ਦਿਓ")</f>
        <v>ਅਨੁਮਤੀਆਂ ਦਿਓ</v>
      </c>
      <c r="U607" s="4" t="str">
        <f>IFERROR(__xludf.DUMMYFUNCTION("GOOGLETRANSLATE(B607,""en"",""te"")"),"అనుమతులు మంజూరు చేయండి")</f>
        <v>అనుమతులు మంజూరు చేయండి</v>
      </c>
      <c r="V607" s="4" t="str">
        <f>IFERROR(__xludf.DUMMYFUNCTION("GOOGLETRANSLATE(B607,""en"",""kn"")"),"ಅನುಮತಿಗಳನ್ನು ನೀಡಿ")</f>
        <v>ಅನುಮತಿಗಳನ್ನು ನೀಡಿ</v>
      </c>
      <c r="W607" s="4" t="str">
        <f>IFERROR(__xludf.DUMMYFUNCTION("GOOGLETRANSLATE(B607,""en"",""ml"")"),"അനുമതികൾ നൽകുക")</f>
        <v>അനുമതികൾ നൽകുക</v>
      </c>
      <c r="X607" s="4" t="str">
        <f>IFERROR(__xludf.DUMMYFUNCTION("GOOGLETRANSLATE(B607,""en"",""th"")"),"การอนุญาติ")</f>
        <v>การอนุญาติ</v>
      </c>
      <c r="Y607" s="4" t="str">
        <f>IFERROR(__xludf.DUMMYFUNCTION("GOOGLETRANSLATE(B607,""en"",""ko"")"),"허가 허가")</f>
        <v>허가 허가</v>
      </c>
      <c r="Z607" s="4" t="str">
        <f>IFERROR(__xludf.DUMMYFUNCTION("GOOGLETRANSLATE(B607,""en"",""zh"")"),"授予权限")</f>
        <v>授予权限</v>
      </c>
      <c r="AA607" s="4" t="str">
        <f>IFERROR(__xludf.DUMMYFUNCTION("GOOGLETRANSLATE(B607,""en"",""zh-TW"")"),"授予權限")</f>
        <v>授予權限</v>
      </c>
      <c r="AB607" s="4" t="str">
        <f>IFERROR(__xludf.DUMMYFUNCTION("GOOGLETRANSLATE(B607,""en"",""ja"")"),"許可を与える")</f>
        <v>許可を与える</v>
      </c>
      <c r="AC607" s="4" t="str">
        <f>IFERROR(__xludf.DUMMYFUNCTION("GOOGLETRANSLATE(B607,""en"",""bg"")"),"ПРЕДОСТАВЯНЕ НА РАЗРЕШЕНИЯ")</f>
        <v>ПРЕДОСТАВЯНЕ НА РАЗРЕШЕНИЯ</v>
      </c>
      <c r="AD607" s="4" t="str">
        <f>IFERROR(__xludf.DUMMYFUNCTION("GOOGLETRANSLATE(B607,""en"",""cs"")"),"UDĚLEJTE OPRÁVNĚNÍ")</f>
        <v>UDĚLEJTE OPRÁVNĚNÍ</v>
      </c>
      <c r="AE607" s="4" t="str">
        <f>IFERROR(__xludf.DUMMYFUNCTION("GOOGLETRANSLATE(B607,""en"",""da"")"),"GIV TILLADELSER")</f>
        <v>GIV TILLADELSER</v>
      </c>
      <c r="AF607" s="4" t="str">
        <f>IFERROR(__xludf.DUMMYFUNCTION("GOOGLETRANSLATE(B607,""en"",""el"")"),"ΧΟΡΗΓΗΣΗ ΑΔΕΙΩΝ")</f>
        <v>ΧΟΡΗΓΗΣΗ ΑΔΕΙΩΝ</v>
      </c>
      <c r="AG607" s="4" t="str">
        <f>IFERROR(__xludf.DUMMYFUNCTION("GOOGLETRANSLATE(B607,""en"",""et"")"),"ANNA LUBA")</f>
        <v>ANNA LUBA</v>
      </c>
      <c r="AH607" s="4" t="str">
        <f>IFERROR(__xludf.DUMMYFUNCTION("GOOGLETRANSLATE(B607,""en"",""fi"")"),"MYÖNTÄ LUVAT")</f>
        <v>MYÖNTÄ LUVAT</v>
      </c>
      <c r="AI607" s="4" t="str">
        <f>IFERROR(__xludf.DUMMYFUNCTION("GOOGLETRANSLATE(B607,""en"",""hr"")"),"DAJTE DOZVOLE")</f>
        <v>DAJTE DOZVOLE</v>
      </c>
      <c r="AJ607" s="4" t="str">
        <f>IFERROR(__xludf.DUMMYFUNCTION("GOOGLETRANSLATE(B607,""en"",""hu"")"),"ENGEDÉLYEK KIADÁSA")</f>
        <v>ENGEDÉLYEK KIADÁSA</v>
      </c>
      <c r="AK607" s="4" t="str">
        <f>IFERROR(__xludf.DUMMYFUNCTION("GOOGLETRANSLATE(B607,""en"",""hy"")"),"ՏՐԱՄԱԴՐԵԼ ԹՈՒՅԼՏՎՈՒԹՅՈՒՆՆԵՐ")</f>
        <v>ՏՐԱՄԱԴՐԵԼ ԹՈՒՅԼՏՎՈՒԹՅՈՒՆՆԵՐ</v>
      </c>
      <c r="AL607" s="4" t="str">
        <f>IFERROR(__xludf.DUMMYFUNCTION("GOOGLETRANSLATE(B607,""en"",""ca"")"),"CONCORDAR PERMISOS")</f>
        <v>CONCORDAR PERMISOS</v>
      </c>
      <c r="AM607" s="4" t="str">
        <f>IFERROR(__xludf.DUMMYFUNCTION("GOOGLETRANSLATE(B607,""en"",""nl"")"),"VERLENEN VERGUNNINGEN")</f>
        <v>VERLENEN VERGUNNINGEN</v>
      </c>
      <c r="AN607" s="4" t="str">
        <f>IFERROR(__xludf.DUMMYFUNCTION("GOOGLETRANSLATE(B607,""en"",""he"")"),"הענק הרשאות")</f>
        <v>הענק הרשאות</v>
      </c>
      <c r="AO607" s="4" t="str">
        <f>IFERROR(__xludf.DUMMYFUNCTION("GOOGLETRANSLATE(B607,""en"",""is"")"),"SEGJA LEYFI")</f>
        <v>SEGJA LEYFI</v>
      </c>
      <c r="AP607" s="4" t="str">
        <f>IFERROR(__xludf.DUMMYFUNCTION("GOOGLETRANSLATE(B607,""en"",""no"")"),"GI TILLATELSER")</f>
        <v>GI TILLATELSER</v>
      </c>
      <c r="AQ607" s="4" t="str">
        <f>IFERROR(__xludf.DUMMYFUNCTION("GOOGLETRANSLATE(B607,""en"",""fa"")"),"اعطای مجوز")</f>
        <v>اعطای مجوز</v>
      </c>
      <c r="AR607" s="4" t="str">
        <f>IFERROR(__xludf.DUMMYFUNCTION("GOOGLETRANSLATE(B607,""en"",""pl"")"),"UDZIEL UPRAWNIEŃ")</f>
        <v>UDZIEL UPRAWNIEŃ</v>
      </c>
      <c r="AS607" s="4" t="str">
        <f>IFERROR(__xludf.DUMMYFUNCTION("GOOGLETRANSLATE(B607,""en"",""sv"")"),"GE TILLSTÅND")</f>
        <v>GE TILLSTÅND</v>
      </c>
      <c r="AT607" s="4" t="str">
        <f>IFERROR(__xludf.DUMMYFUNCTION("GOOGLETRANSLATE(B607,""en"",""uk"")"),"НАДАТИ ДОЗВОЛИ")</f>
        <v>НАДАТИ ДОЗВОЛИ</v>
      </c>
      <c r="AU607" s="4" t="str">
        <f>IFERROR(__xludf.DUMMYFUNCTION("GOOGLETRANSLATE(B607,""en"",""zu"")"),"UKUNIKEZA IZIMVUME")</f>
        <v>UKUNIKEZA IZIMVUME</v>
      </c>
      <c r="AV607" s="4" t="str">
        <f>IFERROR(__xludf.DUMMYFUNCTION("GOOGLETRANSLATE(B607,""en"",""sr"")"),"ДОДАЈТЕ ДОЗВОЛЕ")</f>
        <v>ДОДАЈТЕ ДОЗВОЛЕ</v>
      </c>
    </row>
    <row r="608">
      <c r="A608" s="3" t="s">
        <v>1164</v>
      </c>
      <c r="B608" s="3" t="s">
        <v>1165</v>
      </c>
      <c r="C608" s="4" t="str">
        <f>IFERROR(__xludf.DUMMYFUNCTION("GOOGLETRANSLATE(B608,""en"",""ta"")"),"இருப்பிட அனுமதி தேவை")</f>
        <v>இருப்பிட அனுமதி தேவை</v>
      </c>
      <c r="D608" s="4" t="str">
        <f>IFERROR(__xludf.DUMMYFUNCTION("GOOGLETRANSLATE(B608,""en"",""hi"")"),"स्थान अनुमति आवश्यक")</f>
        <v>स्थान अनुमति आवश्यक</v>
      </c>
      <c r="E608" s="4" t="str">
        <f>IFERROR(__xludf.DUMMYFUNCTION("GOOGLETRANSLATE(B608,""en"",""id"")"),"Diperlukan Izin Lokasi")</f>
        <v>Diperlukan Izin Lokasi</v>
      </c>
      <c r="F608" s="4" t="str">
        <f>IFERROR(__xludf.DUMMYFUNCTION("GOOGLETRANSLATE(B608,""en"",""ms"")"),"Kebenaran Lokasi Diperlukan")</f>
        <v>Kebenaran Lokasi Diperlukan</v>
      </c>
      <c r="G608" s="4" t="str">
        <f>IFERROR(__xludf.DUMMYFUNCTION("GOOGLETRANSLATE(B608,""en"",""de"")"),"Standortberechtigung erforderlich")</f>
        <v>Standortberechtigung erforderlich</v>
      </c>
      <c r="H608" s="4" t="str">
        <f>IFERROR(__xludf.DUMMYFUNCTION("GOOGLETRANSLATE(B608,""en"",""es"")"),"Se requiere permiso de ubicación")</f>
        <v>Se requiere permiso de ubicación</v>
      </c>
      <c r="I608" s="4" t="str">
        <f>IFERROR(__xludf.DUMMYFUNCTION("GOOGLETRANSLATE(B608,""en"",""fr"")"),"Autorisation de localisation requise")</f>
        <v>Autorisation de localisation requise</v>
      </c>
      <c r="J608" s="4" t="str">
        <f>IFERROR(__xludf.DUMMYFUNCTION("GOOGLETRANSLATE(B608,""en"",""it"")"),"Permesso di posizione richiesto")</f>
        <v>Permesso di posizione richiesto</v>
      </c>
      <c r="K608" s="4" t="str">
        <f>IFERROR(__xludf.DUMMYFUNCTION("GOOGLETRANSLATE(B608,""en"",""pt"")"),"Permissão de localização necessária")</f>
        <v>Permissão de localização necessária</v>
      </c>
      <c r="L608" s="4" t="str">
        <f>IFERROR(__xludf.DUMMYFUNCTION("GOOGLETRANSLATE(B608,""en"",""ro"")"),"Este necesară permisiunea de locație")</f>
        <v>Este necesară permisiunea de locație</v>
      </c>
      <c r="M608" s="4" t="str">
        <f>IFERROR(__xludf.DUMMYFUNCTION("GOOGLETRANSLATE(B608,""en"",""vi"")"),"Cần có quyền vị trí")</f>
        <v>Cần có quyền vị trí</v>
      </c>
      <c r="N608" s="4" t="str">
        <f>IFERROR(__xludf.DUMMYFUNCTION("GOOGLETRANSLATE(B608,""en"",""ru"")"),"Требуется разрешение на местоположение")</f>
        <v>Требуется разрешение на местоположение</v>
      </c>
      <c r="O608" s="4" t="str">
        <f>IFERROR(__xludf.DUMMYFUNCTION("GOOGLETRANSLATE(B608,""en"",""tr"")"),"Konum İzni Gerekli")</f>
        <v>Konum İzni Gerekli</v>
      </c>
      <c r="P608" s="4" t="str">
        <f>IFERROR(__xludf.DUMMYFUNCTION("GOOGLETRANSLATE(B608,""en"",""ar"")"),"مطلوب إذن الموقع")</f>
        <v>مطلوب إذن الموقع</v>
      </c>
      <c r="Q608" s="4" t="str">
        <f>IFERROR(__xludf.DUMMYFUNCTION("GOOGLETRANSLATE(B608,""en"",""mr"")"),"स्थान परवानगी आवश्यक")</f>
        <v>स्थान परवानगी आवश्यक</v>
      </c>
      <c r="R608" s="4" t="str">
        <f>IFERROR(__xludf.DUMMYFUNCTION("GOOGLETRANSLATE(B608,""en"",""gu"")"),"સ્થાન પરવાનગી જરૂરી")</f>
        <v>સ્થાન પરવાનગી જરૂરી</v>
      </c>
      <c r="S608" s="4" t="str">
        <f>IFERROR(__xludf.DUMMYFUNCTION("GOOGLETRANSLATE(B608,""en"",""bn"")"),"অবস্থান অনুমতি প্রয়োজন")</f>
        <v>অবস্থান অনুমতি প্রয়োজন</v>
      </c>
      <c r="T608" s="4" t="str">
        <f>IFERROR(__xludf.DUMMYFUNCTION("GOOGLETRANSLATE(B608,""en"",""pa"")"),"ਟਿਕਾਣਾ ਇਜਾਜ਼ਤ ਦੀ ਲੋੜ ਹੈ")</f>
        <v>ਟਿਕਾਣਾ ਇਜਾਜ਼ਤ ਦੀ ਲੋੜ ਹੈ</v>
      </c>
      <c r="U608" s="4" t="str">
        <f>IFERROR(__xludf.DUMMYFUNCTION("GOOGLETRANSLATE(B608,""en"",""te"")"),"స్థాన అనుమతి అవసరం")</f>
        <v>స్థాన అనుమతి అవసరం</v>
      </c>
      <c r="V608" s="4" t="str">
        <f>IFERROR(__xludf.DUMMYFUNCTION("GOOGLETRANSLATE(B608,""en"",""kn"")"),"ಸ್ಥಳ ಅನುಮತಿ ಅಗತ್ಯವಿದೆ")</f>
        <v>ಸ್ಥಳ ಅನುಮತಿ ಅಗತ್ಯವಿದೆ</v>
      </c>
      <c r="W608" s="4" t="str">
        <f>IFERROR(__xludf.DUMMYFUNCTION("GOOGLETRANSLATE(B608,""en"",""ml"")"),"ലൊക്കേഷൻ അനുമതി ആവശ്യമാണ്")</f>
        <v>ലൊക്കേഷൻ അനുമതി ആവശ്യമാണ്</v>
      </c>
      <c r="X608" s="4" t="str">
        <f>IFERROR(__xludf.DUMMYFUNCTION("GOOGLETRANSLATE(B608,""en"",""th"")"),"ต้องได้รับอนุญาตเกี่ยวกับสถานที่")</f>
        <v>ต้องได้รับอนุญาตเกี่ยวกับสถานที่</v>
      </c>
      <c r="Y608" s="4" t="str">
        <f>IFERROR(__xludf.DUMMYFUNCTION("GOOGLETRANSLATE(B608,""en"",""ko"")"),"위치 권한이 필요합니다")</f>
        <v>위치 권한이 필요합니다</v>
      </c>
      <c r="Z608" s="4" t="str">
        <f>IFERROR(__xludf.DUMMYFUNCTION("GOOGLETRANSLATE(B608,""en"",""zh"")"),"需要位置许可")</f>
        <v>需要位置许可</v>
      </c>
      <c r="AA608" s="4" t="str">
        <f>IFERROR(__xludf.DUMMYFUNCTION("GOOGLETRANSLATE(B608,""en"",""zh-TW"")"),"需要位置許可")</f>
        <v>需要位置許可</v>
      </c>
      <c r="AB608" s="4" t="str">
        <f>IFERROR(__xludf.DUMMYFUNCTION("GOOGLETRANSLATE(B608,""en"",""ja"")"),"位置情報の許可が必要です")</f>
        <v>位置情報の許可が必要です</v>
      </c>
      <c r="AC608" s="4" t="str">
        <f>IFERROR(__xludf.DUMMYFUNCTION("GOOGLETRANSLATE(B608,""en"",""bg"")"),"Изисква се разрешение за местоположение")</f>
        <v>Изисква се разрешение за местоположение</v>
      </c>
      <c r="AD608" s="4" t="str">
        <f>IFERROR(__xludf.DUMMYFUNCTION("GOOGLETRANSLATE(B608,""en"",""cs"")"),"Je vyžadováno oprávnění k umístění")</f>
        <v>Je vyžadováno oprávnění k umístění</v>
      </c>
      <c r="AE608" s="4" t="str">
        <f>IFERROR(__xludf.DUMMYFUNCTION("GOOGLETRANSLATE(B608,""en"",""da"")"),"Placeringstilladelse påkrævet")</f>
        <v>Placeringstilladelse påkrævet</v>
      </c>
      <c r="AF608" s="4" t="str">
        <f>IFERROR(__xludf.DUMMYFUNCTION("GOOGLETRANSLATE(B608,""en"",""el"")"),"Απαιτείται άδεια τοποθεσίας")</f>
        <v>Απαιτείται άδεια τοποθεσίας</v>
      </c>
      <c r="AG608" s="4" t="str">
        <f>IFERROR(__xludf.DUMMYFUNCTION("GOOGLETRANSLATE(B608,""en"",""et"")"),"Vajalik asukoha luba")</f>
        <v>Vajalik asukoha luba</v>
      </c>
      <c r="AH608" s="4" t="str">
        <f>IFERROR(__xludf.DUMMYFUNCTION("GOOGLETRANSLATE(B608,""en"",""fi"")"),"Paikkalupa vaaditaan")</f>
        <v>Paikkalupa vaaditaan</v>
      </c>
      <c r="AI608" s="4" t="str">
        <f>IFERROR(__xludf.DUMMYFUNCTION("GOOGLETRANSLATE(B608,""en"",""hr"")"),"Potrebno dopuštenje za lokaciju")</f>
        <v>Potrebno dopuštenje za lokaciju</v>
      </c>
      <c r="AJ608" s="4" t="str">
        <f>IFERROR(__xludf.DUMMYFUNCTION("GOOGLETRANSLATE(B608,""en"",""hu"")"),"Helyengedély szükséges")</f>
        <v>Helyengedély szükséges</v>
      </c>
      <c r="AK608" s="4" t="str">
        <f>IFERROR(__xludf.DUMMYFUNCTION("GOOGLETRANSLATE(B608,""en"",""hy"")"),"Պահանջվում է տեղադրության թույլտվություն")</f>
        <v>Պահանջվում է տեղադրության թույլտվություն</v>
      </c>
      <c r="AL608" s="4" t="str">
        <f>IFERROR(__xludf.DUMMYFUNCTION("GOOGLETRANSLATE(B608,""en"",""ca"")"),"Cal permís d'ubicació")</f>
        <v>Cal permís d'ubicació</v>
      </c>
      <c r="AM608" s="4" t="str">
        <f>IFERROR(__xludf.DUMMYFUNCTION("GOOGLETRANSLATE(B608,""en"",""nl"")"),"Locatietoestemming vereist")</f>
        <v>Locatietoestemming vereist</v>
      </c>
      <c r="AN608" s="4" t="str">
        <f>IFERROR(__xludf.DUMMYFUNCTION("GOOGLETRANSLATE(B608,""en"",""he"")"),"נדרשת הרשאת מיקום")</f>
        <v>נדרשת הרשאת מיקום</v>
      </c>
      <c r="AO608" s="4" t="str">
        <f>IFERROR(__xludf.DUMMYFUNCTION("GOOGLETRANSLATE(B608,""en"",""is"")"),"Staðsetningarleyfi krafist")</f>
        <v>Staðsetningarleyfi krafist</v>
      </c>
      <c r="AP608" s="4" t="str">
        <f>IFERROR(__xludf.DUMMYFUNCTION("GOOGLETRANSLATE(B608,""en"",""no"")"),"Plasseringstillatelse kreves")</f>
        <v>Plasseringstillatelse kreves</v>
      </c>
      <c r="AQ608" s="4" t="str">
        <f>IFERROR(__xludf.DUMMYFUNCTION("GOOGLETRANSLATE(B608,""en"",""fa"")"),"مجوز مکان مورد نیاز است")</f>
        <v>مجوز مکان مورد نیاز است</v>
      </c>
      <c r="AR608" s="4" t="str">
        <f>IFERROR(__xludf.DUMMYFUNCTION("GOOGLETRANSLATE(B608,""en"",""pl"")"),"Wymagane pozwolenie na lokalizację")</f>
        <v>Wymagane pozwolenie na lokalizację</v>
      </c>
      <c r="AS608" s="4" t="str">
        <f>IFERROR(__xludf.DUMMYFUNCTION("GOOGLETRANSLATE(B608,""en"",""sv"")"),"Platstillstånd krävs")</f>
        <v>Platstillstånd krävs</v>
      </c>
      <c r="AT608" s="4" t="str">
        <f>IFERROR(__xludf.DUMMYFUNCTION("GOOGLETRANSLATE(B608,""en"",""uk"")"),"Потрібен дозвіл на місцезнаходження")</f>
        <v>Потрібен дозвіл на місцезнаходження</v>
      </c>
      <c r="AU608" s="4" t="str">
        <f>IFERROR(__xludf.DUMMYFUNCTION("GOOGLETRANSLATE(B608,""en"",""zu"")"),"Imvume Yendawo Iyadingeka")</f>
        <v>Imvume Yendawo Iyadingeka</v>
      </c>
      <c r="AV608" s="4" t="str">
        <f>IFERROR(__xludf.DUMMYFUNCTION("GOOGLETRANSLATE(B608,""en"",""sr"")"),"Потребна је дозвола за локацију")</f>
        <v>Потребна је дозвола за локацију</v>
      </c>
    </row>
    <row r="609">
      <c r="A609" s="3" t="s">
        <v>1166</v>
      </c>
      <c r="B609" s="3" t="s">
        <v>1167</v>
      </c>
      <c r="C609" s="4" t="str">
        <f>IFERROR(__xludf.DUMMYFUNCTION("GOOGLETRANSLATE(B609,""en"",""ta"")"),"GPS அலாரமானது சரியாக வேலை செய்ய இருப்பிட அனுமதி தேவை.")</f>
        <v>GPS அலாரமானது சரியாக வேலை செய்ய இருப்பிட அனுமதி தேவை.</v>
      </c>
      <c r="D609" s="4" t="str">
        <f>IFERROR(__xludf.DUMMYFUNCTION("GOOGLETRANSLATE(B609,""en"",""hi"")"),"जीपीएस अलार्म को ठीक से काम करने के लिए स्थान अनुमति की आवश्यकता होती है।")</f>
        <v>जीपीएस अलार्म को ठीक से काम करने के लिए स्थान अनुमति की आवश्यकता होती है।</v>
      </c>
      <c r="E609" s="4" t="str">
        <f>IFERROR(__xludf.DUMMYFUNCTION("GOOGLETRANSLATE(B609,""en"",""id"")"),"Alarm GPS memerlukan izin lokasi agar dapat berfungsi dengan baik.")</f>
        <v>Alarm GPS memerlukan izin lokasi agar dapat berfungsi dengan baik.</v>
      </c>
      <c r="F609" s="4" t="str">
        <f>IFERROR(__xludf.DUMMYFUNCTION("GOOGLETRANSLATE(B609,""en"",""ms"")"),"Penggera GPS memerlukan kebenaran lokasi untuk berfungsi dengan betul.")</f>
        <v>Penggera GPS memerlukan kebenaran lokasi untuk berfungsi dengan betul.</v>
      </c>
      <c r="G609" s="4" t="str">
        <f>IFERROR(__xludf.DUMMYFUNCTION("GOOGLETRANSLATE(B609,""en"",""de"")"),"Um ordnungsgemäß zu funktionieren, ist für den GPS-Alarm eine Standortberechtigung erforderlich.")</f>
        <v>Um ordnungsgemäß zu funktionieren, ist für den GPS-Alarm eine Standortberechtigung erforderlich.</v>
      </c>
      <c r="H609" s="4" t="str">
        <f>IFERROR(__xludf.DUMMYFUNCTION("GOOGLETRANSLATE(B609,""en"",""es"")"),"La alarma GPS requiere permiso de ubicación para funcionar correctamente.")</f>
        <v>La alarma GPS requiere permiso de ubicación para funcionar correctamente.</v>
      </c>
      <c r="I609" s="4" t="str">
        <f>IFERROR(__xludf.DUMMYFUNCTION("GOOGLETRANSLATE(B609,""en"",""fr"")"),"L'alarme GPS nécessite une autorisation de localisation pour fonctionner correctement.")</f>
        <v>L'alarme GPS nécessite une autorisation de localisation pour fonctionner correctement.</v>
      </c>
      <c r="J609" s="4" t="str">
        <f>IFERROR(__xludf.DUMMYFUNCTION("GOOGLETRANSLATE(B609,""en"",""it"")"),"Per funzionare correttamente, l'allarme GPS necessita dell'autorizzazione di localizzazione.")</f>
        <v>Per funzionare correttamente, l'allarme GPS necessita dell'autorizzazione di localizzazione.</v>
      </c>
      <c r="K609" s="4" t="str">
        <f>IFERROR(__xludf.DUMMYFUNCTION("GOOGLETRANSLATE(B609,""en"",""pt"")"),"O alarme GPS requer permissão de localização para funcionar corretamente.")</f>
        <v>O alarme GPS requer permissão de localização para funcionar corretamente.</v>
      </c>
      <c r="L609" s="4" t="str">
        <f>IFERROR(__xludf.DUMMYFUNCTION("GOOGLETRANSLATE(B609,""en"",""ro"")"),"Alarma GPS necesită permisiunea locației pentru a funcționa corect.")</f>
        <v>Alarma GPS necesită permisiunea locației pentru a funcționa corect.</v>
      </c>
      <c r="M609" s="4" t="str">
        <f>IFERROR(__xludf.DUMMYFUNCTION("GOOGLETRANSLATE(B609,""en"",""vi"")"),"Báo động GPS cần có quyền truy cập vị trí để hoạt động bình thường.")</f>
        <v>Báo động GPS cần có quyền truy cập vị trí để hoạt động bình thường.</v>
      </c>
      <c r="N609" s="4" t="str">
        <f>IFERROR(__xludf.DUMMYFUNCTION("GOOGLETRANSLATE(B609,""en"",""ru"")"),"Для корректной работы GPS-сигнализации требуется разрешение на определение местоположения.")</f>
        <v>Для корректной работы GPS-сигнализации требуется разрешение на определение местоположения.</v>
      </c>
      <c r="O609" s="4" t="str">
        <f>IFERROR(__xludf.DUMMYFUNCTION("GOOGLETRANSLATE(B609,""en"",""tr"")"),"GPS Alarmının düzgün çalışması için konum iznine ihtiyaç vardır.")</f>
        <v>GPS Alarmının düzgün çalışması için konum iznine ihtiyaç vardır.</v>
      </c>
      <c r="P609" s="4" t="str">
        <f>IFERROR(__xludf.DUMMYFUNCTION("GOOGLETRANSLATE(B609,""en"",""ar"")"),"يتطلب نظام إنذار GPS الحصول على إذن تحديد الموقع للعمل بشكل صحيح.")</f>
        <v>يتطلب نظام إنذار GPS الحصول على إذن تحديد الموقع للعمل بشكل صحيح.</v>
      </c>
      <c r="Q609" s="4" t="str">
        <f>IFERROR(__xludf.DUMMYFUNCTION("GOOGLETRANSLATE(B609,""en"",""mr"")"),"GPS अलार्मला योग्यरित्या कार्य करण्यासाठी स्थान परवानगी आवश्यक आहे.")</f>
        <v>GPS अलार्मला योग्यरित्या कार्य करण्यासाठी स्थान परवानगी आवश्यक आहे.</v>
      </c>
      <c r="R609" s="4" t="str">
        <f>IFERROR(__xludf.DUMMYFUNCTION("GOOGLETRANSLATE(B609,""en"",""gu"")"),"GPS એલાર્મને યોગ્ય રીતે કામ કરવા માટે સ્થાનની પરવાનગીની જરૂર છે.")</f>
        <v>GPS એલાર્મને યોગ્ય રીતે કામ કરવા માટે સ્થાનની પરવાનગીની જરૂર છે.</v>
      </c>
      <c r="S609" s="4" t="str">
        <f>IFERROR(__xludf.DUMMYFUNCTION("GOOGLETRANSLATE(B609,""en"",""bn"")"),"GPS অ্যালার্ম সঠিকভাবে কাজ করার জন্য অবস্থানের অনুমতি প্রয়োজন।")</f>
        <v>GPS অ্যালার্ম সঠিকভাবে কাজ করার জন্য অবস্থানের অনুমতি প্রয়োজন।</v>
      </c>
      <c r="T609" s="4" t="str">
        <f>IFERROR(__xludf.DUMMYFUNCTION("GOOGLETRANSLATE(B609,""en"",""pa"")"),"GPS ਅਲਾਰਮ ਨੂੰ ਸਹੀ ਢੰਗ ਨਾਲ ਕੰਮ ਕਰਨ ਲਈ ਟਿਕਾਣਾ ਅਨੁਮਤੀ ਦੀ ਲੋੜ ਹੁੰਦੀ ਹੈ।")</f>
        <v>GPS ਅਲਾਰਮ ਨੂੰ ਸਹੀ ਢੰਗ ਨਾਲ ਕੰਮ ਕਰਨ ਲਈ ਟਿਕਾਣਾ ਅਨੁਮਤੀ ਦੀ ਲੋੜ ਹੁੰਦੀ ਹੈ।</v>
      </c>
      <c r="U609" s="4" t="str">
        <f>IFERROR(__xludf.DUMMYFUNCTION("GOOGLETRANSLATE(B609,""en"",""te"")"),"GPS అలారం సరిగ్గా పని చేయడానికి స్థాన అనుమతి అవసరం.")</f>
        <v>GPS అలారం సరిగ్గా పని చేయడానికి స్థాన అనుమతి అవసరం.</v>
      </c>
      <c r="V609" s="4" t="str">
        <f>IFERROR(__xludf.DUMMYFUNCTION("GOOGLETRANSLATE(B609,""en"",""kn"")"),"GPS ಅಲಾರಂಗೆ ಸರಿಯಾಗಿ ಕೆಲಸ ಮಾಡಲು ಸ್ಥಳ ಅನುಮತಿಯ ಅಗತ್ಯವಿದೆ.")</f>
        <v>GPS ಅಲಾರಂಗೆ ಸರಿಯಾಗಿ ಕೆಲಸ ಮಾಡಲು ಸ್ಥಳ ಅನುಮತಿಯ ಅಗತ್ಯವಿದೆ.</v>
      </c>
      <c r="W609" s="4" t="str">
        <f>IFERROR(__xludf.DUMMYFUNCTION("GOOGLETRANSLATE(B609,""en"",""ml"")"),"GPS അലാറം ശരിയായി പ്രവർത്തിക്കാൻ ലൊക്കേഷൻ അനുമതി ആവശ്യമാണ്.")</f>
        <v>GPS അലാറം ശരിയായി പ്രവർത്തിക്കാൻ ലൊക്കേഷൻ അനുമതി ആവശ്യമാണ്.</v>
      </c>
      <c r="X609" s="4" t="str">
        <f>IFERROR(__xludf.DUMMYFUNCTION("GOOGLETRANSLATE(B609,""en"",""th"")"),"สัญญาณเตือน GPS ต้องได้รับอนุญาตจากตำแหน่งจึงจะทำงานได้อย่างถูกต้อง")</f>
        <v>สัญญาณเตือน GPS ต้องได้รับอนุญาตจากตำแหน่งจึงจะทำงานได้อย่างถูกต้อง</v>
      </c>
      <c r="Y609" s="4" t="str">
        <f>IFERROR(__xludf.DUMMYFUNCTION("GOOGLETRANSLATE(B609,""en"",""ko"")"),"GPS 알람이 제대로 작동하려면 위치 권한이 필요합니다.")</f>
        <v>GPS 알람이 제대로 작동하려면 위치 권한이 필요합니다.</v>
      </c>
      <c r="Z609" s="4" t="str">
        <f>IFERROR(__xludf.DUMMYFUNCTION("GOOGLETRANSLATE(B609,""en"",""zh"")"),"GPS 警报需要位置许可才能正常工作。")</f>
        <v>GPS 警报需要位置许可才能正常工作。</v>
      </c>
      <c r="AA609" s="4" t="str">
        <f>IFERROR(__xludf.DUMMYFUNCTION("GOOGLETRANSLATE(B609,""en"",""zh-TW"")"),"GPS 警報需要位置許可才能正常運作。")</f>
        <v>GPS 警報需要位置許可才能正常運作。</v>
      </c>
      <c r="AB609" s="4" t="str">
        <f>IFERROR(__xludf.DUMMYFUNCTION("GOOGLETRANSLATE(B609,""en"",""ja"")"),"GPS アラームが正しく動作するには位置情報の許可が必要です。")</f>
        <v>GPS アラームが正しく動作するには位置情報の許可が必要です。</v>
      </c>
      <c r="AC609" s="4" t="str">
        <f>IFERROR(__xludf.DUMMYFUNCTION("GOOGLETRANSLATE(B609,""en"",""bg"")"),"GPS алармата изисква разрешение за местоположение, за да работи правилно.")</f>
        <v>GPS алармата изисква разрешение за местоположение, за да работи правилно.</v>
      </c>
      <c r="AD609" s="4" t="str">
        <f>IFERROR(__xludf.DUMMYFUNCTION("GOOGLETRANSLATE(B609,""en"",""cs"")"),"Aby alarm GPS správně fungoval, vyžaduje povolení k poloze.")</f>
        <v>Aby alarm GPS správně fungoval, vyžaduje povolení k poloze.</v>
      </c>
      <c r="AE609" s="4" t="str">
        <f>IFERROR(__xludf.DUMMYFUNCTION("GOOGLETRANSLATE(B609,""en"",""da"")"),"GPS Alarm kræver placeringstilladelse for at fungere korrekt.")</f>
        <v>GPS Alarm kræver placeringstilladelse for at fungere korrekt.</v>
      </c>
      <c r="AF609" s="4" t="str">
        <f>IFERROR(__xludf.DUMMYFUNCTION("GOOGLETRANSLATE(B609,""en"",""el"")"),"Το GPS Alarm απαιτεί άδεια τοποθεσίας για να λειτουργήσει σωστά.")</f>
        <v>Το GPS Alarm απαιτεί άδεια τοποθεσίας για να λειτουργήσει σωστά.</v>
      </c>
      <c r="AG609" s="4" t="str">
        <f>IFERROR(__xludf.DUMMYFUNCTION("GOOGLETRANSLATE(B609,""en"",""et"")"),"GPS-alarm nõuab korrektseks töötamiseks asukohaluba.")</f>
        <v>GPS-alarm nõuab korrektseks töötamiseks asukohaluba.</v>
      </c>
      <c r="AH609" s="4" t="str">
        <f>IFERROR(__xludf.DUMMYFUNCTION("GOOGLETRANSLATE(B609,""en"",""fi"")"),"GPS-hälytys vaatii sijaintiluvan toimiakseen oikein.")</f>
        <v>GPS-hälytys vaatii sijaintiluvan toimiakseen oikein.</v>
      </c>
      <c r="AI609" s="4" t="str">
        <f>IFERROR(__xludf.DUMMYFUNCTION("GOOGLETRANSLATE(B609,""en"",""hr"")"),"GPS Alarm zahtijeva dopuštenje lokacije za ispravan rad.")</f>
        <v>GPS Alarm zahtijeva dopuštenje lokacije za ispravan rad.</v>
      </c>
      <c r="AJ609" s="4" t="str">
        <f>IFERROR(__xludf.DUMMYFUNCTION("GOOGLETRANSLATE(B609,""en"",""hu"")"),"A GPS riasztás megfelelő működéséhez helyengedélyre van szükség.")</f>
        <v>A GPS riasztás megfelelő működéséhez helyengedélyre van szükség.</v>
      </c>
      <c r="AK609" s="4" t="str">
        <f>IFERROR(__xludf.DUMMYFUNCTION("GOOGLETRANSLATE(B609,""en"",""hy"")"),"GPS Զարթուցիչը ճիշտ աշխատելու համար պահանջում է տեղադրության թույլտվություն:")</f>
        <v>GPS Զարթուցիչը ճիշտ աշխատելու համար պահանջում է տեղադրության թույլտվություն:</v>
      </c>
      <c r="AL609" s="4" t="str">
        <f>IFERROR(__xludf.DUMMYFUNCTION("GOOGLETRANSLATE(B609,""en"",""ca"")"),"L'alarma GPS requereix permís d'ubicació per funcionar correctament.")</f>
        <v>L'alarma GPS requereix permís d'ubicació per funcionar correctament.</v>
      </c>
      <c r="AM609" s="4" t="str">
        <f>IFERROR(__xludf.DUMMYFUNCTION("GOOGLETRANSLATE(B609,""en"",""nl"")"),"Voor een correcte werking van GPS Alarm is locatietoestemming nodig.")</f>
        <v>Voor een correcte werking van GPS Alarm is locatietoestemming nodig.</v>
      </c>
      <c r="AN609" s="4" t="str">
        <f>IFERROR(__xludf.DUMMYFUNCTION("GOOGLETRANSLATE(B609,""en"",""he"")"),"אזעקת GPS דורשת הרשאת מיקום כדי לפעול כהלכה.")</f>
        <v>אזעקת GPS דורשת הרשאת מיקום כדי לפעול כהלכה.</v>
      </c>
      <c r="AO609" s="4" t="str">
        <f>IFERROR(__xludf.DUMMYFUNCTION("GOOGLETRANSLATE(B609,""en"",""is"")"),"GPS viðvörun þarf staðsetningarleyfi til að virka rétt.")</f>
        <v>GPS viðvörun þarf staðsetningarleyfi til að virka rétt.</v>
      </c>
      <c r="AP609" s="4" t="str">
        <f>IFERROR(__xludf.DUMMYFUNCTION("GOOGLETRANSLATE(B609,""en"",""no"")"),"GPS-alarm krever plasseringstillatelse for å fungere skikkelig.")</f>
        <v>GPS-alarm krever plasseringstillatelse for å fungere skikkelig.</v>
      </c>
      <c r="AQ609" s="4" t="str">
        <f>IFERROR(__xludf.DUMMYFUNCTION("GOOGLETRANSLATE(B609,""en"",""fa"")"),"هشدار GPS برای درست کار کردن به مجوز مکان نیاز دارد.")</f>
        <v>هشدار GPS برای درست کار کردن به مجوز مکان نیاز دارد.</v>
      </c>
      <c r="AR609" s="4" t="str">
        <f>IFERROR(__xludf.DUMMYFUNCTION("GOOGLETRANSLATE(B609,""en"",""pl"")"),"Alarm GPS wymaga zezwolenia na lokalizację, aby działać prawidłowo.")</f>
        <v>Alarm GPS wymaga zezwolenia na lokalizację, aby działać prawidłowo.</v>
      </c>
      <c r="AS609" s="4" t="str">
        <f>IFERROR(__xludf.DUMMYFUNCTION("GOOGLETRANSLATE(B609,""en"",""sv"")"),"GPS Alarm kräver platstillstånd för att fungera korrekt.")</f>
        <v>GPS Alarm kräver platstillstånd för att fungera korrekt.</v>
      </c>
      <c r="AT609" s="4" t="str">
        <f>IFERROR(__xludf.DUMMYFUNCTION("GOOGLETRANSLATE(B609,""en"",""uk"")"),"Для належної роботи GPS-сигналу потрібен дозвіл на визначення місцезнаходження.")</f>
        <v>Для належної роботи GPS-сигналу потрібен дозвіл на визначення місцезнаходження.</v>
      </c>
      <c r="AU609" s="4" t="str">
        <f>IFERROR(__xludf.DUMMYFUNCTION("GOOGLETRANSLATE(B609,""en"",""zu"")"),"I-GPS Alamu idinga imvume yendawo ukuze isebenze kahle.")</f>
        <v>I-GPS Alamu idinga imvume yendawo ukuze isebenze kahle.</v>
      </c>
      <c r="AV609" s="4" t="str">
        <f>IFERROR(__xludf.DUMMYFUNCTION("GOOGLETRANSLATE(B609,""en"",""sr"")"),"ГПС аларм захтева дозволу за локацију да би исправно радио.")</f>
        <v>ГПС аларм захтева дозволу за локацију да би исправно радио.</v>
      </c>
    </row>
    <row r="610">
      <c r="A610" s="3" t="s">
        <v>1168</v>
      </c>
      <c r="B610" s="3" t="s">
        <v>1169</v>
      </c>
      <c r="C610" s="4" t="str">
        <f>IFERROR(__xludf.DUMMYFUNCTION("GOOGLETRANSLATE(B610,""en"",""ta"")"),"பின்னணி இடம் தேவை")</f>
        <v>பின்னணி இடம் தேவை</v>
      </c>
      <c r="D610" s="4" t="str">
        <f>IFERROR(__xludf.DUMMYFUNCTION("GOOGLETRANSLATE(B610,""en"",""hi"")"),"पृष्ठभूमि स्थान आवश्यक")</f>
        <v>पृष्ठभूमि स्थान आवश्यक</v>
      </c>
      <c r="E610" s="4" t="str">
        <f>IFERROR(__xludf.DUMMYFUNCTION("GOOGLETRANSLATE(B610,""en"",""id"")"),"Latar Belakang Lokasi Diperlukan")</f>
        <v>Latar Belakang Lokasi Diperlukan</v>
      </c>
      <c r="F610" s="4" t="str">
        <f>IFERROR(__xludf.DUMMYFUNCTION("GOOGLETRANSLATE(B610,""en"",""ms"")"),"Lokasi Latar Belakang Diperlukan")</f>
        <v>Lokasi Latar Belakang Diperlukan</v>
      </c>
      <c r="G610" s="4" t="str">
        <f>IFERROR(__xludf.DUMMYFUNCTION("GOOGLETRANSLATE(B610,""en"",""de"")"),"Hintergrundstandort erforderlich")</f>
        <v>Hintergrundstandort erforderlich</v>
      </c>
      <c r="H610" s="4" t="str">
        <f>IFERROR(__xludf.DUMMYFUNCTION("GOOGLETRANSLATE(B610,""en"",""es"")"),"Se requiere ubicación de fondo")</f>
        <v>Se requiere ubicación de fondo</v>
      </c>
      <c r="I610" s="4" t="str">
        <f>IFERROR(__xludf.DUMMYFUNCTION("GOOGLETRANSLATE(B610,""en"",""fr"")"),"Contexte Emplacement requis")</f>
        <v>Contexte Emplacement requis</v>
      </c>
      <c r="J610" s="4" t="str">
        <f>IFERROR(__xludf.DUMMYFUNCTION("GOOGLETRANSLATE(B610,""en"",""it"")"),"Contesto richiesto")</f>
        <v>Contesto richiesto</v>
      </c>
      <c r="K610" s="4" t="str">
        <f>IFERROR(__xludf.DUMMYFUNCTION("GOOGLETRANSLATE(B610,""en"",""pt"")"),"Localização de fundo necessária")</f>
        <v>Localização de fundo necessária</v>
      </c>
      <c r="L610" s="4" t="str">
        <f>IFERROR(__xludf.DUMMYFUNCTION("GOOGLETRANSLATE(B610,""en"",""ro"")"),"Locația de fundal este necesară")</f>
        <v>Locația de fundal este necesară</v>
      </c>
      <c r="M610" s="4" t="str">
        <f>IFERROR(__xludf.DUMMYFUNCTION("GOOGLETRANSLATE(B610,""en"",""vi"")"),"Vị trí nền được yêu cầu")</f>
        <v>Vị trí nền được yêu cầu</v>
      </c>
      <c r="N610" s="4" t="str">
        <f>IFERROR(__xludf.DUMMYFUNCTION("GOOGLETRANSLATE(B610,""en"",""ru"")"),"Требуется местоположение фона")</f>
        <v>Требуется местоположение фона</v>
      </c>
      <c r="O610" s="4" t="str">
        <f>IFERROR(__xludf.DUMMYFUNCTION("GOOGLETRANSLATE(B610,""en"",""tr"")"),"Arka Plan Konumu Gerekli")</f>
        <v>Arka Plan Konumu Gerekli</v>
      </c>
      <c r="P610" s="4" t="str">
        <f>IFERROR(__xludf.DUMMYFUNCTION("GOOGLETRANSLATE(B610,""en"",""ar"")"),"مطلوب موقع الخلفية")</f>
        <v>مطلوب موقع الخلفية</v>
      </c>
      <c r="Q610" s="4" t="str">
        <f>IFERROR(__xludf.DUMMYFUNCTION("GOOGLETRANSLATE(B610,""en"",""mr"")"),"पार्श्वभूमी स्थान आवश्यक")</f>
        <v>पार्श्वभूमी स्थान आवश्यक</v>
      </c>
      <c r="R610" s="4" t="str">
        <f>IFERROR(__xludf.DUMMYFUNCTION("GOOGLETRANSLATE(B610,""en"",""gu"")"),"પૃષ્ઠભૂમિ સ્થાન જરૂરી")</f>
        <v>પૃષ્ઠભૂમિ સ્થાન જરૂરી</v>
      </c>
      <c r="S610" s="4" t="str">
        <f>IFERROR(__xludf.DUMMYFUNCTION("GOOGLETRANSLATE(B610,""en"",""bn"")"),"পটভূমি অবস্থান প্রয়োজন")</f>
        <v>পটভূমি অবস্থান প্রয়োজন</v>
      </c>
      <c r="T610" s="4" t="str">
        <f>IFERROR(__xludf.DUMMYFUNCTION("GOOGLETRANSLATE(B610,""en"",""pa"")"),"ਬੈਕਗ੍ਰਾਊਂਡ ਟਿਕਾਣਾ ਲੋੜੀਂਦਾ ਹੈ")</f>
        <v>ਬੈਕਗ੍ਰਾਊਂਡ ਟਿਕਾਣਾ ਲੋੜੀਂਦਾ ਹੈ</v>
      </c>
      <c r="U610" s="4" t="str">
        <f>IFERROR(__xludf.DUMMYFUNCTION("GOOGLETRANSLATE(B610,""en"",""te"")"),"నేపథ్య స్థానం అవసరం")</f>
        <v>నేపథ్య స్థానం అవసరం</v>
      </c>
      <c r="V610" s="4" t="str">
        <f>IFERROR(__xludf.DUMMYFUNCTION("GOOGLETRANSLATE(B610,""en"",""kn"")"),"ಹಿನ್ನೆಲೆ ಸ್ಥಳದ ಅಗತ್ಯವಿದೆ")</f>
        <v>ಹಿನ್ನೆಲೆ ಸ್ಥಳದ ಅಗತ್ಯವಿದೆ</v>
      </c>
      <c r="W610" s="4" t="str">
        <f>IFERROR(__xludf.DUMMYFUNCTION("GOOGLETRANSLATE(B610,""en"",""ml"")"),"പശ്ചാത്തല ലൊക്കേഷൻ ആവശ്യമാണ്")</f>
        <v>പശ്ചാത്തല ലൊക്കേഷൻ ആവശ്യമാണ്</v>
      </c>
      <c r="X610" s="4" t="str">
        <f>IFERROR(__xludf.DUMMYFUNCTION("GOOGLETRANSLATE(B610,""en"",""th"")"),"ตำแหน่งพื้นหลังที่ต้องการ")</f>
        <v>ตำแหน่งพื้นหลังที่ต้องการ</v>
      </c>
      <c r="Y610" s="4" t="str">
        <f>IFERROR(__xludf.DUMMYFUNCTION("GOOGLETRANSLATE(B610,""en"",""ko"")"),"배경 위치 필요")</f>
        <v>배경 위치 필요</v>
      </c>
      <c r="Z610" s="4" t="str">
        <f>IFERROR(__xludf.DUMMYFUNCTION("GOOGLETRANSLATE(B610,""en"",""zh"")"),"需要背景位置")</f>
        <v>需要背景位置</v>
      </c>
      <c r="AA610" s="4" t="str">
        <f>IFERROR(__xludf.DUMMYFUNCTION("GOOGLETRANSLATE(B610,""en"",""zh-TW"")"),"需要背景位置")</f>
        <v>需要背景位置</v>
      </c>
      <c r="AB610" s="4" t="str">
        <f>IFERROR(__xludf.DUMMYFUNCTION("GOOGLETRANSLATE(B610,""en"",""ja"")"),"背景の場所が必要です")</f>
        <v>背景の場所が必要です</v>
      </c>
      <c r="AC610" s="4" t="str">
        <f>IFERROR(__xludf.DUMMYFUNCTION("GOOGLETRANSLATE(B610,""en"",""bg"")"),"Изисква се фоново местоположение")</f>
        <v>Изисква се фоново местоположение</v>
      </c>
      <c r="AD610" s="4" t="str">
        <f>IFERROR(__xludf.DUMMYFUNCTION("GOOGLETRANSLATE(B610,""en"",""cs"")"),"Je vyžadováno umístění na pozadí")</f>
        <v>Je vyžadováno umístění na pozadí</v>
      </c>
      <c r="AE610" s="4" t="str">
        <f>IFERROR(__xludf.DUMMYFUNCTION("GOOGLETRANSLATE(B610,""en"",""da"")"),"Baggrundsplacering påkrævet")</f>
        <v>Baggrundsplacering påkrævet</v>
      </c>
      <c r="AF610" s="4" t="str">
        <f>IFERROR(__xludf.DUMMYFUNCTION("GOOGLETRANSLATE(B610,""en"",""el"")"),"Απαιτείται τοποθεσία στο παρασκήνιο")</f>
        <v>Απαιτείται τοποθεσία στο παρασκήνιο</v>
      </c>
      <c r="AG610" s="4" t="str">
        <f>IFERROR(__xludf.DUMMYFUNCTION("GOOGLETRANSLATE(B610,""en"",""et"")"),"Vajalik asukoht taustal")</f>
        <v>Vajalik asukoht taustal</v>
      </c>
      <c r="AH610" s="4" t="str">
        <f>IFERROR(__xludf.DUMMYFUNCTION("GOOGLETRANSLATE(B610,""en"",""fi"")"),"Taustapaikka vaaditaan")</f>
        <v>Taustapaikka vaaditaan</v>
      </c>
      <c r="AI610" s="4" t="str">
        <f>IFERROR(__xludf.DUMMYFUNCTION("GOOGLETRANSLATE(B610,""en"",""hr"")"),"Potrebna pozadinska lokacija")</f>
        <v>Potrebna pozadinska lokacija</v>
      </c>
      <c r="AJ610" s="4" t="str">
        <f>IFERROR(__xludf.DUMMYFUNCTION("GOOGLETRANSLATE(B610,""en"",""hu"")"),"Háttérben található hely szükséges")</f>
        <v>Háttérben található hely szükséges</v>
      </c>
      <c r="AK610" s="4" t="str">
        <f>IFERROR(__xludf.DUMMYFUNCTION("GOOGLETRANSLATE(B610,""en"",""hy"")"),"Պահանջվում է ֆոնային տեղադրություն")</f>
        <v>Պահանջվում է ֆոնային տեղադրություն</v>
      </c>
      <c r="AL610" s="4" t="str">
        <f>IFERROR(__xludf.DUMMYFUNCTION("GOOGLETRANSLATE(B610,""en"",""ca"")"),"Ubicació de fons obligatori")</f>
        <v>Ubicació de fons obligatori</v>
      </c>
      <c r="AM610" s="4" t="str">
        <f>IFERROR(__xludf.DUMMYFUNCTION("GOOGLETRANSLATE(B610,""en"",""nl"")"),"Achtergrondlocatie vereist")</f>
        <v>Achtergrondlocatie vereist</v>
      </c>
      <c r="AN610" s="4" t="str">
        <f>IFERROR(__xludf.DUMMYFUNCTION("GOOGLETRANSLATE(B610,""en"",""he"")"),"נדרש מיקום ברקע")</f>
        <v>נדרש מיקום ברקע</v>
      </c>
      <c r="AO610" s="4" t="str">
        <f>IFERROR(__xludf.DUMMYFUNCTION("GOOGLETRANSLATE(B610,""en"",""is"")"),"Bakgrunnsstaðsetning áskilin")</f>
        <v>Bakgrunnsstaðsetning áskilin</v>
      </c>
      <c r="AP610" s="4" t="str">
        <f>IFERROR(__xludf.DUMMYFUNCTION("GOOGLETRANSLATE(B610,""en"",""no"")"),"Bakgrunnsplassering kreves")</f>
        <v>Bakgrunnsplassering kreves</v>
      </c>
      <c r="AQ610" s="4" t="str">
        <f>IFERROR(__xludf.DUMMYFUNCTION("GOOGLETRANSLATE(B610,""en"",""fa"")"),"موقعیت مکانی پس زمینه مورد نیاز است")</f>
        <v>موقعیت مکانی پس زمینه مورد نیاز است</v>
      </c>
      <c r="AR610" s="4" t="str">
        <f>IFERROR(__xludf.DUMMYFUNCTION("GOOGLETRANSLATE(B610,""en"",""pl"")"),"Wymagane jest podanie tła lokalizacji")</f>
        <v>Wymagane jest podanie tła lokalizacji</v>
      </c>
      <c r="AS610" s="4" t="str">
        <f>IFERROR(__xludf.DUMMYFUNCTION("GOOGLETRANSLATE(B610,""en"",""sv"")"),"Bakgrundsplats krävs")</f>
        <v>Bakgrundsplats krävs</v>
      </c>
      <c r="AT610" s="4" t="str">
        <f>IFERROR(__xludf.DUMMYFUNCTION("GOOGLETRANSLATE(B610,""en"",""uk"")"),"Потрібне фонове розташування")</f>
        <v>Потрібне фонове розташування</v>
      </c>
      <c r="AU610" s="4" t="str">
        <f>IFERROR(__xludf.DUMMYFUNCTION("GOOGLETRANSLATE(B610,""en"",""zu"")"),"Kudingeka indawo engemuva")</f>
        <v>Kudingeka indawo engemuva</v>
      </c>
      <c r="AV610" s="4" t="str">
        <f>IFERROR(__xludf.DUMMYFUNCTION("GOOGLETRANSLATE(B610,""en"",""sr"")"),"Позадинска локација је обавезна")</f>
        <v>Позадинска локација је обавезна</v>
      </c>
    </row>
    <row r="611">
      <c r="A611" s="3" t="s">
        <v>1170</v>
      </c>
      <c r="B611" s="3" t="s">
        <v>1171</v>
      </c>
      <c r="C611" s="4" t="str">
        <f>IFERROR(__xludf.DUMMYFUNCTION("GOOGLETRANSLATE(B611,""en"",""ta"")"),"உங்கள் இலக்கை அடையும் போது உங்களுக்குத் தெரிவிக்க GPS அலாரத்திற்கு பின்னணி இருப்பிட அணுகல் தேவை.")</f>
        <v>உங்கள் இலக்கை அடையும் போது உங்களுக்குத் தெரிவிக்க GPS அலாரத்திற்கு பின்னணி இருப்பிட அணுகல் தேவை.</v>
      </c>
      <c r="D611" s="4" t="str">
        <f>IFERROR(__xludf.DUMMYFUNCTION("GOOGLETRANSLATE(B611,""en"",""hi"")"),"जब आप अपने गंतव्य पर पहुंच जाते हैं तो आपको सूचित करने के लिए जीपीएस अलार्म को पृष्ठभूमि स्थान तक पहुंच की आवश्यकता होती है।")</f>
        <v>जब आप अपने गंतव्य पर पहुंच जाते हैं तो आपको सूचित करने के लिए जीपीएस अलार्म को पृष्ठभूमि स्थान तक पहुंच की आवश्यकता होती है।</v>
      </c>
      <c r="E611" s="4" t="str">
        <f>IFERROR(__xludf.DUMMYFUNCTION("GOOGLETRANSLATE(B611,""en"",""id"")"),"Alarm GPS memerlukan akses lokasi latar belakang untuk memberitahukan Anda saat Anda mencapai tujuan.")</f>
        <v>Alarm GPS memerlukan akses lokasi latar belakang untuk memberitahukan Anda saat Anda mencapai tujuan.</v>
      </c>
      <c r="F611" s="4" t="str">
        <f>IFERROR(__xludf.DUMMYFUNCTION("GOOGLETRANSLATE(B611,""en"",""ms"")"),"Penggera GPS memerlukan akses lokasi latar belakang untuk memberitahu anda apabila anda sampai ke destinasi anda.")</f>
        <v>Penggera GPS memerlukan akses lokasi latar belakang untuk memberitahu anda apabila anda sampai ke destinasi anda.</v>
      </c>
      <c r="G611" s="4" t="str">
        <f>IFERROR(__xludf.DUMMYFUNCTION("GOOGLETRANSLATE(B611,""en"",""de"")"),"GPS-Alarm benötigt Standortzugriff im Hintergrund, um Sie zu benachrichtigen, wenn Sie Ihr Ziel erreichen.")</f>
        <v>GPS-Alarm benötigt Standortzugriff im Hintergrund, um Sie zu benachrichtigen, wenn Sie Ihr Ziel erreichen.</v>
      </c>
      <c r="H611" s="4" t="str">
        <f>IFERROR(__xludf.DUMMYFUNCTION("GOOGLETRANSLATE(B611,""en"",""es"")"),"La alarma GPS necesita acceso a la ubicación en segundo plano para avisarle cuando llega a su destino.")</f>
        <v>La alarma GPS necesita acceso a la ubicación en segundo plano para avisarle cuando llega a su destino.</v>
      </c>
      <c r="I611" s="4" t="str">
        <f>IFERROR(__xludf.DUMMYFUNCTION("GOOGLETRANSLATE(B611,""en"",""fr"")"),"L'alarme GPS nécessite un accès à la localisation en arrière-plan pour vous avertir lorsque vous atteignez votre destination.")</f>
        <v>L'alarme GPS nécessite un accès à la localisation en arrière-plan pour vous avertir lorsque vous atteignez votre destination.</v>
      </c>
      <c r="J611" s="4" t="str">
        <f>IFERROR(__xludf.DUMMYFUNCTION("GOOGLETRANSLATE(B611,""en"",""it"")"),"L'allarme GPS necessita dell'accesso alla posizione in background per avvisarti quando raggiungi la destinazione.")</f>
        <v>L'allarme GPS necessita dell'accesso alla posizione in background per avvisarti quando raggiungi la destinazione.</v>
      </c>
      <c r="K611" s="4" t="str">
        <f>IFERROR(__xludf.DUMMYFUNCTION("GOOGLETRANSLATE(B611,""en"",""pt"")"),"O alarme GPS precisa de acesso à localização em segundo plano para notificá-lo quando você chegar ao seu destino.")</f>
        <v>O alarme GPS precisa de acesso à localização em segundo plano para notificá-lo quando você chegar ao seu destino.</v>
      </c>
      <c r="L611" s="4" t="str">
        <f>IFERROR(__xludf.DUMMYFUNCTION("GOOGLETRANSLATE(B611,""en"",""ro"")"),"Alarma GPS are nevoie de acces la locația de fundal pentru a vă anunța când ajungeți la destinație.")</f>
        <v>Alarma GPS are nevoie de acces la locația de fundal pentru a vă anunța când ajungeți la destinație.</v>
      </c>
      <c r="M611" s="4" t="str">
        <f>IFERROR(__xludf.DUMMYFUNCTION("GOOGLETRANSLATE(B611,""en"",""vi"")"),"Báo động GPS cần truy cập vị trí nền để thông báo cho bạn khi bạn đến đích.")</f>
        <v>Báo động GPS cần truy cập vị trí nền để thông báo cho bạn khi bạn đến đích.</v>
      </c>
      <c r="N611" s="4" t="str">
        <f>IFERROR(__xludf.DUMMYFUNCTION("GOOGLETRANSLATE(B611,""en"",""ru"")"),"Приложению GPS Alarm необходим доступ к данным о местоположении в фоновом режиме, чтобы уведомить вас о прибытии в пункт назначения.")</f>
        <v>Приложению GPS Alarm необходим доступ к данным о местоположении в фоновом режиме, чтобы уведомить вас о прибытии в пункт назначения.</v>
      </c>
      <c r="O611" s="4" t="str">
        <f>IFERROR(__xludf.DUMMYFUNCTION("GOOGLETRANSLATE(B611,""en"",""tr"")"),"GPS Alarmı, hedefinize ulaştığınızda sizi bilgilendirmek için arka planda konum erişimine ihtiyaç duyar.")</f>
        <v>GPS Alarmı, hedefinize ulaştığınızda sizi bilgilendirmek için arka planda konum erişimine ihtiyaç duyar.</v>
      </c>
      <c r="P611" s="4" t="str">
        <f>IFERROR(__xludf.DUMMYFUNCTION("GOOGLETRANSLATE(B611,""en"",""ar"")"),"يحتاج نظام إنذار GPS إلى الوصول إلى موقعك في الخلفية لإعلامك عند وصولك إلى وجهتك.")</f>
        <v>يحتاج نظام إنذار GPS إلى الوصول إلى موقعك في الخلفية لإعلامك عند وصولك إلى وجهتك.</v>
      </c>
      <c r="Q611" s="4" t="str">
        <f>IFERROR(__xludf.DUMMYFUNCTION("GOOGLETRANSLATE(B611,""en"",""mr"")"),"तुम्ही तुमच्या गंतव्यस्थानावर पोहोचल्यावर तुम्हाला सूचित करण्यासाठी GPS अलार्मला पार्श्वभूमी स्थान प्रवेश आवश्यक आहे.")</f>
        <v>तुम्ही तुमच्या गंतव्यस्थानावर पोहोचल्यावर तुम्हाला सूचित करण्यासाठी GPS अलार्मला पार्श्वभूमी स्थान प्रवेश आवश्यक आहे.</v>
      </c>
      <c r="R611" s="4" t="str">
        <f>IFERROR(__xludf.DUMMYFUNCTION("GOOGLETRANSLATE(B611,""en"",""gu"")"),"જ્યારે તમે તમારા ગંતવ્ય પર પહોંચો ત્યારે તમને સૂચિત કરવા માટે GPS અલાર્મને પૃષ્ઠભૂમિ સ્થાન ઍક્સેસની જરૂર છે.")</f>
        <v>જ્યારે તમે તમારા ગંતવ્ય પર પહોંચો ત્યારે તમને સૂચિત કરવા માટે GPS અલાર્મને પૃષ્ઠભૂમિ સ્થાન ઍક્સેસની જરૂર છે.</v>
      </c>
      <c r="S611" s="4" t="str">
        <f>IFERROR(__xludf.DUMMYFUNCTION("GOOGLETRANSLATE(B611,""en"",""bn"")"),"আপনি যখন আপনার গন্তব্যে পৌঁছান তখন আপনাকে জানানোর জন্য GPS অ্যালার্মের ব্যাকগ্রাউন্ড লোকেশন অ্যাক্সেসের প্রয়োজন।")</f>
        <v>আপনি যখন আপনার গন্তব্যে পৌঁছান তখন আপনাকে জানানোর জন্য GPS অ্যালার্মের ব্যাকগ্রাউন্ড লোকেশন অ্যাক্সেসের প্রয়োজন।</v>
      </c>
      <c r="T611" s="4" t="str">
        <f>IFERROR(__xludf.DUMMYFUNCTION("GOOGLETRANSLATE(B611,""en"",""pa"")"),"ਜਦੋਂ ਤੁਸੀਂ ਆਪਣੀ ਮੰਜ਼ਿਲ 'ਤੇ ਪਹੁੰਚਦੇ ਹੋ ਤਾਂ ਤੁਹਾਨੂੰ ਸੂਚਿਤ ਕਰਨ ਲਈ GPS ਅਲਾਰਮ ਨੂੰ ਬੈਕਗ੍ਰਾਊਂਡ ਟਿਕਾਣਾ ਪਹੁੰਚ ਦੀ ਲੋੜ ਹੁੰਦੀ ਹੈ।")</f>
        <v>ਜਦੋਂ ਤੁਸੀਂ ਆਪਣੀ ਮੰਜ਼ਿਲ 'ਤੇ ਪਹੁੰਚਦੇ ਹੋ ਤਾਂ ਤੁਹਾਨੂੰ ਸੂਚਿਤ ਕਰਨ ਲਈ GPS ਅਲਾਰਮ ਨੂੰ ਬੈਕਗ੍ਰਾਊਂਡ ਟਿਕਾਣਾ ਪਹੁੰਚ ਦੀ ਲੋੜ ਹੁੰਦੀ ਹੈ।</v>
      </c>
      <c r="U611" s="4" t="str">
        <f>IFERROR(__xludf.DUMMYFUNCTION("GOOGLETRANSLATE(B611,""en"",""te"")"),"మీరు మీ గమ్యాన్ని చేరుకున్నప్పుడు మీకు తెలియజేయడానికి GPS అలారంకు నేపథ్య స్థాన యాక్సెస్ అవసరం.")</f>
        <v>మీరు మీ గమ్యాన్ని చేరుకున్నప్పుడు మీకు తెలియజేయడానికి GPS అలారంకు నేపథ్య స్థాన యాక్సెస్ అవసరం.</v>
      </c>
      <c r="V611" s="4" t="str">
        <f>IFERROR(__xludf.DUMMYFUNCTION("GOOGLETRANSLATE(B611,""en"",""kn"")"),"ನಿಮ್ಮ ಗಮ್ಯಸ್ಥಾನವನ್ನು ನೀವು ತಲುಪಿದಾಗ ನಿಮಗೆ ತಿಳಿಸಲು GPS ಅಲಾರಂಗೆ ಹಿನ್ನೆಲೆ ಸ್ಥಳ ಪ್ರವೇಶದ ಅಗತ್ಯವಿದೆ.")</f>
        <v>ನಿಮ್ಮ ಗಮ್ಯಸ್ಥಾನವನ್ನು ನೀವು ತಲುಪಿದಾಗ ನಿಮಗೆ ತಿಳಿಸಲು GPS ಅಲಾರಂಗೆ ಹಿನ್ನೆಲೆ ಸ್ಥಳ ಪ್ರವೇಶದ ಅಗತ್ಯವಿದೆ.</v>
      </c>
      <c r="W611" s="4" t="str">
        <f>IFERROR(__xludf.DUMMYFUNCTION("GOOGLETRANSLATE(B611,""en"",""ml"")"),"നിങ്ങൾ ലക്ഷ്യസ്ഥാനത്ത് എത്തുമ്പോൾ നിങ്ങളെ അറിയിക്കാൻ GPS അലാറത്തിന് പശ്ചാത്തല ലൊക്കേഷൻ ആക്‌സസ് ആവശ്യമാണ്.")</f>
        <v>നിങ്ങൾ ലക്ഷ്യസ്ഥാനത്ത് എത്തുമ്പോൾ നിങ്ങളെ അറിയിക്കാൻ GPS അലാറത്തിന് പശ്ചാത്തല ലൊക്കേഷൻ ആക്‌സസ് ആവശ്യമാണ്.</v>
      </c>
      <c r="X611" s="4" t="str">
        <f>IFERROR(__xludf.DUMMYFUNCTION("GOOGLETRANSLATE(B611,""en"",""th"")"),"ระบบแจ้งเตือน GPS จำเป็นต้องเข้าถึงตำแหน่งเบื้องหลังเพื่อแจ้งให้คุณทราบเมื่อถึงจุดหมายปลายทาง")</f>
        <v>ระบบแจ้งเตือน GPS จำเป็นต้องเข้าถึงตำแหน่งเบื้องหลังเพื่อแจ้งให้คุณทราบเมื่อถึงจุดหมายปลายทาง</v>
      </c>
      <c r="Y611" s="4" t="str">
        <f>IFERROR(__xludf.DUMMYFUNCTION("GOOGLETRANSLATE(B611,""en"",""ko"")"),"GPS 알람은 목적지에 도착했을 때 알림을 받기 위해 백그라운드 위치 접근 권한이 필요합니다.")</f>
        <v>GPS 알람은 목적지에 도착했을 때 알림을 받기 위해 백그라운드 위치 접근 권한이 필요합니다.</v>
      </c>
      <c r="Z611" s="4" t="str">
        <f>IFERROR(__xludf.DUMMYFUNCTION("GOOGLETRANSLATE(B611,""en"",""zh"")"),"GPS 警报需要后台位置访问权限，以便在您到达目的地时通知您。")</f>
        <v>GPS 警报需要后台位置访问权限，以便在您到达目的地时通知您。</v>
      </c>
      <c r="AA611" s="4" t="str">
        <f>IFERROR(__xludf.DUMMYFUNCTION("GOOGLETRANSLATE(B611,""en"",""zh-TW"")"),"GPS 警報需要後台位置存取權限，以便在您到達目的地時通知您。")</f>
        <v>GPS 警報需要後台位置存取權限，以便在您到達目的地時通知您。</v>
      </c>
      <c r="AB611" s="4" t="str">
        <f>IFERROR(__xludf.DUMMYFUNCTION("GOOGLETRANSLATE(B611,""en"",""ja"")"),"GPS アラームは、目的地に到着したときに通知するためにバックグラウンドでの位置情報へのアクセスを必要とします。")</f>
        <v>GPS アラームは、目的地に到着したときに通知するためにバックグラウンドでの位置情報へのアクセスを必要とします。</v>
      </c>
      <c r="AC611" s="4" t="str">
        <f>IFERROR(__xludf.DUMMYFUNCTION("GOOGLETRANSLATE(B611,""en"",""bg"")"),"GPS алармата се нуждае от фонов достъп до местоположението, за да ви уведоми, когато стигнете до вашата дестинация.")</f>
        <v>GPS алармата се нуждае от фонов достъп до местоположението, за да ви уведоми, когато стигнете до вашата дестинация.</v>
      </c>
      <c r="AD611" s="4" t="str">
        <f>IFERROR(__xludf.DUMMYFUNCTION("GOOGLETRANSLATE(B611,""en"",""cs"")"),"GPS Alarm potřebuje přístup k poloze na pozadí, aby vás upozornil, když dorazíte do cíle.")</f>
        <v>GPS Alarm potřebuje přístup k poloze na pozadí, aby vás upozornil, když dorazíte do cíle.</v>
      </c>
      <c r="AE611" s="4" t="str">
        <f>IFERROR(__xludf.DUMMYFUNCTION("GOOGLETRANSLATE(B611,""en"",""da"")"),"GPS Alarm skal have adgang til baggrundsplacering for at give dig besked, når du når din destination.")</f>
        <v>GPS Alarm skal have adgang til baggrundsplacering for at give dig besked, når du når din destination.</v>
      </c>
      <c r="AF611" s="4" t="str">
        <f>IFERROR(__xludf.DUMMYFUNCTION("GOOGLETRANSLATE(B611,""en"",""el"")"),"Το GPS Alarm χρειάζεται πρόσβαση στην τοποθεσία στο παρασκήνιο για να σας ειδοποιεί όταν φτάσετε στον προορισμό σας.")</f>
        <v>Το GPS Alarm χρειάζεται πρόσβαση στην τοποθεσία στο παρασκήνιο για να σας ειδοποιεί όταν φτάσετε στον προορισμό σας.</v>
      </c>
      <c r="AG611" s="4" t="str">
        <f>IFERROR(__xludf.DUMMYFUNCTION("GOOGLETRANSLATE(B611,""en"",""et"")"),"GPS Alarm vajab taustal juurdepääsu asukohale, et teavitada teid sihtkohta jõudmisest.")</f>
        <v>GPS Alarm vajab taustal juurdepääsu asukohale, et teavitada teid sihtkohta jõudmisest.</v>
      </c>
      <c r="AH611" s="4" t="str">
        <f>IFERROR(__xludf.DUMMYFUNCTION("GOOGLETRANSLATE(B611,""en"",""fi"")"),"GPS-hälytys tarvitsee taustasijainnin käytön ilmoittaakseen, kun saavut määränpäähän.")</f>
        <v>GPS-hälytys tarvitsee taustasijainnin käytön ilmoittaakseen, kun saavut määränpäähän.</v>
      </c>
      <c r="AI611" s="4" t="str">
        <f>IFERROR(__xludf.DUMMYFUNCTION("GOOGLETRANSLATE(B611,""en"",""hr"")"),"GPS alarm treba pozadinski pristup lokaciji kako bi vas obavijestio kada stignete na odredište.")</f>
        <v>GPS alarm treba pozadinski pristup lokaciji kako bi vas obavijestio kada stignete na odredište.</v>
      </c>
      <c r="AJ611" s="4" t="str">
        <f>IFERROR(__xludf.DUMMYFUNCTION("GOOGLETRANSLATE(B611,""en"",""hu"")"),"A GPS-riasztásnak háttérbeli hely-hozzáférésre van szüksége, hogy értesítse Önt, amikor eléri az úticélt.")</f>
        <v>A GPS-riasztásnak háttérbeli hely-hozzáférésre van szüksége, hogy értesítse Önt, amikor eléri az úticélt.</v>
      </c>
      <c r="AK611" s="4" t="str">
        <f>IFERROR(__xludf.DUMMYFUNCTION("GOOGLETRANSLATE(B611,""en"",""hy"")"),"GPS Alarm-ին անհրաժեշտ է ֆոնային տեղորոշման հասանելիություն՝ ձեզ ծանուցելու, երբ հասնեք ձեր նպատակակետին:")</f>
        <v>GPS Alarm-ին անհրաժեշտ է ֆոնային տեղորոշման հասանելիություն՝ ձեզ ծանուցելու, երբ հասնեք ձեր նպատակակետին:</v>
      </c>
      <c r="AL611" s="4" t="str">
        <f>IFERROR(__xludf.DUMMYFUNCTION("GOOGLETRANSLATE(B611,""en"",""ca"")"),"L'alarma GPS necessita accés a la ubicació de fons per notificar-vos quan arribeu a la vostra destinació.")</f>
        <v>L'alarma GPS necessita accés a la ubicació de fons per notificar-vos quan arribeu a la vostra destinació.</v>
      </c>
      <c r="AM611" s="4" t="str">
        <f>IFERROR(__xludf.DUMMYFUNCTION("GOOGLETRANSLATE(B611,""en"",""nl"")"),"GPS Alarm heeft toegang tot uw locatie op de achtergrond nodig om u te kunnen waarschuwen wanneer u uw bestemming hebt bereikt.")</f>
        <v>GPS Alarm heeft toegang tot uw locatie op de achtergrond nodig om u te kunnen waarschuwen wanneer u uw bestemming hebt bereikt.</v>
      </c>
      <c r="AN611" s="4" t="str">
        <f>IFERROR(__xludf.DUMMYFUNCTION("GOOGLETRANSLATE(B611,""en"",""he"")"),"אזעקת GPS זקוקה לגישה למיקום ברקע כדי להודיע ​​לך כאשר אתה מגיע ליעד שלך.")</f>
        <v>אזעקת GPS זקוקה לגישה למיקום ברקע כדי להודיע ​​לך כאשר אתה מגיע ליעד שלך.</v>
      </c>
      <c r="AO611" s="4" t="str">
        <f>IFERROR(__xludf.DUMMYFUNCTION("GOOGLETRANSLATE(B611,""en"",""is"")"),"GPS viðvörun þarf aðgang að bakgrunni til að láta þig vita þegar þú nærð áfangastað.")</f>
        <v>GPS viðvörun þarf aðgang að bakgrunni til að láta þig vita þegar þú nærð áfangastað.</v>
      </c>
      <c r="AP611" s="4" t="str">
        <f>IFERROR(__xludf.DUMMYFUNCTION("GOOGLETRANSLATE(B611,""en"",""no"")"),"GPS Alarm trenger tilgang til bakgrunnsposisjon for å varsle deg når du når destinasjonen.")</f>
        <v>GPS Alarm trenger tilgang til bakgrunnsposisjon for å varsle deg når du når destinasjonen.</v>
      </c>
      <c r="AQ611" s="4" t="str">
        <f>IFERROR(__xludf.DUMMYFUNCTION("GOOGLETRANSLATE(B611,""en"",""fa"")"),"هشدار GPS به دسترسی به موقعیت مکانی پس‌زمینه نیاز دارد تا هنگام رسیدن به مقصد به شما اطلاع دهد.")</f>
        <v>هشدار GPS به دسترسی به موقعیت مکانی پس‌زمینه نیاز دارد تا هنگام رسیدن به مقصد به شما اطلاع دهد.</v>
      </c>
      <c r="AR611" s="4" t="str">
        <f>IFERROR(__xludf.DUMMYFUNCTION("GOOGLETRANSLATE(B611,""en"",""pl"")"),"Alarm GPS potrzebuje dostępu do danych o lokalizacji w tle, aby powiadomić Cię o dotarciu do celu.")</f>
        <v>Alarm GPS potrzebuje dostępu do danych o lokalizacji w tle, aby powiadomić Cię o dotarciu do celu.</v>
      </c>
      <c r="AS611" s="4" t="str">
        <f>IFERROR(__xludf.DUMMYFUNCTION("GOOGLETRANSLATE(B611,""en"",""sv"")"),"GPS Alarm behöver platsåtkomst i bakgrunden för att meddela dig när du når din destination.")</f>
        <v>GPS Alarm behöver platsåtkomst i bakgrunden för att meddela dig när du når din destination.</v>
      </c>
      <c r="AT611" s="4" t="str">
        <f>IFERROR(__xludf.DUMMYFUNCTION("GOOGLETRANSLATE(B611,""en"",""uk"")"),"GPS-сигналу потрібен фоновий доступ до місцезнаходження, щоб сповістити вас, коли ви досягнете пункту призначення.")</f>
        <v>GPS-сигналу потрібен фоновий доступ до місцезнаходження, щоб сповістити вас, коли ви досягнете пункту призначення.</v>
      </c>
      <c r="AU611" s="4" t="str">
        <f>IFERROR(__xludf.DUMMYFUNCTION("GOOGLETRANSLATE(B611,""en"",""zu"")"),"I-GPS Alarm idinga ukufinyelela kwendawo engemuva ukuze ikwazise lapho ufika endaweni oya kuyo.")</f>
        <v>I-GPS Alarm idinga ukufinyelela kwendawo engemuva ukuze ikwazise lapho ufika endaweni oya kuyo.</v>
      </c>
      <c r="AV611" s="4" t="str">
        <f>IFERROR(__xludf.DUMMYFUNCTION("GOOGLETRANSLATE(B611,""en"",""sr"")"),"ГПС Аларму је потребан приступ локацији у позадини да би вас обавестио када стигнете на одредиште.")</f>
        <v>ГПС Аларму је потребан приступ локацији у позадини да би вас обавестио када стигнете на одредиште.</v>
      </c>
    </row>
    <row r="612">
      <c r="A612" s="3" t="s">
        <v>1172</v>
      </c>
      <c r="B612" s="3" t="s">
        <v>1173</v>
      </c>
      <c r="C612" s="4" t="str">
        <f>IFERROR(__xludf.DUMMYFUNCTION("GOOGLETRANSLATE(B612,""en"",""ta"")"),"பிழை")</f>
        <v>பிழை</v>
      </c>
      <c r="D612" s="4" t="str">
        <f>IFERROR(__xludf.DUMMYFUNCTION("GOOGLETRANSLATE(B612,""en"",""hi"")"),"गलती")</f>
        <v>गलती</v>
      </c>
      <c r="E612" s="4" t="str">
        <f>IFERROR(__xludf.DUMMYFUNCTION("GOOGLETRANSLATE(B612,""en"",""id"")"),"Kesalahan")</f>
        <v>Kesalahan</v>
      </c>
      <c r="F612" s="4" t="str">
        <f>IFERROR(__xludf.DUMMYFUNCTION("GOOGLETRANSLATE(B612,""en"",""ms"")"),"ralat")</f>
        <v>ralat</v>
      </c>
      <c r="G612" s="4" t="str">
        <f>IFERROR(__xludf.DUMMYFUNCTION("GOOGLETRANSLATE(B612,""en"",""de"")"),"Fehler")</f>
        <v>Fehler</v>
      </c>
      <c r="H612" s="4" t="str">
        <f>IFERROR(__xludf.DUMMYFUNCTION("GOOGLETRANSLATE(B612,""en"",""es"")"),"Error")</f>
        <v>Error</v>
      </c>
      <c r="I612" s="4" t="str">
        <f>IFERROR(__xludf.DUMMYFUNCTION("GOOGLETRANSLATE(B612,""en"",""fr"")"),"Erreur")</f>
        <v>Erreur</v>
      </c>
      <c r="J612" s="4" t="str">
        <f>IFERROR(__xludf.DUMMYFUNCTION("GOOGLETRANSLATE(B612,""en"",""it"")"),"Errore")</f>
        <v>Errore</v>
      </c>
      <c r="K612" s="4" t="str">
        <f>IFERROR(__xludf.DUMMYFUNCTION("GOOGLETRANSLATE(B612,""en"",""pt"")"),"Erro")</f>
        <v>Erro</v>
      </c>
      <c r="L612" s="4" t="str">
        <f>IFERROR(__xludf.DUMMYFUNCTION("GOOGLETRANSLATE(B612,""en"",""ro"")"),"Eroare")</f>
        <v>Eroare</v>
      </c>
      <c r="M612" s="4" t="str">
        <f>IFERROR(__xludf.DUMMYFUNCTION("GOOGLETRANSLATE(B612,""en"",""vi"")"),"Lỗi")</f>
        <v>Lỗi</v>
      </c>
      <c r="N612" s="4" t="str">
        <f>IFERROR(__xludf.DUMMYFUNCTION("GOOGLETRANSLATE(B612,""en"",""ru"")"),"Ошибка")</f>
        <v>Ошибка</v>
      </c>
      <c r="O612" s="4" t="str">
        <f>IFERROR(__xludf.DUMMYFUNCTION("GOOGLETRANSLATE(B612,""en"",""tr"")"),"Hata")</f>
        <v>Hata</v>
      </c>
      <c r="P612" s="4" t="str">
        <f>IFERROR(__xludf.DUMMYFUNCTION("GOOGLETRANSLATE(B612,""en"",""ar"")"),"خطأ")</f>
        <v>خطأ</v>
      </c>
      <c r="Q612" s="4" t="str">
        <f>IFERROR(__xludf.DUMMYFUNCTION("GOOGLETRANSLATE(B612,""en"",""mr"")"),"त्रुटी")</f>
        <v>त्रुटी</v>
      </c>
      <c r="R612" s="4" t="str">
        <f>IFERROR(__xludf.DUMMYFUNCTION("GOOGLETRANSLATE(B612,""en"",""gu"")"),"ભૂલ")</f>
        <v>ભૂલ</v>
      </c>
      <c r="S612" s="4" t="str">
        <f>IFERROR(__xludf.DUMMYFUNCTION("GOOGLETRANSLATE(B612,""en"",""bn"")"),"ত্রুটি")</f>
        <v>ত্রুটি</v>
      </c>
      <c r="T612" s="4" t="str">
        <f>IFERROR(__xludf.DUMMYFUNCTION("GOOGLETRANSLATE(B612,""en"",""pa"")"),"ਗਲਤੀ")</f>
        <v>ਗਲਤੀ</v>
      </c>
      <c r="U612" s="4" t="str">
        <f>IFERROR(__xludf.DUMMYFUNCTION("GOOGLETRANSLATE(B612,""en"",""te"")"),"లోపం")</f>
        <v>లోపం</v>
      </c>
      <c r="V612" s="4" t="str">
        <f>IFERROR(__xludf.DUMMYFUNCTION("GOOGLETRANSLATE(B612,""en"",""kn"")"),"ದೋಷ")</f>
        <v>ದೋಷ</v>
      </c>
      <c r="W612" s="4" t="str">
        <f>IFERROR(__xludf.DUMMYFUNCTION("GOOGLETRANSLATE(B612,""en"",""ml"")"),"പിശക്")</f>
        <v>പിശക്</v>
      </c>
      <c r="X612" s="4" t="str">
        <f>IFERROR(__xludf.DUMMYFUNCTION("GOOGLETRANSLATE(B612,""en"",""th"")"),"ข้อผิดพลาด")</f>
        <v>ข้อผิดพลาด</v>
      </c>
      <c r="Y612" s="4" t="str">
        <f>IFERROR(__xludf.DUMMYFUNCTION("GOOGLETRANSLATE(B612,""en"",""ko"")"),"오류")</f>
        <v>오류</v>
      </c>
      <c r="Z612" s="4" t="str">
        <f>IFERROR(__xludf.DUMMYFUNCTION("GOOGLETRANSLATE(B612,""en"",""zh"")"),"错误")</f>
        <v>错误</v>
      </c>
      <c r="AA612" s="4" t="str">
        <f>IFERROR(__xludf.DUMMYFUNCTION("GOOGLETRANSLATE(B612,""en"",""zh-TW"")"),"錯誤")</f>
        <v>錯誤</v>
      </c>
      <c r="AB612" s="4" t="str">
        <f>IFERROR(__xludf.DUMMYFUNCTION("GOOGLETRANSLATE(B612,""en"",""ja"")"),"エラー")</f>
        <v>エラー</v>
      </c>
      <c r="AC612" s="4" t="str">
        <f>IFERROR(__xludf.DUMMYFUNCTION("GOOGLETRANSLATE(B612,""en"",""bg"")"),"Грешка")</f>
        <v>Грешка</v>
      </c>
      <c r="AD612" s="4" t="str">
        <f>IFERROR(__xludf.DUMMYFUNCTION("GOOGLETRANSLATE(B612,""en"",""cs"")"),"Chyba")</f>
        <v>Chyba</v>
      </c>
      <c r="AE612" s="4" t="str">
        <f>IFERROR(__xludf.DUMMYFUNCTION("GOOGLETRANSLATE(B612,""en"",""da"")"),"Fejl")</f>
        <v>Fejl</v>
      </c>
      <c r="AF612" s="4" t="str">
        <f>IFERROR(__xludf.DUMMYFUNCTION("GOOGLETRANSLATE(B612,""en"",""el"")"),"Σφάλμα")</f>
        <v>Σφάλμα</v>
      </c>
      <c r="AG612" s="4" t="str">
        <f>IFERROR(__xludf.DUMMYFUNCTION("GOOGLETRANSLATE(B612,""en"",""et"")"),"Viga")</f>
        <v>Viga</v>
      </c>
      <c r="AH612" s="4" t="str">
        <f>IFERROR(__xludf.DUMMYFUNCTION("GOOGLETRANSLATE(B612,""en"",""fi"")"),"Virhe")</f>
        <v>Virhe</v>
      </c>
      <c r="AI612" s="4" t="str">
        <f>IFERROR(__xludf.DUMMYFUNCTION("GOOGLETRANSLATE(B612,""en"",""hr"")"),"Greška")</f>
        <v>Greška</v>
      </c>
      <c r="AJ612" s="4" t="str">
        <f>IFERROR(__xludf.DUMMYFUNCTION("GOOGLETRANSLATE(B612,""en"",""hu"")"),"Hiba")</f>
        <v>Hiba</v>
      </c>
      <c r="AK612" s="4" t="str">
        <f>IFERROR(__xludf.DUMMYFUNCTION("GOOGLETRANSLATE(B612,""en"",""hy"")"),"Սխալ")</f>
        <v>Սխալ</v>
      </c>
      <c r="AL612" s="4" t="str">
        <f>IFERROR(__xludf.DUMMYFUNCTION("GOOGLETRANSLATE(B612,""en"",""ca"")"),"Error")</f>
        <v>Error</v>
      </c>
      <c r="AM612" s="4" t="str">
        <f>IFERROR(__xludf.DUMMYFUNCTION("GOOGLETRANSLATE(B612,""en"",""nl"")"),"Fout")</f>
        <v>Fout</v>
      </c>
      <c r="AN612" s="4" t="str">
        <f>IFERROR(__xludf.DUMMYFUNCTION("GOOGLETRANSLATE(B612,""en"",""he"")"),"שְׁגִיאָה")</f>
        <v>שְׁגִיאָה</v>
      </c>
      <c r="AO612" s="4" t="str">
        <f>IFERROR(__xludf.DUMMYFUNCTION("GOOGLETRANSLATE(B612,""en"",""is"")"),"Villa")</f>
        <v>Villa</v>
      </c>
      <c r="AP612" s="4" t="str">
        <f>IFERROR(__xludf.DUMMYFUNCTION("GOOGLETRANSLATE(B612,""en"",""no"")"),"Feil")</f>
        <v>Feil</v>
      </c>
      <c r="AQ612" s="4" t="str">
        <f>IFERROR(__xludf.DUMMYFUNCTION("GOOGLETRANSLATE(B612,""en"",""fa"")"),"خطا")</f>
        <v>خطا</v>
      </c>
      <c r="AR612" s="4" t="str">
        <f>IFERROR(__xludf.DUMMYFUNCTION("GOOGLETRANSLATE(B612,""en"",""pl"")"),"Błąd")</f>
        <v>Błąd</v>
      </c>
      <c r="AS612" s="4" t="str">
        <f>IFERROR(__xludf.DUMMYFUNCTION("GOOGLETRANSLATE(B612,""en"",""sv"")"),"Fel")</f>
        <v>Fel</v>
      </c>
      <c r="AT612" s="4" t="str">
        <f>IFERROR(__xludf.DUMMYFUNCTION("GOOGLETRANSLATE(B612,""en"",""uk"")"),"Помилка")</f>
        <v>Помилка</v>
      </c>
      <c r="AU612" s="4" t="str">
        <f>IFERROR(__xludf.DUMMYFUNCTION("GOOGLETRANSLATE(B612,""en"",""zu"")"),"Iphutha")</f>
        <v>Iphutha</v>
      </c>
      <c r="AV612" s="4" t="str">
        <f>IFERROR(__xludf.DUMMYFUNCTION("GOOGLETRANSLATE(B612,""en"",""sr"")"),"Грешка")</f>
        <v>Грешка</v>
      </c>
    </row>
    <row r="613">
      <c r="A613" s="3" t="s">
        <v>1174</v>
      </c>
      <c r="B613" s="3" t="s">
        <v>1175</v>
      </c>
      <c r="C613" s="4" t="str">
        <f>IFERROR(__xludf.DUMMYFUNCTION("GOOGLETRANSLATE(B613,""en"",""ta"")"),"அலாரத்தை அமைக்க முடியவில்லை. மீண்டும் முயற்சிக்கவும்.")</f>
        <v>அலாரத்தை அமைக்க முடியவில்லை. மீண்டும் முயற்சிக்கவும்.</v>
      </c>
      <c r="D613" s="4" t="str">
        <f>IFERROR(__xludf.DUMMYFUNCTION("GOOGLETRANSLATE(B613,""en"",""hi"")"),"अलार्म सेट करने में विफल. कृपया पुनः प्रयास करें.")</f>
        <v>अलार्म सेट करने में विफल. कृपया पुनः प्रयास करें.</v>
      </c>
      <c r="E613" s="4" t="str">
        <f>IFERROR(__xludf.DUMMYFUNCTION("GOOGLETRANSLATE(B613,""en"",""id"")"),"Gagal menyetel alarm. Silakan coba lagi.")</f>
        <v>Gagal menyetel alarm. Silakan coba lagi.</v>
      </c>
      <c r="F613" s="4" t="str">
        <f>IFERROR(__xludf.DUMMYFUNCTION("GOOGLETRANSLATE(B613,""en"",""ms"")"),"Gagal menetapkan penggera. Sila cuba lagi.")</f>
        <v>Gagal menetapkan penggera. Sila cuba lagi.</v>
      </c>
      <c r="G613" s="4" t="str">
        <f>IFERROR(__xludf.DUMMYFUNCTION("GOOGLETRANSLATE(B613,""en"",""de"")"),"Alarm konnte nicht eingestellt werden. Bitte versuchen Sie es erneut.")</f>
        <v>Alarm konnte nicht eingestellt werden. Bitte versuchen Sie es erneut.</v>
      </c>
      <c r="H613" s="4" t="str">
        <f>IFERROR(__xludf.DUMMYFUNCTION("GOOGLETRANSLATE(B613,""en"",""es"")"),"No se pudo configurar la alarma. Inténtalo de nuevo.")</f>
        <v>No se pudo configurar la alarma. Inténtalo de nuevo.</v>
      </c>
      <c r="I613" s="4" t="str">
        <f>IFERROR(__xludf.DUMMYFUNCTION("GOOGLETRANSLATE(B613,""en"",""fr"")"),"Impossible de régler l'alarme. Veuillez réessayer.")</f>
        <v>Impossible de régler l'alarme. Veuillez réessayer.</v>
      </c>
      <c r="J613" s="4" t="str">
        <f>IFERROR(__xludf.DUMMYFUNCTION("GOOGLETRANSLATE(B613,""en"",""it"")"),"Impossibile impostare la sveglia. Riprova.")</f>
        <v>Impossibile impostare la sveglia. Riprova.</v>
      </c>
      <c r="K613" s="4" t="str">
        <f>IFERROR(__xludf.DUMMYFUNCTION("GOOGLETRANSLATE(B613,""en"",""pt"")"),"Falha ao definir o alarme. Tente novamente.")</f>
        <v>Falha ao definir o alarme. Tente novamente.</v>
      </c>
      <c r="L613" s="4" t="str">
        <f>IFERROR(__xludf.DUMMYFUNCTION("GOOGLETRANSLATE(B613,""en"",""ro"")"),"Nu s-a putut seta alarma. Vă rugăm să încercați din nou.")</f>
        <v>Nu s-a putut seta alarma. Vă rugăm să încercați din nou.</v>
      </c>
      <c r="M613" s="4" t="str">
        <f>IFERROR(__xludf.DUMMYFUNCTION("GOOGLETRANSLATE(B613,""en"",""vi"")"),"Không cài được báo thức. Vui lòng thử lại.")</f>
        <v>Không cài được báo thức. Vui lòng thử lại.</v>
      </c>
      <c r="N613" s="4" t="str">
        <f>IFERROR(__xludf.DUMMYFUNCTION("GOOGLETRANSLATE(B613,""en"",""ru"")"),"Не удалось установить будильник. Попробуйте еще раз.")</f>
        <v>Не удалось установить будильник. Попробуйте еще раз.</v>
      </c>
      <c r="O613" s="4" t="str">
        <f>IFERROR(__xludf.DUMMYFUNCTION("GOOGLETRANSLATE(B613,""en"",""tr"")"),"Alarm ayarlanamadı. Lütfen tekrar deneyin.")</f>
        <v>Alarm ayarlanamadı. Lütfen tekrar deneyin.</v>
      </c>
      <c r="P613" s="4" t="str">
        <f>IFERROR(__xludf.DUMMYFUNCTION("GOOGLETRANSLATE(B613,""en"",""ar"")"),"فشل ضبط المنبه. يُرجى المحاولة مرة أخرى.")</f>
        <v>فشل ضبط المنبه. يُرجى المحاولة مرة أخرى.</v>
      </c>
      <c r="Q613" s="4" t="str">
        <f>IFERROR(__xludf.DUMMYFUNCTION("GOOGLETRANSLATE(B613,""en"",""mr"")"),"अलार्म सेट करण्यात अयशस्वी. कृपया पुन्हा प्रयत्न करा.")</f>
        <v>अलार्म सेट करण्यात अयशस्वी. कृपया पुन्हा प्रयत्न करा.</v>
      </c>
      <c r="R613" s="4" t="str">
        <f>IFERROR(__xludf.DUMMYFUNCTION("GOOGLETRANSLATE(B613,""en"",""gu"")"),"એલાર્મ સેટ કરવામાં નિષ્ફળ. કૃપા કરીને ફરી પ્રયાસ કરો.")</f>
        <v>એલાર્મ સેટ કરવામાં નિષ્ફળ. કૃપા કરીને ફરી પ્રયાસ કરો.</v>
      </c>
      <c r="S613" s="4" t="str">
        <f>IFERROR(__xludf.DUMMYFUNCTION("GOOGLETRANSLATE(B613,""en"",""bn"")"),"অ্যালার্ম সেট করতে ব্যর্থ হয়েছে৷ আবার চেষ্টা করুন.")</f>
        <v>অ্যালার্ম সেট করতে ব্যর্থ হয়েছে৷ আবার চেষ্টা করুন.</v>
      </c>
      <c r="T613" s="4" t="str">
        <f>IFERROR(__xludf.DUMMYFUNCTION("GOOGLETRANSLATE(B613,""en"",""pa"")"),"ਅਲਾਰਮ ਸੈੱਟ ਕਰਨ ਵਿੱਚ ਅਸਫਲ। ਕਿਰਪਾ ਕਰਕੇ ਦੁਬਾਰਾ ਕੋਸ਼ਿਸ਼ ਕਰੋ।")</f>
        <v>ਅਲਾਰਮ ਸੈੱਟ ਕਰਨ ਵਿੱਚ ਅਸਫਲ। ਕਿਰਪਾ ਕਰਕੇ ਦੁਬਾਰਾ ਕੋਸ਼ਿਸ਼ ਕਰੋ।</v>
      </c>
      <c r="U613" s="4" t="str">
        <f>IFERROR(__xludf.DUMMYFUNCTION("GOOGLETRANSLATE(B613,""en"",""te"")"),"అలారం సెట్ చేయడంలో విఫలమైంది. దయచేసి మళ్లీ ప్రయత్నించండి.")</f>
        <v>అలారం సెట్ చేయడంలో విఫలమైంది. దయచేసి మళ్లీ ప్రయత్నించండి.</v>
      </c>
      <c r="V613" s="4" t="str">
        <f>IFERROR(__xludf.DUMMYFUNCTION("GOOGLETRANSLATE(B613,""en"",""kn"")"),"ಅಲಾರಾಂ ಹೊಂದಿಸಲು ವಿಫಲವಾಗಿದೆ. ದಯವಿಟ್ಟು ಮತ್ತೆ ಪ್ರಯತ್ನಿಸಿ.")</f>
        <v>ಅಲಾರಾಂ ಹೊಂದಿಸಲು ವಿಫಲವಾಗಿದೆ. ದಯವಿಟ್ಟು ಮತ್ತೆ ಪ್ರಯತ್ನಿಸಿ.</v>
      </c>
      <c r="W613" s="4" t="str">
        <f>IFERROR(__xludf.DUMMYFUNCTION("GOOGLETRANSLATE(B613,""en"",""ml"")"),"അലാറം സജ്ജീകരിക്കുന്നതിൽ പരാജയപ്പെട്ടു. ദയവായി വീണ്ടും ശ്രമിക്കുക.")</f>
        <v>അലാറം സജ്ജീകരിക്കുന്നതിൽ പരാജയപ്പെട്ടു. ദയവായി വീണ്ടും ശ്രമിക്കുക.</v>
      </c>
      <c r="X613" s="4" t="str">
        <f>IFERROR(__xludf.DUMMYFUNCTION("GOOGLETRANSLATE(B613,""en"",""th"")"),"ไม่สามารถตั้งปลุกได้ กรุณาลองอีกครั้ง")</f>
        <v>ไม่สามารถตั้งปลุกได้ กรุณาลองอีกครั้ง</v>
      </c>
      <c r="Y613" s="4" t="str">
        <f>IFERROR(__xludf.DUMMYFUNCTION("GOOGLETRANSLATE(B613,""en"",""ko"")"),"알람을 설정하지 못했습니다. 다시 시도해 주세요.")</f>
        <v>알람을 설정하지 못했습니다. 다시 시도해 주세요.</v>
      </c>
      <c r="Z613" s="4" t="str">
        <f>IFERROR(__xludf.DUMMYFUNCTION("GOOGLETRANSLATE(B613,""en"",""zh"")"),"闹钟设置失败，请重试。")</f>
        <v>闹钟设置失败，请重试。</v>
      </c>
      <c r="AA613" s="4" t="str">
        <f>IFERROR(__xludf.DUMMYFUNCTION("GOOGLETRANSLATE(B613,""en"",""zh-TW"")"),"鬧鐘設定失敗，請重試。")</f>
        <v>鬧鐘設定失敗，請重試。</v>
      </c>
      <c r="AB613" s="4" t="str">
        <f>IFERROR(__xludf.DUMMYFUNCTION("GOOGLETRANSLATE(B613,""en"",""ja"")"),"アラームの設定に失敗しました。もう一度お試しください。")</f>
        <v>アラームの設定に失敗しました。もう一度お試しください。</v>
      </c>
      <c r="AC613" s="4" t="str">
        <f>IFERROR(__xludf.DUMMYFUNCTION("GOOGLETRANSLATE(B613,""en"",""bg"")"),"Неуспешно настройване на алармата. Моля, опитайте отново.")</f>
        <v>Неуспешно настройване на алармата. Моля, опитайте отново.</v>
      </c>
      <c r="AD613" s="4" t="str">
        <f>IFERROR(__xludf.DUMMYFUNCTION("GOOGLETRANSLATE(B613,""en"",""cs"")"),"Nastavení budíku se nezdařilo. Zkuste to znovu.")</f>
        <v>Nastavení budíku se nezdařilo. Zkuste to znovu.</v>
      </c>
      <c r="AE613" s="4" t="str">
        <f>IFERROR(__xludf.DUMMYFUNCTION("GOOGLETRANSLATE(B613,""en"",""da"")"),"Alarmen kunne ikke indstilles. Prøv venligst igen.")</f>
        <v>Alarmen kunne ikke indstilles. Prøv venligst igen.</v>
      </c>
      <c r="AF613" s="4" t="str">
        <f>IFERROR(__xludf.DUMMYFUNCTION("GOOGLETRANSLATE(B613,""en"",""el"")"),"Αποτυχία ρύθμισης ξυπνητηριού. Δοκιμάστε ξανά.")</f>
        <v>Αποτυχία ρύθμισης ξυπνητηριού. Δοκιμάστε ξανά.</v>
      </c>
      <c r="AG613" s="4" t="str">
        <f>IFERROR(__xludf.DUMMYFUNCTION("GOOGLETRANSLATE(B613,""en"",""et"")"),"Äratuse seadistamine ebaõnnestus. Palun proovi uuesti.")</f>
        <v>Äratuse seadistamine ebaõnnestus. Palun proovi uuesti.</v>
      </c>
      <c r="AH613" s="4" t="str">
        <f>IFERROR(__xludf.DUMMYFUNCTION("GOOGLETRANSLATE(B613,""en"",""fi"")"),"Hälytyksen asettaminen epäonnistui. Yritä uudelleen.")</f>
        <v>Hälytyksen asettaminen epäonnistui. Yritä uudelleen.</v>
      </c>
      <c r="AI613" s="4" t="str">
        <f>IFERROR(__xludf.DUMMYFUNCTION("GOOGLETRANSLATE(B613,""en"",""hr"")"),"Postavljanje alarma nije uspjelo. Molimo pokušajte ponovo.")</f>
        <v>Postavljanje alarma nije uspjelo. Molimo pokušajte ponovo.</v>
      </c>
      <c r="AJ613" s="4" t="str">
        <f>IFERROR(__xludf.DUMMYFUNCTION("GOOGLETRANSLATE(B613,""en"",""hu"")"),"Nem sikerült beállítani a riasztást. Kérjük, próbálja újra.")</f>
        <v>Nem sikerült beállítani a riasztást. Kérjük, próbálja újra.</v>
      </c>
      <c r="AK613" s="4" t="str">
        <f>IFERROR(__xludf.DUMMYFUNCTION("GOOGLETRANSLATE(B613,""en"",""hy"")"),"Չհաջողվեց զարթուցիչ տեղադրել: Խնդրում ենք կրկին փորձել:")</f>
        <v>Չհաջողվեց զարթուցիչ տեղադրել: Խնդրում ենք կրկին փորձել:</v>
      </c>
      <c r="AL613" s="4" t="str">
        <f>IFERROR(__xludf.DUMMYFUNCTION("GOOGLETRANSLATE(B613,""en"",""ca"")"),"No s'ha pogut configurar l'alarma. Si us plau, torna-ho a provar.")</f>
        <v>No s'ha pogut configurar l'alarma. Si us plau, torna-ho a provar.</v>
      </c>
      <c r="AM613" s="4" t="str">
        <f>IFERROR(__xludf.DUMMYFUNCTION("GOOGLETRANSLATE(B613,""en"",""nl"")"),"Alarm instellen mislukt. Probeer het opnieuw.")</f>
        <v>Alarm instellen mislukt. Probeer het opnieuw.</v>
      </c>
      <c r="AN613" s="4" t="str">
        <f>IFERROR(__xludf.DUMMYFUNCTION("GOOGLETRANSLATE(B613,""en"",""he"")"),"הגדרת ההתראה נכשלה. אנא נסה שוב.")</f>
        <v>הגדרת ההתראה נכשלה. אנא נסה שוב.</v>
      </c>
      <c r="AO613" s="4" t="str">
        <f>IFERROR(__xludf.DUMMYFUNCTION("GOOGLETRANSLATE(B613,""en"",""is"")"),"Mistókst að stilla vekjaraklukkuna. Vinsamlegast reyndu aftur.")</f>
        <v>Mistókst að stilla vekjaraklukkuna. Vinsamlegast reyndu aftur.</v>
      </c>
      <c r="AP613" s="4" t="str">
        <f>IFERROR(__xludf.DUMMYFUNCTION("GOOGLETRANSLATE(B613,""en"",""no"")"),"Kunne ikke stille inn alarmen. Vennligst prøv igjen.")</f>
        <v>Kunne ikke stille inn alarmen. Vennligst prøv igjen.</v>
      </c>
      <c r="AQ613" s="4" t="str">
        <f>IFERROR(__xludf.DUMMYFUNCTION("GOOGLETRANSLATE(B613,""en"",""fa"")"),"زنگ ساعت تنظیم نشد. لطفا دوباره امتحان کنید.")</f>
        <v>زنگ ساعت تنظیم نشد. لطفا دوباره امتحان کنید.</v>
      </c>
      <c r="AR613" s="4" t="str">
        <f>IFERROR(__xludf.DUMMYFUNCTION("GOOGLETRANSLATE(B613,""en"",""pl"")"),"Nie udało się ustawić alarmu. Spróbuj ponownie.")</f>
        <v>Nie udało się ustawić alarmu. Spróbuj ponownie.</v>
      </c>
      <c r="AS613" s="4" t="str">
        <f>IFERROR(__xludf.DUMMYFUNCTION("GOOGLETRANSLATE(B613,""en"",""sv"")"),"Det gick inte att ställa in alarmet. Försök igen.")</f>
        <v>Det gick inte att ställa in alarmet. Försök igen.</v>
      </c>
      <c r="AT613" s="4" t="str">
        <f>IFERROR(__xludf.DUMMYFUNCTION("GOOGLETRANSLATE(B613,""en"",""uk"")"),"Не вдалося встановити будильник. Спробуйте ще раз.")</f>
        <v>Не вдалося встановити будильник. Спробуйте ще раз.</v>
      </c>
      <c r="AU613" s="4" t="str">
        <f>IFERROR(__xludf.DUMMYFUNCTION("GOOGLETRANSLATE(B613,""en"",""zu"")"),"Yehlulekile ukusetha i-alamu. Sicela uzame futhi.")</f>
        <v>Yehlulekile ukusetha i-alamu. Sicela uzame futhi.</v>
      </c>
      <c r="AV613" s="4" t="str">
        <f>IFERROR(__xludf.DUMMYFUNCTION("GOOGLETRANSLATE(B613,""en"",""sr"")"),"Постављање аларма није успело. Покушајте поново.")</f>
        <v>Постављање аларма није успело. Покушајте поново.</v>
      </c>
    </row>
    <row r="614">
      <c r="A614" s="3" t="s">
        <v>1176</v>
      </c>
      <c r="B614" s="3" t="s">
        <v>954</v>
      </c>
      <c r="C614" s="4" t="str">
        <f>IFERROR(__xludf.DUMMYFUNCTION("GOOGLETRANSLATE(B614,""en"",""ta"")"),"வரைபடத்திலிருந்து")</f>
        <v>வரைபடத்திலிருந்து</v>
      </c>
      <c r="D614" s="4" t="str">
        <f>IFERROR(__xludf.DUMMYFUNCTION("GOOGLETRANSLATE(B614,""en"",""hi"")"),"मानचित्र से")</f>
        <v>मानचित्र से</v>
      </c>
      <c r="E614" s="4" t="str">
        <f>IFERROR(__xludf.DUMMYFUNCTION("GOOGLETRANSLATE(B614,""en"",""id"")"),"Dari Peta")</f>
        <v>Dari Peta</v>
      </c>
      <c r="F614" s="4" t="str">
        <f>IFERROR(__xludf.DUMMYFUNCTION("GOOGLETRANSLATE(B614,""en"",""ms"")"),"Daripada Peta")</f>
        <v>Daripada Peta</v>
      </c>
      <c r="G614" s="4" t="str">
        <f>IFERROR(__xludf.DUMMYFUNCTION("GOOGLETRANSLATE(B614,""en"",""de"")"),"Von der Karte")</f>
        <v>Von der Karte</v>
      </c>
      <c r="H614" s="4" t="str">
        <f>IFERROR(__xludf.DUMMYFUNCTION("GOOGLETRANSLATE(B614,""en"",""es"")"),"Del mapa")</f>
        <v>Del mapa</v>
      </c>
      <c r="I614" s="4" t="str">
        <f>IFERROR(__xludf.DUMMYFUNCTION("GOOGLETRANSLATE(B614,""en"",""fr"")"),"À partir de la carte")</f>
        <v>À partir de la carte</v>
      </c>
      <c r="J614" s="4" t="str">
        <f>IFERROR(__xludf.DUMMYFUNCTION("GOOGLETRANSLATE(B614,""en"",""it"")"),"Dalla mappa")</f>
        <v>Dalla mappa</v>
      </c>
      <c r="K614" s="4" t="str">
        <f>IFERROR(__xludf.DUMMYFUNCTION("GOOGLETRANSLATE(B614,""en"",""pt"")"),"Do mapa")</f>
        <v>Do mapa</v>
      </c>
      <c r="L614" s="4" t="str">
        <f>IFERROR(__xludf.DUMMYFUNCTION("GOOGLETRANSLATE(B614,""en"",""ro"")"),"Din Hartă")</f>
        <v>Din Hartă</v>
      </c>
      <c r="M614" s="4" t="str">
        <f>IFERROR(__xludf.DUMMYFUNCTION("GOOGLETRANSLATE(B614,""en"",""vi"")"),"Từ Bản đồ")</f>
        <v>Từ Bản đồ</v>
      </c>
      <c r="N614" s="4" t="str">
        <f>IFERROR(__xludf.DUMMYFUNCTION("GOOGLETRANSLATE(B614,""en"",""ru"")"),"С карты")</f>
        <v>С карты</v>
      </c>
      <c r="O614" s="4" t="str">
        <f>IFERROR(__xludf.DUMMYFUNCTION("GOOGLETRANSLATE(B614,""en"",""tr"")"),"Haritadan")</f>
        <v>Haritadan</v>
      </c>
      <c r="P614" s="4" t="str">
        <f>IFERROR(__xludf.DUMMYFUNCTION("GOOGLETRANSLATE(B614,""en"",""ar"")"),"من الخريطة")</f>
        <v>من الخريطة</v>
      </c>
      <c r="Q614" s="4" t="str">
        <f>IFERROR(__xludf.DUMMYFUNCTION("GOOGLETRANSLATE(B614,""en"",""mr"")"),"नकाशावरून")</f>
        <v>नकाशावरून</v>
      </c>
      <c r="R614" s="4" t="str">
        <f>IFERROR(__xludf.DUMMYFUNCTION("GOOGLETRANSLATE(B614,""en"",""gu"")"),"નકશા પરથી")</f>
        <v>નકશા પરથી</v>
      </c>
      <c r="S614" s="4" t="str">
        <f>IFERROR(__xludf.DUMMYFUNCTION("GOOGLETRANSLATE(B614,""en"",""bn"")"),"মানচিত্র থেকে")</f>
        <v>মানচিত্র থেকে</v>
      </c>
      <c r="T614" s="4" t="str">
        <f>IFERROR(__xludf.DUMMYFUNCTION("GOOGLETRANSLATE(B614,""en"",""pa"")"),"ਨਕਸ਼ੇ ਤੋਂ")</f>
        <v>ਨਕਸ਼ੇ ਤੋਂ</v>
      </c>
      <c r="U614" s="4" t="str">
        <f>IFERROR(__xludf.DUMMYFUNCTION("GOOGLETRANSLATE(B614,""en"",""te"")"),"మ్యాప్ నుండి")</f>
        <v>మ్యాప్ నుండి</v>
      </c>
      <c r="V614" s="4" t="str">
        <f>IFERROR(__xludf.DUMMYFUNCTION("GOOGLETRANSLATE(B614,""en"",""kn"")"),"ನಕ್ಷೆಯಿಂದ")</f>
        <v>ನಕ್ಷೆಯಿಂದ</v>
      </c>
      <c r="W614" s="4" t="str">
        <f>IFERROR(__xludf.DUMMYFUNCTION("GOOGLETRANSLATE(B614,""en"",""ml"")"),"മാപ്പിൽ നിന്ന്")</f>
        <v>മാപ്പിൽ നിന്ന്</v>
      </c>
      <c r="X614" s="4" t="str">
        <f>IFERROR(__xludf.DUMMYFUNCTION("GOOGLETRANSLATE(B614,""en"",""th"")"),"จากแผนที่")</f>
        <v>จากแผนที่</v>
      </c>
      <c r="Y614" s="4" t="str">
        <f>IFERROR(__xludf.DUMMYFUNCTION("GOOGLETRANSLATE(B614,""en"",""ko"")"),"지도에서")</f>
        <v>지도에서</v>
      </c>
      <c r="Z614" s="4" t="str">
        <f>IFERROR(__xludf.DUMMYFUNCTION("GOOGLETRANSLATE(B614,""en"",""zh"")"),"从地图")</f>
        <v>从地图</v>
      </c>
      <c r="AA614" s="4" t="str">
        <f>IFERROR(__xludf.DUMMYFUNCTION("GOOGLETRANSLATE(B614,""en"",""zh-TW"")"),"從地圖")</f>
        <v>從地圖</v>
      </c>
      <c r="AB614" s="4" t="str">
        <f>IFERROR(__xludf.DUMMYFUNCTION("GOOGLETRANSLATE(B614,""en"",""ja"")"),"地図から")</f>
        <v>地図から</v>
      </c>
      <c r="AC614" s="4" t="str">
        <f>IFERROR(__xludf.DUMMYFUNCTION("GOOGLETRANSLATE(B614,""en"",""bg"")"),"От Карта")</f>
        <v>От Карта</v>
      </c>
      <c r="AD614" s="4" t="str">
        <f>IFERROR(__xludf.DUMMYFUNCTION("GOOGLETRANSLATE(B614,""en"",""cs"")"),"Z mapy")</f>
        <v>Z mapy</v>
      </c>
      <c r="AE614" s="4" t="str">
        <f>IFERROR(__xludf.DUMMYFUNCTION("GOOGLETRANSLATE(B614,""en"",""da"")"),"Fra kort")</f>
        <v>Fra kort</v>
      </c>
      <c r="AF614" s="4" t="str">
        <f>IFERROR(__xludf.DUMMYFUNCTION("GOOGLETRANSLATE(B614,""en"",""el"")"),"Από τον χάρτη")</f>
        <v>Από τον χάρτη</v>
      </c>
      <c r="AG614" s="4" t="str">
        <f>IFERROR(__xludf.DUMMYFUNCTION("GOOGLETRANSLATE(B614,""en"",""et"")"),"Kaardilt")</f>
        <v>Kaardilt</v>
      </c>
      <c r="AH614" s="4" t="str">
        <f>IFERROR(__xludf.DUMMYFUNCTION("GOOGLETRANSLATE(B614,""en"",""fi"")"),"Kartasta")</f>
        <v>Kartasta</v>
      </c>
      <c r="AI614" s="4" t="str">
        <f>IFERROR(__xludf.DUMMYFUNCTION("GOOGLETRANSLATE(B614,""en"",""hr"")"),"Iz karte")</f>
        <v>Iz karte</v>
      </c>
      <c r="AJ614" s="4" t="str">
        <f>IFERROR(__xludf.DUMMYFUNCTION("GOOGLETRANSLATE(B614,""en"",""hu"")"),"A térképről")</f>
        <v>A térképről</v>
      </c>
      <c r="AK614" s="4" t="str">
        <f>IFERROR(__xludf.DUMMYFUNCTION("GOOGLETRANSLATE(B614,""en"",""hy"")"),"Քարտեզից")</f>
        <v>Քարտեզից</v>
      </c>
      <c r="AL614" s="4" t="str">
        <f>IFERROR(__xludf.DUMMYFUNCTION("GOOGLETRANSLATE(B614,""en"",""ca"")"),"Des del mapa")</f>
        <v>Des del mapa</v>
      </c>
      <c r="AM614" s="4" t="str">
        <f>IFERROR(__xludf.DUMMYFUNCTION("GOOGLETRANSLATE(B614,""en"",""nl"")"),"Van kaart")</f>
        <v>Van kaart</v>
      </c>
      <c r="AN614" s="4" t="str">
        <f>IFERROR(__xludf.DUMMYFUNCTION("GOOGLETRANSLATE(B614,""en"",""he"")"),"מתוך מפה")</f>
        <v>מתוך מפה</v>
      </c>
      <c r="AO614" s="4" t="str">
        <f>IFERROR(__xludf.DUMMYFUNCTION("GOOGLETRANSLATE(B614,""en"",""is"")"),"Af Korti")</f>
        <v>Af Korti</v>
      </c>
      <c r="AP614" s="4" t="str">
        <f>IFERROR(__xludf.DUMMYFUNCTION("GOOGLETRANSLATE(B614,""en"",""no"")"),"Fra kart")</f>
        <v>Fra kart</v>
      </c>
      <c r="AQ614" s="4" t="str">
        <f>IFERROR(__xludf.DUMMYFUNCTION("GOOGLETRANSLATE(B614,""en"",""fa"")"),"از نقشه")</f>
        <v>از نقشه</v>
      </c>
      <c r="AR614" s="4" t="str">
        <f>IFERROR(__xludf.DUMMYFUNCTION("GOOGLETRANSLATE(B614,""en"",""pl"")"),"Z mapy")</f>
        <v>Z mapy</v>
      </c>
      <c r="AS614" s="4" t="str">
        <f>IFERROR(__xludf.DUMMYFUNCTION("GOOGLETRANSLATE(B614,""en"",""sv"")"),"Från Karta")</f>
        <v>Från Karta</v>
      </c>
      <c r="AT614" s="4" t="str">
        <f>IFERROR(__xludf.DUMMYFUNCTION("GOOGLETRANSLATE(B614,""en"",""uk"")"),"З карти")</f>
        <v>З карти</v>
      </c>
      <c r="AU614" s="4" t="str">
        <f>IFERROR(__xludf.DUMMYFUNCTION("GOOGLETRANSLATE(B614,""en"",""zu"")"),"Kusuka kumephu")</f>
        <v>Kusuka kumephu</v>
      </c>
      <c r="AV614" s="4" t="str">
        <f>IFERROR(__xludf.DUMMYFUNCTION("GOOGLETRANSLATE(B614,""en"",""sr"")"),"Фром Мап")</f>
        <v>Фром Мап</v>
      </c>
    </row>
    <row r="615">
      <c r="A615" s="3" t="s">
        <v>1177</v>
      </c>
      <c r="B615" s="3" t="s">
        <v>956</v>
      </c>
      <c r="C615" s="4" t="str">
        <f>IFERROR(__xludf.DUMMYFUNCTION("GOOGLETRANSLATE(B615,""en"",""ta"")"),"சேமிக்கப்பட்ட இடத்திலிருந்து")</f>
        <v>சேமிக்கப்பட்ட இடத்திலிருந்து</v>
      </c>
      <c r="D615" s="4" t="str">
        <f>IFERROR(__xludf.DUMMYFUNCTION("GOOGLETRANSLATE(B615,""en"",""hi"")"),"सहेजे गए स्थान से")</f>
        <v>सहेजे गए स्थान से</v>
      </c>
      <c r="E615" s="4" t="str">
        <f>IFERROR(__xludf.DUMMYFUNCTION("GOOGLETRANSLATE(B615,""en"",""id"")"),"Dari Lokasi Tersimpan")</f>
        <v>Dari Lokasi Tersimpan</v>
      </c>
      <c r="F615" s="4" t="str">
        <f>IFERROR(__xludf.DUMMYFUNCTION("GOOGLETRANSLATE(B615,""en"",""ms"")"),"Daripada Lokasi Tersimpan")</f>
        <v>Daripada Lokasi Tersimpan</v>
      </c>
      <c r="G615" s="4" t="str">
        <f>IFERROR(__xludf.DUMMYFUNCTION("GOOGLETRANSLATE(B615,""en"",""de"")"),"Von gespeichertem Standort")</f>
        <v>Von gespeichertem Standort</v>
      </c>
      <c r="H615" s="4" t="str">
        <f>IFERROR(__xludf.DUMMYFUNCTION("GOOGLETRANSLATE(B615,""en"",""es"")"),"Desde una ubicación guardada")</f>
        <v>Desde una ubicación guardada</v>
      </c>
      <c r="I615" s="4" t="str">
        <f>IFERROR(__xludf.DUMMYFUNCTION("GOOGLETRANSLATE(B615,""en"",""fr"")"),"Depuis l'emplacement enregistré")</f>
        <v>Depuis l'emplacement enregistré</v>
      </c>
      <c r="J615" s="4" t="str">
        <f>IFERROR(__xludf.DUMMYFUNCTION("GOOGLETRANSLATE(B615,""en"",""it"")"),"Da posizione salvata")</f>
        <v>Da posizione salvata</v>
      </c>
      <c r="K615" s="4" t="str">
        <f>IFERROR(__xludf.DUMMYFUNCTION("GOOGLETRANSLATE(B615,""en"",""pt"")"),"Do local salvo")</f>
        <v>Do local salvo</v>
      </c>
      <c r="L615" s="4" t="str">
        <f>IFERROR(__xludf.DUMMYFUNCTION("GOOGLETRANSLATE(B615,""en"",""ro"")"),"Din locația salvată")</f>
        <v>Din locația salvată</v>
      </c>
      <c r="M615" s="4" t="str">
        <f>IFERROR(__xludf.DUMMYFUNCTION("GOOGLETRANSLATE(B615,""en"",""vi"")"),"Từ vị trí đã lưu")</f>
        <v>Từ vị trí đã lưu</v>
      </c>
      <c r="N615" s="4" t="str">
        <f>IFERROR(__xludf.DUMMYFUNCTION("GOOGLETRANSLATE(B615,""en"",""ru"")"),"Из сохраненного местоположения")</f>
        <v>Из сохраненного местоположения</v>
      </c>
      <c r="O615" s="4" t="str">
        <f>IFERROR(__xludf.DUMMYFUNCTION("GOOGLETRANSLATE(B615,""en"",""tr"")"),"Kaydedilen Konumdan")</f>
        <v>Kaydedilen Konumdan</v>
      </c>
      <c r="P615" s="4" t="str">
        <f>IFERROR(__xludf.DUMMYFUNCTION("GOOGLETRANSLATE(B615,""en"",""ar"")"),"من الموقع المحفوظ")</f>
        <v>من الموقع المحفوظ</v>
      </c>
      <c r="Q615" s="4" t="str">
        <f>IFERROR(__xludf.DUMMYFUNCTION("GOOGLETRANSLATE(B615,""en"",""mr"")"),"जतन केलेल्या स्थानावरून")</f>
        <v>जतन केलेल्या स्थानावरून</v>
      </c>
      <c r="R615" s="4" t="str">
        <f>IFERROR(__xludf.DUMMYFUNCTION("GOOGLETRANSLATE(B615,""en"",""gu"")"),"સાચવેલા સ્થાન પરથી")</f>
        <v>સાચવેલા સ્થાન પરથી</v>
      </c>
      <c r="S615" s="4" t="str">
        <f>IFERROR(__xludf.DUMMYFUNCTION("GOOGLETRANSLATE(B615,""en"",""bn"")"),"সংরক্ষিত অবস্থান থেকে")</f>
        <v>সংরক্ষিত অবস্থান থেকে</v>
      </c>
      <c r="T615" s="4" t="str">
        <f>IFERROR(__xludf.DUMMYFUNCTION("GOOGLETRANSLATE(B615,""en"",""pa"")"),"ਸੁਰੱਖਿਅਤ ਕੀਤੇ ਸਥਾਨ ਤੋਂ")</f>
        <v>ਸੁਰੱਖਿਅਤ ਕੀਤੇ ਸਥਾਨ ਤੋਂ</v>
      </c>
      <c r="U615" s="4" t="str">
        <f>IFERROR(__xludf.DUMMYFUNCTION("GOOGLETRANSLATE(B615,""en"",""te"")"),"సేవ్ చేయబడిన స్థానం నుండి")</f>
        <v>సేవ్ చేయబడిన స్థానం నుండి</v>
      </c>
      <c r="V615" s="4" t="str">
        <f>IFERROR(__xludf.DUMMYFUNCTION("GOOGLETRANSLATE(B615,""en"",""kn"")"),"ಉಳಿಸಿದ ಸ್ಥಳದಿಂದ")</f>
        <v>ಉಳಿಸಿದ ಸ್ಥಳದಿಂದ</v>
      </c>
      <c r="W615" s="4" t="str">
        <f>IFERROR(__xludf.DUMMYFUNCTION("GOOGLETRANSLATE(B615,""en"",""ml"")"),"സംരക്ഷിച്ച ലൊക്കേഷനിൽ നിന്ന്")</f>
        <v>സംരക്ഷിച്ച ലൊക്കേഷനിൽ നിന്ന്</v>
      </c>
      <c r="X615" s="4" t="str">
        <f>IFERROR(__xludf.DUMMYFUNCTION("GOOGLETRANSLATE(B615,""en"",""th"")"),"จากตำแหน่งที่บันทึกไว้")</f>
        <v>จากตำแหน่งที่บันทึกไว้</v>
      </c>
      <c r="Y615" s="4" t="str">
        <f>IFERROR(__xludf.DUMMYFUNCTION("GOOGLETRANSLATE(B615,""en"",""ko"")"),"저장된 위치에서")</f>
        <v>저장된 위치에서</v>
      </c>
      <c r="Z615" s="4" t="str">
        <f>IFERROR(__xludf.DUMMYFUNCTION("GOOGLETRANSLATE(B615,""en"",""zh"")"),"从已保存的位置")</f>
        <v>从已保存的位置</v>
      </c>
      <c r="AA615" s="4" t="str">
        <f>IFERROR(__xludf.DUMMYFUNCTION("GOOGLETRANSLATE(B615,""en"",""zh-TW"")"),"從已儲存的位置")</f>
        <v>從已儲存的位置</v>
      </c>
      <c r="AB615" s="4" t="str">
        <f>IFERROR(__xludf.DUMMYFUNCTION("GOOGLETRANSLATE(B615,""en"",""ja"")"),"保存した場所から")</f>
        <v>保存した場所から</v>
      </c>
      <c r="AC615" s="4" t="str">
        <f>IFERROR(__xludf.DUMMYFUNCTION("GOOGLETRANSLATE(B615,""en"",""bg"")"),"От запазено местоположение")</f>
        <v>От запазено местоположение</v>
      </c>
      <c r="AD615" s="4" t="str">
        <f>IFERROR(__xludf.DUMMYFUNCTION("GOOGLETRANSLATE(B615,""en"",""cs"")"),"Z uloženého umístění")</f>
        <v>Z uloženého umístění</v>
      </c>
      <c r="AE615" s="4" t="str">
        <f>IFERROR(__xludf.DUMMYFUNCTION("GOOGLETRANSLATE(B615,""en"",""da"")"),"Fra Gemt placering")</f>
        <v>Fra Gemt placering</v>
      </c>
      <c r="AF615" s="4" t="str">
        <f>IFERROR(__xludf.DUMMYFUNCTION("GOOGLETRANSLATE(B615,""en"",""el"")"),"Από την Αποθηκευμένη Τοποθεσία")</f>
        <v>Από την Αποθηκευμένη Τοποθεσία</v>
      </c>
      <c r="AG615" s="4" t="str">
        <f>IFERROR(__xludf.DUMMYFUNCTION("GOOGLETRANSLATE(B615,""en"",""et"")"),"Salvestatud asukohast")</f>
        <v>Salvestatud asukohast</v>
      </c>
      <c r="AH615" s="4" t="str">
        <f>IFERROR(__xludf.DUMMYFUNCTION("GOOGLETRANSLATE(B615,""en"",""fi"")"),"Tallennetusta sijainnista")</f>
        <v>Tallennetusta sijainnista</v>
      </c>
      <c r="AI615" s="4" t="str">
        <f>IFERROR(__xludf.DUMMYFUNCTION("GOOGLETRANSLATE(B615,""en"",""hr"")"),"Iz spremljene lokacije")</f>
        <v>Iz spremljene lokacije</v>
      </c>
      <c r="AJ615" s="4" t="str">
        <f>IFERROR(__xludf.DUMMYFUNCTION("GOOGLETRANSLATE(B615,""en"",""hu"")"),"Mentett helyről")</f>
        <v>Mentett helyről</v>
      </c>
      <c r="AK615" s="4" t="str">
        <f>IFERROR(__xludf.DUMMYFUNCTION("GOOGLETRANSLATE(B615,""en"",""hy"")"),"Պահված գտնվելու վայրից")</f>
        <v>Պահված գտնվելու վայրից</v>
      </c>
      <c r="AL615" s="4" t="str">
        <f>IFERROR(__xludf.DUMMYFUNCTION("GOOGLETRANSLATE(B615,""en"",""ca"")"),"Des de la ubicació desada")</f>
        <v>Des de la ubicació desada</v>
      </c>
      <c r="AM615" s="4" t="str">
        <f>IFERROR(__xludf.DUMMYFUNCTION("GOOGLETRANSLATE(B615,""en"",""nl"")"),"Van opgeslagen locatie")</f>
        <v>Van opgeslagen locatie</v>
      </c>
      <c r="AN615" s="4" t="str">
        <f>IFERROR(__xludf.DUMMYFUNCTION("GOOGLETRANSLATE(B615,""en"",""he"")"),"מתוך מיקום שמור")</f>
        <v>מתוך מיקום שמור</v>
      </c>
      <c r="AO615" s="4" t="str">
        <f>IFERROR(__xludf.DUMMYFUNCTION("GOOGLETRANSLATE(B615,""en"",""is"")"),"Frá Vistaðri staðsetningu")</f>
        <v>Frá Vistaðri staðsetningu</v>
      </c>
      <c r="AP615" s="4" t="str">
        <f>IFERROR(__xludf.DUMMYFUNCTION("GOOGLETRANSLATE(B615,""en"",""no"")"),"Fra Lagret plassering")</f>
        <v>Fra Lagret plassering</v>
      </c>
      <c r="AQ615" s="4" t="str">
        <f>IFERROR(__xludf.DUMMYFUNCTION("GOOGLETRANSLATE(B615,""en"",""fa"")"),"از مکان ذخیره شده")</f>
        <v>از مکان ذخیره شده</v>
      </c>
      <c r="AR615" s="4" t="str">
        <f>IFERROR(__xludf.DUMMYFUNCTION("GOOGLETRANSLATE(B615,""en"",""pl"")"),"Z zapisanej lokalizacji")</f>
        <v>Z zapisanej lokalizacji</v>
      </c>
      <c r="AS615" s="4" t="str">
        <f>IFERROR(__xludf.DUMMYFUNCTION("GOOGLETRANSLATE(B615,""en"",""sv"")"),"Från Sparad plats")</f>
        <v>Från Sparad plats</v>
      </c>
      <c r="AT615" s="4" t="str">
        <f>IFERROR(__xludf.DUMMYFUNCTION("GOOGLETRANSLATE(B615,""en"",""uk"")"),"Із збереженого місцезнаходження")</f>
        <v>Із збереженого місцезнаходження</v>
      </c>
      <c r="AU615" s="4" t="str">
        <f>IFERROR(__xludf.DUMMYFUNCTION("GOOGLETRANSLATE(B615,""en"",""zu"")"),"Kusuka Endaweni Elondoloziwe")</f>
        <v>Kusuka Endaweni Elondoloziwe</v>
      </c>
      <c r="AV615" s="4" t="str">
        <f>IFERROR(__xludf.DUMMYFUNCTION("GOOGLETRANSLATE(B615,""en"",""sr"")"),"Са сачуване локације")</f>
        <v>Са сачуване локације</v>
      </c>
    </row>
    <row r="616">
      <c r="A616" s="3" t="s">
        <v>1178</v>
      </c>
      <c r="B616" s="3" t="s">
        <v>1179</v>
      </c>
      <c r="C616" s="4" t="str">
        <f>IFERROR(__xludf.DUMMYFUNCTION("GOOGLETRANSLATE(B616,""en"",""ta"")"),"அலாரத்தை அமைக்கவும்")</f>
        <v>அலாரத்தை அமைக்கவும்</v>
      </c>
      <c r="D616" s="4" t="str">
        <f>IFERROR(__xludf.DUMMYFUNCTION("GOOGLETRANSLATE(B616,""en"",""hi"")"),"चेतावनी तय करें")</f>
        <v>चेतावनी तय करें</v>
      </c>
      <c r="E616" s="4" t="str">
        <f>IFERROR(__xludf.DUMMYFUNCTION("GOOGLETRANSLATE(B616,""en"",""id"")"),"Atur Alarm")</f>
        <v>Atur Alarm</v>
      </c>
      <c r="F616" s="4" t="str">
        <f>IFERROR(__xludf.DUMMYFUNCTION("GOOGLETRANSLATE(B616,""en"",""ms"")"),"Tetapkan Penggera")</f>
        <v>Tetapkan Penggera</v>
      </c>
      <c r="G616" s="4" t="str">
        <f>IFERROR(__xludf.DUMMYFUNCTION("GOOGLETRANSLATE(B616,""en"",""de"")"),"Alarm einstellen")</f>
        <v>Alarm einstellen</v>
      </c>
      <c r="H616" s="4" t="str">
        <f>IFERROR(__xludf.DUMMYFUNCTION("GOOGLETRANSLATE(B616,""en"",""es"")"),"Establecer alarma")</f>
        <v>Establecer alarma</v>
      </c>
      <c r="I616" s="4" t="str">
        <f>IFERROR(__xludf.DUMMYFUNCTION("GOOGLETRANSLATE(B616,""en"",""fr"")"),"Régler l'alarme")</f>
        <v>Régler l'alarme</v>
      </c>
      <c r="J616" s="4" t="str">
        <f>IFERROR(__xludf.DUMMYFUNCTION("GOOGLETRANSLATE(B616,""en"",""it"")"),"Imposta sveglia")</f>
        <v>Imposta sveglia</v>
      </c>
      <c r="K616" s="4" t="str">
        <f>IFERROR(__xludf.DUMMYFUNCTION("GOOGLETRANSLATE(B616,""en"",""pt"")"),"Definir alarme")</f>
        <v>Definir alarme</v>
      </c>
      <c r="L616" s="4" t="str">
        <f>IFERROR(__xludf.DUMMYFUNCTION("GOOGLETRANSLATE(B616,""en"",""ro"")"),"Setați alarma")</f>
        <v>Setați alarma</v>
      </c>
      <c r="M616" s="4" t="str">
        <f>IFERROR(__xludf.DUMMYFUNCTION("GOOGLETRANSLATE(B616,""en"",""vi"")"),"Đặt báo thức")</f>
        <v>Đặt báo thức</v>
      </c>
      <c r="N616" s="4" t="str">
        <f>IFERROR(__xludf.DUMMYFUNCTION("GOOGLETRANSLATE(B616,""en"",""ru"")"),"Установить будильник")</f>
        <v>Установить будильник</v>
      </c>
      <c r="O616" s="4" t="str">
        <f>IFERROR(__xludf.DUMMYFUNCTION("GOOGLETRANSLATE(B616,""en"",""tr"")"),"Alarmı Ayarla")</f>
        <v>Alarmı Ayarla</v>
      </c>
      <c r="P616" s="4" t="str">
        <f>IFERROR(__xludf.DUMMYFUNCTION("GOOGLETRANSLATE(B616,""en"",""ar"")"),"ضبط المنبه")</f>
        <v>ضبط المنبه</v>
      </c>
      <c r="Q616" s="4" t="str">
        <f>IFERROR(__xludf.DUMMYFUNCTION("GOOGLETRANSLATE(B616,""en"",""mr"")"),"अलार्म सेट करा")</f>
        <v>अलार्म सेट करा</v>
      </c>
      <c r="R616" s="4" t="str">
        <f>IFERROR(__xludf.DUMMYFUNCTION("GOOGLETRANSLATE(B616,""en"",""gu"")"),"એલાર્મ સેટ કરો")</f>
        <v>એલાર્મ સેટ કરો</v>
      </c>
      <c r="S616" s="4" t="str">
        <f>IFERROR(__xludf.DUMMYFUNCTION("GOOGLETRANSLATE(B616,""en"",""bn"")"),"অ্যালার্ম সেট করুন")</f>
        <v>অ্যালার্ম সেট করুন</v>
      </c>
      <c r="T616" s="4" t="str">
        <f>IFERROR(__xludf.DUMMYFUNCTION("GOOGLETRANSLATE(B616,""en"",""pa"")"),"ਅਲਾਰਮ ਸੈੱਟ ਕਰੋ")</f>
        <v>ਅਲਾਰਮ ਸੈੱਟ ਕਰੋ</v>
      </c>
      <c r="U616" s="4" t="str">
        <f>IFERROR(__xludf.DUMMYFUNCTION("GOOGLETRANSLATE(B616,""en"",""te"")"),"అలారం సెట్ చేయండి")</f>
        <v>అలారం సెట్ చేయండి</v>
      </c>
      <c r="V616" s="4" t="str">
        <f>IFERROR(__xludf.DUMMYFUNCTION("GOOGLETRANSLATE(B616,""en"",""kn"")"),"ಅಲಾರಂ ಹೊಂದಿಸಿ")</f>
        <v>ಅಲಾರಂ ಹೊಂದಿಸಿ</v>
      </c>
      <c r="W616" s="4" t="str">
        <f>IFERROR(__xludf.DUMMYFUNCTION("GOOGLETRANSLATE(B616,""en"",""ml"")"),"അലാറം സജ്ജമാക്കുക")</f>
        <v>അലാറം സജ്ജമാക്കുക</v>
      </c>
      <c r="X616" s="4" t="str">
        <f>IFERROR(__xludf.DUMMYFUNCTION("GOOGLETRANSLATE(B616,""en"",""th"")"),"ตั้งค่าสัญญาณเตือน")</f>
        <v>ตั้งค่าสัญญาณเตือน</v>
      </c>
      <c r="Y616" s="4" t="str">
        <f>IFERROR(__xludf.DUMMYFUNCTION("GOOGLETRANSLATE(B616,""en"",""ko"")"),"알람 설정")</f>
        <v>알람 설정</v>
      </c>
      <c r="Z616" s="4" t="str">
        <f>IFERROR(__xludf.DUMMYFUNCTION("GOOGLETRANSLATE(B616,""en"",""zh"")"),"设置闹钟")</f>
        <v>设置闹钟</v>
      </c>
      <c r="AA616" s="4" t="str">
        <f>IFERROR(__xludf.DUMMYFUNCTION("GOOGLETRANSLATE(B616,""en"",""zh-TW"")"),"設定鬧鐘")</f>
        <v>設定鬧鐘</v>
      </c>
      <c r="AB616" s="4" t="str">
        <f>IFERROR(__xludf.DUMMYFUNCTION("GOOGLETRANSLATE(B616,""en"",""ja"")"),"アラームを設定する")</f>
        <v>アラームを設定する</v>
      </c>
      <c r="AC616" s="4" t="str">
        <f>IFERROR(__xludf.DUMMYFUNCTION("GOOGLETRANSLATE(B616,""en"",""bg"")"),"Задаване на аларма")</f>
        <v>Задаване на аларма</v>
      </c>
      <c r="AD616" s="4" t="str">
        <f>IFERROR(__xludf.DUMMYFUNCTION("GOOGLETRANSLATE(B616,""en"",""cs"")"),"Nastavit budík")</f>
        <v>Nastavit budík</v>
      </c>
      <c r="AE616" s="4" t="str">
        <f>IFERROR(__xludf.DUMMYFUNCTION("GOOGLETRANSLATE(B616,""en"",""da"")"),"Indstil alarm")</f>
        <v>Indstil alarm</v>
      </c>
      <c r="AF616" s="4" t="str">
        <f>IFERROR(__xludf.DUMMYFUNCTION("GOOGLETRANSLATE(B616,""en"",""el"")"),"Ρύθμιση συναγερμού")</f>
        <v>Ρύθμιση συναγερμού</v>
      </c>
      <c r="AG616" s="4" t="str">
        <f>IFERROR(__xludf.DUMMYFUNCTION("GOOGLETRANSLATE(B616,""en"",""et"")"),"Määra äratus")</f>
        <v>Määra äratus</v>
      </c>
      <c r="AH616" s="4" t="str">
        <f>IFERROR(__xludf.DUMMYFUNCTION("GOOGLETRANSLATE(B616,""en"",""fi"")"),"Aseta hälytys")</f>
        <v>Aseta hälytys</v>
      </c>
      <c r="AI616" s="4" t="str">
        <f>IFERROR(__xludf.DUMMYFUNCTION("GOOGLETRANSLATE(B616,""en"",""hr"")"),"Postavi alarm")</f>
        <v>Postavi alarm</v>
      </c>
      <c r="AJ616" s="4" t="str">
        <f>IFERROR(__xludf.DUMMYFUNCTION("GOOGLETRANSLATE(B616,""en"",""hu"")"),"Riasztás beállítása")</f>
        <v>Riasztás beállítása</v>
      </c>
      <c r="AK616" s="4" t="str">
        <f>IFERROR(__xludf.DUMMYFUNCTION("GOOGLETRANSLATE(B616,""en"",""hy"")"),"Սահմանել Զարթուցիչը")</f>
        <v>Սահմանել Զարթուցիչը</v>
      </c>
      <c r="AL616" s="4" t="str">
        <f>IFERROR(__xludf.DUMMYFUNCTION("GOOGLETRANSLATE(B616,""en"",""ca"")"),"Establir alarma")</f>
        <v>Establir alarma</v>
      </c>
      <c r="AM616" s="4" t="str">
        <f>IFERROR(__xludf.DUMMYFUNCTION("GOOGLETRANSLATE(B616,""en"",""nl"")"),"Alarm instellen")</f>
        <v>Alarm instellen</v>
      </c>
      <c r="AN616" s="4" t="str">
        <f>IFERROR(__xludf.DUMMYFUNCTION("GOOGLETRANSLATE(B616,""en"",""he"")"),"הגדר אזעקה")</f>
        <v>הגדר אזעקה</v>
      </c>
      <c r="AO616" s="4" t="str">
        <f>IFERROR(__xludf.DUMMYFUNCTION("GOOGLETRANSLATE(B616,""en"",""is"")"),"Stilltu vekjaraklukkuna")</f>
        <v>Stilltu vekjaraklukkuna</v>
      </c>
      <c r="AP616" s="4" t="str">
        <f>IFERROR(__xludf.DUMMYFUNCTION("GOOGLETRANSLATE(B616,""en"",""no"")"),"Still inn alarm")</f>
        <v>Still inn alarm</v>
      </c>
      <c r="AQ616" s="4" t="str">
        <f>IFERROR(__xludf.DUMMYFUNCTION("GOOGLETRANSLATE(B616,""en"",""fa"")"),"زنگ هشدار را تنظیم کنید")</f>
        <v>زنگ هشدار را تنظیم کنید</v>
      </c>
      <c r="AR616" s="4" t="str">
        <f>IFERROR(__xludf.DUMMYFUNCTION("GOOGLETRANSLATE(B616,""en"",""pl"")"),"Ustaw alarm")</f>
        <v>Ustaw alarm</v>
      </c>
      <c r="AS616" s="4" t="str">
        <f>IFERROR(__xludf.DUMMYFUNCTION("GOOGLETRANSLATE(B616,""en"",""sv"")"),"Ställ in larm")</f>
        <v>Ställ in larm</v>
      </c>
      <c r="AT616" s="4" t="str">
        <f>IFERROR(__xludf.DUMMYFUNCTION("GOOGLETRANSLATE(B616,""en"",""uk"")"),"Встановити будильник")</f>
        <v>Встановити будильник</v>
      </c>
      <c r="AU616" s="4" t="str">
        <f>IFERROR(__xludf.DUMMYFUNCTION("GOOGLETRANSLATE(B616,""en"",""zu"")"),"Setha i-alamu")</f>
        <v>Setha i-alamu</v>
      </c>
      <c r="AV616" s="4" t="str">
        <f>IFERROR(__xludf.DUMMYFUNCTION("GOOGLETRANSLATE(B616,""en"",""sr"")"),"Подесите аларм")</f>
        <v>Подесите аларм</v>
      </c>
    </row>
    <row r="617">
      <c r="A617" s="3" t="s">
        <v>1180</v>
      </c>
      <c r="B617" s="3" t="s">
        <v>1181</v>
      </c>
      <c r="C617" s="4" t="str">
        <f>IFERROR(__xludf.DUMMYFUNCTION("GOOGLETRANSLATE(B617,""en"",""ta"")"),"அனுமதி தேவை")</f>
        <v>அனுமதி தேவை</v>
      </c>
      <c r="D617" s="4" t="str">
        <f>IFERROR(__xludf.DUMMYFUNCTION("GOOGLETRANSLATE(B617,""en"",""hi"")"),"अनुमति आवश्यक")</f>
        <v>अनुमति आवश्यक</v>
      </c>
      <c r="E617" s="4" t="str">
        <f>IFERROR(__xludf.DUMMYFUNCTION("GOOGLETRANSLATE(B617,""en"",""id"")"),"Diperlukan Izin")</f>
        <v>Diperlukan Izin</v>
      </c>
      <c r="F617" s="4" t="str">
        <f>IFERROR(__xludf.DUMMYFUNCTION("GOOGLETRANSLATE(B617,""en"",""ms"")"),"Kebenaran Diperlukan")</f>
        <v>Kebenaran Diperlukan</v>
      </c>
      <c r="G617" s="4" t="str">
        <f>IFERROR(__xludf.DUMMYFUNCTION("GOOGLETRANSLATE(B617,""en"",""de"")"),"Berechtigung erforderlich")</f>
        <v>Berechtigung erforderlich</v>
      </c>
      <c r="H617" s="4" t="str">
        <f>IFERROR(__xludf.DUMMYFUNCTION("GOOGLETRANSLATE(B617,""en"",""es"")"),"Se requiere permiso")</f>
        <v>Se requiere permiso</v>
      </c>
      <c r="I617" s="4" t="str">
        <f>IFERROR(__xludf.DUMMYFUNCTION("GOOGLETRANSLATE(B617,""en"",""fr"")"),"Autorisation requise")</f>
        <v>Autorisation requise</v>
      </c>
      <c r="J617" s="4" t="str">
        <f>IFERROR(__xludf.DUMMYFUNCTION("GOOGLETRANSLATE(B617,""en"",""it"")"),"Permesso richiesto")</f>
        <v>Permesso richiesto</v>
      </c>
      <c r="K617" s="4" t="str">
        <f>IFERROR(__xludf.DUMMYFUNCTION("GOOGLETRANSLATE(B617,""en"",""pt"")"),"Permissão necessária")</f>
        <v>Permissão necessária</v>
      </c>
      <c r="L617" s="4" t="str">
        <f>IFERROR(__xludf.DUMMYFUNCTION("GOOGLETRANSLATE(B617,""en"",""ro"")"),"Permisiune necesară")</f>
        <v>Permisiune necesară</v>
      </c>
      <c r="M617" s="4" t="str">
        <f>IFERROR(__xludf.DUMMYFUNCTION("GOOGLETRANSLATE(B617,""en"",""vi"")"),"Cần có sự cho phép")</f>
        <v>Cần có sự cho phép</v>
      </c>
      <c r="N617" s="4" t="str">
        <f>IFERROR(__xludf.DUMMYFUNCTION("GOOGLETRANSLATE(B617,""en"",""ru"")"),"Требуется разрешение")</f>
        <v>Требуется разрешение</v>
      </c>
      <c r="O617" s="4" t="str">
        <f>IFERROR(__xludf.DUMMYFUNCTION("GOOGLETRANSLATE(B617,""en"",""tr"")"),"İzin Gerekli")</f>
        <v>İzin Gerekli</v>
      </c>
      <c r="P617" s="4" t="str">
        <f>IFERROR(__xludf.DUMMYFUNCTION("GOOGLETRANSLATE(B617,""en"",""ar"")"),"مطلوب إذن")</f>
        <v>مطلوب إذن</v>
      </c>
      <c r="Q617" s="4" t="str">
        <f>IFERROR(__xludf.DUMMYFUNCTION("GOOGLETRANSLATE(B617,""en"",""mr"")"),"परवानगी आवश्यक")</f>
        <v>परवानगी आवश्यक</v>
      </c>
      <c r="R617" s="4" t="str">
        <f>IFERROR(__xludf.DUMMYFUNCTION("GOOGLETRANSLATE(B617,""en"",""gu"")"),"પરવાનગી જરૂરી છે")</f>
        <v>પરવાનગી જરૂરી છે</v>
      </c>
      <c r="S617" s="4" t="str">
        <f>IFERROR(__xludf.DUMMYFUNCTION("GOOGLETRANSLATE(B617,""en"",""bn"")"),"অনুমতি প্রয়োজন")</f>
        <v>অনুমতি প্রয়োজন</v>
      </c>
      <c r="T617" s="4" t="str">
        <f>IFERROR(__xludf.DUMMYFUNCTION("GOOGLETRANSLATE(B617,""en"",""pa"")"),"ਇਜਾਜ਼ਤ ਦੀ ਲੋੜ ਹੈ")</f>
        <v>ਇਜਾਜ਼ਤ ਦੀ ਲੋੜ ਹੈ</v>
      </c>
      <c r="U617" s="4" t="str">
        <f>IFERROR(__xludf.DUMMYFUNCTION("GOOGLETRANSLATE(B617,""en"",""te"")"),"అనుమతి అవసరం")</f>
        <v>అనుమతి అవసరం</v>
      </c>
      <c r="V617" s="4" t="str">
        <f>IFERROR(__xludf.DUMMYFUNCTION("GOOGLETRANSLATE(B617,""en"",""kn"")"),"ಅನುಮತಿ ಅಗತ್ಯವಿದೆ")</f>
        <v>ಅನುಮತಿ ಅಗತ್ಯವಿದೆ</v>
      </c>
      <c r="W617" s="4" t="str">
        <f>IFERROR(__xludf.DUMMYFUNCTION("GOOGLETRANSLATE(B617,""en"",""ml"")"),"അനുമതി ആവശ്യമാണ്")</f>
        <v>അനുമതി ആവശ്യമാണ്</v>
      </c>
      <c r="X617" s="4" t="str">
        <f>IFERROR(__xludf.DUMMYFUNCTION("GOOGLETRANSLATE(B617,""en"",""th"")"),"ต้องได้รับอนุญาต")</f>
        <v>ต้องได้รับอนุญาต</v>
      </c>
      <c r="Y617" s="4" t="str">
        <f>IFERROR(__xludf.DUMMYFUNCTION("GOOGLETRANSLATE(B617,""en"",""ko"")"),"허가 필요")</f>
        <v>허가 필요</v>
      </c>
      <c r="Z617" s="4" t="str">
        <f>IFERROR(__xludf.DUMMYFUNCTION("GOOGLETRANSLATE(B617,""en"",""zh"")"),"需要许可")</f>
        <v>需要许可</v>
      </c>
      <c r="AA617" s="4" t="str">
        <f>IFERROR(__xludf.DUMMYFUNCTION("GOOGLETRANSLATE(B617,""en"",""zh-TW"")"),"需要許可")</f>
        <v>需要許可</v>
      </c>
      <c r="AB617" s="4" t="str">
        <f>IFERROR(__xludf.DUMMYFUNCTION("GOOGLETRANSLATE(B617,""en"",""ja"")"),"許可が必要です")</f>
        <v>許可が必要です</v>
      </c>
      <c r="AC617" s="4" t="str">
        <f>IFERROR(__xludf.DUMMYFUNCTION("GOOGLETRANSLATE(B617,""en"",""bg"")"),"Изисква се разрешение")</f>
        <v>Изисква се разрешение</v>
      </c>
      <c r="AD617" s="4" t="str">
        <f>IFERROR(__xludf.DUMMYFUNCTION("GOOGLETRANSLATE(B617,""en"",""cs"")"),"Je vyžadováno povolení")</f>
        <v>Je vyžadováno povolení</v>
      </c>
      <c r="AE617" s="4" t="str">
        <f>IFERROR(__xludf.DUMMYFUNCTION("GOOGLETRANSLATE(B617,""en"",""da"")"),"Tilladelse påkrævet")</f>
        <v>Tilladelse påkrævet</v>
      </c>
      <c r="AF617" s="4" t="str">
        <f>IFERROR(__xludf.DUMMYFUNCTION("GOOGLETRANSLATE(B617,""en"",""el"")"),"Απαιτείται άδεια")</f>
        <v>Απαιτείται άδεια</v>
      </c>
      <c r="AG617" s="4" t="str">
        <f>IFERROR(__xludf.DUMMYFUNCTION("GOOGLETRANSLATE(B617,""en"",""et"")"),"Nõutav luba")</f>
        <v>Nõutav luba</v>
      </c>
      <c r="AH617" s="4" t="str">
        <f>IFERROR(__xludf.DUMMYFUNCTION("GOOGLETRANSLATE(B617,""en"",""fi"")"),"Lupa vaaditaan")</f>
        <v>Lupa vaaditaan</v>
      </c>
      <c r="AI617" s="4" t="str">
        <f>IFERROR(__xludf.DUMMYFUNCTION("GOOGLETRANSLATE(B617,""en"",""hr"")"),"Potrebno dopuštenje")</f>
        <v>Potrebno dopuštenje</v>
      </c>
      <c r="AJ617" s="4" t="str">
        <f>IFERROR(__xludf.DUMMYFUNCTION("GOOGLETRANSLATE(B617,""en"",""hu"")"),"Engedély szükséges")</f>
        <v>Engedély szükséges</v>
      </c>
      <c r="AK617" s="4" t="str">
        <f>IFERROR(__xludf.DUMMYFUNCTION("GOOGLETRANSLATE(B617,""en"",""hy"")"),"Պահանջվում է թույլտվություն")</f>
        <v>Պահանջվում է թույլտվություն</v>
      </c>
      <c r="AL617" s="4" t="str">
        <f>IFERROR(__xludf.DUMMYFUNCTION("GOOGLETRANSLATE(B617,""en"",""ca"")"),"Permís necessari")</f>
        <v>Permís necessari</v>
      </c>
      <c r="AM617" s="4" t="str">
        <f>IFERROR(__xludf.DUMMYFUNCTION("GOOGLETRANSLATE(B617,""en"",""nl"")"),"Toestemming vereist")</f>
        <v>Toestemming vereist</v>
      </c>
      <c r="AN617" s="4" t="str">
        <f>IFERROR(__xludf.DUMMYFUNCTION("GOOGLETRANSLATE(B617,""en"",""he"")"),"נדרשת הרשאה")</f>
        <v>נדרשת הרשאה</v>
      </c>
      <c r="AO617" s="4" t="str">
        <f>IFERROR(__xludf.DUMMYFUNCTION("GOOGLETRANSLATE(B617,""en"",""is"")"),"Leyfi krafist")</f>
        <v>Leyfi krafist</v>
      </c>
      <c r="AP617" s="4" t="str">
        <f>IFERROR(__xludf.DUMMYFUNCTION("GOOGLETRANSLATE(B617,""en"",""no"")"),"Tillatelse kreves")</f>
        <v>Tillatelse kreves</v>
      </c>
      <c r="AQ617" s="4" t="str">
        <f>IFERROR(__xludf.DUMMYFUNCTION("GOOGLETRANSLATE(B617,""en"",""fa"")"),"مجوز لازم است")</f>
        <v>مجوز لازم است</v>
      </c>
      <c r="AR617" s="4" t="str">
        <f>IFERROR(__xludf.DUMMYFUNCTION("GOOGLETRANSLATE(B617,""en"",""pl"")"),"Wymagane pozwolenie")</f>
        <v>Wymagane pozwolenie</v>
      </c>
      <c r="AS617" s="4" t="str">
        <f>IFERROR(__xludf.DUMMYFUNCTION("GOOGLETRANSLATE(B617,""en"",""sv"")"),"Tillstånd krävs")</f>
        <v>Tillstånd krävs</v>
      </c>
      <c r="AT617" s="4" t="str">
        <f>IFERROR(__xludf.DUMMYFUNCTION("GOOGLETRANSLATE(B617,""en"",""uk"")"),"Потрібен дозвіл")</f>
        <v>Потрібен дозвіл</v>
      </c>
      <c r="AU617" s="4" t="str">
        <f>IFERROR(__xludf.DUMMYFUNCTION("GOOGLETRANSLATE(B617,""en"",""zu"")"),"Imvume Iyadingeka")</f>
        <v>Imvume Iyadingeka</v>
      </c>
      <c r="AV617" s="4" t="str">
        <f>IFERROR(__xludf.DUMMYFUNCTION("GOOGLETRANSLATE(B617,""en"",""sr"")"),"Потребна је дозвола")</f>
        <v>Потребна је дозвола</v>
      </c>
    </row>
    <row r="618">
      <c r="A618" s="3" t="s">
        <v>1182</v>
      </c>
      <c r="B618" s="3" t="s">
        <v>1183</v>
      </c>
      <c r="C618" s="4" t="str">
        <f>IFERROR(__xludf.DUMMYFUNCTION("GOOGLETRANSLATE(B618,""en"",""ta"")"),"ஜியோஃபென்சிங்கிற்கு பின்னணி இருப்பிட அனுமதி தேவை. அமைப்புகளைத் திறக்க விரும்புகிறீர்களா?")</f>
        <v>ஜியோஃபென்சிங்கிற்கு பின்னணி இருப்பிட அனுமதி தேவை. அமைப்புகளைத் திறக்க விரும்புகிறீர்களா?</v>
      </c>
      <c r="D618" s="4" t="str">
        <f>IFERROR(__xludf.DUMMYFUNCTION("GOOGLETRANSLATE(B618,""en"",""hi"")"),"जियोफ़ेंसिंग के लिए बैकग्राउंड लोकेशन की अनुमति ज़रूरी है। क्या आप सेटिंग खोलना चाहेंगे?")</f>
        <v>जियोफ़ेंसिंग के लिए बैकग्राउंड लोकेशन की अनुमति ज़रूरी है। क्या आप सेटिंग खोलना चाहेंगे?</v>
      </c>
      <c r="E618" s="4" t="str">
        <f>IFERROR(__xludf.DUMMYFUNCTION("GOOGLETRANSLATE(B618,""en"",""id"")"),"Izin lokasi latar belakang diperlukan untuk geofencing. Apakah Anda ingin membuka pengaturan?")</f>
        <v>Izin lokasi latar belakang diperlukan untuk geofencing. Apakah Anda ingin membuka pengaturan?</v>
      </c>
      <c r="F618" s="4" t="str">
        <f>IFERROR(__xludf.DUMMYFUNCTION("GOOGLETRANSLATE(B618,""en"",""ms"")"),"Kebenaran lokasi latar belakang diperlukan untuk geofencing. Adakah anda mahu membuka tetapan?")</f>
        <v>Kebenaran lokasi latar belakang diperlukan untuk geofencing. Adakah anda mahu membuka tetapan?</v>
      </c>
      <c r="G618" s="4" t="str">
        <f>IFERROR(__xludf.DUMMYFUNCTION("GOOGLETRANSLATE(B618,""en"",""de"")"),"Für Geofencing ist eine Standortberechtigung im Hintergrund erforderlich. Möchten Sie die Einstellungen öffnen?")</f>
        <v>Für Geofencing ist eine Standortberechtigung im Hintergrund erforderlich. Möchten Sie die Einstellungen öffnen?</v>
      </c>
      <c r="H618" s="4" t="str">
        <f>IFERROR(__xludf.DUMMYFUNCTION("GOOGLETRANSLATE(B618,""en"",""es"")"),"Se requiere permiso de ubicación en segundo plano para geofencing. ¿Quieres abrir la configuración?")</f>
        <v>Se requiere permiso de ubicación en segundo plano para geofencing. ¿Quieres abrir la configuración?</v>
      </c>
      <c r="I618" s="4" t="str">
        <f>IFERROR(__xludf.DUMMYFUNCTION("GOOGLETRANSLATE(B618,""en"",""fr"")"),"L'autorisation de localisation en arrière-plan est requise pour le géorepérage. Souhaitez-vous ouvrir les paramètres ?")</f>
        <v>L'autorisation de localisation en arrière-plan est requise pour le géorepérage. Souhaitez-vous ouvrir les paramètres ?</v>
      </c>
      <c r="J618" s="4" t="str">
        <f>IFERROR(__xludf.DUMMYFUNCTION("GOOGLETRANSLATE(B618,""en"",""it"")"),"Per il geofencing è richiesta l'autorizzazione alla posizione in background. Vuoi aprire le impostazioni?")</f>
        <v>Per il geofencing è richiesta l'autorizzazione alla posizione in background. Vuoi aprire le impostazioni?</v>
      </c>
      <c r="K618" s="4" t="str">
        <f>IFERROR(__xludf.DUMMYFUNCTION("GOOGLETRANSLATE(B618,""en"",""pt"")"),"É necessária permissão de localização em segundo plano para geofencing. Deseja abrir as configurações?")</f>
        <v>É necessária permissão de localização em segundo plano para geofencing. Deseja abrir as configurações?</v>
      </c>
      <c r="L618" s="4" t="str">
        <f>IFERROR(__xludf.DUMMYFUNCTION("GOOGLETRANSLATE(B618,""en"",""ro"")"),"Este necesară permisiunea de locație în fundal pentru geofencing. Doriți să deschideți setările?")</f>
        <v>Este necesară permisiunea de locație în fundal pentru geofencing. Doriți să deschideți setările?</v>
      </c>
      <c r="M618" s="4" t="str">
        <f>IFERROR(__xludf.DUMMYFUNCTION("GOOGLETRANSLATE(B618,""en"",""vi"")"),"Cần có quyền vị trí nền để định vị địa lý. Bạn có muốn mở cài đặt không?")</f>
        <v>Cần có quyền vị trí nền để định vị địa lý. Bạn có muốn mở cài đặt không?</v>
      </c>
      <c r="N618" s="4" t="str">
        <f>IFERROR(__xludf.DUMMYFUNCTION("GOOGLETRANSLATE(B618,""en"",""ru"")"),"Для геозонирования требуется разрешение на фоновое местоположение. Хотите открыть настройки?")</f>
        <v>Для геозонирования требуется разрешение на фоновое местоположение. Хотите открыть настройки?</v>
      </c>
      <c r="O618" s="4" t="str">
        <f>IFERROR(__xludf.DUMMYFUNCTION("GOOGLETRANSLATE(B618,""en"",""tr"")"),"Coğrafi sınırlama için arka plan konum izni gereklidir. Ayarları açmak ister misiniz?")</f>
        <v>Coğrafi sınırlama için arka plan konum izni gereklidir. Ayarları açmak ister misiniz?</v>
      </c>
      <c r="P618" s="4" t="str">
        <f>IFERROR(__xludf.DUMMYFUNCTION("GOOGLETRANSLATE(B618,""en"",""ar"")"),"يتطلب تحديد الموقع الجغرافي في الخلفية إذنًا. هل ترغب في فتح الإعدادات؟")</f>
        <v>يتطلب تحديد الموقع الجغرافي في الخلفية إذنًا. هل ترغب في فتح الإعدادات؟</v>
      </c>
      <c r="Q618" s="4" t="str">
        <f>IFERROR(__xludf.DUMMYFUNCTION("GOOGLETRANSLATE(B618,""en"",""mr"")"),"जिओफेन्सिंगसाठी पार्श्वभूमी स्थान परवानगी आवश्यक आहे. तुम्ही सेटिंग्ज उघडू इच्छिता?")</f>
        <v>जिओफेन्सिंगसाठी पार्श्वभूमी स्थान परवानगी आवश्यक आहे. तुम्ही सेटिंग्ज उघडू इच्छिता?</v>
      </c>
      <c r="R618" s="4" t="str">
        <f>IFERROR(__xludf.DUMMYFUNCTION("GOOGLETRANSLATE(B618,""en"",""gu"")"),"જીઓફેન્સિંગ માટે પૃષ્ઠભૂમિ સ્થાનની પરવાનગી જરૂરી છે. શું તમે સેટિંગ્સ ખોલવા માંગો છો?")</f>
        <v>જીઓફેન્સિંગ માટે પૃષ્ઠભૂમિ સ્થાનની પરવાનગી જરૂરી છે. શું તમે સેટિંગ્સ ખોલવા માંગો છો?</v>
      </c>
      <c r="S618" s="4" t="str">
        <f>IFERROR(__xludf.DUMMYFUNCTION("GOOGLETRANSLATE(B618,""en"",""bn"")"),"জিওফেন্সিংয়ের জন্য পটভূমি অবস্থানের অনুমতি প্রয়োজন। আপনি সেটিংস খুলতে চান?")</f>
        <v>জিওফেন্সিংয়ের জন্য পটভূমি অবস্থানের অনুমতি প্রয়োজন। আপনি সেটিংস খুলতে চান?</v>
      </c>
      <c r="T618" s="4" t="str">
        <f>IFERROR(__xludf.DUMMYFUNCTION("GOOGLETRANSLATE(B618,""en"",""pa"")"),"ਜੀਓਫੈਂਸਿੰਗ ਲਈ ਬੈਕਗ੍ਰਾਊਂਡ ਟਿਕਾਣਾ ਇਜਾਜ਼ਤ ਦੀ ਲੋੜ ਹੈ। ਕੀ ਤੁਸੀਂ ਸੈਟਿੰਗਾਂ ਖੋਲ੍ਹਣਾ ਚਾਹੁੰਦੇ ਹੋ?")</f>
        <v>ਜੀਓਫੈਂਸਿੰਗ ਲਈ ਬੈਕਗ੍ਰਾਊਂਡ ਟਿਕਾਣਾ ਇਜਾਜ਼ਤ ਦੀ ਲੋੜ ਹੈ। ਕੀ ਤੁਸੀਂ ਸੈਟਿੰਗਾਂ ਖੋਲ੍ਹਣਾ ਚਾਹੁੰਦੇ ਹੋ?</v>
      </c>
      <c r="U618" s="4" t="str">
        <f>IFERROR(__xludf.DUMMYFUNCTION("GOOGLETRANSLATE(B618,""en"",""te"")"),"జియోఫెన్సింగ్ కోసం బ్యాక్‌గ్రౌండ్ లొకేషన్ అనుమతి అవసరం. మీరు సెట్టింగ్‌లను తెరవాలనుకుంటున్నారా?")</f>
        <v>జియోఫెన్సింగ్ కోసం బ్యాక్‌గ్రౌండ్ లొకేషన్ అనుమతి అవసరం. మీరు సెట్టింగ్‌లను తెరవాలనుకుంటున్నారా?</v>
      </c>
      <c r="V618" s="4" t="str">
        <f>IFERROR(__xludf.DUMMYFUNCTION("GOOGLETRANSLATE(B618,""en"",""kn"")"),"ಜಿಯೋಫೆನ್ಸಿಂಗ್‌ಗೆ ಹಿನ್ನೆಲೆ ಸ್ಥಳ ಅನುಮತಿಯ ಅಗತ್ಯವಿದೆ. ನೀವು ಸೆಟ್ಟಿಂಗ್‌ಗಳನ್ನು ತೆರೆಯಲು ಬಯಸುವಿರಾ?")</f>
        <v>ಜಿಯೋಫೆನ್ಸಿಂಗ್‌ಗೆ ಹಿನ್ನೆಲೆ ಸ್ಥಳ ಅನುಮತಿಯ ಅಗತ್ಯವಿದೆ. ನೀವು ಸೆಟ್ಟಿಂಗ್‌ಗಳನ್ನು ತೆರೆಯಲು ಬಯಸುವಿರಾ?</v>
      </c>
      <c r="W618" s="4" t="str">
        <f>IFERROR(__xludf.DUMMYFUNCTION("GOOGLETRANSLATE(B618,""en"",""ml"")"),"ജിയോഫെൻസിംഗിന് പശ്ചാത്തല ലൊക്കേഷൻ അനുമതി ആവശ്യമാണ്. നിങ്ങൾക്ക് ക്രമീകരണം തുറക്കാൻ താൽപ്പര്യമുണ്ടോ?")</f>
        <v>ജിയോഫെൻസിംഗിന് പശ്ചാത്തല ലൊക്കേഷൻ അനുമതി ആവശ്യമാണ്. നിങ്ങൾക്ക് ക്രമീകരണം തുറക്കാൻ താൽപ്പര്യമുണ്ടോ?</v>
      </c>
      <c r="X618" s="4" t="str">
        <f>IFERROR(__xludf.DUMMYFUNCTION("GOOGLETRANSLATE(B618,""en"",""th"")"),"ต้องได้รับอนุญาตในการระบุตำแหน่งพื้นหลังสำหรับการกำหนดตำแหน่งทางภูมิศาสตร์ คุณต้องการเปิดการตั้งค่าหรือไม่")</f>
        <v>ต้องได้รับอนุญาตในการระบุตำแหน่งพื้นหลังสำหรับการกำหนดตำแหน่งทางภูมิศาสตร์ คุณต้องการเปิดการตั้งค่าหรือไม่</v>
      </c>
      <c r="Y618" s="4" t="str">
        <f>IFERROR(__xludf.DUMMYFUNCTION("GOOGLETRANSLATE(B618,""en"",""ko"")"),"지오펜싱을 사용하려면 백그라운드 위치 권한이 필요합니다. 설정을 열겠습니까?")</f>
        <v>지오펜싱을 사용하려면 백그라운드 위치 권한이 필요합니다. 설정을 열겠습니까?</v>
      </c>
      <c r="Z618" s="4" t="str">
        <f>IFERROR(__xludf.DUMMYFUNCTION("GOOGLETRANSLATE(B618,""en"",""zh"")"),"地理围栏需要后台位置权限。您要打开设置吗？")</f>
        <v>地理围栏需要后台位置权限。您要打开设置吗？</v>
      </c>
      <c r="AA618" s="4" t="str">
        <f>IFERROR(__xludf.DUMMYFUNCTION("GOOGLETRANSLATE(B618,""en"",""zh-TW"")"),"地理圍籬需要後台位置權限。您要開啟設定嗎？")</f>
        <v>地理圍籬需要後台位置權限。您要開啟設定嗎？</v>
      </c>
      <c r="AB618" s="4" t="str">
        <f>IFERROR(__xludf.DUMMYFUNCTION("GOOGLETRANSLATE(B618,""en"",""ja"")"),"ジオフェンシングにはバックグラウンドでの位置情報の許可が必要です。設定を開きますか？")</f>
        <v>ジオフェンシングにはバックグラウンドでの位置情報の許可が必要です。設定を開きますか？</v>
      </c>
      <c r="AC618" s="4" t="str">
        <f>IFERROR(__xludf.DUMMYFUNCTION("GOOGLETRANSLATE(B618,""en"",""bg"")"),"Изисква се разрешение за фоново местоположение за геозониране. Искате ли да отворите настройките?")</f>
        <v>Изисква се разрешение за фоново местоположение за геозониране. Искате ли да отворите настройките?</v>
      </c>
      <c r="AD618" s="4" t="str">
        <f>IFERROR(__xludf.DUMMYFUNCTION("GOOGLETRANSLATE(B618,""en"",""cs"")"),"Pro geofencing je vyžadováno oprávnění k umístění na pozadí. Chcete otevřít nastavení?")</f>
        <v>Pro geofencing je vyžadováno oprávnění k umístění na pozadí. Chcete otevřít nastavení?</v>
      </c>
      <c r="AE618" s="4" t="str">
        <f>IFERROR(__xludf.DUMMYFUNCTION("GOOGLETRANSLATE(B618,""en"",""da"")"),"Baggrundsplaceringstilladelse er påkrævet for geofencing. Vil du åbne indstillinger?")</f>
        <v>Baggrundsplaceringstilladelse er påkrævet for geofencing. Vil du åbne indstillinger?</v>
      </c>
      <c r="AF618" s="4" t="str">
        <f>IFERROR(__xludf.DUMMYFUNCTION("GOOGLETRANSLATE(B618,""en"",""el"")"),"Απαιτείται άδεια τοποθεσίας στο παρασκήνιο για geofencing. Θέλετε να ανοίξετε τις ρυθμίσεις;")</f>
        <v>Απαιτείται άδεια τοποθεσίας στο παρασκήνιο για geofencing. Θέλετε να ανοίξετε τις ρυθμίσεις;</v>
      </c>
      <c r="AG618" s="4" t="str">
        <f>IFERROR(__xludf.DUMMYFUNCTION("GOOGLETRANSLATE(B618,""en"",""et"")"),"Geopiirde tegemiseks on vaja tausta asukoha luba. Kas soovite seaded avada?")</f>
        <v>Geopiirde tegemiseks on vaja tausta asukoha luba. Kas soovite seaded avada?</v>
      </c>
      <c r="AH618" s="4" t="str">
        <f>IFERROR(__xludf.DUMMYFUNCTION("GOOGLETRANSLATE(B618,""en"",""fi"")"),"Geoaitaukseen tarvitaan taustasijainnin lupa. Haluatko avata asetukset?")</f>
        <v>Geoaitaukseen tarvitaan taustasijainnin lupa. Haluatko avata asetukset?</v>
      </c>
      <c r="AI618" s="4" t="str">
        <f>IFERROR(__xludf.DUMMYFUNCTION("GOOGLETRANSLATE(B618,""en"",""hr"")"),"Dopuštenje za lokaciju u pozadini potrebno je za geofencing. Želite li otvoriti postavke?")</f>
        <v>Dopuštenje za lokaciju u pozadini potrebno je za geofencing. Želite li otvoriti postavke?</v>
      </c>
      <c r="AJ618" s="4" t="str">
        <f>IFERROR(__xludf.DUMMYFUNCTION("GOOGLETRANSLATE(B618,""en"",""hu"")"),"A geokerítéshez háttér helymeghatározási engedély szükséges. Szeretné megnyitni a beállításokat?")</f>
        <v>A geokerítéshez háttér helymeghatározási engedély szükséges. Szeretné megnyitni a beállításokat?</v>
      </c>
      <c r="AK618" s="4" t="str">
        <f>IFERROR(__xludf.DUMMYFUNCTION("GOOGLETRANSLATE(B618,""en"",""hy"")"),"Ֆոնային տեղակայման թույլտվությունը պահանջվում է աշխարհագրական ցանկապատման համար: Ցանկանու՞մ եք բացել կարգավորումները:")</f>
        <v>Ֆոնային տեղակայման թույլտվությունը պահանջվում է աշխարհագրական ցանկապատման համար: Ցանկանու՞մ եք բացել կարգավորումները:</v>
      </c>
      <c r="AL618" s="4" t="str">
        <f>IFERROR(__xludf.DUMMYFUNCTION("GOOGLETRANSLATE(B618,""en"",""ca"")"),"Es requereix permís d'ubicació en segon pla per al geofencing. Vols obrir la configuració?")</f>
        <v>Es requereix permís d'ubicació en segon pla per al geofencing. Vols obrir la configuració?</v>
      </c>
      <c r="AM618" s="4" t="str">
        <f>IFERROR(__xludf.DUMMYFUNCTION("GOOGLETRANSLATE(B618,""en"",""nl"")"),"Toestemming voor achtergrondlocatie is vereist voor geofencing. Wilt u de instellingen openen?")</f>
        <v>Toestemming voor achtergrondlocatie is vereist voor geofencing. Wilt u de instellingen openen?</v>
      </c>
      <c r="AN618" s="4" t="str">
        <f>IFERROR(__xludf.DUMMYFUNCTION("GOOGLETRANSLATE(B618,""en"",""he"")"),"נדרשת הרשאת מיקום ברקע לגיוף גיאוגרפי. האם תרצה לפתוח הגדרות?")</f>
        <v>נדרשת הרשאת מיקום ברקע לגיוף גיאוגרפי. האם תרצה לפתוח הגדרות?</v>
      </c>
      <c r="AO618" s="4" t="str">
        <f>IFERROR(__xludf.DUMMYFUNCTION("GOOGLETRANSLATE(B618,""en"",""is"")"),"Staðsetningarheimild í bakgrunni er krafist fyrir landfræðilega girðingu. Viltu opna stillingar?")</f>
        <v>Staðsetningarheimild í bakgrunni er krafist fyrir landfræðilega girðingu. Viltu opna stillingar?</v>
      </c>
      <c r="AP618" s="4" t="str">
        <f>IFERROR(__xludf.DUMMYFUNCTION("GOOGLETRANSLATE(B618,""en"",""no"")"),"Bakgrunnstillatelse for plassering kreves for geofencing. Vil du åpne innstillinger?")</f>
        <v>Bakgrunnstillatelse for plassering kreves for geofencing. Vil du åpne innstillinger?</v>
      </c>
      <c r="AQ618" s="4" t="str">
        <f>IFERROR(__xludf.DUMMYFUNCTION("GOOGLETRANSLATE(B618,""en"",""fa"")"),"مجوز مکان پس‌زمینه برای حصار جغرافیایی مورد نیاز است. آیا می خواهید تنظیمات را باز کنید؟")</f>
        <v>مجوز مکان پس‌زمینه برای حصار جغرافیایی مورد نیاز است. آیا می خواهید تنظیمات را باز کنید؟</v>
      </c>
      <c r="AR618" s="4" t="str">
        <f>IFERROR(__xludf.DUMMYFUNCTION("GOOGLETRANSLATE(B618,""en"",""pl"")"),"Do geofencingu wymagane jest zezwolenie na lokalizację tła. Czy chcesz otworzyć ustawienia?")</f>
        <v>Do geofencingu wymagane jest zezwolenie na lokalizację tła. Czy chcesz otworzyć ustawienia?</v>
      </c>
      <c r="AS618" s="4" t="str">
        <f>IFERROR(__xludf.DUMMYFUNCTION("GOOGLETRANSLATE(B618,""en"",""sv"")"),"Bakgrundstillstånd krävs för geofencing. Vill du öppna inställningarna?")</f>
        <v>Bakgrundstillstånd krävs för geofencing. Vill du öppna inställningarna?</v>
      </c>
      <c r="AT618" s="4" t="str">
        <f>IFERROR(__xludf.DUMMYFUNCTION("GOOGLETRANSLATE(B618,""en"",""uk"")"),"Для геозонування потрібен дозвіл на фонове місцезнаходження. Бажаєте відкрити налаштування?")</f>
        <v>Для геозонування потрібен дозвіл на фонове місцезнаходження. Бажаєте відкрити налаштування?</v>
      </c>
      <c r="AU618" s="4" t="str">
        <f>IFERROR(__xludf.DUMMYFUNCTION("GOOGLETRANSLATE(B618,""en"",""zu"")"),"Imvume yendawo engemuva iyadingeka ku-geofencing. Ungathanda ukuvula izilungiselelo?")</f>
        <v>Imvume yendawo engemuva iyadingeka ku-geofencing. Ungathanda ukuvula izilungiselelo?</v>
      </c>
      <c r="AV618" s="4" t="str">
        <f>IFERROR(__xludf.DUMMYFUNCTION("GOOGLETRANSLATE(B618,""en"",""sr"")"),"Дозвола за локацију у позадини је потребна за геофенцинг. Да ли желите да отворите подешавања?")</f>
        <v>Дозвола за локацију у позадини је потребна за геофенцинг. Да ли желите да отворите подешавања?</v>
      </c>
    </row>
    <row r="619">
      <c r="A619" s="3" t="s">
        <v>1184</v>
      </c>
      <c r="B619" s="3" t="s">
        <v>357</v>
      </c>
      <c r="C619" s="4" t="str">
        <f>IFERROR(__xludf.DUMMYFUNCTION("GOOGLETRANSLATE(B619,""en"",""ta"")"),"ரத்து செய்")</f>
        <v>ரத்து செய்</v>
      </c>
      <c r="D619" s="4" t="str">
        <f>IFERROR(__xludf.DUMMYFUNCTION("GOOGLETRANSLATE(B619,""en"",""hi"")"),"रद्द करना")</f>
        <v>रद्द करना</v>
      </c>
      <c r="E619" s="4" t="str">
        <f>IFERROR(__xludf.DUMMYFUNCTION("GOOGLETRANSLATE(B619,""en"",""id"")"),"Membatalkan")</f>
        <v>Membatalkan</v>
      </c>
      <c r="F619" s="4" t="str">
        <f>IFERROR(__xludf.DUMMYFUNCTION("GOOGLETRANSLATE(B619,""en"",""ms"")"),"Batal")</f>
        <v>Batal</v>
      </c>
      <c r="G619" s="4" t="str">
        <f>IFERROR(__xludf.DUMMYFUNCTION("GOOGLETRANSLATE(B619,""en"",""de"")"),"Stornieren")</f>
        <v>Stornieren</v>
      </c>
      <c r="H619" s="4" t="str">
        <f>IFERROR(__xludf.DUMMYFUNCTION("GOOGLETRANSLATE(B619,""en"",""es"")"),"Cancelar")</f>
        <v>Cancelar</v>
      </c>
      <c r="I619" s="4" t="str">
        <f>IFERROR(__xludf.DUMMYFUNCTION("GOOGLETRANSLATE(B619,""en"",""fr"")"),"Annuler")</f>
        <v>Annuler</v>
      </c>
      <c r="J619" s="4" t="str">
        <f>IFERROR(__xludf.DUMMYFUNCTION("GOOGLETRANSLATE(B619,""en"",""it"")"),"Cancellare")</f>
        <v>Cancellare</v>
      </c>
      <c r="K619" s="4" t="str">
        <f>IFERROR(__xludf.DUMMYFUNCTION("GOOGLETRANSLATE(B619,""en"",""pt"")"),"Cancelar")</f>
        <v>Cancelar</v>
      </c>
      <c r="L619" s="4" t="str">
        <f>IFERROR(__xludf.DUMMYFUNCTION("GOOGLETRANSLATE(B619,""en"",""ro"")"),"Anula")</f>
        <v>Anula</v>
      </c>
      <c r="M619" s="4" t="str">
        <f>IFERROR(__xludf.DUMMYFUNCTION("GOOGLETRANSLATE(B619,""en"",""vi"")"),"Hủy bỏ")</f>
        <v>Hủy bỏ</v>
      </c>
      <c r="N619" s="4" t="str">
        <f>IFERROR(__xludf.DUMMYFUNCTION("GOOGLETRANSLATE(B619,""en"",""ru"")"),"Отмена")</f>
        <v>Отмена</v>
      </c>
      <c r="O619" s="4" t="str">
        <f>IFERROR(__xludf.DUMMYFUNCTION("GOOGLETRANSLATE(B619,""en"",""tr"")"),"İptal etmek")</f>
        <v>İptal etmek</v>
      </c>
      <c r="P619" s="4" t="str">
        <f>IFERROR(__xludf.DUMMYFUNCTION("GOOGLETRANSLATE(B619,""en"",""ar"")"),"يلغي")</f>
        <v>يلغي</v>
      </c>
      <c r="Q619" s="4" t="str">
        <f>IFERROR(__xludf.DUMMYFUNCTION("GOOGLETRANSLATE(B619,""en"",""mr"")"),"रद्द करा")</f>
        <v>रद्द करा</v>
      </c>
      <c r="R619" s="4" t="str">
        <f>IFERROR(__xludf.DUMMYFUNCTION("GOOGLETRANSLATE(B619,""en"",""gu"")"),"રદ કરો")</f>
        <v>રદ કરો</v>
      </c>
      <c r="S619" s="4" t="str">
        <f>IFERROR(__xludf.DUMMYFUNCTION("GOOGLETRANSLATE(B619,""en"",""bn"")"),"বাতিল করুন")</f>
        <v>বাতিল করুন</v>
      </c>
      <c r="T619" s="4" t="str">
        <f>IFERROR(__xludf.DUMMYFUNCTION("GOOGLETRANSLATE(B619,""en"",""pa"")"),"ਰੱਦ ਕਰੋ")</f>
        <v>ਰੱਦ ਕਰੋ</v>
      </c>
      <c r="U619" s="4" t="str">
        <f>IFERROR(__xludf.DUMMYFUNCTION("GOOGLETRANSLATE(B619,""en"",""te"")"),"రద్దు చేయి")</f>
        <v>రద్దు చేయి</v>
      </c>
      <c r="V619" s="4" t="str">
        <f>IFERROR(__xludf.DUMMYFUNCTION("GOOGLETRANSLATE(B619,""en"",""kn"")"),"ರದ್ದುಮಾಡು")</f>
        <v>ರದ್ದುಮಾಡು</v>
      </c>
      <c r="W619" s="4" t="str">
        <f>IFERROR(__xludf.DUMMYFUNCTION("GOOGLETRANSLATE(B619,""en"",""ml"")"),"റദ്ദാക്കുക")</f>
        <v>റദ്ദാക്കുക</v>
      </c>
      <c r="X619" s="4" t="str">
        <f>IFERROR(__xludf.DUMMYFUNCTION("GOOGLETRANSLATE(B619,""en"",""th"")"),"ยกเลิก")</f>
        <v>ยกเลิก</v>
      </c>
      <c r="Y619" s="4" t="str">
        <f>IFERROR(__xludf.DUMMYFUNCTION("GOOGLETRANSLATE(B619,""en"",""ko"")"),"취소")</f>
        <v>취소</v>
      </c>
      <c r="Z619" s="4" t="str">
        <f>IFERROR(__xludf.DUMMYFUNCTION("GOOGLETRANSLATE(B619,""en"",""zh"")"),"取消")</f>
        <v>取消</v>
      </c>
      <c r="AA619" s="4" t="str">
        <f>IFERROR(__xludf.DUMMYFUNCTION("GOOGLETRANSLATE(B619,""en"",""zh-TW"")"),"取消")</f>
        <v>取消</v>
      </c>
      <c r="AB619" s="4" t="str">
        <f>IFERROR(__xludf.DUMMYFUNCTION("GOOGLETRANSLATE(B619,""en"",""ja"")"),"キャンセル")</f>
        <v>キャンセル</v>
      </c>
      <c r="AC619" s="4" t="str">
        <f>IFERROR(__xludf.DUMMYFUNCTION("GOOGLETRANSLATE(B619,""en"",""bg"")"),"Отказ")</f>
        <v>Отказ</v>
      </c>
      <c r="AD619" s="4" t="str">
        <f>IFERROR(__xludf.DUMMYFUNCTION("GOOGLETRANSLATE(B619,""en"",""cs"")"),"Zrušit")</f>
        <v>Zrušit</v>
      </c>
      <c r="AE619" s="4" t="str">
        <f>IFERROR(__xludf.DUMMYFUNCTION("GOOGLETRANSLATE(B619,""en"",""da"")"),"Ophæve")</f>
        <v>Ophæve</v>
      </c>
      <c r="AF619" s="4" t="str">
        <f>IFERROR(__xludf.DUMMYFUNCTION("GOOGLETRANSLATE(B619,""en"",""el"")"),"Ματαίωση")</f>
        <v>Ματαίωση</v>
      </c>
      <c r="AG619" s="4" t="str">
        <f>IFERROR(__xludf.DUMMYFUNCTION("GOOGLETRANSLATE(B619,""en"",""et"")"),"Tühista")</f>
        <v>Tühista</v>
      </c>
      <c r="AH619" s="4" t="str">
        <f>IFERROR(__xludf.DUMMYFUNCTION("GOOGLETRANSLATE(B619,""en"",""fi"")"),"Peruuttaa")</f>
        <v>Peruuttaa</v>
      </c>
      <c r="AI619" s="4" t="str">
        <f>IFERROR(__xludf.DUMMYFUNCTION("GOOGLETRANSLATE(B619,""en"",""hr"")"),"Otkazati")</f>
        <v>Otkazati</v>
      </c>
      <c r="AJ619" s="4" t="str">
        <f>IFERROR(__xludf.DUMMYFUNCTION("GOOGLETRANSLATE(B619,""en"",""hu"")"),"Mégsem")</f>
        <v>Mégsem</v>
      </c>
      <c r="AK619" s="4" t="str">
        <f>IFERROR(__xludf.DUMMYFUNCTION("GOOGLETRANSLATE(B619,""en"",""hy"")"),"Չեղարկել")</f>
        <v>Չեղարկել</v>
      </c>
      <c r="AL619" s="4" t="str">
        <f>IFERROR(__xludf.DUMMYFUNCTION("GOOGLETRANSLATE(B619,""en"",""ca"")"),"Cancel·la")</f>
        <v>Cancel·la</v>
      </c>
      <c r="AM619" s="4" t="str">
        <f>IFERROR(__xludf.DUMMYFUNCTION("GOOGLETRANSLATE(B619,""en"",""nl"")"),"Annuleren")</f>
        <v>Annuleren</v>
      </c>
      <c r="AN619" s="4" t="str">
        <f>IFERROR(__xludf.DUMMYFUNCTION("GOOGLETRANSLATE(B619,""en"",""he"")"),"לְבַטֵל")</f>
        <v>לְבַטֵל</v>
      </c>
      <c r="AO619" s="4" t="str">
        <f>IFERROR(__xludf.DUMMYFUNCTION("GOOGLETRANSLATE(B619,""en"",""is"")"),"Hætta við")</f>
        <v>Hætta við</v>
      </c>
      <c r="AP619" s="4" t="str">
        <f>IFERROR(__xludf.DUMMYFUNCTION("GOOGLETRANSLATE(B619,""en"",""no"")"),"Kansellere")</f>
        <v>Kansellere</v>
      </c>
      <c r="AQ619" s="4" t="str">
        <f>IFERROR(__xludf.DUMMYFUNCTION("GOOGLETRANSLATE(B619,""en"",""fa"")"),"لغو کنید")</f>
        <v>لغو کنید</v>
      </c>
      <c r="AR619" s="4" t="str">
        <f>IFERROR(__xludf.DUMMYFUNCTION("GOOGLETRANSLATE(B619,""en"",""pl"")"),"Anulować")</f>
        <v>Anulować</v>
      </c>
      <c r="AS619" s="4" t="str">
        <f>IFERROR(__xludf.DUMMYFUNCTION("GOOGLETRANSLATE(B619,""en"",""sv"")"),"Avboka")</f>
        <v>Avboka</v>
      </c>
      <c r="AT619" s="4" t="str">
        <f>IFERROR(__xludf.DUMMYFUNCTION("GOOGLETRANSLATE(B619,""en"",""uk"")"),"Скасувати")</f>
        <v>Скасувати</v>
      </c>
      <c r="AU619" s="4" t="str">
        <f>IFERROR(__xludf.DUMMYFUNCTION("GOOGLETRANSLATE(B619,""en"",""zu"")"),"Khansela")</f>
        <v>Khansela</v>
      </c>
      <c r="AV619" s="4" t="str">
        <f>IFERROR(__xludf.DUMMYFUNCTION("GOOGLETRANSLATE(B619,""en"",""sr"")"),"Откажи")</f>
        <v>Откажи</v>
      </c>
    </row>
    <row r="620">
      <c r="A620" s="3" t="s">
        <v>1185</v>
      </c>
      <c r="B620" s="3" t="s">
        <v>1186</v>
      </c>
      <c r="C620" s="4" t="str">
        <f>IFERROR(__xludf.DUMMYFUNCTION("GOOGLETRANSLATE(B620,""en"",""ta"")"),"அமைப்புகளைத் திறக்கவும்")</f>
        <v>அமைப்புகளைத் திறக்கவும்</v>
      </c>
      <c r="D620" s="4" t="str">
        <f>IFERROR(__xludf.DUMMYFUNCTION("GOOGLETRANSLATE(B620,""en"",""hi"")"),"खुली सेटिंग")</f>
        <v>खुली सेटिंग</v>
      </c>
      <c r="E620" s="4" t="str">
        <f>IFERROR(__xludf.DUMMYFUNCTION("GOOGLETRANSLATE(B620,""en"",""id"")"),"Buka Pengaturan")</f>
        <v>Buka Pengaturan</v>
      </c>
      <c r="F620" s="4" t="str">
        <f>IFERROR(__xludf.DUMMYFUNCTION("GOOGLETRANSLATE(B620,""en"",""ms"")"),"Buka Tetapan")</f>
        <v>Buka Tetapan</v>
      </c>
      <c r="G620" s="4" t="str">
        <f>IFERROR(__xludf.DUMMYFUNCTION("GOOGLETRANSLATE(B620,""en"",""de"")"),"Öffnen Sie die Einstellungen")</f>
        <v>Öffnen Sie die Einstellungen</v>
      </c>
      <c r="H620" s="4" t="str">
        <f>IFERROR(__xludf.DUMMYFUNCTION("GOOGLETRANSLATE(B620,""en"",""es"")"),"Abrir configuración")</f>
        <v>Abrir configuración</v>
      </c>
      <c r="I620" s="4" t="str">
        <f>IFERROR(__xludf.DUMMYFUNCTION("GOOGLETRANSLATE(B620,""en"",""fr"")"),"Ouvrir les paramètres")</f>
        <v>Ouvrir les paramètres</v>
      </c>
      <c r="J620" s="4" t="str">
        <f>IFERROR(__xludf.DUMMYFUNCTION("GOOGLETRANSLATE(B620,""en"",""it"")"),"Apri Impostazioni")</f>
        <v>Apri Impostazioni</v>
      </c>
      <c r="K620" s="4" t="str">
        <f>IFERROR(__xludf.DUMMYFUNCTION("GOOGLETRANSLATE(B620,""en"",""pt"")"),"Abrir configurações")</f>
        <v>Abrir configurações</v>
      </c>
      <c r="L620" s="4" t="str">
        <f>IFERROR(__xludf.DUMMYFUNCTION("GOOGLETRANSLATE(B620,""en"",""ro"")"),"Deschide Setări")</f>
        <v>Deschide Setări</v>
      </c>
      <c r="M620" s="4" t="str">
        <f>IFERROR(__xludf.DUMMYFUNCTION("GOOGLETRANSLATE(B620,""en"",""vi"")"),"Mở Cài đặt")</f>
        <v>Mở Cài đặt</v>
      </c>
      <c r="N620" s="4" t="str">
        <f>IFERROR(__xludf.DUMMYFUNCTION("GOOGLETRANSLATE(B620,""en"",""ru"")"),"Открыть настройки")</f>
        <v>Открыть настройки</v>
      </c>
      <c r="O620" s="4" t="str">
        <f>IFERROR(__xludf.DUMMYFUNCTION("GOOGLETRANSLATE(B620,""en"",""tr"")"),"Ayarları Aç")</f>
        <v>Ayarları Aç</v>
      </c>
      <c r="P620" s="4" t="str">
        <f>IFERROR(__xludf.DUMMYFUNCTION("GOOGLETRANSLATE(B620,""en"",""ar"")"),"افتح الإعدادات")</f>
        <v>افتح الإعدادات</v>
      </c>
      <c r="Q620" s="4" t="str">
        <f>IFERROR(__xludf.DUMMYFUNCTION("GOOGLETRANSLATE(B620,""en"",""mr"")"),"सेटिंग्ज उघडा")</f>
        <v>सेटिंग्ज उघडा</v>
      </c>
      <c r="R620" s="4" t="str">
        <f>IFERROR(__xludf.DUMMYFUNCTION("GOOGLETRANSLATE(B620,""en"",""gu"")"),"સેટિંગ્સ ખોલો")</f>
        <v>સેટિંગ્સ ખોલો</v>
      </c>
      <c r="S620" s="4" t="str">
        <f>IFERROR(__xludf.DUMMYFUNCTION("GOOGLETRANSLATE(B620,""en"",""bn"")"),"সেটিংস খুলুন")</f>
        <v>সেটিংস খুলুন</v>
      </c>
      <c r="T620" s="4" t="str">
        <f>IFERROR(__xludf.DUMMYFUNCTION("GOOGLETRANSLATE(B620,""en"",""pa"")"),"ਸੈਟਿੰਗਾਂ ਖੋਲ੍ਹੋ")</f>
        <v>ਸੈਟਿੰਗਾਂ ਖੋਲ੍ਹੋ</v>
      </c>
      <c r="U620" s="4" t="str">
        <f>IFERROR(__xludf.DUMMYFUNCTION("GOOGLETRANSLATE(B620,""en"",""te"")"),"సెట్టింగ్‌లను తెరవండి")</f>
        <v>సెట్టింగ్‌లను తెరవండి</v>
      </c>
      <c r="V620" s="4" t="str">
        <f>IFERROR(__xludf.DUMMYFUNCTION("GOOGLETRANSLATE(B620,""en"",""kn"")"),"ಸೆಟ್ಟಿಂಗ್‌ಗಳನ್ನು ತೆರೆಯಿರಿ")</f>
        <v>ಸೆಟ್ಟಿಂಗ್‌ಗಳನ್ನು ತೆರೆಯಿರಿ</v>
      </c>
      <c r="W620" s="4" t="str">
        <f>IFERROR(__xludf.DUMMYFUNCTION("GOOGLETRANSLATE(B620,""en"",""ml"")"),"ക്രമീകരണങ്ങൾ തുറക്കുക")</f>
        <v>ക്രമീകരണങ്ങൾ തുറക്കുക</v>
      </c>
      <c r="X620" s="4" t="str">
        <f>IFERROR(__xludf.DUMMYFUNCTION("GOOGLETRANSLATE(B620,""en"",""th"")"),"เปิดการตั้งค่า")</f>
        <v>เปิดการตั้งค่า</v>
      </c>
      <c r="Y620" s="4" t="str">
        <f>IFERROR(__xludf.DUMMYFUNCTION("GOOGLETRANSLATE(B620,""en"",""ko"")"),"설정 열기")</f>
        <v>설정 열기</v>
      </c>
      <c r="Z620" s="4" t="str">
        <f>IFERROR(__xludf.DUMMYFUNCTION("GOOGLETRANSLATE(B620,""en"",""zh"")"),"打开“设置”")</f>
        <v>打开“设置”</v>
      </c>
      <c r="AA620" s="4" t="str">
        <f>IFERROR(__xludf.DUMMYFUNCTION("GOOGLETRANSLATE(B620,""en"",""zh-TW"")"),"開啟“設定”")</f>
        <v>開啟“設定”</v>
      </c>
      <c r="AB620" s="4" t="str">
        <f>IFERROR(__xludf.DUMMYFUNCTION("GOOGLETRANSLATE(B620,""en"",""ja"")"),"設定を開く")</f>
        <v>設定を開く</v>
      </c>
      <c r="AC620" s="4" t="str">
        <f>IFERROR(__xludf.DUMMYFUNCTION("GOOGLETRANSLATE(B620,""en"",""bg"")"),"Отворете Настройки")</f>
        <v>Отворете Настройки</v>
      </c>
      <c r="AD620" s="4" t="str">
        <f>IFERROR(__xludf.DUMMYFUNCTION("GOOGLETRANSLATE(B620,""en"",""cs"")"),"Otevřete Nastavení")</f>
        <v>Otevřete Nastavení</v>
      </c>
      <c r="AE620" s="4" t="str">
        <f>IFERROR(__xludf.DUMMYFUNCTION("GOOGLETRANSLATE(B620,""en"",""da"")"),"Åbn Indstillinger")</f>
        <v>Åbn Indstillinger</v>
      </c>
      <c r="AF620" s="4" t="str">
        <f>IFERROR(__xludf.DUMMYFUNCTION("GOOGLETRANSLATE(B620,""en"",""el"")"),"Ανοίξτε τις Ρυθμίσεις")</f>
        <v>Ανοίξτε τις Ρυθμίσεις</v>
      </c>
      <c r="AG620" s="4" t="str">
        <f>IFERROR(__xludf.DUMMYFUNCTION("GOOGLETRANSLATE(B620,""en"",""et"")"),"Avage Seaded")</f>
        <v>Avage Seaded</v>
      </c>
      <c r="AH620" s="4" t="str">
        <f>IFERROR(__xludf.DUMMYFUNCTION("GOOGLETRANSLATE(B620,""en"",""fi"")"),"Avaa Asetukset")</f>
        <v>Avaa Asetukset</v>
      </c>
      <c r="AI620" s="4" t="str">
        <f>IFERROR(__xludf.DUMMYFUNCTION("GOOGLETRANSLATE(B620,""en"",""hr"")"),"Otvorite Postavke")</f>
        <v>Otvorite Postavke</v>
      </c>
      <c r="AJ620" s="4" t="str">
        <f>IFERROR(__xludf.DUMMYFUNCTION("GOOGLETRANSLATE(B620,""en"",""hu"")"),"Nyissa meg a Beállítások lehetőséget")</f>
        <v>Nyissa meg a Beállítások lehetőséget</v>
      </c>
      <c r="AK620" s="4" t="str">
        <f>IFERROR(__xludf.DUMMYFUNCTION("GOOGLETRANSLATE(B620,""en"",""hy"")"),"Բացեք Պարամետրերը")</f>
        <v>Բացեք Պարամետրերը</v>
      </c>
      <c r="AL620" s="4" t="str">
        <f>IFERROR(__xludf.DUMMYFUNCTION("GOOGLETRANSLATE(B620,""en"",""ca"")"),"Obriu Configuració")</f>
        <v>Obriu Configuració</v>
      </c>
      <c r="AM620" s="4" t="str">
        <f>IFERROR(__xludf.DUMMYFUNCTION("GOOGLETRANSLATE(B620,""en"",""nl"")"),"Open Instellingen")</f>
        <v>Open Instellingen</v>
      </c>
      <c r="AN620" s="4" t="str">
        <f>IFERROR(__xludf.DUMMYFUNCTION("GOOGLETRANSLATE(B620,""en"",""he"")"),"פתח את ההגדרות")</f>
        <v>פתח את ההגדרות</v>
      </c>
      <c r="AO620" s="4" t="str">
        <f>IFERROR(__xludf.DUMMYFUNCTION("GOOGLETRANSLATE(B620,""en"",""is"")"),"Opnaðu Stillingar")</f>
        <v>Opnaðu Stillingar</v>
      </c>
      <c r="AP620" s="4" t="str">
        <f>IFERROR(__xludf.DUMMYFUNCTION("GOOGLETRANSLATE(B620,""en"",""no"")"),"Åpne Innstillinger")</f>
        <v>Åpne Innstillinger</v>
      </c>
      <c r="AQ620" s="4" t="str">
        <f>IFERROR(__xludf.DUMMYFUNCTION("GOOGLETRANSLATE(B620,""en"",""fa"")"),"تنظیمات را باز کنید")</f>
        <v>تنظیمات را باز کنید</v>
      </c>
      <c r="AR620" s="4" t="str">
        <f>IFERROR(__xludf.DUMMYFUNCTION("GOOGLETRANSLATE(B620,""en"",""pl"")"),"Otwórz Ustawienia")</f>
        <v>Otwórz Ustawienia</v>
      </c>
      <c r="AS620" s="4" t="str">
        <f>IFERROR(__xludf.DUMMYFUNCTION("GOOGLETRANSLATE(B620,""en"",""sv"")"),"Öppna Inställningar")</f>
        <v>Öppna Inställningar</v>
      </c>
      <c r="AT620" s="4" t="str">
        <f>IFERROR(__xludf.DUMMYFUNCTION("GOOGLETRANSLATE(B620,""en"",""uk"")"),"Відкрийте налаштування")</f>
        <v>Відкрийте налаштування</v>
      </c>
      <c r="AU620" s="4" t="str">
        <f>IFERROR(__xludf.DUMMYFUNCTION("GOOGLETRANSLATE(B620,""en"",""zu"")"),"Vula Izilungiselelo")</f>
        <v>Vula Izilungiselelo</v>
      </c>
      <c r="AV620" s="4" t="str">
        <f>IFERROR(__xludf.DUMMYFUNCTION("GOOGLETRANSLATE(B620,""en"",""sr"")"),"Отворите Подешавања")</f>
        <v>Отворите Подешавања</v>
      </c>
    </row>
    <row r="621">
      <c r="A621" s="3" t="s">
        <v>1187</v>
      </c>
      <c r="B621" s="3" t="s">
        <v>1173</v>
      </c>
      <c r="C621" s="4" t="str">
        <f>IFERROR(__xludf.DUMMYFUNCTION("GOOGLETRANSLATE(B621,""en"",""ta"")"),"பிழை")</f>
        <v>பிழை</v>
      </c>
      <c r="D621" s="4" t="str">
        <f>IFERROR(__xludf.DUMMYFUNCTION("GOOGLETRANSLATE(B621,""en"",""hi"")"),"गलती")</f>
        <v>गलती</v>
      </c>
      <c r="E621" s="4" t="str">
        <f>IFERROR(__xludf.DUMMYFUNCTION("GOOGLETRANSLATE(B621,""en"",""id"")"),"Kesalahan")</f>
        <v>Kesalahan</v>
      </c>
      <c r="F621" s="4" t="str">
        <f>IFERROR(__xludf.DUMMYFUNCTION("GOOGLETRANSLATE(B621,""en"",""ms"")"),"ralat")</f>
        <v>ralat</v>
      </c>
      <c r="G621" s="4" t="str">
        <f>IFERROR(__xludf.DUMMYFUNCTION("GOOGLETRANSLATE(B621,""en"",""de"")"),"Fehler")</f>
        <v>Fehler</v>
      </c>
      <c r="H621" s="4" t="str">
        <f>IFERROR(__xludf.DUMMYFUNCTION("GOOGLETRANSLATE(B621,""en"",""es"")"),"Error")</f>
        <v>Error</v>
      </c>
      <c r="I621" s="4" t="str">
        <f>IFERROR(__xludf.DUMMYFUNCTION("GOOGLETRANSLATE(B621,""en"",""fr"")"),"Erreur")</f>
        <v>Erreur</v>
      </c>
      <c r="J621" s="4" t="str">
        <f>IFERROR(__xludf.DUMMYFUNCTION("GOOGLETRANSLATE(B621,""en"",""it"")"),"Errore")</f>
        <v>Errore</v>
      </c>
      <c r="K621" s="4" t="str">
        <f>IFERROR(__xludf.DUMMYFUNCTION("GOOGLETRANSLATE(B621,""en"",""pt"")"),"Erro")</f>
        <v>Erro</v>
      </c>
      <c r="L621" s="4" t="str">
        <f>IFERROR(__xludf.DUMMYFUNCTION("GOOGLETRANSLATE(B621,""en"",""ro"")"),"Eroare")</f>
        <v>Eroare</v>
      </c>
      <c r="M621" s="4" t="str">
        <f>IFERROR(__xludf.DUMMYFUNCTION("GOOGLETRANSLATE(B621,""en"",""vi"")"),"Lỗi")</f>
        <v>Lỗi</v>
      </c>
      <c r="N621" s="4" t="str">
        <f>IFERROR(__xludf.DUMMYFUNCTION("GOOGLETRANSLATE(B621,""en"",""ru"")"),"Ошибка")</f>
        <v>Ошибка</v>
      </c>
      <c r="O621" s="4" t="str">
        <f>IFERROR(__xludf.DUMMYFUNCTION("GOOGLETRANSLATE(B621,""en"",""tr"")"),"Hata")</f>
        <v>Hata</v>
      </c>
      <c r="P621" s="4" t="str">
        <f>IFERROR(__xludf.DUMMYFUNCTION("GOOGLETRANSLATE(B621,""en"",""ar"")"),"خطأ")</f>
        <v>خطأ</v>
      </c>
      <c r="Q621" s="4" t="str">
        <f>IFERROR(__xludf.DUMMYFUNCTION("GOOGLETRANSLATE(B621,""en"",""mr"")"),"त्रुटी")</f>
        <v>त्रुटी</v>
      </c>
      <c r="R621" s="4" t="str">
        <f>IFERROR(__xludf.DUMMYFUNCTION("GOOGLETRANSLATE(B621,""en"",""gu"")"),"ભૂલ")</f>
        <v>ભૂલ</v>
      </c>
      <c r="S621" s="4" t="str">
        <f>IFERROR(__xludf.DUMMYFUNCTION("GOOGLETRANSLATE(B621,""en"",""bn"")"),"ত্রুটি")</f>
        <v>ত্রুটি</v>
      </c>
      <c r="T621" s="4" t="str">
        <f>IFERROR(__xludf.DUMMYFUNCTION("GOOGLETRANSLATE(B621,""en"",""pa"")"),"ਗਲਤੀ")</f>
        <v>ਗਲਤੀ</v>
      </c>
      <c r="U621" s="4" t="str">
        <f>IFERROR(__xludf.DUMMYFUNCTION("GOOGLETRANSLATE(B621,""en"",""te"")"),"లోపం")</f>
        <v>లోపం</v>
      </c>
      <c r="V621" s="4" t="str">
        <f>IFERROR(__xludf.DUMMYFUNCTION("GOOGLETRANSLATE(B621,""en"",""kn"")"),"ದೋಷ")</f>
        <v>ದೋಷ</v>
      </c>
      <c r="W621" s="4" t="str">
        <f>IFERROR(__xludf.DUMMYFUNCTION("GOOGLETRANSLATE(B621,""en"",""ml"")"),"പിശക്")</f>
        <v>പിശക്</v>
      </c>
      <c r="X621" s="4" t="str">
        <f>IFERROR(__xludf.DUMMYFUNCTION("GOOGLETRANSLATE(B621,""en"",""th"")"),"ข้อผิดพลาด")</f>
        <v>ข้อผิดพลาด</v>
      </c>
      <c r="Y621" s="4" t="str">
        <f>IFERROR(__xludf.DUMMYFUNCTION("GOOGLETRANSLATE(B621,""en"",""ko"")"),"오류")</f>
        <v>오류</v>
      </c>
      <c r="Z621" s="4" t="str">
        <f>IFERROR(__xludf.DUMMYFUNCTION("GOOGLETRANSLATE(B621,""en"",""zh"")"),"错误")</f>
        <v>错误</v>
      </c>
      <c r="AA621" s="4" t="str">
        <f>IFERROR(__xludf.DUMMYFUNCTION("GOOGLETRANSLATE(B621,""en"",""zh-TW"")"),"錯誤")</f>
        <v>錯誤</v>
      </c>
      <c r="AB621" s="4" t="str">
        <f>IFERROR(__xludf.DUMMYFUNCTION("GOOGLETRANSLATE(B621,""en"",""ja"")"),"エラー")</f>
        <v>エラー</v>
      </c>
      <c r="AC621" s="4" t="str">
        <f>IFERROR(__xludf.DUMMYFUNCTION("GOOGLETRANSLATE(B621,""en"",""bg"")"),"Грешка")</f>
        <v>Грешка</v>
      </c>
      <c r="AD621" s="4" t="str">
        <f>IFERROR(__xludf.DUMMYFUNCTION("GOOGLETRANSLATE(B621,""en"",""cs"")"),"Chyba")</f>
        <v>Chyba</v>
      </c>
      <c r="AE621" s="4" t="str">
        <f>IFERROR(__xludf.DUMMYFUNCTION("GOOGLETRANSLATE(B621,""en"",""da"")"),"Fejl")</f>
        <v>Fejl</v>
      </c>
      <c r="AF621" s="4" t="str">
        <f>IFERROR(__xludf.DUMMYFUNCTION("GOOGLETRANSLATE(B621,""en"",""el"")"),"Σφάλμα")</f>
        <v>Σφάλμα</v>
      </c>
      <c r="AG621" s="4" t="str">
        <f>IFERROR(__xludf.DUMMYFUNCTION("GOOGLETRANSLATE(B621,""en"",""et"")"),"Viga")</f>
        <v>Viga</v>
      </c>
      <c r="AH621" s="4" t="str">
        <f>IFERROR(__xludf.DUMMYFUNCTION("GOOGLETRANSLATE(B621,""en"",""fi"")"),"Virhe")</f>
        <v>Virhe</v>
      </c>
      <c r="AI621" s="4" t="str">
        <f>IFERROR(__xludf.DUMMYFUNCTION("GOOGLETRANSLATE(B621,""en"",""hr"")"),"Greška")</f>
        <v>Greška</v>
      </c>
      <c r="AJ621" s="4" t="str">
        <f>IFERROR(__xludf.DUMMYFUNCTION("GOOGLETRANSLATE(B621,""en"",""hu"")"),"Hiba")</f>
        <v>Hiba</v>
      </c>
      <c r="AK621" s="4" t="str">
        <f>IFERROR(__xludf.DUMMYFUNCTION("GOOGLETRANSLATE(B621,""en"",""hy"")"),"Սխալ")</f>
        <v>Սխալ</v>
      </c>
      <c r="AL621" s="4" t="str">
        <f>IFERROR(__xludf.DUMMYFUNCTION("GOOGLETRANSLATE(B621,""en"",""ca"")"),"Error")</f>
        <v>Error</v>
      </c>
      <c r="AM621" s="4" t="str">
        <f>IFERROR(__xludf.DUMMYFUNCTION("GOOGLETRANSLATE(B621,""en"",""nl"")"),"Fout")</f>
        <v>Fout</v>
      </c>
      <c r="AN621" s="4" t="str">
        <f>IFERROR(__xludf.DUMMYFUNCTION("GOOGLETRANSLATE(B621,""en"",""he"")"),"שְׁגִיאָה")</f>
        <v>שְׁגִיאָה</v>
      </c>
      <c r="AO621" s="4" t="str">
        <f>IFERROR(__xludf.DUMMYFUNCTION("GOOGLETRANSLATE(B621,""en"",""is"")"),"Villa")</f>
        <v>Villa</v>
      </c>
      <c r="AP621" s="4" t="str">
        <f>IFERROR(__xludf.DUMMYFUNCTION("GOOGLETRANSLATE(B621,""en"",""no"")"),"Feil")</f>
        <v>Feil</v>
      </c>
      <c r="AQ621" s="4" t="str">
        <f>IFERROR(__xludf.DUMMYFUNCTION("GOOGLETRANSLATE(B621,""en"",""fa"")"),"خطا")</f>
        <v>خطا</v>
      </c>
      <c r="AR621" s="4" t="str">
        <f>IFERROR(__xludf.DUMMYFUNCTION("GOOGLETRANSLATE(B621,""en"",""pl"")"),"Błąd")</f>
        <v>Błąd</v>
      </c>
      <c r="AS621" s="4" t="str">
        <f>IFERROR(__xludf.DUMMYFUNCTION("GOOGLETRANSLATE(B621,""en"",""sv"")"),"Fel")</f>
        <v>Fel</v>
      </c>
      <c r="AT621" s="4" t="str">
        <f>IFERROR(__xludf.DUMMYFUNCTION("GOOGLETRANSLATE(B621,""en"",""uk"")"),"Помилка")</f>
        <v>Помилка</v>
      </c>
      <c r="AU621" s="4" t="str">
        <f>IFERROR(__xludf.DUMMYFUNCTION("GOOGLETRANSLATE(B621,""en"",""zu"")"),"Iphutha")</f>
        <v>Iphutha</v>
      </c>
      <c r="AV621" s="4" t="str">
        <f>IFERROR(__xludf.DUMMYFUNCTION("GOOGLETRANSLATE(B621,""en"",""sr"")"),"Грешка")</f>
        <v>Грешка</v>
      </c>
    </row>
    <row r="622">
      <c r="A622" s="3" t="s">
        <v>1188</v>
      </c>
      <c r="B622" s="3" t="s">
        <v>999</v>
      </c>
      <c r="C622" s="4" t="str">
        <f>IFERROR(__xludf.DUMMYFUNCTION("GOOGLETRANSLATE(B622,""en"",""ta"")"),"கண்காணிப்பு பகுதிகள்")</f>
        <v>கண்காணிப்பு பகுதிகள்</v>
      </c>
      <c r="D622" s="4" t="str">
        <f>IFERROR(__xludf.DUMMYFUNCTION("GOOGLETRANSLATE(B622,""en"",""hi"")"),"निगरानी क्षेत्र")</f>
        <v>निगरानी क्षेत्र</v>
      </c>
      <c r="E622" s="4" t="str">
        <f>IFERROR(__xludf.DUMMYFUNCTION("GOOGLETRANSLATE(B622,""en"",""id"")"),"Pemantauan Wilayah")</f>
        <v>Pemantauan Wilayah</v>
      </c>
      <c r="F622" s="4" t="str">
        <f>IFERROR(__xludf.DUMMYFUNCTION("GOOGLETRANSLATE(B622,""en"",""ms"")"),"Kawasan Pemantauan")</f>
        <v>Kawasan Pemantauan</v>
      </c>
      <c r="G622" s="4" t="str">
        <f>IFERROR(__xludf.DUMMYFUNCTION("GOOGLETRANSLATE(B622,""en"",""de"")"),"Überwachungsregionen")</f>
        <v>Überwachungsregionen</v>
      </c>
      <c r="H622" s="4" t="str">
        <f>IFERROR(__xludf.DUMMYFUNCTION("GOOGLETRANSLATE(B622,""en"",""es"")"),"Regiones de monitoreo")</f>
        <v>Regiones de monitoreo</v>
      </c>
      <c r="I622" s="4" t="str">
        <f>IFERROR(__xludf.DUMMYFUNCTION("GOOGLETRANSLATE(B622,""en"",""fr"")"),"Régions de surveillance")</f>
        <v>Régions de surveillance</v>
      </c>
      <c r="J622" s="4" t="str">
        <f>IFERROR(__xludf.DUMMYFUNCTION("GOOGLETRANSLATE(B622,""en"",""it"")"),"Regioni di monitoraggio")</f>
        <v>Regioni di monitoraggio</v>
      </c>
      <c r="K622" s="4" t="str">
        <f>IFERROR(__xludf.DUMMYFUNCTION("GOOGLETRANSLATE(B622,""en"",""pt"")"),"Regiões de Monitoramento")</f>
        <v>Regiões de Monitoramento</v>
      </c>
      <c r="L622" s="4" t="str">
        <f>IFERROR(__xludf.DUMMYFUNCTION("GOOGLETRANSLATE(B622,""en"",""ro"")"),"Monitorizarea regiunilor")</f>
        <v>Monitorizarea regiunilor</v>
      </c>
      <c r="M622" s="4" t="str">
        <f>IFERROR(__xludf.DUMMYFUNCTION("GOOGLETRANSLATE(B622,""en"",""vi"")"),"Giám sát các vùng")</f>
        <v>Giám sát các vùng</v>
      </c>
      <c r="N622" s="4" t="str">
        <f>IFERROR(__xludf.DUMMYFUNCTION("GOOGLETRANSLATE(B622,""en"",""ru"")"),"Мониторинг регионов")</f>
        <v>Мониторинг регионов</v>
      </c>
      <c r="O622" s="4" t="str">
        <f>IFERROR(__xludf.DUMMYFUNCTION("GOOGLETRANSLATE(B622,""en"",""tr"")"),"İzleme Bölgeleri")</f>
        <v>İzleme Bölgeleri</v>
      </c>
      <c r="P622" s="4" t="str">
        <f>IFERROR(__xludf.DUMMYFUNCTION("GOOGLETRANSLATE(B622,""en"",""ar"")"),"مناطق المراقبة")</f>
        <v>مناطق المراقبة</v>
      </c>
      <c r="Q622" s="4" t="str">
        <f>IFERROR(__xludf.DUMMYFUNCTION("GOOGLETRANSLATE(B622,""en"",""mr"")"),"देखरेख प्रदेश")</f>
        <v>देखरेख प्रदेश</v>
      </c>
      <c r="R622" s="4" t="str">
        <f>IFERROR(__xludf.DUMMYFUNCTION("GOOGLETRANSLATE(B622,""en"",""gu"")"),"મોનીટરીંગ પ્રદેશો")</f>
        <v>મોનીટરીંગ પ્રદેશો</v>
      </c>
      <c r="S622" s="4" t="str">
        <f>IFERROR(__xludf.DUMMYFUNCTION("GOOGLETRANSLATE(B622,""en"",""bn"")"),"পর্যবেক্ষণ অঞ্চল")</f>
        <v>পর্যবেক্ষণ অঞ্চল</v>
      </c>
      <c r="T622" s="4" t="str">
        <f>IFERROR(__xludf.DUMMYFUNCTION("GOOGLETRANSLATE(B622,""en"",""pa"")"),"ਨਿਗਰਾਨੀ ਖੇਤਰ")</f>
        <v>ਨਿਗਰਾਨੀ ਖੇਤਰ</v>
      </c>
      <c r="U622" s="4" t="str">
        <f>IFERROR(__xludf.DUMMYFUNCTION("GOOGLETRANSLATE(B622,""en"",""te"")"),"మానిటరింగ్ ప్రాంతాలు")</f>
        <v>మానిటరింగ్ ప్రాంతాలు</v>
      </c>
      <c r="V622" s="4" t="str">
        <f>IFERROR(__xludf.DUMMYFUNCTION("GOOGLETRANSLATE(B622,""en"",""kn"")"),"ಮಾನಿಟರಿಂಗ್ ಪ್ರದೇಶಗಳು")</f>
        <v>ಮಾನಿಟರಿಂಗ್ ಪ್ರದೇಶಗಳು</v>
      </c>
      <c r="W622" s="4" t="str">
        <f>IFERROR(__xludf.DUMMYFUNCTION("GOOGLETRANSLATE(B622,""en"",""ml"")"),"മോണിറ്ററിംഗ് മേഖലകൾ")</f>
        <v>മോണിറ്ററിംഗ് മേഖലകൾ</v>
      </c>
      <c r="X622" s="4" t="str">
        <f>IFERROR(__xludf.DUMMYFUNCTION("GOOGLETRANSLATE(B622,""en"",""th"")"),"การติดตามภูมิภาค")</f>
        <v>การติดตามภูมิภาค</v>
      </c>
      <c r="Y622" s="4" t="str">
        <f>IFERROR(__xludf.DUMMYFUNCTION("GOOGLETRANSLATE(B622,""en"",""ko"")"),"모니터링 지역")</f>
        <v>모니터링 지역</v>
      </c>
      <c r="Z622" s="4" t="str">
        <f>IFERROR(__xludf.DUMMYFUNCTION("GOOGLETRANSLATE(B622,""en"",""zh"")"),"监控区域")</f>
        <v>监控区域</v>
      </c>
      <c r="AA622" s="4" t="str">
        <f>IFERROR(__xludf.DUMMYFUNCTION("GOOGLETRANSLATE(B622,""en"",""zh-TW"")"),"監控區域")</f>
        <v>監控區域</v>
      </c>
      <c r="AB622" s="4" t="str">
        <f>IFERROR(__xludf.DUMMYFUNCTION("GOOGLETRANSLATE(B622,""en"",""ja"")"),"監視地域")</f>
        <v>監視地域</v>
      </c>
      <c r="AC622" s="4" t="str">
        <f>IFERROR(__xludf.DUMMYFUNCTION("GOOGLETRANSLATE(B622,""en"",""bg"")"),"Региони за наблюдение")</f>
        <v>Региони за наблюдение</v>
      </c>
      <c r="AD622" s="4" t="str">
        <f>IFERROR(__xludf.DUMMYFUNCTION("GOOGLETRANSLATE(B622,""en"",""cs"")"),"Monitorování regionů")</f>
        <v>Monitorování regionů</v>
      </c>
      <c r="AE622" s="4" t="str">
        <f>IFERROR(__xludf.DUMMYFUNCTION("GOOGLETRANSLATE(B622,""en"",""da"")"),"Overvågningsregioner")</f>
        <v>Overvågningsregioner</v>
      </c>
      <c r="AF622" s="4" t="str">
        <f>IFERROR(__xludf.DUMMYFUNCTION("GOOGLETRANSLATE(B622,""en"",""el"")"),"Περιφέρειες Παρακολούθησης")</f>
        <v>Περιφέρειες Παρακολούθησης</v>
      </c>
      <c r="AG622" s="4" t="str">
        <f>IFERROR(__xludf.DUMMYFUNCTION("GOOGLETRANSLATE(B622,""en"",""et"")"),"Järelevalvepiirkonnad")</f>
        <v>Järelevalvepiirkonnad</v>
      </c>
      <c r="AH622" s="4" t="str">
        <f>IFERROR(__xludf.DUMMYFUNCTION("GOOGLETRANSLATE(B622,""en"",""fi"")"),"Seurantaalueet")</f>
        <v>Seurantaalueet</v>
      </c>
      <c r="AI622" s="4" t="str">
        <f>IFERROR(__xludf.DUMMYFUNCTION("GOOGLETRANSLATE(B622,""en"",""hr"")"),"Praćenje regija")</f>
        <v>Praćenje regija</v>
      </c>
      <c r="AJ622" s="4" t="str">
        <f>IFERROR(__xludf.DUMMYFUNCTION("GOOGLETRANSLATE(B622,""en"",""hu"")"),"Monitoring régiók")</f>
        <v>Monitoring régiók</v>
      </c>
      <c r="AK622" s="4" t="str">
        <f>IFERROR(__xludf.DUMMYFUNCTION("GOOGLETRANSLATE(B622,""en"",""hy"")"),"Մոնիտորինգի շրջաններ")</f>
        <v>Մոնիտորինգի շրջաններ</v>
      </c>
      <c r="AL622" s="4" t="str">
        <f>IFERROR(__xludf.DUMMYFUNCTION("GOOGLETRANSLATE(B622,""en"",""ca"")"),"Supervisió de les regions")</f>
        <v>Supervisió de les regions</v>
      </c>
      <c r="AM622" s="4" t="str">
        <f>IFERROR(__xludf.DUMMYFUNCTION("GOOGLETRANSLATE(B622,""en"",""nl"")"),"Monitoringregio's")</f>
        <v>Monitoringregio's</v>
      </c>
      <c r="AN622" s="4" t="str">
        <f>IFERROR(__xludf.DUMMYFUNCTION("GOOGLETRANSLATE(B622,""en"",""he"")"),"מעקב אחר אזורים")</f>
        <v>מעקב אחר אזורים</v>
      </c>
      <c r="AO622" s="4" t="str">
        <f>IFERROR(__xludf.DUMMYFUNCTION("GOOGLETRANSLATE(B622,""en"",""is"")"),"Eftirlitssvæði")</f>
        <v>Eftirlitssvæði</v>
      </c>
      <c r="AP622" s="4" t="str">
        <f>IFERROR(__xludf.DUMMYFUNCTION("GOOGLETRANSLATE(B622,""en"",""no"")"),"Overvåkingsregioner")</f>
        <v>Overvåkingsregioner</v>
      </c>
      <c r="AQ622" s="4" t="str">
        <f>IFERROR(__xludf.DUMMYFUNCTION("GOOGLETRANSLATE(B622,""en"",""fa"")"),"مناطق نظارتی")</f>
        <v>مناطق نظارتی</v>
      </c>
      <c r="AR622" s="4" t="str">
        <f>IFERROR(__xludf.DUMMYFUNCTION("GOOGLETRANSLATE(B622,""en"",""pl"")"),"Regiony monitorujące")</f>
        <v>Regiony monitorujące</v>
      </c>
      <c r="AS622" s="4" t="str">
        <f>IFERROR(__xludf.DUMMYFUNCTION("GOOGLETRANSLATE(B622,""en"",""sv"")"),"Övervakningsregioner")</f>
        <v>Övervakningsregioner</v>
      </c>
      <c r="AT622" s="4" t="str">
        <f>IFERROR(__xludf.DUMMYFUNCTION("GOOGLETRANSLATE(B622,""en"",""uk"")"),"Регіони моніторингу")</f>
        <v>Регіони моніторингу</v>
      </c>
      <c r="AU622" s="4" t="str">
        <f>IFERROR(__xludf.DUMMYFUNCTION("GOOGLETRANSLATE(B622,""en"",""zu"")"),"Ukuqapha Izifunda")</f>
        <v>Ukuqapha Izifunda</v>
      </c>
      <c r="AV622" s="4" t="str">
        <f>IFERROR(__xludf.DUMMYFUNCTION("GOOGLETRANSLATE(B622,""en"",""sr"")"),"Мониторинг Регионс")</f>
        <v>Мониторинг Регионс</v>
      </c>
    </row>
    <row r="623">
      <c r="A623" s="3" t="s">
        <v>1189</v>
      </c>
      <c r="B623" s="3" t="s">
        <v>1190</v>
      </c>
      <c r="C623" s="4" t="str">
        <f>IFERROR(__xludf.DUMMYFUNCTION("GOOGLETRANSLATE(B623,""en"",""ta"")"),"பிராந்தியம்")</f>
        <v>பிராந்தியம்</v>
      </c>
      <c r="D623" s="4" t="str">
        <f>IFERROR(__xludf.DUMMYFUNCTION("GOOGLETRANSLATE(B623,""en"",""hi"")"),"क्षेत्र")</f>
        <v>क्षेत्र</v>
      </c>
      <c r="E623" s="4" t="str">
        <f>IFERROR(__xludf.DUMMYFUNCTION("GOOGLETRANSLATE(B623,""en"",""id"")"),"Wilayah")</f>
        <v>Wilayah</v>
      </c>
      <c r="F623" s="4" t="str">
        <f>IFERROR(__xludf.DUMMYFUNCTION("GOOGLETRANSLATE(B623,""en"",""ms"")"),"Wilayah")</f>
        <v>Wilayah</v>
      </c>
      <c r="G623" s="4" t="str">
        <f>IFERROR(__xludf.DUMMYFUNCTION("GOOGLETRANSLATE(B623,""en"",""de"")"),"Region")</f>
        <v>Region</v>
      </c>
      <c r="H623" s="4" t="str">
        <f>IFERROR(__xludf.DUMMYFUNCTION("GOOGLETRANSLATE(B623,""en"",""es"")"),"Región")</f>
        <v>Región</v>
      </c>
      <c r="I623" s="4" t="str">
        <f>IFERROR(__xludf.DUMMYFUNCTION("GOOGLETRANSLATE(B623,""en"",""fr"")"),"Région")</f>
        <v>Région</v>
      </c>
      <c r="J623" s="4" t="str">
        <f>IFERROR(__xludf.DUMMYFUNCTION("GOOGLETRANSLATE(B623,""en"",""it"")"),"Regione")</f>
        <v>Regione</v>
      </c>
      <c r="K623" s="4" t="str">
        <f>IFERROR(__xludf.DUMMYFUNCTION("GOOGLETRANSLATE(B623,""en"",""pt"")"),"Região")</f>
        <v>Região</v>
      </c>
      <c r="L623" s="4" t="str">
        <f>IFERROR(__xludf.DUMMYFUNCTION("GOOGLETRANSLATE(B623,""en"",""ro"")"),"Regiune")</f>
        <v>Regiune</v>
      </c>
      <c r="M623" s="4" t="str">
        <f>IFERROR(__xludf.DUMMYFUNCTION("GOOGLETRANSLATE(B623,""en"",""vi"")"),"Vùng đất")</f>
        <v>Vùng đất</v>
      </c>
      <c r="N623" s="4" t="str">
        <f>IFERROR(__xludf.DUMMYFUNCTION("GOOGLETRANSLATE(B623,""en"",""ru"")"),"Область")</f>
        <v>Область</v>
      </c>
      <c r="O623" s="4" t="str">
        <f>IFERROR(__xludf.DUMMYFUNCTION("GOOGLETRANSLATE(B623,""en"",""tr"")"),"Bölge")</f>
        <v>Bölge</v>
      </c>
      <c r="P623" s="4" t="str">
        <f>IFERROR(__xludf.DUMMYFUNCTION("GOOGLETRANSLATE(B623,""en"",""ar"")"),"منطقة")</f>
        <v>منطقة</v>
      </c>
      <c r="Q623" s="4" t="str">
        <f>IFERROR(__xludf.DUMMYFUNCTION("GOOGLETRANSLATE(B623,""en"",""mr"")"),"प्रदेश")</f>
        <v>प्रदेश</v>
      </c>
      <c r="R623" s="4" t="str">
        <f>IFERROR(__xludf.DUMMYFUNCTION("GOOGLETRANSLATE(B623,""en"",""gu"")"),"પ્રદેશ")</f>
        <v>પ્રદેશ</v>
      </c>
      <c r="S623" s="4" t="str">
        <f>IFERROR(__xludf.DUMMYFUNCTION("GOOGLETRANSLATE(B623,""en"",""bn"")"),"অঞ্চল")</f>
        <v>অঞ্চল</v>
      </c>
      <c r="T623" s="4" t="str">
        <f>IFERROR(__xludf.DUMMYFUNCTION("GOOGLETRANSLATE(B623,""en"",""pa"")"),"ਖੇਤਰ")</f>
        <v>ਖੇਤਰ</v>
      </c>
      <c r="U623" s="4" t="str">
        <f>IFERROR(__xludf.DUMMYFUNCTION("GOOGLETRANSLATE(B623,""en"",""te"")"),"ప్రాంతం")</f>
        <v>ప్రాంతం</v>
      </c>
      <c r="V623" s="4" t="str">
        <f>IFERROR(__xludf.DUMMYFUNCTION("GOOGLETRANSLATE(B623,""en"",""kn"")"),"ಪ್ರದೇಶ")</f>
        <v>ಪ್ರದೇಶ</v>
      </c>
      <c r="W623" s="4" t="str">
        <f>IFERROR(__xludf.DUMMYFUNCTION("GOOGLETRANSLATE(B623,""en"",""ml"")"),"മേഖല")</f>
        <v>മേഖല</v>
      </c>
      <c r="X623" s="4" t="str">
        <f>IFERROR(__xludf.DUMMYFUNCTION("GOOGLETRANSLATE(B623,""en"",""th"")"),"ภูมิภาค")</f>
        <v>ภูมิภาค</v>
      </c>
      <c r="Y623" s="4" t="str">
        <f>IFERROR(__xludf.DUMMYFUNCTION("GOOGLETRANSLATE(B623,""en"",""ko"")"),"지역")</f>
        <v>지역</v>
      </c>
      <c r="Z623" s="4" t="str">
        <f>IFERROR(__xludf.DUMMYFUNCTION("GOOGLETRANSLATE(B623,""en"",""zh"")"),"地区")</f>
        <v>地区</v>
      </c>
      <c r="AA623" s="4" t="str">
        <f>IFERROR(__xludf.DUMMYFUNCTION("GOOGLETRANSLATE(B623,""en"",""zh-TW"")"),"地區")</f>
        <v>地區</v>
      </c>
      <c r="AB623" s="4" t="str">
        <f>IFERROR(__xludf.DUMMYFUNCTION("GOOGLETRANSLATE(B623,""en"",""ja"")"),"地域")</f>
        <v>地域</v>
      </c>
      <c r="AC623" s="4" t="str">
        <f>IFERROR(__xludf.DUMMYFUNCTION("GOOGLETRANSLATE(B623,""en"",""bg"")"),"Регион")</f>
        <v>Регион</v>
      </c>
      <c r="AD623" s="4" t="str">
        <f>IFERROR(__xludf.DUMMYFUNCTION("GOOGLETRANSLATE(B623,""en"",""cs"")"),"Kraj")</f>
        <v>Kraj</v>
      </c>
      <c r="AE623" s="4" t="str">
        <f>IFERROR(__xludf.DUMMYFUNCTION("GOOGLETRANSLATE(B623,""en"",""da"")"),"Område")</f>
        <v>Område</v>
      </c>
      <c r="AF623" s="4" t="str">
        <f>IFERROR(__xludf.DUMMYFUNCTION("GOOGLETRANSLATE(B623,""en"",""el"")"),"Περιοχή")</f>
        <v>Περιοχή</v>
      </c>
      <c r="AG623" s="4" t="str">
        <f>IFERROR(__xludf.DUMMYFUNCTION("GOOGLETRANSLATE(B623,""en"",""et"")"),"Piirkond")</f>
        <v>Piirkond</v>
      </c>
      <c r="AH623" s="4" t="str">
        <f>IFERROR(__xludf.DUMMYFUNCTION("GOOGLETRANSLATE(B623,""en"",""fi"")"),"Alue")</f>
        <v>Alue</v>
      </c>
      <c r="AI623" s="4" t="str">
        <f>IFERROR(__xludf.DUMMYFUNCTION("GOOGLETRANSLATE(B623,""en"",""hr"")"),"Regija")</f>
        <v>Regija</v>
      </c>
      <c r="AJ623" s="4" t="str">
        <f>IFERROR(__xludf.DUMMYFUNCTION("GOOGLETRANSLATE(B623,""en"",""hu"")"),"Régió")</f>
        <v>Régió</v>
      </c>
      <c r="AK623" s="4" t="str">
        <f>IFERROR(__xludf.DUMMYFUNCTION("GOOGLETRANSLATE(B623,""en"",""hy"")"),"Տարածաշրջան")</f>
        <v>Տարածաշրջան</v>
      </c>
      <c r="AL623" s="4" t="str">
        <f>IFERROR(__xludf.DUMMYFUNCTION("GOOGLETRANSLATE(B623,""en"",""ca"")"),"Regió")</f>
        <v>Regió</v>
      </c>
      <c r="AM623" s="4" t="str">
        <f>IFERROR(__xludf.DUMMYFUNCTION("GOOGLETRANSLATE(B623,""en"",""nl"")"),"Regio")</f>
        <v>Regio</v>
      </c>
      <c r="AN623" s="4" t="str">
        <f>IFERROR(__xludf.DUMMYFUNCTION("GOOGLETRANSLATE(B623,""en"",""he"")"),"אֵזוֹר")</f>
        <v>אֵזוֹר</v>
      </c>
      <c r="AO623" s="4" t="str">
        <f>IFERROR(__xludf.DUMMYFUNCTION("GOOGLETRANSLATE(B623,""en"",""is"")"),"Svæði")</f>
        <v>Svæði</v>
      </c>
      <c r="AP623" s="4" t="str">
        <f>IFERROR(__xludf.DUMMYFUNCTION("GOOGLETRANSLATE(B623,""en"",""no"")"),"Region")</f>
        <v>Region</v>
      </c>
      <c r="AQ623" s="4" t="str">
        <f>IFERROR(__xludf.DUMMYFUNCTION("GOOGLETRANSLATE(B623,""en"",""fa"")"),"منطقه")</f>
        <v>منطقه</v>
      </c>
      <c r="AR623" s="4" t="str">
        <f>IFERROR(__xludf.DUMMYFUNCTION("GOOGLETRANSLATE(B623,""en"",""pl"")"),"Region")</f>
        <v>Region</v>
      </c>
      <c r="AS623" s="4" t="str">
        <f>IFERROR(__xludf.DUMMYFUNCTION("GOOGLETRANSLATE(B623,""en"",""sv"")"),"Område")</f>
        <v>Område</v>
      </c>
      <c r="AT623" s="4" t="str">
        <f>IFERROR(__xludf.DUMMYFUNCTION("GOOGLETRANSLATE(B623,""en"",""uk"")"),"Регіон")</f>
        <v>Регіон</v>
      </c>
      <c r="AU623" s="4" t="str">
        <f>IFERROR(__xludf.DUMMYFUNCTION("GOOGLETRANSLATE(B623,""en"",""zu"")"),"Isifunda")</f>
        <v>Isifunda</v>
      </c>
      <c r="AV623" s="4" t="str">
        <f>IFERROR(__xludf.DUMMYFUNCTION("GOOGLETRANSLATE(B623,""en"",""sr"")"),"Регион")</f>
        <v>Регион</v>
      </c>
    </row>
    <row r="624">
      <c r="A624" s="3" t="s">
        <v>1191</v>
      </c>
      <c r="B624" s="3" t="s">
        <v>1012</v>
      </c>
      <c r="C624" s="4" t="str">
        <f>IFERROR(__xludf.DUMMYFUNCTION("GOOGLETRANSLATE(B624,""en"",""ta"")"),"ஆரம்")</f>
        <v>ஆரம்</v>
      </c>
      <c r="D624" s="4" t="str">
        <f>IFERROR(__xludf.DUMMYFUNCTION("GOOGLETRANSLATE(B624,""en"",""hi"")"),"RADIUS")</f>
        <v>RADIUS</v>
      </c>
      <c r="E624" s="4" t="str">
        <f>IFERROR(__xludf.DUMMYFUNCTION("GOOGLETRANSLATE(B624,""en"",""id"")"),"Radius")</f>
        <v>Radius</v>
      </c>
      <c r="F624" s="4" t="str">
        <f>IFERROR(__xludf.DUMMYFUNCTION("GOOGLETRANSLATE(B624,""en"",""ms"")"),"Jejari")</f>
        <v>Jejari</v>
      </c>
      <c r="G624" s="4" t="str">
        <f>IFERROR(__xludf.DUMMYFUNCTION("GOOGLETRANSLATE(B624,""en"",""de"")"),"Radius")</f>
        <v>Radius</v>
      </c>
      <c r="H624" s="4" t="str">
        <f>IFERROR(__xludf.DUMMYFUNCTION("GOOGLETRANSLATE(B624,""en"",""es"")"),"Radio")</f>
        <v>Radio</v>
      </c>
      <c r="I624" s="4" t="str">
        <f>IFERROR(__xludf.DUMMYFUNCTION("GOOGLETRANSLATE(B624,""en"",""fr"")"),"Rayon")</f>
        <v>Rayon</v>
      </c>
      <c r="J624" s="4" t="str">
        <f>IFERROR(__xludf.DUMMYFUNCTION("GOOGLETRANSLATE(B624,""en"",""it"")"),"Raggio")</f>
        <v>Raggio</v>
      </c>
      <c r="K624" s="4" t="str">
        <f>IFERROR(__xludf.DUMMYFUNCTION("GOOGLETRANSLATE(B624,""en"",""pt"")"),"Raio")</f>
        <v>Raio</v>
      </c>
      <c r="L624" s="4" t="str">
        <f>IFERROR(__xludf.DUMMYFUNCTION("GOOGLETRANSLATE(B624,""en"",""ro"")"),"Rază")</f>
        <v>Rază</v>
      </c>
      <c r="M624" s="4" t="str">
        <f>IFERROR(__xludf.DUMMYFUNCTION("GOOGLETRANSLATE(B624,""en"",""vi"")"),"Bán kính")</f>
        <v>Bán kính</v>
      </c>
      <c r="N624" s="4" t="str">
        <f>IFERROR(__xludf.DUMMYFUNCTION("GOOGLETRANSLATE(B624,""en"",""ru"")"),"Радиус")</f>
        <v>Радиус</v>
      </c>
      <c r="O624" s="4" t="str">
        <f>IFERROR(__xludf.DUMMYFUNCTION("GOOGLETRANSLATE(B624,""en"",""tr"")"),"Yarıçap")</f>
        <v>Yarıçap</v>
      </c>
      <c r="P624" s="4" t="str">
        <f>IFERROR(__xludf.DUMMYFUNCTION("GOOGLETRANSLATE(B624,""en"",""ar"")"),"نصف القطر")</f>
        <v>نصف القطر</v>
      </c>
      <c r="Q624" s="4" t="str">
        <f>IFERROR(__xludf.DUMMYFUNCTION("GOOGLETRANSLATE(B624,""en"",""mr"")"),"त्रिज्या")</f>
        <v>त्रिज्या</v>
      </c>
      <c r="R624" s="4" t="str">
        <f>IFERROR(__xludf.DUMMYFUNCTION("GOOGLETRANSLATE(B624,""en"",""gu"")"),"ત્રિજ્યા")</f>
        <v>ત્રિજ્યા</v>
      </c>
      <c r="S624" s="4" t="str">
        <f>IFERROR(__xludf.DUMMYFUNCTION("GOOGLETRANSLATE(B624,""en"",""bn"")"),"ব্যাসার্ধ")</f>
        <v>ব্যাসার্ধ</v>
      </c>
      <c r="T624" s="4" t="str">
        <f>IFERROR(__xludf.DUMMYFUNCTION("GOOGLETRANSLATE(B624,""en"",""pa"")"),"ਰੇਡੀਅਸ")</f>
        <v>ਰੇਡੀਅਸ</v>
      </c>
      <c r="U624" s="4" t="str">
        <f>IFERROR(__xludf.DUMMYFUNCTION("GOOGLETRANSLATE(B624,""en"",""te"")"),"వ్యాసార్థం")</f>
        <v>వ్యాసార్థం</v>
      </c>
      <c r="V624" s="4" t="str">
        <f>IFERROR(__xludf.DUMMYFUNCTION("GOOGLETRANSLATE(B624,""en"",""kn"")"),"ತ್ರಿಜ್ಯ")</f>
        <v>ತ್ರಿಜ್ಯ</v>
      </c>
      <c r="W624" s="4" t="str">
        <f>IFERROR(__xludf.DUMMYFUNCTION("GOOGLETRANSLATE(B624,""en"",""ml"")"),"ആരം")</f>
        <v>ആരം</v>
      </c>
      <c r="X624" s="4" t="str">
        <f>IFERROR(__xludf.DUMMYFUNCTION("GOOGLETRANSLATE(B624,""en"",""th"")"),"รัศมี")</f>
        <v>รัศมี</v>
      </c>
      <c r="Y624" s="4" t="str">
        <f>IFERROR(__xludf.DUMMYFUNCTION("GOOGLETRANSLATE(B624,""en"",""ko"")"),"반지름")</f>
        <v>반지름</v>
      </c>
      <c r="Z624" s="4" t="str">
        <f>IFERROR(__xludf.DUMMYFUNCTION("GOOGLETRANSLATE(B624,""en"",""zh"")"),"半径")</f>
        <v>半径</v>
      </c>
      <c r="AA624" s="4" t="str">
        <f>IFERROR(__xludf.DUMMYFUNCTION("GOOGLETRANSLATE(B624,""en"",""zh-TW"")"),"半徑")</f>
        <v>半徑</v>
      </c>
      <c r="AB624" s="4" t="str">
        <f>IFERROR(__xludf.DUMMYFUNCTION("GOOGLETRANSLATE(B624,""en"",""ja"")"),"半径")</f>
        <v>半径</v>
      </c>
      <c r="AC624" s="4" t="str">
        <f>IFERROR(__xludf.DUMMYFUNCTION("GOOGLETRANSLATE(B624,""en"",""bg"")"),"Радиус")</f>
        <v>Радиус</v>
      </c>
      <c r="AD624" s="4" t="str">
        <f>IFERROR(__xludf.DUMMYFUNCTION("GOOGLETRANSLATE(B624,""en"",""cs"")"),"Poloměr")</f>
        <v>Poloměr</v>
      </c>
      <c r="AE624" s="4" t="str">
        <f>IFERROR(__xludf.DUMMYFUNCTION("GOOGLETRANSLATE(B624,""en"",""da"")"),"Radius")</f>
        <v>Radius</v>
      </c>
      <c r="AF624" s="4" t="str">
        <f>IFERROR(__xludf.DUMMYFUNCTION("GOOGLETRANSLATE(B624,""en"",""el"")"),"Ακτίνα")</f>
        <v>Ακτίνα</v>
      </c>
      <c r="AG624" s="4" t="str">
        <f>IFERROR(__xludf.DUMMYFUNCTION("GOOGLETRANSLATE(B624,""en"",""et"")"),"Raadius")</f>
        <v>Raadius</v>
      </c>
      <c r="AH624" s="4" t="str">
        <f>IFERROR(__xludf.DUMMYFUNCTION("GOOGLETRANSLATE(B624,""en"",""fi"")"),"Säde")</f>
        <v>Säde</v>
      </c>
      <c r="AI624" s="4" t="str">
        <f>IFERROR(__xludf.DUMMYFUNCTION("GOOGLETRANSLATE(B624,""en"",""hr"")"),"Radius")</f>
        <v>Radius</v>
      </c>
      <c r="AJ624" s="4" t="str">
        <f>IFERROR(__xludf.DUMMYFUNCTION("GOOGLETRANSLATE(B624,""en"",""hu"")"),"Sugár")</f>
        <v>Sugár</v>
      </c>
      <c r="AK624" s="4" t="str">
        <f>IFERROR(__xludf.DUMMYFUNCTION("GOOGLETRANSLATE(B624,""en"",""hy"")"),"Շառավիղ")</f>
        <v>Շառավիղ</v>
      </c>
      <c r="AL624" s="4" t="str">
        <f>IFERROR(__xludf.DUMMYFUNCTION("GOOGLETRANSLATE(B624,""en"",""ca"")"),"Radi")</f>
        <v>Radi</v>
      </c>
      <c r="AM624" s="4" t="str">
        <f>IFERROR(__xludf.DUMMYFUNCTION("GOOGLETRANSLATE(B624,""en"",""nl"")"),"Radius")</f>
        <v>Radius</v>
      </c>
      <c r="AN624" s="4" t="str">
        <f>IFERROR(__xludf.DUMMYFUNCTION("GOOGLETRANSLATE(B624,""en"",""he"")"),"רַדִיוּס")</f>
        <v>רַדִיוּס</v>
      </c>
      <c r="AO624" s="4" t="str">
        <f>IFERROR(__xludf.DUMMYFUNCTION("GOOGLETRANSLATE(B624,""en"",""is"")"),"Radíus")</f>
        <v>Radíus</v>
      </c>
      <c r="AP624" s="4" t="str">
        <f>IFERROR(__xludf.DUMMYFUNCTION("GOOGLETRANSLATE(B624,""en"",""no"")"),"Radius")</f>
        <v>Radius</v>
      </c>
      <c r="AQ624" s="4" t="str">
        <f>IFERROR(__xludf.DUMMYFUNCTION("GOOGLETRANSLATE(B624,""en"",""fa"")"),"شعاع")</f>
        <v>شعاع</v>
      </c>
      <c r="AR624" s="4" t="str">
        <f>IFERROR(__xludf.DUMMYFUNCTION("GOOGLETRANSLATE(B624,""en"",""pl"")"),"Promień")</f>
        <v>Promień</v>
      </c>
      <c r="AS624" s="4" t="str">
        <f>IFERROR(__xludf.DUMMYFUNCTION("GOOGLETRANSLATE(B624,""en"",""sv"")"),"Radie")</f>
        <v>Radie</v>
      </c>
      <c r="AT624" s="4" t="str">
        <f>IFERROR(__xludf.DUMMYFUNCTION("GOOGLETRANSLATE(B624,""en"",""uk"")"),"Радіус")</f>
        <v>Радіус</v>
      </c>
      <c r="AU624" s="4" t="str">
        <f>IFERROR(__xludf.DUMMYFUNCTION("GOOGLETRANSLATE(B624,""en"",""zu"")"),"Irediyasi")</f>
        <v>Irediyasi</v>
      </c>
      <c r="AV624" s="4" t="str">
        <f>IFERROR(__xludf.DUMMYFUNCTION("GOOGLETRANSLATE(B624,""en"",""sr"")"),"Радијус")</f>
        <v>Радијус</v>
      </c>
    </row>
    <row r="625">
      <c r="A625" s="3" t="s">
        <v>1192</v>
      </c>
      <c r="B625" s="3" t="s">
        <v>553</v>
      </c>
      <c r="C625" s="4" t="str">
        <f>IFERROR(__xludf.DUMMYFUNCTION("GOOGLETRANSLATE(B625,""en"",""ta"")"),"கி.மீ")</f>
        <v>கி.மீ</v>
      </c>
      <c r="D625" s="4" t="str">
        <f>IFERROR(__xludf.DUMMYFUNCTION("GOOGLETRANSLATE(B625,""en"",""hi"")"),"किमी")</f>
        <v>किमी</v>
      </c>
      <c r="E625" s="4" t="str">
        <f>IFERROR(__xludf.DUMMYFUNCTION("GOOGLETRANSLATE(B625,""en"",""id"")"),"kilometer")</f>
        <v>kilometer</v>
      </c>
      <c r="F625" s="4" t="str">
        <f>IFERROR(__xludf.DUMMYFUNCTION("GOOGLETRANSLATE(B625,""en"",""ms"")"),"km")</f>
        <v>km</v>
      </c>
      <c r="G625" s="4" t="str">
        <f>IFERROR(__xludf.DUMMYFUNCTION("GOOGLETRANSLATE(B625,""en"",""de"")"),"km")</f>
        <v>km</v>
      </c>
      <c r="H625" s="4" t="str">
        <f>IFERROR(__xludf.DUMMYFUNCTION("GOOGLETRANSLATE(B625,""en"",""es"")"),"kilómetros")</f>
        <v>kilómetros</v>
      </c>
      <c r="I625" s="4" t="str">
        <f>IFERROR(__xludf.DUMMYFUNCTION("GOOGLETRANSLATE(B625,""en"",""fr"")"),"km")</f>
        <v>km</v>
      </c>
      <c r="J625" s="4" t="str">
        <f>IFERROR(__xludf.DUMMYFUNCTION("GOOGLETRANSLATE(B625,""en"",""it"")"),"chilometri")</f>
        <v>chilometri</v>
      </c>
      <c r="K625" s="4" t="str">
        <f>IFERROR(__xludf.DUMMYFUNCTION("GOOGLETRANSLATE(B625,""en"",""pt"")"),"quilômetros")</f>
        <v>quilômetros</v>
      </c>
      <c r="L625" s="4" t="str">
        <f>IFERROR(__xludf.DUMMYFUNCTION("GOOGLETRANSLATE(B625,""en"",""ro"")"),"km")</f>
        <v>km</v>
      </c>
      <c r="M625" s="4" t="str">
        <f>IFERROR(__xludf.DUMMYFUNCTION("GOOGLETRANSLATE(B625,""en"",""vi"")"),"km")</f>
        <v>km</v>
      </c>
      <c r="N625" s="4" t="str">
        <f>IFERROR(__xludf.DUMMYFUNCTION("GOOGLETRANSLATE(B625,""en"",""ru"")"),"км")</f>
        <v>км</v>
      </c>
      <c r="O625" s="4" t="str">
        <f>IFERROR(__xludf.DUMMYFUNCTION("GOOGLETRANSLATE(B625,""en"",""tr"")"),"km")</f>
        <v>km</v>
      </c>
      <c r="P625" s="4" t="str">
        <f>IFERROR(__xludf.DUMMYFUNCTION("GOOGLETRANSLATE(B625,""en"",""ar"")"),"كم")</f>
        <v>كم</v>
      </c>
      <c r="Q625" s="4" t="str">
        <f>IFERROR(__xludf.DUMMYFUNCTION("GOOGLETRANSLATE(B625,""en"",""mr"")"),"किमी")</f>
        <v>किमी</v>
      </c>
      <c r="R625" s="4" t="str">
        <f>IFERROR(__xludf.DUMMYFUNCTION("GOOGLETRANSLATE(B625,""en"",""gu"")"),"કિમી")</f>
        <v>કિમી</v>
      </c>
      <c r="S625" s="4" t="str">
        <f>IFERROR(__xludf.DUMMYFUNCTION("GOOGLETRANSLATE(B625,""en"",""bn"")"),"কিমি")</f>
        <v>কিমি</v>
      </c>
      <c r="T625" s="4" t="str">
        <f>IFERROR(__xludf.DUMMYFUNCTION("GOOGLETRANSLATE(B625,""en"",""pa"")"),"ਕਿਲੋਮੀਟਰ")</f>
        <v>ਕਿਲੋਮੀਟਰ</v>
      </c>
      <c r="U625" s="4" t="str">
        <f>IFERROR(__xludf.DUMMYFUNCTION("GOOGLETRANSLATE(B625,""en"",""te"")"),"కి.మీ")</f>
        <v>కి.మీ</v>
      </c>
      <c r="V625" s="4" t="str">
        <f>IFERROR(__xludf.DUMMYFUNCTION("GOOGLETRANSLATE(B625,""en"",""kn"")"),"ಕಿ.ಮೀ")</f>
        <v>ಕಿ.ಮೀ</v>
      </c>
      <c r="W625" s="4" t="str">
        <f>IFERROR(__xludf.DUMMYFUNCTION("GOOGLETRANSLATE(B625,""en"",""ml"")"),"കി.മീ")</f>
        <v>കി.മീ</v>
      </c>
      <c r="X625" s="4" t="str">
        <f>IFERROR(__xludf.DUMMYFUNCTION("GOOGLETRANSLATE(B625,""en"",""th"")"),"กม.")</f>
        <v>กม.</v>
      </c>
      <c r="Y625" s="4" t="str">
        <f>IFERROR(__xludf.DUMMYFUNCTION("GOOGLETRANSLATE(B625,""en"",""ko"")"),"킬로미터")</f>
        <v>킬로미터</v>
      </c>
      <c r="Z625" s="4" t="str">
        <f>IFERROR(__xludf.DUMMYFUNCTION("GOOGLETRANSLATE(B625,""en"",""zh"")"),"公里")</f>
        <v>公里</v>
      </c>
      <c r="AA625" s="4" t="str">
        <f>IFERROR(__xludf.DUMMYFUNCTION("GOOGLETRANSLATE(B625,""en"",""zh-TW"")"),"公里")</f>
        <v>公里</v>
      </c>
      <c r="AB625" s="4" t="str">
        <f>IFERROR(__xludf.DUMMYFUNCTION("GOOGLETRANSLATE(B625,""en"",""ja"")"),"キロ")</f>
        <v>キロ</v>
      </c>
      <c r="AC625" s="4" t="str">
        <f>IFERROR(__xludf.DUMMYFUNCTION("GOOGLETRANSLATE(B625,""en"",""bg"")"),"км")</f>
        <v>км</v>
      </c>
      <c r="AD625" s="4" t="str">
        <f>IFERROR(__xludf.DUMMYFUNCTION("GOOGLETRANSLATE(B625,""en"",""cs"")"),"km")</f>
        <v>km</v>
      </c>
      <c r="AE625" s="4" t="str">
        <f>IFERROR(__xludf.DUMMYFUNCTION("GOOGLETRANSLATE(B625,""en"",""da"")"),"km")</f>
        <v>km</v>
      </c>
      <c r="AF625" s="4" t="str">
        <f>IFERROR(__xludf.DUMMYFUNCTION("GOOGLETRANSLATE(B625,""en"",""el"")"),"χλμ")</f>
        <v>χλμ</v>
      </c>
      <c r="AG625" s="4" t="str">
        <f>IFERROR(__xludf.DUMMYFUNCTION("GOOGLETRANSLATE(B625,""en"",""et"")"),"km")</f>
        <v>km</v>
      </c>
      <c r="AH625" s="4" t="str">
        <f>IFERROR(__xludf.DUMMYFUNCTION("GOOGLETRANSLATE(B625,""en"",""fi"")"),"km")</f>
        <v>km</v>
      </c>
      <c r="AI625" s="4" t="str">
        <f>IFERROR(__xludf.DUMMYFUNCTION("GOOGLETRANSLATE(B625,""en"",""hr"")"),"km")</f>
        <v>km</v>
      </c>
      <c r="AJ625" s="4" t="str">
        <f>IFERROR(__xludf.DUMMYFUNCTION("GOOGLETRANSLATE(B625,""en"",""hu"")"),"km")</f>
        <v>km</v>
      </c>
      <c r="AK625" s="4" t="str">
        <f>IFERROR(__xludf.DUMMYFUNCTION("GOOGLETRANSLATE(B625,""en"",""hy"")"),"կմ")</f>
        <v>կմ</v>
      </c>
      <c r="AL625" s="4" t="str">
        <f>IFERROR(__xludf.DUMMYFUNCTION("GOOGLETRANSLATE(B625,""en"",""ca"")"),"km")</f>
        <v>km</v>
      </c>
      <c r="AM625" s="4" t="str">
        <f>IFERROR(__xludf.DUMMYFUNCTION("GOOGLETRANSLATE(B625,""en"",""nl"")"),"km")</f>
        <v>km</v>
      </c>
      <c r="AN625" s="4" t="str">
        <f>IFERROR(__xludf.DUMMYFUNCTION("GOOGLETRANSLATE(B625,""en"",""he"")"),"ק""מ")</f>
        <v>ק"מ</v>
      </c>
      <c r="AO625" s="4" t="str">
        <f>IFERROR(__xludf.DUMMYFUNCTION("GOOGLETRANSLATE(B625,""en"",""is"")"),"km")</f>
        <v>km</v>
      </c>
      <c r="AP625" s="4" t="str">
        <f>IFERROR(__xludf.DUMMYFUNCTION("GOOGLETRANSLATE(B625,""en"",""no"")"),"km")</f>
        <v>km</v>
      </c>
      <c r="AQ625" s="4" t="str">
        <f>IFERROR(__xludf.DUMMYFUNCTION("GOOGLETRANSLATE(B625,""en"",""fa"")"),"کیلومتر")</f>
        <v>کیلومتر</v>
      </c>
      <c r="AR625" s="4" t="str">
        <f>IFERROR(__xludf.DUMMYFUNCTION("GOOGLETRANSLATE(B625,""en"",""pl"")"),"km")</f>
        <v>km</v>
      </c>
      <c r="AS625" s="4" t="str">
        <f>IFERROR(__xludf.DUMMYFUNCTION("GOOGLETRANSLATE(B625,""en"",""sv"")"),"km")</f>
        <v>km</v>
      </c>
      <c r="AT625" s="4" t="str">
        <f>IFERROR(__xludf.DUMMYFUNCTION("GOOGLETRANSLATE(B625,""en"",""uk"")"),"км")</f>
        <v>км</v>
      </c>
      <c r="AU625" s="4" t="str">
        <f>IFERROR(__xludf.DUMMYFUNCTION("GOOGLETRANSLATE(B625,""en"",""zu"")"),"km")</f>
        <v>km</v>
      </c>
      <c r="AV625" s="4" t="str">
        <f>IFERROR(__xludf.DUMMYFUNCTION("GOOGLETRANSLATE(B625,""en"",""sr"")"),"км")</f>
        <v>км</v>
      </c>
    </row>
    <row r="626">
      <c r="A626" s="3" t="s">
        <v>1193</v>
      </c>
      <c r="B626" s="3" t="s">
        <v>1003</v>
      </c>
      <c r="C626" s="4" t="str">
        <f>IFERROR(__xludf.DUMMYFUNCTION("GOOGLETRANSLATE(B626,""en"",""ta"")"),"பிராந்தியத்தை நீக்கு")</f>
        <v>பிராந்தியத்தை நீக்கு</v>
      </c>
      <c r="D626" s="4" t="str">
        <f>IFERROR(__xludf.DUMMYFUNCTION("GOOGLETRANSLATE(B626,""en"",""hi"")"),"क्षेत्र हटाएं")</f>
        <v>क्षेत्र हटाएं</v>
      </c>
      <c r="E626" s="4" t="str">
        <f>IFERROR(__xludf.DUMMYFUNCTION("GOOGLETRANSLATE(B626,""en"",""id"")"),"Hapus Wilayah")</f>
        <v>Hapus Wilayah</v>
      </c>
      <c r="F626" s="4" t="str">
        <f>IFERROR(__xludf.DUMMYFUNCTION("GOOGLETRANSLATE(B626,""en"",""ms"")"),"Padamkan Wilayah")</f>
        <v>Padamkan Wilayah</v>
      </c>
      <c r="G626" s="4" t="str">
        <f>IFERROR(__xludf.DUMMYFUNCTION("GOOGLETRANSLATE(B626,""en"",""de"")"),"Region löschen")</f>
        <v>Region löschen</v>
      </c>
      <c r="H626" s="4" t="str">
        <f>IFERROR(__xludf.DUMMYFUNCTION("GOOGLETRANSLATE(B626,""en"",""es"")"),"Eliminar región")</f>
        <v>Eliminar región</v>
      </c>
      <c r="I626" s="4" t="str">
        <f>IFERROR(__xludf.DUMMYFUNCTION("GOOGLETRANSLATE(B626,""en"",""fr"")"),"Supprimer la région")</f>
        <v>Supprimer la région</v>
      </c>
      <c r="J626" s="4" t="str">
        <f>IFERROR(__xludf.DUMMYFUNCTION("GOOGLETRANSLATE(B626,""en"",""it"")"),"Elimina regione")</f>
        <v>Elimina regione</v>
      </c>
      <c r="K626" s="4" t="str">
        <f>IFERROR(__xludf.DUMMYFUNCTION("GOOGLETRANSLATE(B626,""en"",""pt"")"),"Excluir região")</f>
        <v>Excluir região</v>
      </c>
      <c r="L626" s="4" t="str">
        <f>IFERROR(__xludf.DUMMYFUNCTION("GOOGLETRANSLATE(B626,""en"",""ro"")"),"Ștergeți regiunea")</f>
        <v>Ștergeți regiunea</v>
      </c>
      <c r="M626" s="4" t="str">
        <f>IFERROR(__xludf.DUMMYFUNCTION("GOOGLETRANSLATE(B626,""en"",""vi"")"),"Xóa vùng")</f>
        <v>Xóa vùng</v>
      </c>
      <c r="N626" s="4" t="str">
        <f>IFERROR(__xludf.DUMMYFUNCTION("GOOGLETRANSLATE(B626,""en"",""ru"")"),"Удалить регион")</f>
        <v>Удалить регион</v>
      </c>
      <c r="O626" s="4" t="str">
        <f>IFERROR(__xludf.DUMMYFUNCTION("GOOGLETRANSLATE(B626,""en"",""tr"")"),"Bölgeyi Sil")</f>
        <v>Bölgeyi Sil</v>
      </c>
      <c r="P626" s="4" t="str">
        <f>IFERROR(__xludf.DUMMYFUNCTION("GOOGLETRANSLATE(B626,""en"",""ar"")"),"حذف المنطقة")</f>
        <v>حذف المنطقة</v>
      </c>
      <c r="Q626" s="4" t="str">
        <f>IFERROR(__xludf.DUMMYFUNCTION("GOOGLETRANSLATE(B626,""en"",""mr"")"),"प्रदेश हटवा")</f>
        <v>प्रदेश हटवा</v>
      </c>
      <c r="R626" s="4" t="str">
        <f>IFERROR(__xludf.DUMMYFUNCTION("GOOGLETRANSLATE(B626,""en"",""gu"")"),"પ્રદેશ કાઢી નાખો")</f>
        <v>પ્રદેશ કાઢી નાખો</v>
      </c>
      <c r="S626" s="4" t="str">
        <f>IFERROR(__xludf.DUMMYFUNCTION("GOOGLETRANSLATE(B626,""en"",""bn"")"),"অঞ্চল মুছুন")</f>
        <v>অঞ্চল মুছুন</v>
      </c>
      <c r="T626" s="4" t="str">
        <f>IFERROR(__xludf.DUMMYFUNCTION("GOOGLETRANSLATE(B626,""en"",""pa"")"),"ਖੇਤਰ ਮਿਟਾਓ")</f>
        <v>ਖੇਤਰ ਮਿਟਾਓ</v>
      </c>
      <c r="U626" s="4" t="str">
        <f>IFERROR(__xludf.DUMMYFUNCTION("GOOGLETRANSLATE(B626,""en"",""te"")"),"ప్రాంతాన్ని తొలగించండి")</f>
        <v>ప్రాంతాన్ని తొలగించండి</v>
      </c>
      <c r="V626" s="4" t="str">
        <f>IFERROR(__xludf.DUMMYFUNCTION("GOOGLETRANSLATE(B626,""en"",""kn"")"),"ಪ್ರದೇಶವನ್ನು ಅಳಿಸಿ")</f>
        <v>ಪ್ರದೇಶವನ್ನು ಅಳಿಸಿ</v>
      </c>
      <c r="W626" s="4" t="str">
        <f>IFERROR(__xludf.DUMMYFUNCTION("GOOGLETRANSLATE(B626,""en"",""ml"")"),"പ്രദേശം ഇല്ലാതാക്കുക")</f>
        <v>പ്രദേശം ഇല്ലാതാക്കുക</v>
      </c>
      <c r="X626" s="4" t="str">
        <f>IFERROR(__xludf.DUMMYFUNCTION("GOOGLETRANSLATE(B626,""en"",""th"")"),"ลบภูมิภาค")</f>
        <v>ลบภูมิภาค</v>
      </c>
      <c r="Y626" s="4" t="str">
        <f>IFERROR(__xludf.DUMMYFUNCTION("GOOGLETRANSLATE(B626,""en"",""ko"")"),"지역 삭제")</f>
        <v>지역 삭제</v>
      </c>
      <c r="Z626" s="4" t="str">
        <f>IFERROR(__xludf.DUMMYFUNCTION("GOOGLETRANSLATE(B626,""en"",""zh"")"),"删除区域")</f>
        <v>删除区域</v>
      </c>
      <c r="AA626" s="4" t="str">
        <f>IFERROR(__xludf.DUMMYFUNCTION("GOOGLETRANSLATE(B626,""en"",""zh-TW"")"),"刪除區域")</f>
        <v>刪除區域</v>
      </c>
      <c r="AB626" s="4" t="str">
        <f>IFERROR(__xludf.DUMMYFUNCTION("GOOGLETRANSLATE(B626,""en"",""ja"")"),"領域を削除")</f>
        <v>領域を削除</v>
      </c>
      <c r="AC626" s="4" t="str">
        <f>IFERROR(__xludf.DUMMYFUNCTION("GOOGLETRANSLATE(B626,""en"",""bg"")"),"Изтриване на регион")</f>
        <v>Изтриване на регион</v>
      </c>
      <c r="AD626" s="4" t="str">
        <f>IFERROR(__xludf.DUMMYFUNCTION("GOOGLETRANSLATE(B626,""en"",""cs"")"),"Smazat region")</f>
        <v>Smazat region</v>
      </c>
      <c r="AE626" s="4" t="str">
        <f>IFERROR(__xludf.DUMMYFUNCTION("GOOGLETRANSLATE(B626,""en"",""da"")"),"Slet region")</f>
        <v>Slet region</v>
      </c>
      <c r="AF626" s="4" t="str">
        <f>IFERROR(__xludf.DUMMYFUNCTION("GOOGLETRANSLATE(B626,""en"",""el"")"),"Διαγραφή περιοχής")</f>
        <v>Διαγραφή περιοχής</v>
      </c>
      <c r="AG626" s="4" t="str">
        <f>IFERROR(__xludf.DUMMYFUNCTION("GOOGLETRANSLATE(B626,""en"",""et"")"),"Kustuta piirkond")</f>
        <v>Kustuta piirkond</v>
      </c>
      <c r="AH626" s="4" t="str">
        <f>IFERROR(__xludf.DUMMYFUNCTION("GOOGLETRANSLATE(B626,""en"",""fi"")"),"Poista alue")</f>
        <v>Poista alue</v>
      </c>
      <c r="AI626" s="4" t="str">
        <f>IFERROR(__xludf.DUMMYFUNCTION("GOOGLETRANSLATE(B626,""en"",""hr"")"),"Izbriši regiju")</f>
        <v>Izbriši regiju</v>
      </c>
      <c r="AJ626" s="4" t="str">
        <f>IFERROR(__xludf.DUMMYFUNCTION("GOOGLETRANSLATE(B626,""en"",""hu"")"),"Régió törlése")</f>
        <v>Régió törlése</v>
      </c>
      <c r="AK626" s="4" t="str">
        <f>IFERROR(__xludf.DUMMYFUNCTION("GOOGLETRANSLATE(B626,""en"",""hy"")"),"Ջնջել Տարածաշրջանը")</f>
        <v>Ջնջել Տարածաշրջանը</v>
      </c>
      <c r="AL626" s="4" t="str">
        <f>IFERROR(__xludf.DUMMYFUNCTION("GOOGLETRANSLATE(B626,""en"",""ca"")"),"Suprimeix la regió")</f>
        <v>Suprimeix la regió</v>
      </c>
      <c r="AM626" s="4" t="str">
        <f>IFERROR(__xludf.DUMMYFUNCTION("GOOGLETRANSLATE(B626,""en"",""nl"")"),"Regio verwijderen")</f>
        <v>Regio verwijderen</v>
      </c>
      <c r="AN626" s="4" t="str">
        <f>IFERROR(__xludf.DUMMYFUNCTION("GOOGLETRANSLATE(B626,""en"",""he"")"),"מחק אזור")</f>
        <v>מחק אזור</v>
      </c>
      <c r="AO626" s="4" t="str">
        <f>IFERROR(__xludf.DUMMYFUNCTION("GOOGLETRANSLATE(B626,""en"",""is"")"),"Eyða svæði")</f>
        <v>Eyða svæði</v>
      </c>
      <c r="AP626" s="4" t="str">
        <f>IFERROR(__xludf.DUMMYFUNCTION("GOOGLETRANSLATE(B626,""en"",""no"")"),"Slett region")</f>
        <v>Slett region</v>
      </c>
      <c r="AQ626" s="4" t="str">
        <f>IFERROR(__xludf.DUMMYFUNCTION("GOOGLETRANSLATE(B626,""en"",""fa"")"),"حذف منطقه")</f>
        <v>حذف منطقه</v>
      </c>
      <c r="AR626" s="4" t="str">
        <f>IFERROR(__xludf.DUMMYFUNCTION("GOOGLETRANSLATE(B626,""en"",""pl"")"),"Usuń region")</f>
        <v>Usuń region</v>
      </c>
      <c r="AS626" s="4" t="str">
        <f>IFERROR(__xludf.DUMMYFUNCTION("GOOGLETRANSLATE(B626,""en"",""sv"")"),"Ta bort region")</f>
        <v>Ta bort region</v>
      </c>
      <c r="AT626" s="4" t="str">
        <f>IFERROR(__xludf.DUMMYFUNCTION("GOOGLETRANSLATE(B626,""en"",""uk"")"),"Видалити регіон")</f>
        <v>Видалити регіон</v>
      </c>
      <c r="AU626" s="4" t="str">
        <f>IFERROR(__xludf.DUMMYFUNCTION("GOOGLETRANSLATE(B626,""en"",""zu"")"),"Susa Isifunda")</f>
        <v>Susa Isifunda</v>
      </c>
      <c r="AV626" s="4" t="str">
        <f>IFERROR(__xludf.DUMMYFUNCTION("GOOGLETRANSLATE(B626,""en"",""sr"")"),"Делете Регион")</f>
        <v>Делете Регион</v>
      </c>
    </row>
    <row r="627">
      <c r="A627" s="3" t="s">
        <v>1194</v>
      </c>
      <c r="B627" s="3" t="s">
        <v>1005</v>
      </c>
      <c r="C627" s="4" t="str">
        <f>IFERROR(__xludf.DUMMYFUNCTION("GOOGLETRANSLATE(B627,""en"",""ta"")"),"இந்தப் பகுதியை நிச்சயமாக நீக்க விரும்புகிறீர்களா?")</f>
        <v>இந்தப் பகுதியை நிச்சயமாக நீக்க விரும்புகிறீர்களா?</v>
      </c>
      <c r="D627" s="4" t="str">
        <f>IFERROR(__xludf.DUMMYFUNCTION("GOOGLETRANSLATE(B627,""en"",""hi"")"),"क्या आप वाकई इस क्षेत्र को हटाना चाहते हैं?")</f>
        <v>क्या आप वाकई इस क्षेत्र को हटाना चाहते हैं?</v>
      </c>
      <c r="E627" s="4" t="str">
        <f>IFERROR(__xludf.DUMMYFUNCTION("GOOGLETRANSLATE(B627,""en"",""id"")"),"Apakah Anda yakin ingin menghapus wilayah ini?")</f>
        <v>Apakah Anda yakin ingin menghapus wilayah ini?</v>
      </c>
      <c r="F627" s="4" t="str">
        <f>IFERROR(__xludf.DUMMYFUNCTION("GOOGLETRANSLATE(B627,""en"",""ms"")"),"Adakah anda pasti mahu memadamkan rantau ini?")</f>
        <v>Adakah anda pasti mahu memadamkan rantau ini?</v>
      </c>
      <c r="G627" s="4" t="str">
        <f>IFERROR(__xludf.DUMMYFUNCTION("GOOGLETRANSLATE(B627,""en"",""de"")"),"Möchten Sie diese Region wirklich löschen?")</f>
        <v>Möchten Sie diese Region wirklich löschen?</v>
      </c>
      <c r="H627" s="4" t="str">
        <f>IFERROR(__xludf.DUMMYFUNCTION("GOOGLETRANSLATE(B627,""en"",""es"")"),"¿Estás seguro de que deseas eliminar esta región?")</f>
        <v>¿Estás seguro de que deseas eliminar esta región?</v>
      </c>
      <c r="I627" s="4" t="str">
        <f>IFERROR(__xludf.DUMMYFUNCTION("GOOGLETRANSLATE(B627,""en"",""fr"")"),"Êtes-vous sûr de vouloir supprimer cette région ?")</f>
        <v>Êtes-vous sûr de vouloir supprimer cette région ?</v>
      </c>
      <c r="J627" s="4" t="str">
        <f>IFERROR(__xludf.DUMMYFUNCTION("GOOGLETRANSLATE(B627,""en"",""it"")"),"Vuoi davvero eliminare questa regione?")</f>
        <v>Vuoi davvero eliminare questa regione?</v>
      </c>
      <c r="K627" s="4" t="str">
        <f>IFERROR(__xludf.DUMMYFUNCTION("GOOGLETRANSLATE(B627,""en"",""pt"")"),"Tem certeza de que deseja excluir esta região?")</f>
        <v>Tem certeza de que deseja excluir esta região?</v>
      </c>
      <c r="L627" s="4" t="str">
        <f>IFERROR(__xludf.DUMMYFUNCTION("GOOGLETRANSLATE(B627,""en"",""ro"")"),"Sigur doriți să ștergeți această regiune?")</f>
        <v>Sigur doriți să ștergeți această regiune?</v>
      </c>
      <c r="M627" s="4" t="str">
        <f>IFERROR(__xludf.DUMMYFUNCTION("GOOGLETRANSLATE(B627,""en"",""vi"")"),"Bạn có chắc chắn muốn xóa vùng này không?")</f>
        <v>Bạn có chắc chắn muốn xóa vùng này không?</v>
      </c>
      <c r="N627" s="4" t="str">
        <f>IFERROR(__xludf.DUMMYFUNCTION("GOOGLETRANSLATE(B627,""en"",""ru"")"),"Вы уверены, что хотите удалить этот регион?")</f>
        <v>Вы уверены, что хотите удалить этот регион?</v>
      </c>
      <c r="O627" s="4" t="str">
        <f>IFERROR(__xludf.DUMMYFUNCTION("GOOGLETRANSLATE(B627,""en"",""tr"")"),"Bu bölgeyi silmek istediğinizden emin misiniz?")</f>
        <v>Bu bölgeyi silmek istediğinizden emin misiniz?</v>
      </c>
      <c r="P627" s="4" t="str">
        <f>IFERROR(__xludf.DUMMYFUNCTION("GOOGLETRANSLATE(B627,""en"",""ar"")"),"هل أنت متأكد أنك تريد حذف هذه المنطقة؟")</f>
        <v>هل أنت متأكد أنك تريد حذف هذه المنطقة؟</v>
      </c>
      <c r="Q627" s="4" t="str">
        <f>IFERROR(__xludf.DUMMYFUNCTION("GOOGLETRANSLATE(B627,""en"",""mr"")"),"तुमची खात्री आहे की तुम्ही हा प्रदेश हटवू इच्छिता?")</f>
        <v>तुमची खात्री आहे की तुम्ही हा प्रदेश हटवू इच्छिता?</v>
      </c>
      <c r="R627" s="4" t="str">
        <f>IFERROR(__xludf.DUMMYFUNCTION("GOOGLETRANSLATE(B627,""en"",""gu"")"),"શું તમે ખરેખર આ પ્રદેશને કાઢી નાખવા માંગો છો?")</f>
        <v>શું તમે ખરેખર આ પ્રદેશને કાઢી નાખવા માંગો છો?</v>
      </c>
      <c r="S627" s="4" t="str">
        <f>IFERROR(__xludf.DUMMYFUNCTION("GOOGLETRANSLATE(B627,""en"",""bn"")"),"আপনি কি এই অঞ্চলটি মুছে ফেলার বিষয়ে নিশ্চিত?")</f>
        <v>আপনি কি এই অঞ্চলটি মুছে ফেলার বিষয়ে নিশ্চিত?</v>
      </c>
      <c r="T627" s="4" t="str">
        <f>IFERROR(__xludf.DUMMYFUNCTION("GOOGLETRANSLATE(B627,""en"",""pa"")"),"ਕੀ ਤੁਸੀਂ ਯਕੀਨੀ ਤੌਰ 'ਤੇ ਇਸ ਖੇਤਰ ਨੂੰ ਮਿਟਾਉਣਾ ਚਾਹੁੰਦੇ ਹੋ?")</f>
        <v>ਕੀ ਤੁਸੀਂ ਯਕੀਨੀ ਤੌਰ 'ਤੇ ਇਸ ਖੇਤਰ ਨੂੰ ਮਿਟਾਉਣਾ ਚਾਹੁੰਦੇ ਹੋ?</v>
      </c>
      <c r="U627" s="4" t="str">
        <f>IFERROR(__xludf.DUMMYFUNCTION("GOOGLETRANSLATE(B627,""en"",""te"")"),"మీరు ఖచ్చితంగా ఈ ప్రాంతాన్ని తొలగించాలనుకుంటున్నారా?")</f>
        <v>మీరు ఖచ్చితంగా ఈ ప్రాంతాన్ని తొలగించాలనుకుంటున్నారా?</v>
      </c>
      <c r="V627" s="4" t="str">
        <f>IFERROR(__xludf.DUMMYFUNCTION("GOOGLETRANSLATE(B627,""en"",""kn"")"),"ಈ ಪ್ರದೇಶವನ್ನು ಅಳಿಸಲು ನೀವು ಖಚಿತವಾಗಿ ಬಯಸುವಿರಾ?")</f>
        <v>ಈ ಪ್ರದೇಶವನ್ನು ಅಳಿಸಲು ನೀವು ಖಚಿತವಾಗಿ ಬಯಸುವಿರಾ?</v>
      </c>
      <c r="W627" s="4" t="str">
        <f>IFERROR(__xludf.DUMMYFUNCTION("GOOGLETRANSLATE(B627,""en"",""ml"")"),"ഈ പ്രദേശം ഇല്ലാതാക്കണമെന്ന് തീർച്ചയാണോ?")</f>
        <v>ഈ പ്രദേശം ഇല്ലാതാക്കണമെന്ന് തീർച്ചയാണോ?</v>
      </c>
      <c r="X627" s="4" t="str">
        <f>IFERROR(__xludf.DUMMYFUNCTION("GOOGLETRANSLATE(B627,""en"",""th"")"),"คุณแน่ใจว่าต้องการลบภูมิภาคนี้หรือไม่?")</f>
        <v>คุณแน่ใจว่าต้องการลบภูมิภาคนี้หรือไม่?</v>
      </c>
      <c r="Y627" s="4" t="str">
        <f>IFERROR(__xludf.DUMMYFUNCTION("GOOGLETRANSLATE(B627,""en"",""ko"")"),"이 지역을 삭제하시겠습니까?")</f>
        <v>이 지역을 삭제하시겠습니까?</v>
      </c>
      <c r="Z627" s="4" t="str">
        <f>IFERROR(__xludf.DUMMYFUNCTION("GOOGLETRANSLATE(B627,""en"",""zh"")"),"您确定要删除该区域吗？")</f>
        <v>您确定要删除该区域吗？</v>
      </c>
      <c r="AA627" s="4" t="str">
        <f>IFERROR(__xludf.DUMMYFUNCTION("GOOGLETRANSLATE(B627,""en"",""zh-TW"")"),"您確定要刪除該區域嗎？")</f>
        <v>您確定要刪除該區域嗎？</v>
      </c>
      <c r="AB627" s="4" t="str">
        <f>IFERROR(__xludf.DUMMYFUNCTION("GOOGLETRANSLATE(B627,""en"",""ja"")"),"この地域を削除してもよろしいですか?")</f>
        <v>この地域を削除してもよろしいですか?</v>
      </c>
      <c r="AC627" s="4" t="str">
        <f>IFERROR(__xludf.DUMMYFUNCTION("GOOGLETRANSLATE(B627,""en"",""bg"")"),"Сигурни ли сте, че искате да изтриете този регион?")</f>
        <v>Сигурни ли сте, че искате да изтриете този регион?</v>
      </c>
      <c r="AD627" s="4" t="str">
        <f>IFERROR(__xludf.DUMMYFUNCTION("GOOGLETRANSLATE(B627,""en"",""cs"")"),"Opravdu chcete smazat tuto oblast?")</f>
        <v>Opravdu chcete smazat tuto oblast?</v>
      </c>
      <c r="AE627" s="4" t="str">
        <f>IFERROR(__xludf.DUMMYFUNCTION("GOOGLETRANSLATE(B627,""en"",""da"")"),"Er du sikker på, at du vil slette denne region?")</f>
        <v>Er du sikker på, at du vil slette denne region?</v>
      </c>
      <c r="AF627" s="4" t="str">
        <f>IFERROR(__xludf.DUMMYFUNCTION("GOOGLETRANSLATE(B627,""en"",""el"")"),"Είστε βέβαιοι ότι θέλετε να διαγράψετε αυτήν την περιοχή;")</f>
        <v>Είστε βέβαιοι ότι θέλετε να διαγράψετε αυτήν την περιοχή;</v>
      </c>
      <c r="AG627" s="4" t="str">
        <f>IFERROR(__xludf.DUMMYFUNCTION("GOOGLETRANSLATE(B627,""en"",""et"")"),"Kas olete kindel, et soovite selle piirkonna kustutada?")</f>
        <v>Kas olete kindel, et soovite selle piirkonna kustutada?</v>
      </c>
      <c r="AH627" s="4" t="str">
        <f>IFERROR(__xludf.DUMMYFUNCTION("GOOGLETRANSLATE(B627,""en"",""fi"")"),"Haluatko varmasti poistaa tämän alueen?")</f>
        <v>Haluatko varmasti poistaa tämän alueen?</v>
      </c>
      <c r="AI627" s="4" t="str">
        <f>IFERROR(__xludf.DUMMYFUNCTION("GOOGLETRANSLATE(B627,""en"",""hr"")"),"Jeste li sigurni da želite izbrisati ovu regiju?")</f>
        <v>Jeste li sigurni da želite izbrisati ovu regiju?</v>
      </c>
      <c r="AJ627" s="4" t="str">
        <f>IFERROR(__xludf.DUMMYFUNCTION("GOOGLETRANSLATE(B627,""en"",""hu"")"),"Biztosan törli ezt a régiót?")</f>
        <v>Biztosan törli ezt a régiót?</v>
      </c>
      <c r="AK627" s="4" t="str">
        <f>IFERROR(__xludf.DUMMYFUNCTION("GOOGLETRANSLATE(B627,""en"",""hy"")"),"Իսկապե՞ս ուզում եք ջնջել այս տարածաշրջանը:")</f>
        <v>Իսկապե՞ս ուզում եք ջնջել այս տարածաշրջանը:</v>
      </c>
      <c r="AL627" s="4" t="str">
        <f>IFERROR(__xludf.DUMMYFUNCTION("GOOGLETRANSLATE(B627,""en"",""ca"")"),"Esteu segur que voleu suprimir aquesta regió?")</f>
        <v>Esteu segur que voleu suprimir aquesta regió?</v>
      </c>
      <c r="AM627" s="4" t="str">
        <f>IFERROR(__xludf.DUMMYFUNCTION("GOOGLETRANSLATE(B627,""en"",""nl"")"),"Weet u zeker dat u dit gebied wilt verwijderen?")</f>
        <v>Weet u zeker dat u dit gebied wilt verwijderen?</v>
      </c>
      <c r="AN627" s="4" t="str">
        <f>IFERROR(__xludf.DUMMYFUNCTION("GOOGLETRANSLATE(B627,""en"",""he"")"),"האם אתה בטוח שברצונך למחוק אזור זה?")</f>
        <v>האם אתה בטוח שברצונך למחוק אזור זה?</v>
      </c>
      <c r="AO627" s="4" t="str">
        <f>IFERROR(__xludf.DUMMYFUNCTION("GOOGLETRANSLATE(B627,""en"",""is"")"),"Ertu viss um að þú viljir eyða þessu svæði?")</f>
        <v>Ertu viss um að þú viljir eyða þessu svæði?</v>
      </c>
      <c r="AP627" s="4" t="str">
        <f>IFERROR(__xludf.DUMMYFUNCTION("GOOGLETRANSLATE(B627,""en"",""no"")"),"Er du sikker på at du vil slette denne regionen?")</f>
        <v>Er du sikker på at du vil slette denne regionen?</v>
      </c>
      <c r="AQ627" s="4" t="str">
        <f>IFERROR(__xludf.DUMMYFUNCTION("GOOGLETRANSLATE(B627,""en"",""fa"")"),"آیا مطمئن هستید که می خواهید این منطقه را حذف کنید؟")</f>
        <v>آیا مطمئن هستید که می خواهید این منطقه را حذف کنید؟</v>
      </c>
      <c r="AR627" s="4" t="str">
        <f>IFERROR(__xludf.DUMMYFUNCTION("GOOGLETRANSLATE(B627,""en"",""pl"")"),"Czy na pewno chcesz usunąć ten region?")</f>
        <v>Czy na pewno chcesz usunąć ten region?</v>
      </c>
      <c r="AS627" s="4" t="str">
        <f>IFERROR(__xludf.DUMMYFUNCTION("GOOGLETRANSLATE(B627,""en"",""sv"")"),"Är du säker på att du vill ta bort den här regionen?")</f>
        <v>Är du säker på att du vill ta bort den här regionen?</v>
      </c>
      <c r="AT627" s="4" t="str">
        <f>IFERROR(__xludf.DUMMYFUNCTION("GOOGLETRANSLATE(B627,""en"",""uk"")"),"Ви впевнені, що хочете видалити цей регіон?")</f>
        <v>Ви впевнені, що хочете видалити цей регіон?</v>
      </c>
      <c r="AU627" s="4" t="str">
        <f>IFERROR(__xludf.DUMMYFUNCTION("GOOGLETRANSLATE(B627,""en"",""zu"")"),"Uqinisekile ukuthi ufuna ukususa lesi sifunda?")</f>
        <v>Uqinisekile ukuthi ufuna ukususa lesi sifunda?</v>
      </c>
      <c r="AV627" s="4" t="str">
        <f>IFERROR(__xludf.DUMMYFUNCTION("GOOGLETRANSLATE(B627,""en"",""sr"")"),"Да ли сте сигурни да желите да избришете овај регион?")</f>
        <v>Да ли сте сигурни да желите да избришете овај регион?</v>
      </c>
    </row>
    <row r="628">
      <c r="A628" s="3" t="s">
        <v>1195</v>
      </c>
      <c r="B628" s="3" t="s">
        <v>1196</v>
      </c>
      <c r="C628" s="4" t="str">
        <f>IFERROR(__xludf.DUMMYFUNCTION("GOOGLETRANSLATE(B628,""en"",""ta"")"),"இருப்பிட விவரங்கள்")</f>
        <v>இருப்பிட விவரங்கள்</v>
      </c>
      <c r="D628" s="4" t="str">
        <f>IFERROR(__xludf.DUMMYFUNCTION("GOOGLETRANSLATE(B628,""en"",""hi"")"),"स्थान विवरण")</f>
        <v>स्थान विवरण</v>
      </c>
      <c r="E628" s="4" t="str">
        <f>IFERROR(__xludf.DUMMYFUNCTION("GOOGLETRANSLATE(B628,""en"",""id"")"),"Detail Lokasi")</f>
        <v>Detail Lokasi</v>
      </c>
      <c r="F628" s="4" t="str">
        <f>IFERROR(__xludf.DUMMYFUNCTION("GOOGLETRANSLATE(B628,""en"",""ms"")"),"Butiran Lokasi")</f>
        <v>Butiran Lokasi</v>
      </c>
      <c r="G628" s="4" t="str">
        <f>IFERROR(__xludf.DUMMYFUNCTION("GOOGLETRANSLATE(B628,""en"",""de"")"),"Details zur Station")</f>
        <v>Details zur Station</v>
      </c>
      <c r="H628" s="4" t="str">
        <f>IFERROR(__xludf.DUMMYFUNCTION("GOOGLETRANSLATE(B628,""en"",""es"")"),"Detalles de la ubicación")</f>
        <v>Detalles de la ubicación</v>
      </c>
      <c r="I628" s="4" t="str">
        <f>IFERROR(__xludf.DUMMYFUNCTION("GOOGLETRANSLATE(B628,""en"",""fr"")"),"Détails de l'emplacement")</f>
        <v>Détails de l'emplacement</v>
      </c>
      <c r="J628" s="4" t="str">
        <f>IFERROR(__xludf.DUMMYFUNCTION("GOOGLETRANSLATE(B628,""en"",""it"")"),"Dettagli sulla posizione")</f>
        <v>Dettagli sulla posizione</v>
      </c>
      <c r="K628" s="4" t="str">
        <f>IFERROR(__xludf.DUMMYFUNCTION("GOOGLETRANSLATE(B628,""en"",""pt"")"),"Detalhes da localização")</f>
        <v>Detalhes da localização</v>
      </c>
      <c r="L628" s="4" t="str">
        <f>IFERROR(__xludf.DUMMYFUNCTION("GOOGLETRANSLATE(B628,""en"",""ro"")"),"Detalii despre locație")</f>
        <v>Detalii despre locație</v>
      </c>
      <c r="M628" s="4" t="str">
        <f>IFERROR(__xludf.DUMMYFUNCTION("GOOGLETRANSLATE(B628,""en"",""vi"")"),"Chi tiết vị trí")</f>
        <v>Chi tiết vị trí</v>
      </c>
      <c r="N628" s="4" t="str">
        <f>IFERROR(__xludf.DUMMYFUNCTION("GOOGLETRANSLATE(B628,""en"",""ru"")"),"Подробности местоположения")</f>
        <v>Подробности местоположения</v>
      </c>
      <c r="O628" s="4" t="str">
        <f>IFERROR(__xludf.DUMMYFUNCTION("GOOGLETRANSLATE(B628,""en"",""tr"")"),"Konum Ayrıntıları")</f>
        <v>Konum Ayrıntıları</v>
      </c>
      <c r="P628" s="4" t="str">
        <f>IFERROR(__xludf.DUMMYFUNCTION("GOOGLETRANSLATE(B628,""en"",""ar"")"),"تفاصيل الموقع")</f>
        <v>تفاصيل الموقع</v>
      </c>
      <c r="Q628" s="4" t="str">
        <f>IFERROR(__xludf.DUMMYFUNCTION("GOOGLETRANSLATE(B628,""en"",""mr"")"),"स्थान तपशील")</f>
        <v>स्थान तपशील</v>
      </c>
      <c r="R628" s="4" t="str">
        <f>IFERROR(__xludf.DUMMYFUNCTION("GOOGLETRANSLATE(B628,""en"",""gu"")"),"સ્થાન વિગતો")</f>
        <v>સ્થાન વિગતો</v>
      </c>
      <c r="S628" s="4" t="str">
        <f>IFERROR(__xludf.DUMMYFUNCTION("GOOGLETRANSLATE(B628,""en"",""bn"")"),"অবস্থানের বিবরণ")</f>
        <v>অবস্থানের বিবরণ</v>
      </c>
      <c r="T628" s="4" t="str">
        <f>IFERROR(__xludf.DUMMYFUNCTION("GOOGLETRANSLATE(B628,""en"",""pa"")"),"ਟਿਕਾਣਾ ਵੇਰਵੇ")</f>
        <v>ਟਿਕਾਣਾ ਵੇਰਵੇ</v>
      </c>
      <c r="U628" s="4" t="str">
        <f>IFERROR(__xludf.DUMMYFUNCTION("GOOGLETRANSLATE(B628,""en"",""te"")"),"స్థాన వివరాలు")</f>
        <v>స్థాన వివరాలు</v>
      </c>
      <c r="V628" s="4" t="str">
        <f>IFERROR(__xludf.DUMMYFUNCTION("GOOGLETRANSLATE(B628,""en"",""kn"")"),"ಸ್ಥಳದ ವಿವರಗಳು")</f>
        <v>ಸ್ಥಳದ ವಿವರಗಳು</v>
      </c>
      <c r="W628" s="4" t="str">
        <f>IFERROR(__xludf.DUMMYFUNCTION("GOOGLETRANSLATE(B628,""en"",""ml"")"),"ലൊക്കേഷൻ വിശദാംശങ്ങൾ")</f>
        <v>ലൊക്കേഷൻ വിശദാംശങ്ങൾ</v>
      </c>
      <c r="X628" s="4" t="str">
        <f>IFERROR(__xludf.DUMMYFUNCTION("GOOGLETRANSLATE(B628,""en"",""th"")"),"รายละเอียดสถานที่ตั้ง")</f>
        <v>รายละเอียดสถานที่ตั้ง</v>
      </c>
      <c r="Y628" s="4" t="str">
        <f>IFERROR(__xludf.DUMMYFUNCTION("GOOGLETRANSLATE(B628,""en"",""ko"")"),"위치 세부 정보")</f>
        <v>위치 세부 정보</v>
      </c>
      <c r="Z628" s="4" t="str">
        <f>IFERROR(__xludf.DUMMYFUNCTION("GOOGLETRANSLATE(B628,""en"",""zh"")"),"位置详情")</f>
        <v>位置详情</v>
      </c>
      <c r="AA628" s="4" t="str">
        <f>IFERROR(__xludf.DUMMYFUNCTION("GOOGLETRANSLATE(B628,""en"",""zh-TW"")"),"位置詳情")</f>
        <v>位置詳情</v>
      </c>
      <c r="AB628" s="4" t="str">
        <f>IFERROR(__xludf.DUMMYFUNCTION("GOOGLETRANSLATE(B628,""en"",""ja"")"),"場所の詳細")</f>
        <v>場所の詳細</v>
      </c>
      <c r="AC628" s="4" t="str">
        <f>IFERROR(__xludf.DUMMYFUNCTION("GOOGLETRANSLATE(B628,""en"",""bg"")"),"Подробности за местоположението")</f>
        <v>Подробности за местоположението</v>
      </c>
      <c r="AD628" s="4" t="str">
        <f>IFERROR(__xludf.DUMMYFUNCTION("GOOGLETRANSLATE(B628,""en"",""cs"")"),"Podrobnosti o poloze")</f>
        <v>Podrobnosti o poloze</v>
      </c>
      <c r="AE628" s="4" t="str">
        <f>IFERROR(__xludf.DUMMYFUNCTION("GOOGLETRANSLATE(B628,""en"",""da"")"),"Placeringsdetaljer")</f>
        <v>Placeringsdetaljer</v>
      </c>
      <c r="AF628" s="4" t="str">
        <f>IFERROR(__xludf.DUMMYFUNCTION("GOOGLETRANSLATE(B628,""en"",""el"")"),"Λεπτομέρειες τοποθεσίας")</f>
        <v>Λεπτομέρειες τοποθεσίας</v>
      </c>
      <c r="AG628" s="4" t="str">
        <f>IFERROR(__xludf.DUMMYFUNCTION("GOOGLETRANSLATE(B628,""en"",""et"")"),"Asukoha üksikasjad")</f>
        <v>Asukoha üksikasjad</v>
      </c>
      <c r="AH628" s="4" t="str">
        <f>IFERROR(__xludf.DUMMYFUNCTION("GOOGLETRANSLATE(B628,""en"",""fi"")"),"Sijaintitiedot")</f>
        <v>Sijaintitiedot</v>
      </c>
      <c r="AI628" s="4" t="str">
        <f>IFERROR(__xludf.DUMMYFUNCTION("GOOGLETRANSLATE(B628,""en"",""hr"")"),"Detalji lokacije")</f>
        <v>Detalji lokacije</v>
      </c>
      <c r="AJ628" s="4" t="str">
        <f>IFERROR(__xludf.DUMMYFUNCTION("GOOGLETRANSLATE(B628,""en"",""hu"")"),"Helyadatok")</f>
        <v>Helyadatok</v>
      </c>
      <c r="AK628" s="4" t="str">
        <f>IFERROR(__xludf.DUMMYFUNCTION("GOOGLETRANSLATE(B628,""en"",""hy"")"),"Տեղադրության մանրամասները")</f>
        <v>Տեղադրության մանրամասները</v>
      </c>
      <c r="AL628" s="4" t="str">
        <f>IFERROR(__xludf.DUMMYFUNCTION("GOOGLETRANSLATE(B628,""en"",""ca"")"),"Detalls de la ubicació")</f>
        <v>Detalls de la ubicació</v>
      </c>
      <c r="AM628" s="4" t="str">
        <f>IFERROR(__xludf.DUMMYFUNCTION("GOOGLETRANSLATE(B628,""en"",""nl"")"),"Locatiegegevens")</f>
        <v>Locatiegegevens</v>
      </c>
      <c r="AN628" s="4" t="str">
        <f>IFERROR(__xludf.DUMMYFUNCTION("GOOGLETRANSLATE(B628,""en"",""he"")"),"פרטי מיקום")</f>
        <v>פרטי מיקום</v>
      </c>
      <c r="AO628" s="4" t="str">
        <f>IFERROR(__xludf.DUMMYFUNCTION("GOOGLETRANSLATE(B628,""en"",""is"")"),"Upplýsingar um staðsetningu")</f>
        <v>Upplýsingar um staðsetningu</v>
      </c>
      <c r="AP628" s="4" t="str">
        <f>IFERROR(__xludf.DUMMYFUNCTION("GOOGLETRANSLATE(B628,""en"",""no"")"),"Stedsdetaljer")</f>
        <v>Stedsdetaljer</v>
      </c>
      <c r="AQ628" s="4" t="str">
        <f>IFERROR(__xludf.DUMMYFUNCTION("GOOGLETRANSLATE(B628,""en"",""fa"")"),"جزئیات مکان")</f>
        <v>جزئیات مکان</v>
      </c>
      <c r="AR628" s="4" t="str">
        <f>IFERROR(__xludf.DUMMYFUNCTION("GOOGLETRANSLATE(B628,""en"",""pl"")"),"Szczegóły lokalizacji")</f>
        <v>Szczegóły lokalizacji</v>
      </c>
      <c r="AS628" s="4" t="str">
        <f>IFERROR(__xludf.DUMMYFUNCTION("GOOGLETRANSLATE(B628,""en"",""sv"")"),"Platsinformation")</f>
        <v>Platsinformation</v>
      </c>
      <c r="AT628" s="4" t="str">
        <f>IFERROR(__xludf.DUMMYFUNCTION("GOOGLETRANSLATE(B628,""en"",""uk"")"),"Деталі розташування")</f>
        <v>Деталі розташування</v>
      </c>
      <c r="AU628" s="4" t="str">
        <f>IFERROR(__xludf.DUMMYFUNCTION("GOOGLETRANSLATE(B628,""en"",""zu"")"),"Imininingwane Yendawo")</f>
        <v>Imininingwane Yendawo</v>
      </c>
      <c r="AV628" s="4" t="str">
        <f>IFERROR(__xludf.DUMMYFUNCTION("GOOGLETRANSLATE(B628,""en"",""sr"")"),"Детаљи локације")</f>
        <v>Детаљи локације</v>
      </c>
    </row>
    <row r="629">
      <c r="A629" s="3" t="s">
        <v>1197</v>
      </c>
      <c r="B629" s="3" t="s">
        <v>1198</v>
      </c>
      <c r="C629" s="4" t="str">
        <f>IFERROR(__xludf.DUMMYFUNCTION("GOOGLETRANSLATE(B629,""en"",""ta"")"),"Lat")</f>
        <v>Lat</v>
      </c>
      <c r="D629" s="4" t="str">
        <f>IFERROR(__xludf.DUMMYFUNCTION("GOOGLETRANSLATE(B629,""en"",""hi"")"),"अक्षां")</f>
        <v>अक्षां</v>
      </c>
      <c r="E629" s="4" t="str">
        <f>IFERROR(__xludf.DUMMYFUNCTION("GOOGLETRANSLATE(B629,""en"",""id"")"),"Bahasa Inggris")</f>
        <v>Bahasa Inggris</v>
      </c>
      <c r="F629" s="4" t="str">
        <f>IFERROR(__xludf.DUMMYFUNCTION("GOOGLETRANSLATE(B629,""en"",""ms"")"),"Lat")</f>
        <v>Lat</v>
      </c>
      <c r="G629" s="4" t="str">
        <f>IFERROR(__xludf.DUMMYFUNCTION("GOOGLETRANSLATE(B629,""en"",""de"")"),"Lat")</f>
        <v>Lat</v>
      </c>
      <c r="H629" s="4" t="str">
        <f>IFERROR(__xludf.DUMMYFUNCTION("GOOGLETRANSLATE(B629,""en"",""es"")"),"Lat")</f>
        <v>Lat</v>
      </c>
      <c r="I629" s="4" t="str">
        <f>IFERROR(__xludf.DUMMYFUNCTION("GOOGLETRANSLATE(B629,""en"",""fr"")"),"Lat")</f>
        <v>Lat</v>
      </c>
      <c r="J629" s="4" t="str">
        <f>IFERROR(__xludf.DUMMYFUNCTION("GOOGLETRANSLATE(B629,""en"",""it"")"),"Lat")</f>
        <v>Lat</v>
      </c>
      <c r="K629" s="4" t="str">
        <f>IFERROR(__xludf.DUMMYFUNCTION("GOOGLETRANSLATE(B629,""en"",""pt"")"),"Lat")</f>
        <v>Lat</v>
      </c>
      <c r="L629" s="4" t="str">
        <f>IFERROR(__xludf.DUMMYFUNCTION("GOOGLETRANSLATE(B629,""en"",""ro"")"),"lat")</f>
        <v>lat</v>
      </c>
      <c r="M629" s="4" t="str">
        <f>IFERROR(__xludf.DUMMYFUNCTION("GOOGLETRANSLATE(B629,""en"",""vi"")"),"lat")</f>
        <v>lat</v>
      </c>
      <c r="N629" s="4" t="str">
        <f>IFERROR(__xludf.DUMMYFUNCTION("GOOGLETRANSLATE(B629,""en"",""ru"")"),"Лат.")</f>
        <v>Лат.</v>
      </c>
      <c r="O629" s="4" t="str">
        <f>IFERROR(__xludf.DUMMYFUNCTION("GOOGLETRANSLATE(B629,""en"",""tr"")"),"Enlem")</f>
        <v>Enlem</v>
      </c>
      <c r="P629" s="4" t="str">
        <f>IFERROR(__xludf.DUMMYFUNCTION("GOOGLETRANSLATE(B629,""en"",""ar"")"),"خط العرض")</f>
        <v>خط العرض</v>
      </c>
      <c r="Q629" s="4" t="str">
        <f>IFERROR(__xludf.DUMMYFUNCTION("GOOGLETRANSLATE(B629,""en"",""mr"")"),"Lat")</f>
        <v>Lat</v>
      </c>
      <c r="R629" s="4" t="str">
        <f>IFERROR(__xludf.DUMMYFUNCTION("GOOGLETRANSLATE(B629,""en"",""gu"")"),"Lat")</f>
        <v>Lat</v>
      </c>
      <c r="S629" s="4" t="str">
        <f>IFERROR(__xludf.DUMMYFUNCTION("GOOGLETRANSLATE(B629,""en"",""bn"")"),"ল্যাট")</f>
        <v>ল্যাট</v>
      </c>
      <c r="T629" s="4" t="str">
        <f>IFERROR(__xludf.DUMMYFUNCTION("GOOGLETRANSLATE(B629,""en"",""pa"")"),"Lat")</f>
        <v>Lat</v>
      </c>
      <c r="U629" s="4" t="str">
        <f>IFERROR(__xludf.DUMMYFUNCTION("GOOGLETRANSLATE(B629,""en"",""te"")"),"లాట్")</f>
        <v>లాట్</v>
      </c>
      <c r="V629" s="4" t="str">
        <f>IFERROR(__xludf.DUMMYFUNCTION("GOOGLETRANSLATE(B629,""en"",""kn"")"),"ಲ್ಯಾಟ್")</f>
        <v>ಲ್ಯಾಟ್</v>
      </c>
      <c r="W629" s="4" t="str">
        <f>IFERROR(__xludf.DUMMYFUNCTION("GOOGLETRANSLATE(B629,""en"",""ml"")"),"ലാറ്റ്")</f>
        <v>ലാറ്റ്</v>
      </c>
      <c r="X629" s="4" t="str">
        <f>IFERROR(__xludf.DUMMYFUNCTION("GOOGLETRANSLATE(B629,""en"",""th"")"),"ละต")</f>
        <v>ละต</v>
      </c>
      <c r="Y629" s="4" t="str">
        <f>IFERROR(__xludf.DUMMYFUNCTION("GOOGLETRANSLATE(B629,""en"",""ko"")"),"위도")</f>
        <v>위도</v>
      </c>
      <c r="Z629" s="4" t="str">
        <f>IFERROR(__xludf.DUMMYFUNCTION("GOOGLETRANSLATE(B629,""en"",""zh"")"),"纬度")</f>
        <v>纬度</v>
      </c>
      <c r="AA629" s="4" t="str">
        <f>IFERROR(__xludf.DUMMYFUNCTION("GOOGLETRANSLATE(B629,""en"",""zh-TW"")"),"緯度")</f>
        <v>緯度</v>
      </c>
      <c r="AB629" s="4" t="str">
        <f>IFERROR(__xludf.DUMMYFUNCTION("GOOGLETRANSLATE(B629,""en"",""ja"")"),"緯度")</f>
        <v>緯度</v>
      </c>
      <c r="AC629" s="4" t="str">
        <f>IFERROR(__xludf.DUMMYFUNCTION("GOOGLETRANSLATE(B629,""en"",""bg"")"),"лат")</f>
        <v>лат</v>
      </c>
      <c r="AD629" s="4" t="str">
        <f>IFERROR(__xludf.DUMMYFUNCTION("GOOGLETRANSLATE(B629,""en"",""cs"")"),"lat")</f>
        <v>lat</v>
      </c>
      <c r="AE629" s="4" t="str">
        <f>IFERROR(__xludf.DUMMYFUNCTION("GOOGLETRANSLATE(B629,""en"",""da"")"),"Lat")</f>
        <v>Lat</v>
      </c>
      <c r="AF629" s="4" t="str">
        <f>IFERROR(__xludf.DUMMYFUNCTION("GOOGLETRANSLATE(B629,""en"",""el"")"),"Lat")</f>
        <v>Lat</v>
      </c>
      <c r="AG629" s="4" t="str">
        <f>IFERROR(__xludf.DUMMYFUNCTION("GOOGLETRANSLATE(B629,""en"",""et"")"),"Lat")</f>
        <v>Lat</v>
      </c>
      <c r="AH629" s="4" t="str">
        <f>IFERROR(__xludf.DUMMYFUNCTION("GOOGLETRANSLATE(B629,""en"",""fi"")"),"Lat")</f>
        <v>Lat</v>
      </c>
      <c r="AI629" s="4" t="str">
        <f>IFERROR(__xludf.DUMMYFUNCTION("GOOGLETRANSLATE(B629,""en"",""hr"")"),"Lat")</f>
        <v>Lat</v>
      </c>
      <c r="AJ629" s="4" t="str">
        <f>IFERROR(__xludf.DUMMYFUNCTION("GOOGLETRANSLATE(B629,""en"",""hu"")"),"Lat")</f>
        <v>Lat</v>
      </c>
      <c r="AK629" s="4" t="str">
        <f>IFERROR(__xludf.DUMMYFUNCTION("GOOGLETRANSLATE(B629,""en"",""hy"")"),"լատ")</f>
        <v>լատ</v>
      </c>
      <c r="AL629" s="4" t="str">
        <f>IFERROR(__xludf.DUMMYFUNCTION("GOOGLETRANSLATE(B629,""en"",""ca"")"),"Lat")</f>
        <v>Lat</v>
      </c>
      <c r="AM629" s="4" t="str">
        <f>IFERROR(__xludf.DUMMYFUNCTION("GOOGLETRANSLATE(B629,""en"",""nl"")"),"Breedtegraad")</f>
        <v>Breedtegraad</v>
      </c>
      <c r="AN629" s="4" t="str">
        <f>IFERROR(__xludf.DUMMYFUNCTION("GOOGLETRANSLATE(B629,""en"",""he"")"),"Lat")</f>
        <v>Lat</v>
      </c>
      <c r="AO629" s="4" t="str">
        <f>IFERROR(__xludf.DUMMYFUNCTION("GOOGLETRANSLATE(B629,""en"",""is"")"),"Lat")</f>
        <v>Lat</v>
      </c>
      <c r="AP629" s="4" t="str">
        <f>IFERROR(__xludf.DUMMYFUNCTION("GOOGLETRANSLATE(B629,""en"",""no"")"),"Lat")</f>
        <v>Lat</v>
      </c>
      <c r="AQ629" s="4" t="str">
        <f>IFERROR(__xludf.DUMMYFUNCTION("GOOGLETRANSLATE(B629,""en"",""fa"")"),"لات")</f>
        <v>لات</v>
      </c>
      <c r="AR629" s="4" t="str">
        <f>IFERROR(__xludf.DUMMYFUNCTION("GOOGLETRANSLATE(B629,""en"",""pl"")"),"Szer. geogr.")</f>
        <v>Szer. geogr.</v>
      </c>
      <c r="AS629" s="4" t="str">
        <f>IFERROR(__xludf.DUMMYFUNCTION("GOOGLETRANSLATE(B629,""en"",""sv"")"),"Lat")</f>
        <v>Lat</v>
      </c>
      <c r="AT629" s="4" t="str">
        <f>IFERROR(__xludf.DUMMYFUNCTION("GOOGLETRANSLATE(B629,""en"",""uk"")"),"лат")</f>
        <v>лат</v>
      </c>
      <c r="AU629" s="4" t="str">
        <f>IFERROR(__xludf.DUMMYFUNCTION("GOOGLETRANSLATE(B629,""en"",""zu"")"),"Lat")</f>
        <v>Lat</v>
      </c>
      <c r="AV629" s="4" t="str">
        <f>IFERROR(__xludf.DUMMYFUNCTION("GOOGLETRANSLATE(B629,""en"",""sr"")"),"Лат")</f>
        <v>Лат</v>
      </c>
    </row>
    <row r="630">
      <c r="A630" s="3" t="s">
        <v>1199</v>
      </c>
      <c r="B630" s="3" t="s">
        <v>1200</v>
      </c>
      <c r="C630" s="4" t="str">
        <f>IFERROR(__xludf.DUMMYFUNCTION("GOOGLETRANSLATE(B630,""en"",""ta"")"),"நீளமானது")</f>
        <v>நீளமானது</v>
      </c>
      <c r="D630" s="4" t="str">
        <f>IFERROR(__xludf.DUMMYFUNCTION("GOOGLETRANSLATE(B630,""en"",""hi"")"),"लंबा")</f>
        <v>लंबा</v>
      </c>
      <c r="E630" s="4" t="str">
        <f>IFERROR(__xludf.DUMMYFUNCTION("GOOGLETRANSLATE(B630,""en"",""id"")"),"Panjang")</f>
        <v>Panjang</v>
      </c>
      <c r="F630" s="4" t="str">
        <f>IFERROR(__xludf.DUMMYFUNCTION("GOOGLETRANSLATE(B630,""en"",""ms"")"),"Panjang")</f>
        <v>Panjang</v>
      </c>
      <c r="G630" s="4" t="str">
        <f>IFERROR(__xludf.DUMMYFUNCTION("GOOGLETRANSLATE(B630,""en"",""de"")"),"Lang")</f>
        <v>Lang</v>
      </c>
      <c r="H630" s="4" t="str">
        <f>IFERROR(__xludf.DUMMYFUNCTION("GOOGLETRANSLATE(B630,""en"",""es"")"),"Largo")</f>
        <v>Largo</v>
      </c>
      <c r="I630" s="4" t="str">
        <f>IFERROR(__xludf.DUMMYFUNCTION("GOOGLETRANSLATE(B630,""en"",""fr"")"),"Long")</f>
        <v>Long</v>
      </c>
      <c r="J630" s="4" t="str">
        <f>IFERROR(__xludf.DUMMYFUNCTION("GOOGLETRANSLATE(B630,""en"",""it"")"),"Lungo")</f>
        <v>Lungo</v>
      </c>
      <c r="K630" s="4" t="str">
        <f>IFERROR(__xludf.DUMMYFUNCTION("GOOGLETRANSLATE(B630,""en"",""pt"")"),"Longo")</f>
        <v>Longo</v>
      </c>
      <c r="L630" s="4" t="str">
        <f>IFERROR(__xludf.DUMMYFUNCTION("GOOGLETRANSLATE(B630,""en"",""ro"")"),"Lung")</f>
        <v>Lung</v>
      </c>
      <c r="M630" s="4" t="str">
        <f>IFERROR(__xludf.DUMMYFUNCTION("GOOGLETRANSLATE(B630,""en"",""vi"")"),"Dài")</f>
        <v>Dài</v>
      </c>
      <c r="N630" s="4" t="str">
        <f>IFERROR(__xludf.DUMMYFUNCTION("GOOGLETRANSLATE(B630,""en"",""ru"")"),"Длинный")</f>
        <v>Длинный</v>
      </c>
      <c r="O630" s="4" t="str">
        <f>IFERROR(__xludf.DUMMYFUNCTION("GOOGLETRANSLATE(B630,""en"",""tr"")"),"Uzun")</f>
        <v>Uzun</v>
      </c>
      <c r="P630" s="4" t="str">
        <f>IFERROR(__xludf.DUMMYFUNCTION("GOOGLETRANSLATE(B630,""en"",""ar"")"),"طويل")</f>
        <v>طويل</v>
      </c>
      <c r="Q630" s="4" t="str">
        <f>IFERROR(__xludf.DUMMYFUNCTION("GOOGLETRANSLATE(B630,""en"",""mr"")"),"लांब")</f>
        <v>लांब</v>
      </c>
      <c r="R630" s="4" t="str">
        <f>IFERROR(__xludf.DUMMYFUNCTION("GOOGLETRANSLATE(B630,""en"",""gu"")"),"લાંબી")</f>
        <v>લાંબી</v>
      </c>
      <c r="S630" s="4" t="str">
        <f>IFERROR(__xludf.DUMMYFUNCTION("GOOGLETRANSLATE(B630,""en"",""bn"")"),"দীর্ঘ")</f>
        <v>দীর্ঘ</v>
      </c>
      <c r="T630" s="4" t="str">
        <f>IFERROR(__xludf.DUMMYFUNCTION("GOOGLETRANSLATE(B630,""en"",""pa"")"),"ਲੰਬੀ")</f>
        <v>ਲੰਬੀ</v>
      </c>
      <c r="U630" s="4" t="str">
        <f>IFERROR(__xludf.DUMMYFUNCTION("GOOGLETRANSLATE(B630,""en"",""te"")"),"పొడవు")</f>
        <v>పొడవు</v>
      </c>
      <c r="V630" s="4" t="str">
        <f>IFERROR(__xludf.DUMMYFUNCTION("GOOGLETRANSLATE(B630,""en"",""kn"")"),"ಉದ್ದ")</f>
        <v>ಉದ್ದ</v>
      </c>
      <c r="W630" s="4" t="str">
        <f>IFERROR(__xludf.DUMMYFUNCTION("GOOGLETRANSLATE(B630,""en"",""ml"")"),"നീണ്ട")</f>
        <v>നീണ്ട</v>
      </c>
      <c r="X630" s="4" t="str">
        <f>IFERROR(__xludf.DUMMYFUNCTION("GOOGLETRANSLATE(B630,""en"",""th"")"),"ยาว")</f>
        <v>ยาว</v>
      </c>
      <c r="Y630" s="4" t="str">
        <f>IFERROR(__xludf.DUMMYFUNCTION("GOOGLETRANSLATE(B630,""en"",""ko"")"),"긴")</f>
        <v>긴</v>
      </c>
      <c r="Z630" s="4" t="str">
        <f>IFERROR(__xludf.DUMMYFUNCTION("GOOGLETRANSLATE(B630,""en"",""zh"")"),"长的")</f>
        <v>长的</v>
      </c>
      <c r="AA630" s="4" t="str">
        <f>IFERROR(__xludf.DUMMYFUNCTION("GOOGLETRANSLATE(B630,""en"",""zh-TW"")"),"長的")</f>
        <v>長的</v>
      </c>
      <c r="AB630" s="4" t="str">
        <f>IFERROR(__xludf.DUMMYFUNCTION("GOOGLETRANSLATE(B630,""en"",""ja"")"),"長さ")</f>
        <v>長さ</v>
      </c>
      <c r="AC630" s="4" t="str">
        <f>IFERROR(__xludf.DUMMYFUNCTION("GOOGLETRANSLATE(B630,""en"",""bg"")"),"Дълги")</f>
        <v>Дълги</v>
      </c>
      <c r="AD630" s="4" t="str">
        <f>IFERROR(__xludf.DUMMYFUNCTION("GOOGLETRANSLATE(B630,""en"",""cs"")"),"Dlouho")</f>
        <v>Dlouho</v>
      </c>
      <c r="AE630" s="4" t="str">
        <f>IFERROR(__xludf.DUMMYFUNCTION("GOOGLETRANSLATE(B630,""en"",""da"")"),"Lang")</f>
        <v>Lang</v>
      </c>
      <c r="AF630" s="4" t="str">
        <f>IFERROR(__xludf.DUMMYFUNCTION("GOOGLETRANSLATE(B630,""en"",""el"")"),"Μακρύς")</f>
        <v>Μακρύς</v>
      </c>
      <c r="AG630" s="4" t="str">
        <f>IFERROR(__xludf.DUMMYFUNCTION("GOOGLETRANSLATE(B630,""en"",""et"")"),"Pikk")</f>
        <v>Pikk</v>
      </c>
      <c r="AH630" s="4" t="str">
        <f>IFERROR(__xludf.DUMMYFUNCTION("GOOGLETRANSLATE(B630,""en"",""fi"")"),"Pitkä")</f>
        <v>Pitkä</v>
      </c>
      <c r="AI630" s="4" t="str">
        <f>IFERROR(__xludf.DUMMYFUNCTION("GOOGLETRANSLATE(B630,""en"",""hr"")"),"dugo")</f>
        <v>dugo</v>
      </c>
      <c r="AJ630" s="4" t="str">
        <f>IFERROR(__xludf.DUMMYFUNCTION("GOOGLETRANSLATE(B630,""en"",""hu"")"),"Hosszú")</f>
        <v>Hosszú</v>
      </c>
      <c r="AK630" s="4" t="str">
        <f>IFERROR(__xludf.DUMMYFUNCTION("GOOGLETRANSLATE(B630,""en"",""hy"")"),"Երկար")</f>
        <v>Երկար</v>
      </c>
      <c r="AL630" s="4" t="str">
        <f>IFERROR(__xludf.DUMMYFUNCTION("GOOGLETRANSLATE(B630,""en"",""ca"")"),"Llarg")</f>
        <v>Llarg</v>
      </c>
      <c r="AM630" s="4" t="str">
        <f>IFERROR(__xludf.DUMMYFUNCTION("GOOGLETRANSLATE(B630,""en"",""nl"")"),"Lang")</f>
        <v>Lang</v>
      </c>
      <c r="AN630" s="4" t="str">
        <f>IFERROR(__xludf.DUMMYFUNCTION("GOOGLETRANSLATE(B630,""en"",""he"")"),"אָרוֹך")</f>
        <v>אָרוֹך</v>
      </c>
      <c r="AO630" s="4" t="str">
        <f>IFERROR(__xludf.DUMMYFUNCTION("GOOGLETRANSLATE(B630,""en"",""is"")"),"Langt")</f>
        <v>Langt</v>
      </c>
      <c r="AP630" s="4" t="str">
        <f>IFERROR(__xludf.DUMMYFUNCTION("GOOGLETRANSLATE(B630,""en"",""no"")"),"Lang")</f>
        <v>Lang</v>
      </c>
      <c r="AQ630" s="4" t="str">
        <f>IFERROR(__xludf.DUMMYFUNCTION("GOOGLETRANSLATE(B630,""en"",""fa"")"),"طولانی")</f>
        <v>طولانی</v>
      </c>
      <c r="AR630" s="4" t="str">
        <f>IFERROR(__xludf.DUMMYFUNCTION("GOOGLETRANSLATE(B630,""en"",""pl"")"),"Długi")</f>
        <v>Długi</v>
      </c>
      <c r="AS630" s="4" t="str">
        <f>IFERROR(__xludf.DUMMYFUNCTION("GOOGLETRANSLATE(B630,""en"",""sv"")"),"Lång")</f>
        <v>Lång</v>
      </c>
      <c r="AT630" s="4" t="str">
        <f>IFERROR(__xludf.DUMMYFUNCTION("GOOGLETRANSLATE(B630,""en"",""uk"")"),"довгий")</f>
        <v>довгий</v>
      </c>
      <c r="AU630" s="4" t="str">
        <f>IFERROR(__xludf.DUMMYFUNCTION("GOOGLETRANSLATE(B630,""en"",""zu"")"),"Yinde")</f>
        <v>Yinde</v>
      </c>
      <c r="AV630" s="4" t="str">
        <f>IFERROR(__xludf.DUMMYFUNCTION("GOOGLETRANSLATE(B630,""en"",""sr"")"),"Дуго")</f>
        <v>Дуго</v>
      </c>
    </row>
    <row r="631">
      <c r="A631" s="3" t="s">
        <v>1201</v>
      </c>
      <c r="B631" s="3" t="s">
        <v>1012</v>
      </c>
      <c r="C631" s="4" t="str">
        <f>IFERROR(__xludf.DUMMYFUNCTION("GOOGLETRANSLATE(B631,""en"",""ta"")"),"ஆரம்")</f>
        <v>ஆரம்</v>
      </c>
      <c r="D631" s="4" t="str">
        <f>IFERROR(__xludf.DUMMYFUNCTION("GOOGLETRANSLATE(B631,""en"",""hi"")"),"RADIUS")</f>
        <v>RADIUS</v>
      </c>
      <c r="E631" s="4" t="str">
        <f>IFERROR(__xludf.DUMMYFUNCTION("GOOGLETRANSLATE(B631,""en"",""id"")"),"Radius")</f>
        <v>Radius</v>
      </c>
      <c r="F631" s="4" t="str">
        <f>IFERROR(__xludf.DUMMYFUNCTION("GOOGLETRANSLATE(B631,""en"",""ms"")"),"Jejari")</f>
        <v>Jejari</v>
      </c>
      <c r="G631" s="4" t="str">
        <f>IFERROR(__xludf.DUMMYFUNCTION("GOOGLETRANSLATE(B631,""en"",""de"")"),"Radius")</f>
        <v>Radius</v>
      </c>
      <c r="H631" s="4" t="str">
        <f>IFERROR(__xludf.DUMMYFUNCTION("GOOGLETRANSLATE(B631,""en"",""es"")"),"Radio")</f>
        <v>Radio</v>
      </c>
      <c r="I631" s="4" t="str">
        <f>IFERROR(__xludf.DUMMYFUNCTION("GOOGLETRANSLATE(B631,""en"",""fr"")"),"Rayon")</f>
        <v>Rayon</v>
      </c>
      <c r="J631" s="4" t="str">
        <f>IFERROR(__xludf.DUMMYFUNCTION("GOOGLETRANSLATE(B631,""en"",""it"")"),"Raggio")</f>
        <v>Raggio</v>
      </c>
      <c r="K631" s="4" t="str">
        <f>IFERROR(__xludf.DUMMYFUNCTION("GOOGLETRANSLATE(B631,""en"",""pt"")"),"Raio")</f>
        <v>Raio</v>
      </c>
      <c r="L631" s="4" t="str">
        <f>IFERROR(__xludf.DUMMYFUNCTION("GOOGLETRANSLATE(B631,""en"",""ro"")"),"Rază")</f>
        <v>Rază</v>
      </c>
      <c r="M631" s="4" t="str">
        <f>IFERROR(__xludf.DUMMYFUNCTION("GOOGLETRANSLATE(B631,""en"",""vi"")"),"Bán kính")</f>
        <v>Bán kính</v>
      </c>
      <c r="N631" s="4" t="str">
        <f>IFERROR(__xludf.DUMMYFUNCTION("GOOGLETRANSLATE(B631,""en"",""ru"")"),"Радиус")</f>
        <v>Радиус</v>
      </c>
      <c r="O631" s="4" t="str">
        <f>IFERROR(__xludf.DUMMYFUNCTION("GOOGLETRANSLATE(B631,""en"",""tr"")"),"Yarıçap")</f>
        <v>Yarıçap</v>
      </c>
      <c r="P631" s="4" t="str">
        <f>IFERROR(__xludf.DUMMYFUNCTION("GOOGLETRANSLATE(B631,""en"",""ar"")"),"نصف القطر")</f>
        <v>نصف القطر</v>
      </c>
      <c r="Q631" s="4" t="str">
        <f>IFERROR(__xludf.DUMMYFUNCTION("GOOGLETRANSLATE(B631,""en"",""mr"")"),"त्रिज्या")</f>
        <v>त्रिज्या</v>
      </c>
      <c r="R631" s="4" t="str">
        <f>IFERROR(__xludf.DUMMYFUNCTION("GOOGLETRANSLATE(B631,""en"",""gu"")"),"ત્રિજ્યા")</f>
        <v>ત્રિજ્યા</v>
      </c>
      <c r="S631" s="4" t="str">
        <f>IFERROR(__xludf.DUMMYFUNCTION("GOOGLETRANSLATE(B631,""en"",""bn"")"),"ব্যাসার্ধ")</f>
        <v>ব্যাসার্ধ</v>
      </c>
      <c r="T631" s="4" t="str">
        <f>IFERROR(__xludf.DUMMYFUNCTION("GOOGLETRANSLATE(B631,""en"",""pa"")"),"ਰੇਡੀਅਸ")</f>
        <v>ਰੇਡੀਅਸ</v>
      </c>
      <c r="U631" s="4" t="str">
        <f>IFERROR(__xludf.DUMMYFUNCTION("GOOGLETRANSLATE(B631,""en"",""te"")"),"వ్యాసార్థం")</f>
        <v>వ్యాసార్థం</v>
      </c>
      <c r="V631" s="4" t="str">
        <f>IFERROR(__xludf.DUMMYFUNCTION("GOOGLETRANSLATE(B631,""en"",""kn"")"),"ತ್ರಿಜ್ಯ")</f>
        <v>ತ್ರಿಜ್ಯ</v>
      </c>
      <c r="W631" s="4" t="str">
        <f>IFERROR(__xludf.DUMMYFUNCTION("GOOGLETRANSLATE(B631,""en"",""ml"")"),"ആരം")</f>
        <v>ആരം</v>
      </c>
      <c r="X631" s="4" t="str">
        <f>IFERROR(__xludf.DUMMYFUNCTION("GOOGLETRANSLATE(B631,""en"",""th"")"),"รัศมี")</f>
        <v>รัศมี</v>
      </c>
      <c r="Y631" s="4" t="str">
        <f>IFERROR(__xludf.DUMMYFUNCTION("GOOGLETRANSLATE(B631,""en"",""ko"")"),"반지름")</f>
        <v>반지름</v>
      </c>
      <c r="Z631" s="4" t="str">
        <f>IFERROR(__xludf.DUMMYFUNCTION("GOOGLETRANSLATE(B631,""en"",""zh"")"),"半径")</f>
        <v>半径</v>
      </c>
      <c r="AA631" s="4" t="str">
        <f>IFERROR(__xludf.DUMMYFUNCTION("GOOGLETRANSLATE(B631,""en"",""zh-TW"")"),"半徑")</f>
        <v>半徑</v>
      </c>
      <c r="AB631" s="4" t="str">
        <f>IFERROR(__xludf.DUMMYFUNCTION("GOOGLETRANSLATE(B631,""en"",""ja"")"),"半径")</f>
        <v>半径</v>
      </c>
      <c r="AC631" s="4" t="str">
        <f>IFERROR(__xludf.DUMMYFUNCTION("GOOGLETRANSLATE(B631,""en"",""bg"")"),"Радиус")</f>
        <v>Радиус</v>
      </c>
      <c r="AD631" s="4" t="str">
        <f>IFERROR(__xludf.DUMMYFUNCTION("GOOGLETRANSLATE(B631,""en"",""cs"")"),"Poloměr")</f>
        <v>Poloměr</v>
      </c>
      <c r="AE631" s="4" t="str">
        <f>IFERROR(__xludf.DUMMYFUNCTION("GOOGLETRANSLATE(B631,""en"",""da"")"),"Radius")</f>
        <v>Radius</v>
      </c>
      <c r="AF631" s="4" t="str">
        <f>IFERROR(__xludf.DUMMYFUNCTION("GOOGLETRANSLATE(B631,""en"",""el"")"),"Ακτίνα")</f>
        <v>Ακτίνα</v>
      </c>
      <c r="AG631" s="4" t="str">
        <f>IFERROR(__xludf.DUMMYFUNCTION("GOOGLETRANSLATE(B631,""en"",""et"")"),"Raadius")</f>
        <v>Raadius</v>
      </c>
      <c r="AH631" s="4" t="str">
        <f>IFERROR(__xludf.DUMMYFUNCTION("GOOGLETRANSLATE(B631,""en"",""fi"")"),"Säde")</f>
        <v>Säde</v>
      </c>
      <c r="AI631" s="4" t="str">
        <f>IFERROR(__xludf.DUMMYFUNCTION("GOOGLETRANSLATE(B631,""en"",""hr"")"),"Radius")</f>
        <v>Radius</v>
      </c>
      <c r="AJ631" s="4" t="str">
        <f>IFERROR(__xludf.DUMMYFUNCTION("GOOGLETRANSLATE(B631,""en"",""hu"")"),"Sugár")</f>
        <v>Sugár</v>
      </c>
      <c r="AK631" s="4" t="str">
        <f>IFERROR(__xludf.DUMMYFUNCTION("GOOGLETRANSLATE(B631,""en"",""hy"")"),"Շառավիղ")</f>
        <v>Շառավիղ</v>
      </c>
      <c r="AL631" s="4" t="str">
        <f>IFERROR(__xludf.DUMMYFUNCTION("GOOGLETRANSLATE(B631,""en"",""ca"")"),"Radi")</f>
        <v>Radi</v>
      </c>
      <c r="AM631" s="4" t="str">
        <f>IFERROR(__xludf.DUMMYFUNCTION("GOOGLETRANSLATE(B631,""en"",""nl"")"),"Radius")</f>
        <v>Radius</v>
      </c>
      <c r="AN631" s="4" t="str">
        <f>IFERROR(__xludf.DUMMYFUNCTION("GOOGLETRANSLATE(B631,""en"",""he"")"),"רַדִיוּס")</f>
        <v>רַדִיוּס</v>
      </c>
      <c r="AO631" s="4" t="str">
        <f>IFERROR(__xludf.DUMMYFUNCTION("GOOGLETRANSLATE(B631,""en"",""is"")"),"Radíus")</f>
        <v>Radíus</v>
      </c>
      <c r="AP631" s="4" t="str">
        <f>IFERROR(__xludf.DUMMYFUNCTION("GOOGLETRANSLATE(B631,""en"",""no"")"),"Radius")</f>
        <v>Radius</v>
      </c>
      <c r="AQ631" s="4" t="str">
        <f>IFERROR(__xludf.DUMMYFUNCTION("GOOGLETRANSLATE(B631,""en"",""fa"")"),"شعاع")</f>
        <v>شعاع</v>
      </c>
      <c r="AR631" s="4" t="str">
        <f>IFERROR(__xludf.DUMMYFUNCTION("GOOGLETRANSLATE(B631,""en"",""pl"")"),"Promień")</f>
        <v>Promień</v>
      </c>
      <c r="AS631" s="4" t="str">
        <f>IFERROR(__xludf.DUMMYFUNCTION("GOOGLETRANSLATE(B631,""en"",""sv"")"),"Radie")</f>
        <v>Radie</v>
      </c>
      <c r="AT631" s="4" t="str">
        <f>IFERROR(__xludf.DUMMYFUNCTION("GOOGLETRANSLATE(B631,""en"",""uk"")"),"Радіус")</f>
        <v>Радіус</v>
      </c>
      <c r="AU631" s="4" t="str">
        <f>IFERROR(__xludf.DUMMYFUNCTION("GOOGLETRANSLATE(B631,""en"",""zu"")"),"Irediyasi")</f>
        <v>Irediyasi</v>
      </c>
      <c r="AV631" s="4" t="str">
        <f>IFERROR(__xludf.DUMMYFUNCTION("GOOGLETRANSLATE(B631,""en"",""sr"")"),"Радијус")</f>
        <v>Радијус</v>
      </c>
    </row>
    <row r="632">
      <c r="A632" s="3" t="s">
        <v>1202</v>
      </c>
      <c r="B632" s="3" t="s">
        <v>1203</v>
      </c>
      <c r="C632" s="4" t="str">
        <f>IFERROR(__xludf.DUMMYFUNCTION("GOOGLETRANSLATE(B632,""en"",""ta"")"),"அதிர்வு")</f>
        <v>அதிர்வு</v>
      </c>
      <c r="D632" s="4" t="str">
        <f>IFERROR(__xludf.DUMMYFUNCTION("GOOGLETRANSLATE(B632,""en"",""hi"")"),"कंपन")</f>
        <v>कंपन</v>
      </c>
      <c r="E632" s="4" t="str">
        <f>IFERROR(__xludf.DUMMYFUNCTION("GOOGLETRANSLATE(B632,""en"",""id"")"),"Bergetar")</f>
        <v>Bergetar</v>
      </c>
      <c r="F632" s="4" t="str">
        <f>IFERROR(__xludf.DUMMYFUNCTION("GOOGLETRANSLATE(B632,""en"",""ms"")"),"Bergetar")</f>
        <v>Bergetar</v>
      </c>
      <c r="G632" s="4" t="str">
        <f>IFERROR(__xludf.DUMMYFUNCTION("GOOGLETRANSLATE(B632,""en"",""de"")"),"Vibrieren")</f>
        <v>Vibrieren</v>
      </c>
      <c r="H632" s="4" t="str">
        <f>IFERROR(__xludf.DUMMYFUNCTION("GOOGLETRANSLATE(B632,""en"",""es"")"),"Vibrar")</f>
        <v>Vibrar</v>
      </c>
      <c r="I632" s="4" t="str">
        <f>IFERROR(__xludf.DUMMYFUNCTION("GOOGLETRANSLATE(B632,""en"",""fr"")"),"Vibrer")</f>
        <v>Vibrer</v>
      </c>
      <c r="J632" s="4" t="str">
        <f>IFERROR(__xludf.DUMMYFUNCTION("GOOGLETRANSLATE(B632,""en"",""it"")"),"Vibrare")</f>
        <v>Vibrare</v>
      </c>
      <c r="K632" s="4" t="str">
        <f>IFERROR(__xludf.DUMMYFUNCTION("GOOGLETRANSLATE(B632,""en"",""pt"")"),"Vibrar")</f>
        <v>Vibrar</v>
      </c>
      <c r="L632" s="4" t="str">
        <f>IFERROR(__xludf.DUMMYFUNCTION("GOOGLETRANSLATE(B632,""en"",""ro"")"),"Vibrați")</f>
        <v>Vibrați</v>
      </c>
      <c r="M632" s="4" t="str">
        <f>IFERROR(__xludf.DUMMYFUNCTION("GOOGLETRANSLATE(B632,""en"",""vi"")"),"Rung")</f>
        <v>Rung</v>
      </c>
      <c r="N632" s="4" t="str">
        <f>IFERROR(__xludf.DUMMYFUNCTION("GOOGLETRANSLATE(B632,""en"",""ru"")"),"Вибрировать")</f>
        <v>Вибрировать</v>
      </c>
      <c r="O632" s="4" t="str">
        <f>IFERROR(__xludf.DUMMYFUNCTION("GOOGLETRANSLATE(B632,""en"",""tr"")"),"Titreşim")</f>
        <v>Titreşim</v>
      </c>
      <c r="P632" s="4" t="str">
        <f>IFERROR(__xludf.DUMMYFUNCTION("GOOGLETRANSLATE(B632,""en"",""ar"")"),"تذبذب")</f>
        <v>تذبذب</v>
      </c>
      <c r="Q632" s="4" t="str">
        <f>IFERROR(__xludf.DUMMYFUNCTION("GOOGLETRANSLATE(B632,""en"",""mr"")"),"कंपन")</f>
        <v>कंपन</v>
      </c>
      <c r="R632" s="4" t="str">
        <f>IFERROR(__xludf.DUMMYFUNCTION("GOOGLETRANSLATE(B632,""en"",""gu"")"),"વાઇબ્રેટ")</f>
        <v>વાઇબ્રેટ</v>
      </c>
      <c r="S632" s="4" t="str">
        <f>IFERROR(__xludf.DUMMYFUNCTION("GOOGLETRANSLATE(B632,""en"",""bn"")"),"কম্পন")</f>
        <v>কম্পন</v>
      </c>
      <c r="T632" s="4" t="str">
        <f>IFERROR(__xludf.DUMMYFUNCTION("GOOGLETRANSLATE(B632,""en"",""pa"")"),"ਵਾਈਬ੍ਰੇਟ")</f>
        <v>ਵਾਈਬ੍ਰੇਟ</v>
      </c>
      <c r="U632" s="4" t="str">
        <f>IFERROR(__xludf.DUMMYFUNCTION("GOOGLETRANSLATE(B632,""en"",""te"")"),"కంపించు")</f>
        <v>కంపించు</v>
      </c>
      <c r="V632" s="4" t="str">
        <f>IFERROR(__xludf.DUMMYFUNCTION("GOOGLETRANSLATE(B632,""en"",""kn"")"),"ವೈಬ್ರೇಟ್")</f>
        <v>ವೈಬ್ರೇಟ್</v>
      </c>
      <c r="W632" s="4" t="str">
        <f>IFERROR(__xludf.DUMMYFUNCTION("GOOGLETRANSLATE(B632,""en"",""ml"")"),"വൈബ്രേറ്റ് ചെയ്യുക")</f>
        <v>വൈബ്രേറ്റ് ചെയ്യുക</v>
      </c>
      <c r="X632" s="4" t="str">
        <f>IFERROR(__xludf.DUMMYFUNCTION("GOOGLETRANSLATE(B632,""en"",""th"")"),"สั่น")</f>
        <v>สั่น</v>
      </c>
      <c r="Y632" s="4" t="str">
        <f>IFERROR(__xludf.DUMMYFUNCTION("GOOGLETRANSLATE(B632,""en"",""ko"")"),"떨리다")</f>
        <v>떨리다</v>
      </c>
      <c r="Z632" s="4" t="str">
        <f>IFERROR(__xludf.DUMMYFUNCTION("GOOGLETRANSLATE(B632,""en"",""zh"")"),"颤动")</f>
        <v>颤动</v>
      </c>
      <c r="AA632" s="4" t="str">
        <f>IFERROR(__xludf.DUMMYFUNCTION("GOOGLETRANSLATE(B632,""en"",""zh-TW"")"),"顫動")</f>
        <v>顫動</v>
      </c>
      <c r="AB632" s="4" t="str">
        <f>IFERROR(__xludf.DUMMYFUNCTION("GOOGLETRANSLATE(B632,""en"",""ja"")"),"振動")</f>
        <v>振動</v>
      </c>
      <c r="AC632" s="4" t="str">
        <f>IFERROR(__xludf.DUMMYFUNCTION("GOOGLETRANSLATE(B632,""en"",""bg"")"),"Вибриране")</f>
        <v>Вибриране</v>
      </c>
      <c r="AD632" s="4" t="str">
        <f>IFERROR(__xludf.DUMMYFUNCTION("GOOGLETRANSLATE(B632,""en"",""cs"")"),"Vibrovat")</f>
        <v>Vibrovat</v>
      </c>
      <c r="AE632" s="4" t="str">
        <f>IFERROR(__xludf.DUMMYFUNCTION("GOOGLETRANSLATE(B632,""en"",""da"")"),"Vibrere")</f>
        <v>Vibrere</v>
      </c>
      <c r="AF632" s="4" t="str">
        <f>IFERROR(__xludf.DUMMYFUNCTION("GOOGLETRANSLATE(B632,""en"",""el"")"),"Δονούμαι")</f>
        <v>Δονούμαι</v>
      </c>
      <c r="AG632" s="4" t="str">
        <f>IFERROR(__xludf.DUMMYFUNCTION("GOOGLETRANSLATE(B632,""en"",""et"")"),"Vibreerige")</f>
        <v>Vibreerige</v>
      </c>
      <c r="AH632" s="4" t="str">
        <f>IFERROR(__xludf.DUMMYFUNCTION("GOOGLETRANSLATE(B632,""en"",""fi"")"),"Värinä")</f>
        <v>Värinä</v>
      </c>
      <c r="AI632" s="4" t="str">
        <f>IFERROR(__xludf.DUMMYFUNCTION("GOOGLETRANSLATE(B632,""en"",""hr"")"),"Vibrirati")</f>
        <v>Vibrirati</v>
      </c>
      <c r="AJ632" s="4" t="str">
        <f>IFERROR(__xludf.DUMMYFUNCTION("GOOGLETRANSLATE(B632,""en"",""hu"")"),"Rezeg")</f>
        <v>Rezeg</v>
      </c>
      <c r="AK632" s="4" t="str">
        <f>IFERROR(__xludf.DUMMYFUNCTION("GOOGLETRANSLATE(B632,""en"",""hy"")"),"Թրթռալ")</f>
        <v>Թրթռալ</v>
      </c>
      <c r="AL632" s="4" t="str">
        <f>IFERROR(__xludf.DUMMYFUNCTION("GOOGLETRANSLATE(B632,""en"",""ca"")"),"Vibrar")</f>
        <v>Vibrar</v>
      </c>
      <c r="AM632" s="4" t="str">
        <f>IFERROR(__xludf.DUMMYFUNCTION("GOOGLETRANSLATE(B632,""en"",""nl"")"),"Trillen")</f>
        <v>Trillen</v>
      </c>
      <c r="AN632" s="4" t="str">
        <f>IFERROR(__xludf.DUMMYFUNCTION("GOOGLETRANSLATE(B632,""en"",""he"")"),"לְנַדְנֵד")</f>
        <v>לְנַדְנֵד</v>
      </c>
      <c r="AO632" s="4" t="str">
        <f>IFERROR(__xludf.DUMMYFUNCTION("GOOGLETRANSLATE(B632,""en"",""is"")"),"Titra")</f>
        <v>Titra</v>
      </c>
      <c r="AP632" s="4" t="str">
        <f>IFERROR(__xludf.DUMMYFUNCTION("GOOGLETRANSLATE(B632,""en"",""no"")"),"Vibrere")</f>
        <v>Vibrere</v>
      </c>
      <c r="AQ632" s="4" t="str">
        <f>IFERROR(__xludf.DUMMYFUNCTION("GOOGLETRANSLATE(B632,""en"",""fa"")"),"لرزش")</f>
        <v>لرزش</v>
      </c>
      <c r="AR632" s="4" t="str">
        <f>IFERROR(__xludf.DUMMYFUNCTION("GOOGLETRANSLATE(B632,""en"",""pl"")"),"Wibrować")</f>
        <v>Wibrować</v>
      </c>
      <c r="AS632" s="4" t="str">
        <f>IFERROR(__xludf.DUMMYFUNCTION("GOOGLETRANSLATE(B632,""en"",""sv"")"),"Vibrera")</f>
        <v>Vibrera</v>
      </c>
      <c r="AT632" s="4" t="str">
        <f>IFERROR(__xludf.DUMMYFUNCTION("GOOGLETRANSLATE(B632,""en"",""uk"")"),"Вібрувати")</f>
        <v>Вібрувати</v>
      </c>
      <c r="AU632" s="4" t="str">
        <f>IFERROR(__xludf.DUMMYFUNCTION("GOOGLETRANSLATE(B632,""en"",""zu"")"),"Dlidliza")</f>
        <v>Dlidliza</v>
      </c>
      <c r="AV632" s="4" t="str">
        <f>IFERROR(__xludf.DUMMYFUNCTION("GOOGLETRANSLATE(B632,""en"",""sr"")"),"Вибрирај")</f>
        <v>Вибрирај</v>
      </c>
    </row>
    <row r="633">
      <c r="A633" s="3" t="s">
        <v>1204</v>
      </c>
      <c r="B633" s="3" t="s">
        <v>1205</v>
      </c>
      <c r="C633" s="4" t="str">
        <f>IFERROR(__xludf.DUMMYFUNCTION("GOOGLETRANSLATE(B633,""en"",""ta"")"),"ரிங்டோன்")</f>
        <v>ரிங்டோன்</v>
      </c>
      <c r="D633" s="4" t="str">
        <f>IFERROR(__xludf.DUMMYFUNCTION("GOOGLETRANSLATE(B633,""en"",""hi"")"),"रिंगटोन")</f>
        <v>रिंगटोन</v>
      </c>
      <c r="E633" s="4" t="str">
        <f>IFERROR(__xludf.DUMMYFUNCTION("GOOGLETRANSLATE(B633,""en"",""id"")"),"Nada dering")</f>
        <v>Nada dering</v>
      </c>
      <c r="F633" s="4" t="str">
        <f>IFERROR(__xludf.DUMMYFUNCTION("GOOGLETRANSLATE(B633,""en"",""ms"")"),"Nada dering")</f>
        <v>Nada dering</v>
      </c>
      <c r="G633" s="4" t="str">
        <f>IFERROR(__xludf.DUMMYFUNCTION("GOOGLETRANSLATE(B633,""en"",""de"")"),"Klingelton")</f>
        <v>Klingelton</v>
      </c>
      <c r="H633" s="4" t="str">
        <f>IFERROR(__xludf.DUMMYFUNCTION("GOOGLETRANSLATE(B633,""en"",""es"")"),"Tono de llamada")</f>
        <v>Tono de llamada</v>
      </c>
      <c r="I633" s="4" t="str">
        <f>IFERROR(__xludf.DUMMYFUNCTION("GOOGLETRANSLATE(B633,""en"",""fr"")"),"Sonnerie")</f>
        <v>Sonnerie</v>
      </c>
      <c r="J633" s="4" t="str">
        <f>IFERROR(__xludf.DUMMYFUNCTION("GOOGLETRANSLATE(B633,""en"",""it"")"),"Suoneria")</f>
        <v>Suoneria</v>
      </c>
      <c r="K633" s="4" t="str">
        <f>IFERROR(__xludf.DUMMYFUNCTION("GOOGLETRANSLATE(B633,""en"",""pt"")"),"toque")</f>
        <v>toque</v>
      </c>
      <c r="L633" s="4" t="str">
        <f>IFERROR(__xludf.DUMMYFUNCTION("GOOGLETRANSLATE(B633,""en"",""ro"")"),"Ton de apel")</f>
        <v>Ton de apel</v>
      </c>
      <c r="M633" s="4" t="str">
        <f>IFERROR(__xludf.DUMMYFUNCTION("GOOGLETRANSLATE(B633,""en"",""vi"")"),"Nhạc chuông")</f>
        <v>Nhạc chuông</v>
      </c>
      <c r="N633" s="4" t="str">
        <f>IFERROR(__xludf.DUMMYFUNCTION("GOOGLETRANSLATE(B633,""en"",""ru"")"),"Рингтон")</f>
        <v>Рингтон</v>
      </c>
      <c r="O633" s="4" t="str">
        <f>IFERROR(__xludf.DUMMYFUNCTION("GOOGLETRANSLATE(B633,""en"",""tr"")"),"Zil sesi")</f>
        <v>Zil sesi</v>
      </c>
      <c r="P633" s="4" t="str">
        <f>IFERROR(__xludf.DUMMYFUNCTION("GOOGLETRANSLATE(B633,""en"",""ar"")"),"نغمة الرنين")</f>
        <v>نغمة الرنين</v>
      </c>
      <c r="Q633" s="4" t="str">
        <f>IFERROR(__xludf.DUMMYFUNCTION("GOOGLETRANSLATE(B633,""en"",""mr"")"),"रिंगटोन")</f>
        <v>रिंगटोन</v>
      </c>
      <c r="R633" s="4" t="str">
        <f>IFERROR(__xludf.DUMMYFUNCTION("GOOGLETRANSLATE(B633,""en"",""gu"")"),"રિંગટોન")</f>
        <v>રિંગટોન</v>
      </c>
      <c r="S633" s="4" t="str">
        <f>IFERROR(__xludf.DUMMYFUNCTION("GOOGLETRANSLATE(B633,""en"",""bn"")"),"রিংটোন")</f>
        <v>রিংটোন</v>
      </c>
      <c r="T633" s="4" t="str">
        <f>IFERROR(__xludf.DUMMYFUNCTION("GOOGLETRANSLATE(B633,""en"",""pa"")"),"ਰਿੰਗਟੋਨ")</f>
        <v>ਰਿੰਗਟੋਨ</v>
      </c>
      <c r="U633" s="4" t="str">
        <f>IFERROR(__xludf.DUMMYFUNCTION("GOOGLETRANSLATE(B633,""en"",""te"")"),"రింగ్‌టోన్")</f>
        <v>రింగ్‌టోన్</v>
      </c>
      <c r="V633" s="4" t="str">
        <f>IFERROR(__xludf.DUMMYFUNCTION("GOOGLETRANSLATE(B633,""en"",""kn"")"),"ರಿಂಗ್ಟೋನ್")</f>
        <v>ರಿಂಗ್ಟೋನ್</v>
      </c>
      <c r="W633" s="4" t="str">
        <f>IFERROR(__xludf.DUMMYFUNCTION("GOOGLETRANSLATE(B633,""en"",""ml"")"),"റിംഗ്ടോൺ")</f>
        <v>റിംഗ്ടോൺ</v>
      </c>
      <c r="X633" s="4" t="str">
        <f>IFERROR(__xludf.DUMMYFUNCTION("GOOGLETRANSLATE(B633,""en"",""th"")"),"ริงโทน")</f>
        <v>ริงโทน</v>
      </c>
      <c r="Y633" s="4" t="str">
        <f>IFERROR(__xludf.DUMMYFUNCTION("GOOGLETRANSLATE(B633,""en"",""ko"")"),"벨소리")</f>
        <v>벨소리</v>
      </c>
      <c r="Z633" s="4" t="str">
        <f>IFERROR(__xludf.DUMMYFUNCTION("GOOGLETRANSLATE(B633,""en"",""zh"")"),"铃声")</f>
        <v>铃声</v>
      </c>
      <c r="AA633" s="4" t="str">
        <f>IFERROR(__xludf.DUMMYFUNCTION("GOOGLETRANSLATE(B633,""en"",""zh-TW"")"),"鈴聲")</f>
        <v>鈴聲</v>
      </c>
      <c r="AB633" s="4" t="str">
        <f>IFERROR(__xludf.DUMMYFUNCTION("GOOGLETRANSLATE(B633,""en"",""ja"")"),"着信音")</f>
        <v>着信音</v>
      </c>
      <c r="AC633" s="4" t="str">
        <f>IFERROR(__xludf.DUMMYFUNCTION("GOOGLETRANSLATE(B633,""en"",""bg"")"),"мелодия")</f>
        <v>мелодия</v>
      </c>
      <c r="AD633" s="4" t="str">
        <f>IFERROR(__xludf.DUMMYFUNCTION("GOOGLETRANSLATE(B633,""en"",""cs"")"),"Vyzváněcí tón")</f>
        <v>Vyzváněcí tón</v>
      </c>
      <c r="AE633" s="4" t="str">
        <f>IFERROR(__xludf.DUMMYFUNCTION("GOOGLETRANSLATE(B633,""en"",""da"")"),"Ringetone")</f>
        <v>Ringetone</v>
      </c>
      <c r="AF633" s="4" t="str">
        <f>IFERROR(__xludf.DUMMYFUNCTION("GOOGLETRANSLATE(B633,""en"",""el"")"),"Ήχος κλήσης")</f>
        <v>Ήχος κλήσης</v>
      </c>
      <c r="AG633" s="4" t="str">
        <f>IFERROR(__xludf.DUMMYFUNCTION("GOOGLETRANSLATE(B633,""en"",""et"")"),"Helin")</f>
        <v>Helin</v>
      </c>
      <c r="AH633" s="4" t="str">
        <f>IFERROR(__xludf.DUMMYFUNCTION("GOOGLETRANSLATE(B633,""en"",""fi"")"),"Soittoääni")</f>
        <v>Soittoääni</v>
      </c>
      <c r="AI633" s="4" t="str">
        <f>IFERROR(__xludf.DUMMYFUNCTION("GOOGLETRANSLATE(B633,""en"",""hr"")"),"Melodija zvona")</f>
        <v>Melodija zvona</v>
      </c>
      <c r="AJ633" s="4" t="str">
        <f>IFERROR(__xludf.DUMMYFUNCTION("GOOGLETRANSLATE(B633,""en"",""hu"")"),"Csengőhang")</f>
        <v>Csengőhang</v>
      </c>
      <c r="AK633" s="4" t="str">
        <f>IFERROR(__xludf.DUMMYFUNCTION("GOOGLETRANSLATE(B633,""en"",""hy"")"),"Ringtone")</f>
        <v>Ringtone</v>
      </c>
      <c r="AL633" s="4" t="str">
        <f>IFERROR(__xludf.DUMMYFUNCTION("GOOGLETRANSLATE(B633,""en"",""ca"")"),"To de trucada")</f>
        <v>To de trucada</v>
      </c>
      <c r="AM633" s="4" t="str">
        <f>IFERROR(__xludf.DUMMYFUNCTION("GOOGLETRANSLATE(B633,""en"",""nl"")"),"Beltoon")</f>
        <v>Beltoon</v>
      </c>
      <c r="AN633" s="4" t="str">
        <f>IFERROR(__xludf.DUMMYFUNCTION("GOOGLETRANSLATE(B633,""en"",""he"")"),"רינגטון")</f>
        <v>רינגטון</v>
      </c>
      <c r="AO633" s="4" t="str">
        <f>IFERROR(__xludf.DUMMYFUNCTION("GOOGLETRANSLATE(B633,""en"",""is"")"),"Hringitónn")</f>
        <v>Hringitónn</v>
      </c>
      <c r="AP633" s="4" t="str">
        <f>IFERROR(__xludf.DUMMYFUNCTION("GOOGLETRANSLATE(B633,""en"",""no"")"),"Ringetone")</f>
        <v>Ringetone</v>
      </c>
      <c r="AQ633" s="4" t="str">
        <f>IFERROR(__xludf.DUMMYFUNCTION("GOOGLETRANSLATE(B633,""en"",""fa"")"),"آهنگ زنگ")</f>
        <v>آهنگ زنگ</v>
      </c>
      <c r="AR633" s="4" t="str">
        <f>IFERROR(__xludf.DUMMYFUNCTION("GOOGLETRANSLATE(B633,""en"",""pl"")"),"Dzwonek")</f>
        <v>Dzwonek</v>
      </c>
      <c r="AS633" s="4" t="str">
        <f>IFERROR(__xludf.DUMMYFUNCTION("GOOGLETRANSLATE(B633,""en"",""sv"")"),"Ringsignal")</f>
        <v>Ringsignal</v>
      </c>
      <c r="AT633" s="4" t="str">
        <f>IFERROR(__xludf.DUMMYFUNCTION("GOOGLETRANSLATE(B633,""en"",""uk"")"),"Рінгтон")</f>
        <v>Рінгтон</v>
      </c>
      <c r="AU633" s="4" t="str">
        <f>IFERROR(__xludf.DUMMYFUNCTION("GOOGLETRANSLATE(B633,""en"",""zu"")"),"Iringithoni")</f>
        <v>Iringithoni</v>
      </c>
      <c r="AV633" s="4" t="str">
        <f>IFERROR(__xludf.DUMMYFUNCTION("GOOGLETRANSLATE(B633,""en"",""sr"")"),"Рингтоне")</f>
        <v>Рингтоне</v>
      </c>
    </row>
    <row r="634">
      <c r="A634" s="3" t="s">
        <v>1206</v>
      </c>
      <c r="B634" s="3" t="s">
        <v>731</v>
      </c>
      <c r="C634" s="4" t="str">
        <f>IFERROR(__xludf.DUMMYFUNCTION("GOOGLETRANSLATE(B634,""en"",""ta"")"),"நீக்கு")</f>
        <v>நீக்கு</v>
      </c>
      <c r="D634" s="4" t="str">
        <f>IFERROR(__xludf.DUMMYFUNCTION("GOOGLETRANSLATE(B634,""en"",""hi"")"),"मिटाना")</f>
        <v>मिटाना</v>
      </c>
      <c r="E634" s="4" t="str">
        <f>IFERROR(__xludf.DUMMYFUNCTION("GOOGLETRANSLATE(B634,""en"",""id"")"),"Menghapus")</f>
        <v>Menghapus</v>
      </c>
      <c r="F634" s="4" t="str">
        <f>IFERROR(__xludf.DUMMYFUNCTION("GOOGLETRANSLATE(B634,""en"",""ms"")"),"Padam")</f>
        <v>Padam</v>
      </c>
      <c r="G634" s="4" t="str">
        <f>IFERROR(__xludf.DUMMYFUNCTION("GOOGLETRANSLATE(B634,""en"",""de"")"),"Löschen")</f>
        <v>Löschen</v>
      </c>
      <c r="H634" s="4" t="str">
        <f>IFERROR(__xludf.DUMMYFUNCTION("GOOGLETRANSLATE(B634,""en"",""es"")"),"Borrar")</f>
        <v>Borrar</v>
      </c>
      <c r="I634" s="4" t="str">
        <f>IFERROR(__xludf.DUMMYFUNCTION("GOOGLETRANSLATE(B634,""en"",""fr"")"),"Supprimer")</f>
        <v>Supprimer</v>
      </c>
      <c r="J634" s="4" t="str">
        <f>IFERROR(__xludf.DUMMYFUNCTION("GOOGLETRANSLATE(B634,""en"",""it"")"),"Eliminare")</f>
        <v>Eliminare</v>
      </c>
      <c r="K634" s="4" t="str">
        <f>IFERROR(__xludf.DUMMYFUNCTION("GOOGLETRANSLATE(B634,""en"",""pt"")"),"Excluir")</f>
        <v>Excluir</v>
      </c>
      <c r="L634" s="4" t="str">
        <f>IFERROR(__xludf.DUMMYFUNCTION("GOOGLETRANSLATE(B634,""en"",""ro"")"),"Şterge")</f>
        <v>Şterge</v>
      </c>
      <c r="M634" s="4" t="str">
        <f>IFERROR(__xludf.DUMMYFUNCTION("GOOGLETRANSLATE(B634,""en"",""vi"")"),"Xóa bỏ")</f>
        <v>Xóa bỏ</v>
      </c>
      <c r="N634" s="4" t="str">
        <f>IFERROR(__xludf.DUMMYFUNCTION("GOOGLETRANSLATE(B634,""en"",""ru"")"),"Удалить")</f>
        <v>Удалить</v>
      </c>
      <c r="O634" s="4" t="str">
        <f>IFERROR(__xludf.DUMMYFUNCTION("GOOGLETRANSLATE(B634,""en"",""tr"")"),"Silmek")</f>
        <v>Silmek</v>
      </c>
      <c r="P634" s="4" t="str">
        <f>IFERROR(__xludf.DUMMYFUNCTION("GOOGLETRANSLATE(B634,""en"",""ar"")"),"يمسح")</f>
        <v>يمسح</v>
      </c>
      <c r="Q634" s="4" t="str">
        <f>IFERROR(__xludf.DUMMYFUNCTION("GOOGLETRANSLATE(B634,""en"",""mr"")"),"हटवा")</f>
        <v>हटवा</v>
      </c>
      <c r="R634" s="4" t="str">
        <f>IFERROR(__xludf.DUMMYFUNCTION("GOOGLETRANSLATE(B634,""en"",""gu"")"),"કાઢી નાખો")</f>
        <v>કાઢી નાખો</v>
      </c>
      <c r="S634" s="4" t="str">
        <f>IFERROR(__xludf.DUMMYFUNCTION("GOOGLETRANSLATE(B634,""en"",""bn"")"),"মুছে দিন")</f>
        <v>মুছে দিন</v>
      </c>
      <c r="T634" s="4" t="str">
        <f>IFERROR(__xludf.DUMMYFUNCTION("GOOGLETRANSLATE(B634,""en"",""pa"")"),"ਮਿਟਾਓ")</f>
        <v>ਮਿਟਾਓ</v>
      </c>
      <c r="U634" s="4" t="str">
        <f>IFERROR(__xludf.DUMMYFUNCTION("GOOGLETRANSLATE(B634,""en"",""te"")"),"తొలగించు")</f>
        <v>తొలగించు</v>
      </c>
      <c r="V634" s="4" t="str">
        <f>IFERROR(__xludf.DUMMYFUNCTION("GOOGLETRANSLATE(B634,""en"",""kn"")"),"ಅಳಿಸಿ")</f>
        <v>ಅಳಿಸಿ</v>
      </c>
      <c r="W634" s="4" t="str">
        <f>IFERROR(__xludf.DUMMYFUNCTION("GOOGLETRANSLATE(B634,""en"",""ml"")"),"ഇല്ലാതാക്കുക")</f>
        <v>ഇല്ലാതാക്കുക</v>
      </c>
      <c r="X634" s="4" t="str">
        <f>IFERROR(__xludf.DUMMYFUNCTION("GOOGLETRANSLATE(B634,""en"",""th"")"),"ลบ")</f>
        <v>ลบ</v>
      </c>
      <c r="Y634" s="4" t="str">
        <f>IFERROR(__xludf.DUMMYFUNCTION("GOOGLETRANSLATE(B634,""en"",""ko"")"),"삭제")</f>
        <v>삭제</v>
      </c>
      <c r="Z634" s="4" t="str">
        <f>IFERROR(__xludf.DUMMYFUNCTION("GOOGLETRANSLATE(B634,""en"",""zh"")"),"删除")</f>
        <v>删除</v>
      </c>
      <c r="AA634" s="4" t="str">
        <f>IFERROR(__xludf.DUMMYFUNCTION("GOOGLETRANSLATE(B634,""en"",""zh-TW"")"),"刪除")</f>
        <v>刪除</v>
      </c>
      <c r="AB634" s="4" t="str">
        <f>IFERROR(__xludf.DUMMYFUNCTION("GOOGLETRANSLATE(B634,""en"",""ja"")"),"消去")</f>
        <v>消去</v>
      </c>
      <c r="AC634" s="4" t="str">
        <f>IFERROR(__xludf.DUMMYFUNCTION("GOOGLETRANSLATE(B634,""en"",""bg"")"),"Изтриване")</f>
        <v>Изтриване</v>
      </c>
      <c r="AD634" s="4" t="str">
        <f>IFERROR(__xludf.DUMMYFUNCTION("GOOGLETRANSLATE(B634,""en"",""cs"")"),"Vymazat")</f>
        <v>Vymazat</v>
      </c>
      <c r="AE634" s="4" t="str">
        <f>IFERROR(__xludf.DUMMYFUNCTION("GOOGLETRANSLATE(B634,""en"",""da"")"),"Slet")</f>
        <v>Slet</v>
      </c>
      <c r="AF634" s="4" t="str">
        <f>IFERROR(__xludf.DUMMYFUNCTION("GOOGLETRANSLATE(B634,""en"",""el"")"),"Διαγράφω")</f>
        <v>Διαγράφω</v>
      </c>
      <c r="AG634" s="4" t="str">
        <f>IFERROR(__xludf.DUMMYFUNCTION("GOOGLETRANSLATE(B634,""en"",""et"")"),"Kustuta")</f>
        <v>Kustuta</v>
      </c>
      <c r="AH634" s="4" t="str">
        <f>IFERROR(__xludf.DUMMYFUNCTION("GOOGLETRANSLATE(B634,""en"",""fi"")"),"Poistaa")</f>
        <v>Poistaa</v>
      </c>
      <c r="AI634" s="4" t="str">
        <f>IFERROR(__xludf.DUMMYFUNCTION("GOOGLETRANSLATE(B634,""en"",""hr"")"),"Izbrisati")</f>
        <v>Izbrisati</v>
      </c>
      <c r="AJ634" s="4" t="str">
        <f>IFERROR(__xludf.DUMMYFUNCTION("GOOGLETRANSLATE(B634,""en"",""hu"")"),"Töröl")</f>
        <v>Töröl</v>
      </c>
      <c r="AK634" s="4" t="str">
        <f>IFERROR(__xludf.DUMMYFUNCTION("GOOGLETRANSLATE(B634,""en"",""hy"")"),"Ջնջել")</f>
        <v>Ջնջել</v>
      </c>
      <c r="AL634" s="4" t="str">
        <f>IFERROR(__xludf.DUMMYFUNCTION("GOOGLETRANSLATE(B634,""en"",""ca"")"),"Suprimeix")</f>
        <v>Suprimeix</v>
      </c>
      <c r="AM634" s="4" t="str">
        <f>IFERROR(__xludf.DUMMYFUNCTION("GOOGLETRANSLATE(B634,""en"",""nl"")"),"Verwijderen")</f>
        <v>Verwijderen</v>
      </c>
      <c r="AN634" s="4" t="str">
        <f>IFERROR(__xludf.DUMMYFUNCTION("GOOGLETRANSLATE(B634,""en"",""he"")"),"לִמְחוֹק")</f>
        <v>לִמְחוֹק</v>
      </c>
      <c r="AO634" s="4" t="str">
        <f>IFERROR(__xludf.DUMMYFUNCTION("GOOGLETRANSLATE(B634,""en"",""is"")"),"Eyða")</f>
        <v>Eyða</v>
      </c>
      <c r="AP634" s="4" t="str">
        <f>IFERROR(__xludf.DUMMYFUNCTION("GOOGLETRANSLATE(B634,""en"",""no"")"),"Slett")</f>
        <v>Slett</v>
      </c>
      <c r="AQ634" s="4" t="str">
        <f>IFERROR(__xludf.DUMMYFUNCTION("GOOGLETRANSLATE(B634,""en"",""fa"")"),"حذف کنید")</f>
        <v>حذف کنید</v>
      </c>
      <c r="AR634" s="4" t="str">
        <f>IFERROR(__xludf.DUMMYFUNCTION("GOOGLETRANSLATE(B634,""en"",""pl"")"),"Usuwać")</f>
        <v>Usuwać</v>
      </c>
      <c r="AS634" s="4" t="str">
        <f>IFERROR(__xludf.DUMMYFUNCTION("GOOGLETRANSLATE(B634,""en"",""sv"")"),"Radera")</f>
        <v>Radera</v>
      </c>
      <c r="AT634" s="4" t="str">
        <f>IFERROR(__xludf.DUMMYFUNCTION("GOOGLETRANSLATE(B634,""en"",""uk"")"),"Видалити")</f>
        <v>Видалити</v>
      </c>
      <c r="AU634" s="4" t="str">
        <f>IFERROR(__xludf.DUMMYFUNCTION("GOOGLETRANSLATE(B634,""en"",""zu"")"),"Susa")</f>
        <v>Susa</v>
      </c>
      <c r="AV634" s="4" t="str">
        <f>IFERROR(__xludf.DUMMYFUNCTION("GOOGLETRANSLATE(B634,""en"",""sr"")"),"Избриши")</f>
        <v>Избриши</v>
      </c>
    </row>
    <row r="635">
      <c r="A635" s="3" t="s">
        <v>1207</v>
      </c>
      <c r="B635" s="3" t="s">
        <v>1208</v>
      </c>
      <c r="C635" s="4" t="str">
        <f>IFERROR(__xludf.DUMMYFUNCTION("GOOGLETRANSLATE(B635,""en"",""ta"")"),"அலாரத்தை நீக்கு")</f>
        <v>அலாரத்தை நீக்கு</v>
      </c>
      <c r="D635" s="4" t="str">
        <f>IFERROR(__xludf.DUMMYFUNCTION("GOOGLETRANSLATE(B635,""en"",""hi"")"),"अलार्म हटाएँ")</f>
        <v>अलार्म हटाएँ</v>
      </c>
      <c r="E635" s="4" t="str">
        <f>IFERROR(__xludf.DUMMYFUNCTION("GOOGLETRANSLATE(B635,""en"",""id"")"),"Hapus Alarm")</f>
        <v>Hapus Alarm</v>
      </c>
      <c r="F635" s="4" t="str">
        <f>IFERROR(__xludf.DUMMYFUNCTION("GOOGLETRANSLATE(B635,""en"",""ms"")"),"Padamkan Penggera")</f>
        <v>Padamkan Penggera</v>
      </c>
      <c r="G635" s="4" t="str">
        <f>IFERROR(__xludf.DUMMYFUNCTION("GOOGLETRANSLATE(B635,""en"",""de"")"),"Alarm löschen")</f>
        <v>Alarm löschen</v>
      </c>
      <c r="H635" s="4" t="str">
        <f>IFERROR(__xludf.DUMMYFUNCTION("GOOGLETRANSLATE(B635,""en"",""es"")"),"Eliminar alarma")</f>
        <v>Eliminar alarma</v>
      </c>
      <c r="I635" s="4" t="str">
        <f>IFERROR(__xludf.DUMMYFUNCTION("GOOGLETRANSLATE(B635,""en"",""fr"")"),"Supprimer l'alarme")</f>
        <v>Supprimer l'alarme</v>
      </c>
      <c r="J635" s="4" t="str">
        <f>IFERROR(__xludf.DUMMYFUNCTION("GOOGLETRANSLATE(B635,""en"",""it"")"),"Elimina allarme")</f>
        <v>Elimina allarme</v>
      </c>
      <c r="K635" s="4" t="str">
        <f>IFERROR(__xludf.DUMMYFUNCTION("GOOGLETRANSLATE(B635,""en"",""pt"")"),"Excluir alarme")</f>
        <v>Excluir alarme</v>
      </c>
      <c r="L635" s="4" t="str">
        <f>IFERROR(__xludf.DUMMYFUNCTION("GOOGLETRANSLATE(B635,""en"",""ro"")"),"Ștergeți alarma")</f>
        <v>Ștergeți alarma</v>
      </c>
      <c r="M635" s="4" t="str">
        <f>IFERROR(__xludf.DUMMYFUNCTION("GOOGLETRANSLATE(B635,""en"",""vi"")"),"Xóa báo động")</f>
        <v>Xóa báo động</v>
      </c>
      <c r="N635" s="4" t="str">
        <f>IFERROR(__xludf.DUMMYFUNCTION("GOOGLETRANSLATE(B635,""en"",""ru"")"),"Удалить будильник")</f>
        <v>Удалить будильник</v>
      </c>
      <c r="O635" s="4" t="str">
        <f>IFERROR(__xludf.DUMMYFUNCTION("GOOGLETRANSLATE(B635,""en"",""tr"")"),"Alarmı Sil")</f>
        <v>Alarmı Sil</v>
      </c>
      <c r="P635" s="4" t="str">
        <f>IFERROR(__xludf.DUMMYFUNCTION("GOOGLETRANSLATE(B635,""en"",""ar"")"),"حذف التنبيه")</f>
        <v>حذف التنبيه</v>
      </c>
      <c r="Q635" s="4" t="str">
        <f>IFERROR(__xludf.DUMMYFUNCTION("GOOGLETRANSLATE(B635,""en"",""mr"")"),"अलार्म हटवा")</f>
        <v>अलार्म हटवा</v>
      </c>
      <c r="R635" s="4" t="str">
        <f>IFERROR(__xludf.DUMMYFUNCTION("GOOGLETRANSLATE(B635,""en"",""gu"")"),"એલાર્મ કાઢી નાખો")</f>
        <v>એલાર્મ કાઢી નાખો</v>
      </c>
      <c r="S635" s="4" t="str">
        <f>IFERROR(__xludf.DUMMYFUNCTION("GOOGLETRANSLATE(B635,""en"",""bn"")"),"অ্যালার্ম মুছুন")</f>
        <v>অ্যালার্ম মুছুন</v>
      </c>
      <c r="T635" s="4" t="str">
        <f>IFERROR(__xludf.DUMMYFUNCTION("GOOGLETRANSLATE(B635,""en"",""pa"")"),"ਅਲਾਰਮ ਮਿਟਾਓ")</f>
        <v>ਅਲਾਰਮ ਮਿਟਾਓ</v>
      </c>
      <c r="U635" s="4" t="str">
        <f>IFERROR(__xludf.DUMMYFUNCTION("GOOGLETRANSLATE(B635,""en"",""te"")"),"అలారంను తొలగించండి")</f>
        <v>అలారంను తొలగించండి</v>
      </c>
      <c r="V635" s="4" t="str">
        <f>IFERROR(__xludf.DUMMYFUNCTION("GOOGLETRANSLATE(B635,""en"",""kn"")"),"ಅಲಾರಂ ಅಳಿಸಿ")</f>
        <v>ಅಲಾರಂ ಅಳಿಸಿ</v>
      </c>
      <c r="W635" s="4" t="str">
        <f>IFERROR(__xludf.DUMMYFUNCTION("GOOGLETRANSLATE(B635,""en"",""ml"")"),"അലാറം ഇല്ലാതാക്കുക")</f>
        <v>അലാറം ഇല്ലാതാക്കുക</v>
      </c>
      <c r="X635" s="4" t="str">
        <f>IFERROR(__xludf.DUMMYFUNCTION("GOOGLETRANSLATE(B635,""en"",""th"")"),"ลบการแจ้งเตือน")</f>
        <v>ลบการแจ้งเตือน</v>
      </c>
      <c r="Y635" s="4" t="str">
        <f>IFERROR(__xludf.DUMMYFUNCTION("GOOGLETRANSLATE(B635,""en"",""ko"")"),"알람 삭제")</f>
        <v>알람 삭제</v>
      </c>
      <c r="Z635" s="4" t="str">
        <f>IFERROR(__xludf.DUMMYFUNCTION("GOOGLETRANSLATE(B635,""en"",""zh"")"),"删除闹钟")</f>
        <v>删除闹钟</v>
      </c>
      <c r="AA635" s="4" t="str">
        <f>IFERROR(__xludf.DUMMYFUNCTION("GOOGLETRANSLATE(B635,""en"",""zh-TW"")"),"刪除鬧鐘")</f>
        <v>刪除鬧鐘</v>
      </c>
      <c r="AB635" s="4" t="str">
        <f>IFERROR(__xludf.DUMMYFUNCTION("GOOGLETRANSLATE(B635,""en"",""ja"")"),"アラームを削除")</f>
        <v>アラームを削除</v>
      </c>
      <c r="AC635" s="4" t="str">
        <f>IFERROR(__xludf.DUMMYFUNCTION("GOOGLETRANSLATE(B635,""en"",""bg"")"),"Изтриване на аларма")</f>
        <v>Изтриване на аларма</v>
      </c>
      <c r="AD635" s="4" t="str">
        <f>IFERROR(__xludf.DUMMYFUNCTION("GOOGLETRANSLATE(B635,""en"",""cs"")"),"Smazat budík")</f>
        <v>Smazat budík</v>
      </c>
      <c r="AE635" s="4" t="str">
        <f>IFERROR(__xludf.DUMMYFUNCTION("GOOGLETRANSLATE(B635,""en"",""da"")"),"Slet alarm")</f>
        <v>Slet alarm</v>
      </c>
      <c r="AF635" s="4" t="str">
        <f>IFERROR(__xludf.DUMMYFUNCTION("GOOGLETRANSLATE(B635,""en"",""el"")"),"Διαγραφή συναγερμού")</f>
        <v>Διαγραφή συναγερμού</v>
      </c>
      <c r="AG635" s="4" t="str">
        <f>IFERROR(__xludf.DUMMYFUNCTION("GOOGLETRANSLATE(B635,""en"",""et"")"),"Häire kustutamine")</f>
        <v>Häire kustutamine</v>
      </c>
      <c r="AH635" s="4" t="str">
        <f>IFERROR(__xludf.DUMMYFUNCTION("GOOGLETRANSLATE(B635,""en"",""fi"")"),"Poista hälytys")</f>
        <v>Poista hälytys</v>
      </c>
      <c r="AI635" s="4" t="str">
        <f>IFERROR(__xludf.DUMMYFUNCTION("GOOGLETRANSLATE(B635,""en"",""hr"")"),"Izbriši alarm")</f>
        <v>Izbriši alarm</v>
      </c>
      <c r="AJ635" s="4" t="str">
        <f>IFERROR(__xludf.DUMMYFUNCTION("GOOGLETRANSLATE(B635,""en"",""hu"")"),"Riasztás törlése")</f>
        <v>Riasztás törlése</v>
      </c>
      <c r="AK635" s="4" t="str">
        <f>IFERROR(__xludf.DUMMYFUNCTION("GOOGLETRANSLATE(B635,""en"",""hy"")"),"Ջնջել ահազանգը")</f>
        <v>Ջնջել ահազանգը</v>
      </c>
      <c r="AL635" s="4" t="str">
        <f>IFERROR(__xludf.DUMMYFUNCTION("GOOGLETRANSLATE(B635,""en"",""ca"")"),"Elimina l'alarma")</f>
        <v>Elimina l'alarma</v>
      </c>
      <c r="AM635" s="4" t="str">
        <f>IFERROR(__xludf.DUMMYFUNCTION("GOOGLETRANSLATE(B635,""en"",""nl"")"),"Alarm verwijderen")</f>
        <v>Alarm verwijderen</v>
      </c>
      <c r="AN635" s="4" t="str">
        <f>IFERROR(__xludf.DUMMYFUNCTION("GOOGLETRANSLATE(B635,""en"",""he"")"),"מחק אזעקה")</f>
        <v>מחק אזעקה</v>
      </c>
      <c r="AO635" s="4" t="str">
        <f>IFERROR(__xludf.DUMMYFUNCTION("GOOGLETRANSLATE(B635,""en"",""is"")"),"Eyða viðvörun")</f>
        <v>Eyða viðvörun</v>
      </c>
      <c r="AP635" s="4" t="str">
        <f>IFERROR(__xludf.DUMMYFUNCTION("GOOGLETRANSLATE(B635,""en"",""no"")"),"Slett alarm")</f>
        <v>Slett alarm</v>
      </c>
      <c r="AQ635" s="4" t="str">
        <f>IFERROR(__xludf.DUMMYFUNCTION("GOOGLETRANSLATE(B635,""en"",""fa"")"),"حذف هشدار")</f>
        <v>حذف هشدار</v>
      </c>
      <c r="AR635" s="4" t="str">
        <f>IFERROR(__xludf.DUMMYFUNCTION("GOOGLETRANSLATE(B635,""en"",""pl"")"),"Usuń alarm")</f>
        <v>Usuń alarm</v>
      </c>
      <c r="AS635" s="4" t="str">
        <f>IFERROR(__xludf.DUMMYFUNCTION("GOOGLETRANSLATE(B635,""en"",""sv"")"),"Ta bort larm")</f>
        <v>Ta bort larm</v>
      </c>
      <c r="AT635" s="4" t="str">
        <f>IFERROR(__xludf.DUMMYFUNCTION("GOOGLETRANSLATE(B635,""en"",""uk"")"),"Видалити будильник")</f>
        <v>Видалити будильник</v>
      </c>
      <c r="AU635" s="4" t="str">
        <f>IFERROR(__xludf.DUMMYFUNCTION("GOOGLETRANSLATE(B635,""en"",""zu"")"),"Susa i-alamu")</f>
        <v>Susa i-alamu</v>
      </c>
      <c r="AV635" s="4" t="str">
        <f>IFERROR(__xludf.DUMMYFUNCTION("GOOGLETRANSLATE(B635,""en"",""sr"")"),"Избриши аларм")</f>
        <v>Избриши аларм</v>
      </c>
    </row>
    <row r="636">
      <c r="A636" s="3" t="s">
        <v>1209</v>
      </c>
      <c r="B636" s="3" t="s">
        <v>1210</v>
      </c>
      <c r="C636" s="4" t="str">
        <f>IFERROR(__xludf.DUMMYFUNCTION("GOOGLETRANSLATE(B636,""en"",""ta"")"),"இந்த அலாரத்தை நீக்கவா?")</f>
        <v>இந்த அலாரத்தை நீக்கவா?</v>
      </c>
      <c r="D636" s="4" t="str">
        <f>IFERROR(__xludf.DUMMYFUNCTION("GOOGLETRANSLATE(B636,""en"",""hi"")"),"यह अलार्म हटाएँ?")</f>
        <v>यह अलार्म हटाएँ?</v>
      </c>
      <c r="E636" s="4" t="str">
        <f>IFERROR(__xludf.DUMMYFUNCTION("GOOGLETRANSLATE(B636,""en"",""id"")"),"Hapus alarm ini?")</f>
        <v>Hapus alarm ini?</v>
      </c>
      <c r="F636" s="4" t="str">
        <f>IFERROR(__xludf.DUMMYFUNCTION("GOOGLETRANSLATE(B636,""en"",""ms"")"),"Padamkan penggera ini?")</f>
        <v>Padamkan penggera ini?</v>
      </c>
      <c r="G636" s="4" t="str">
        <f>IFERROR(__xludf.DUMMYFUNCTION("GOOGLETRANSLATE(B636,""en"",""de"")"),"Diesen Alarm löschen?")</f>
        <v>Diesen Alarm löschen?</v>
      </c>
      <c r="H636" s="4" t="str">
        <f>IFERROR(__xludf.DUMMYFUNCTION("GOOGLETRANSLATE(B636,""en"",""es"")"),"¿Borrar esta alarma?")</f>
        <v>¿Borrar esta alarma?</v>
      </c>
      <c r="I636" s="4" t="str">
        <f>IFERROR(__xludf.DUMMYFUNCTION("GOOGLETRANSLATE(B636,""en"",""fr"")"),"Supprimer cette alarme ?")</f>
        <v>Supprimer cette alarme ?</v>
      </c>
      <c r="J636" s="4" t="str">
        <f>IFERROR(__xludf.DUMMYFUNCTION("GOOGLETRANSLATE(B636,""en"",""it"")"),"Vuoi eliminare questo allarme?")</f>
        <v>Vuoi eliminare questo allarme?</v>
      </c>
      <c r="K636" s="4" t="str">
        <f>IFERROR(__xludf.DUMMYFUNCTION("GOOGLETRANSLATE(B636,""en"",""pt"")"),"Excluir este alarme?")</f>
        <v>Excluir este alarme?</v>
      </c>
      <c r="L636" s="4" t="str">
        <f>IFERROR(__xludf.DUMMYFUNCTION("GOOGLETRANSLATE(B636,""en"",""ro"")"),"Ștergeți această alarmă?")</f>
        <v>Ștergeți această alarmă?</v>
      </c>
      <c r="M636" s="4" t="str">
        <f>IFERROR(__xludf.DUMMYFUNCTION("GOOGLETRANSLATE(B636,""en"",""vi"")"),"Xóa báo thức này?")</f>
        <v>Xóa báo thức này?</v>
      </c>
      <c r="N636" s="4" t="str">
        <f>IFERROR(__xludf.DUMMYFUNCTION("GOOGLETRANSLATE(B636,""en"",""ru"")"),"Удалить этот будильник?")</f>
        <v>Удалить этот будильник?</v>
      </c>
      <c r="O636" s="4" t="str">
        <f>IFERROR(__xludf.DUMMYFUNCTION("GOOGLETRANSLATE(B636,""en"",""tr"")"),"Bu alarmı silmek istiyor musunuz?")</f>
        <v>Bu alarmı silmek istiyor musunuz?</v>
      </c>
      <c r="P636" s="4" t="str">
        <f>IFERROR(__xludf.DUMMYFUNCTION("GOOGLETRANSLATE(B636,""en"",""ar"")"),"حذف هذا التنبيه؟")</f>
        <v>حذف هذا التنبيه؟</v>
      </c>
      <c r="Q636" s="4" t="str">
        <f>IFERROR(__xludf.DUMMYFUNCTION("GOOGLETRANSLATE(B636,""en"",""mr"")"),"हा अलार्म हटवायचा?")</f>
        <v>हा अलार्म हटवायचा?</v>
      </c>
      <c r="R636" s="4" t="str">
        <f>IFERROR(__xludf.DUMMYFUNCTION("GOOGLETRANSLATE(B636,""en"",""gu"")"),"આ અલાર્મ કાઢી નાખીએ?")</f>
        <v>આ અલાર્મ કાઢી નાખીએ?</v>
      </c>
      <c r="S636" s="4" t="str">
        <f>IFERROR(__xludf.DUMMYFUNCTION("GOOGLETRANSLATE(B636,""en"",""bn"")"),"এই অ্যালার্ম মুছবেন?")</f>
        <v>এই অ্যালার্ম মুছবেন?</v>
      </c>
      <c r="T636" s="4" t="str">
        <f>IFERROR(__xludf.DUMMYFUNCTION("GOOGLETRANSLATE(B636,""en"",""pa"")"),"ਕੀ ਇਹ ਅਲਾਰਮ ਮਿਟਾਉਣਾ ਹੈ?")</f>
        <v>ਕੀ ਇਹ ਅਲਾਰਮ ਮਿਟਾਉਣਾ ਹੈ?</v>
      </c>
      <c r="U636" s="4" t="str">
        <f>IFERROR(__xludf.DUMMYFUNCTION("GOOGLETRANSLATE(B636,""en"",""te"")"),"ఈ అలారాన్ని తొలగించాలా?")</f>
        <v>ఈ అలారాన్ని తొలగించాలా?</v>
      </c>
      <c r="V636" s="4" t="str">
        <f>IFERROR(__xludf.DUMMYFUNCTION("GOOGLETRANSLATE(B636,""en"",""kn"")"),"ಈ ಅಲಾರಾಂ ಅಳಿಸುವುದೇ?")</f>
        <v>ಈ ಅಲಾರಾಂ ಅಳಿಸುವುದೇ?</v>
      </c>
      <c r="W636" s="4" t="str">
        <f>IFERROR(__xludf.DUMMYFUNCTION("GOOGLETRANSLATE(B636,""en"",""ml"")"),"ഈ അലാറം ഇല്ലാതാക്കണോ?")</f>
        <v>ഈ അലാറം ഇല്ലാതാക്കണോ?</v>
      </c>
      <c r="X636" s="4" t="str">
        <f>IFERROR(__xludf.DUMMYFUNCTION("GOOGLETRANSLATE(B636,""en"",""th"")"),"ลบสัญญาณเตือนนี้หรือไม่?")</f>
        <v>ลบสัญญาณเตือนนี้หรือไม่?</v>
      </c>
      <c r="Y636" s="4" t="str">
        <f>IFERROR(__xludf.DUMMYFUNCTION("GOOGLETRANSLATE(B636,""en"",""ko"")"),"이 알람을 삭제하시겠습니까?")</f>
        <v>이 알람을 삭제하시겠습니까?</v>
      </c>
      <c r="Z636" s="4" t="str">
        <f>IFERROR(__xludf.DUMMYFUNCTION("GOOGLETRANSLATE(B636,""en"",""zh"")"),"删除此闹钟吗？")</f>
        <v>删除此闹钟吗？</v>
      </c>
      <c r="AA636" s="4" t="str">
        <f>IFERROR(__xludf.DUMMYFUNCTION("GOOGLETRANSLATE(B636,""en"",""zh-TW"")"),"刪除此鬧鐘嗎？")</f>
        <v>刪除此鬧鐘嗎？</v>
      </c>
      <c r="AB636" s="4" t="str">
        <f>IFERROR(__xludf.DUMMYFUNCTION("GOOGLETRANSLATE(B636,""en"",""ja"")"),"このアラームを削除しますか?")</f>
        <v>このアラームを削除しますか?</v>
      </c>
      <c r="AC636" s="4" t="str">
        <f>IFERROR(__xludf.DUMMYFUNCTION("GOOGLETRANSLATE(B636,""en"",""bg"")"),"Да се ​​изтрие ли тази аларма?")</f>
        <v>Да се ​​изтрие ли тази аларма?</v>
      </c>
      <c r="AD636" s="4" t="str">
        <f>IFERROR(__xludf.DUMMYFUNCTION("GOOGLETRANSLATE(B636,""en"",""cs"")"),"Smazat tento budík?")</f>
        <v>Smazat tento budík?</v>
      </c>
      <c r="AE636" s="4" t="str">
        <f>IFERROR(__xludf.DUMMYFUNCTION("GOOGLETRANSLATE(B636,""en"",""da"")"),"Vil du slette denne alarm?")</f>
        <v>Vil du slette denne alarm?</v>
      </c>
      <c r="AF636" s="4" t="str">
        <f>IFERROR(__xludf.DUMMYFUNCTION("GOOGLETRANSLATE(B636,""en"",""el"")"),"Διαγραφή αυτού του συναγερμού;")</f>
        <v>Διαγραφή αυτού του συναγερμού;</v>
      </c>
      <c r="AG636" s="4" t="str">
        <f>IFERROR(__xludf.DUMMYFUNCTION("GOOGLETRANSLATE(B636,""en"",""et"")"),"Kas kustutada see äratus?")</f>
        <v>Kas kustutada see äratus?</v>
      </c>
      <c r="AH636" s="4" t="str">
        <f>IFERROR(__xludf.DUMMYFUNCTION("GOOGLETRANSLATE(B636,""en"",""fi"")"),"Poistetaanko tämä hälytys?")</f>
        <v>Poistetaanko tämä hälytys?</v>
      </c>
      <c r="AI636" s="4" t="str">
        <f>IFERROR(__xludf.DUMMYFUNCTION("GOOGLETRANSLATE(B636,""en"",""hr"")"),"Izbrisati ovaj alarm?")</f>
        <v>Izbrisati ovaj alarm?</v>
      </c>
      <c r="AJ636" s="4" t="str">
        <f>IFERROR(__xludf.DUMMYFUNCTION("GOOGLETRANSLATE(B636,""en"",""hu"")"),"Törli ezt a riasztást?")</f>
        <v>Törli ezt a riasztást?</v>
      </c>
      <c r="AK636" s="4" t="str">
        <f>IFERROR(__xludf.DUMMYFUNCTION("GOOGLETRANSLATE(B636,""en"",""hy"")"),"Ջնջե՞լ այս ահազանգը:")</f>
        <v>Ջնջե՞լ այս ահազանգը:</v>
      </c>
      <c r="AL636" s="4" t="str">
        <f>IFERROR(__xludf.DUMMYFUNCTION("GOOGLETRANSLATE(B636,""en"",""ca"")"),"Vols suprimir aquesta alarma?")</f>
        <v>Vols suprimir aquesta alarma?</v>
      </c>
      <c r="AM636" s="4" t="str">
        <f>IFERROR(__xludf.DUMMYFUNCTION("GOOGLETRANSLATE(B636,""en"",""nl"")"),"Dit alarm verwijderen?")</f>
        <v>Dit alarm verwijderen?</v>
      </c>
      <c r="AN636" s="4" t="str">
        <f>IFERROR(__xludf.DUMMYFUNCTION("GOOGLETRANSLATE(B636,""en"",""he"")"),"למחוק את האזעקה הזו?")</f>
        <v>למחוק את האזעקה הזו?</v>
      </c>
      <c r="AO636" s="4" t="str">
        <f>IFERROR(__xludf.DUMMYFUNCTION("GOOGLETRANSLATE(B636,""en"",""is"")"),"Eyða þessari vekjara?")</f>
        <v>Eyða þessari vekjara?</v>
      </c>
      <c r="AP636" s="4" t="str">
        <f>IFERROR(__xludf.DUMMYFUNCTION("GOOGLETRANSLATE(B636,""en"",""no"")"),"Vil du slette denne alarmen?")</f>
        <v>Vil du slette denne alarmen?</v>
      </c>
      <c r="AQ636" s="4" t="str">
        <f>IFERROR(__xludf.DUMMYFUNCTION("GOOGLETRANSLATE(B636,""en"",""fa"")"),"این زنگ ساعت حذف شود؟")</f>
        <v>این زنگ ساعت حذف شود؟</v>
      </c>
      <c r="AR636" s="4" t="str">
        <f>IFERROR(__xludf.DUMMYFUNCTION("GOOGLETRANSLATE(B636,""en"",""pl"")"),"Usunąć ten alarm?")</f>
        <v>Usunąć ten alarm?</v>
      </c>
      <c r="AS636" s="4" t="str">
        <f>IFERROR(__xludf.DUMMYFUNCTION("GOOGLETRANSLATE(B636,""en"",""sv"")"),"Vill du ta bort det här alarmet?")</f>
        <v>Vill du ta bort det här alarmet?</v>
      </c>
      <c r="AT636" s="4" t="str">
        <f>IFERROR(__xludf.DUMMYFUNCTION("GOOGLETRANSLATE(B636,""en"",""uk"")"),"Видалити цей будильник?")</f>
        <v>Видалити цей будильник?</v>
      </c>
      <c r="AU636" s="4" t="str">
        <f>IFERROR(__xludf.DUMMYFUNCTION("GOOGLETRANSLATE(B636,""en"",""zu"")"),"Susa le alamu?")</f>
        <v>Susa le alamu?</v>
      </c>
      <c r="AV636" s="4" t="str">
        <f>IFERROR(__xludf.DUMMYFUNCTION("GOOGLETRANSLATE(B636,""en"",""sr"")"),"Желите ли да избришете овај аларм?")</f>
        <v>Желите ли да избришете овај аларм?</v>
      </c>
    </row>
    <row r="637">
      <c r="A637" s="3" t="s">
        <v>1211</v>
      </c>
      <c r="B637" s="3" t="s">
        <v>1212</v>
      </c>
      <c r="C637" s="4" t="str">
        <f>IFERROR(__xludf.DUMMYFUNCTION("GOOGLETRANSLATE(B637,""en"",""ta"")"),"நிர்வகிக்கவும்")</f>
        <v>நிர்வகிக்கவும்</v>
      </c>
      <c r="D637" s="4" t="str">
        <f>IFERROR(__xludf.DUMMYFUNCTION("GOOGLETRANSLATE(B637,""en"",""hi"")"),"प्रबंधित करना")</f>
        <v>प्रबंधित करना</v>
      </c>
      <c r="E637" s="4" t="str">
        <f>IFERROR(__xludf.DUMMYFUNCTION("GOOGLETRANSLATE(B637,""en"",""id"")"),"Mengelola")</f>
        <v>Mengelola</v>
      </c>
      <c r="F637" s="4" t="str">
        <f>IFERROR(__xludf.DUMMYFUNCTION("GOOGLETRANSLATE(B637,""en"",""ms"")"),"Uruskan")</f>
        <v>Uruskan</v>
      </c>
      <c r="G637" s="4" t="str">
        <f>IFERROR(__xludf.DUMMYFUNCTION("GOOGLETRANSLATE(B637,""en"",""de"")"),"Verwalten")</f>
        <v>Verwalten</v>
      </c>
      <c r="H637" s="4" t="str">
        <f>IFERROR(__xludf.DUMMYFUNCTION("GOOGLETRANSLATE(B637,""en"",""es"")"),"Administrar")</f>
        <v>Administrar</v>
      </c>
      <c r="I637" s="4" t="str">
        <f>IFERROR(__xludf.DUMMYFUNCTION("GOOGLETRANSLATE(B637,""en"",""fr"")"),"Gérer")</f>
        <v>Gérer</v>
      </c>
      <c r="J637" s="4" t="str">
        <f>IFERROR(__xludf.DUMMYFUNCTION("GOOGLETRANSLATE(B637,""en"",""it"")"),"Maneggio")</f>
        <v>Maneggio</v>
      </c>
      <c r="K637" s="4" t="str">
        <f>IFERROR(__xludf.DUMMYFUNCTION("GOOGLETRANSLATE(B637,""en"",""pt"")"),"Gerenciar")</f>
        <v>Gerenciar</v>
      </c>
      <c r="L637" s="4" t="str">
        <f>IFERROR(__xludf.DUMMYFUNCTION("GOOGLETRANSLATE(B637,""en"",""ro"")"),"Gestionează")</f>
        <v>Gestionează</v>
      </c>
      <c r="M637" s="4" t="str">
        <f>IFERROR(__xludf.DUMMYFUNCTION("GOOGLETRANSLATE(B637,""en"",""vi"")"),"Quản lý")</f>
        <v>Quản lý</v>
      </c>
      <c r="N637" s="4" t="str">
        <f>IFERROR(__xludf.DUMMYFUNCTION("GOOGLETRANSLATE(B637,""en"",""ru"")"),"Управлять")</f>
        <v>Управлять</v>
      </c>
      <c r="O637" s="4" t="str">
        <f>IFERROR(__xludf.DUMMYFUNCTION("GOOGLETRANSLATE(B637,""en"",""tr"")"),"Üstesinden gelmek")</f>
        <v>Üstesinden gelmek</v>
      </c>
      <c r="P637" s="4" t="str">
        <f>IFERROR(__xludf.DUMMYFUNCTION("GOOGLETRANSLATE(B637,""en"",""ar"")"),"يدير")</f>
        <v>يدير</v>
      </c>
      <c r="Q637" s="4" t="str">
        <f>IFERROR(__xludf.DUMMYFUNCTION("GOOGLETRANSLATE(B637,""en"",""mr"")"),"व्यवस्थापित करा")</f>
        <v>व्यवस्थापित करा</v>
      </c>
      <c r="R637" s="4" t="str">
        <f>IFERROR(__xludf.DUMMYFUNCTION("GOOGLETRANSLATE(B637,""en"",""gu"")"),"મેનેજ કરો")</f>
        <v>મેનેજ કરો</v>
      </c>
      <c r="S637" s="4" t="str">
        <f>IFERROR(__xludf.DUMMYFUNCTION("GOOGLETRANSLATE(B637,""en"",""bn"")"),"পরিচালনা করুন")</f>
        <v>পরিচালনা করুন</v>
      </c>
      <c r="T637" s="4" t="str">
        <f>IFERROR(__xludf.DUMMYFUNCTION("GOOGLETRANSLATE(B637,""en"",""pa"")"),"ਪ੍ਰਬੰਧਿਤ ਕਰੋ")</f>
        <v>ਪ੍ਰਬੰਧਿਤ ਕਰੋ</v>
      </c>
      <c r="U637" s="4" t="str">
        <f>IFERROR(__xludf.DUMMYFUNCTION("GOOGLETRANSLATE(B637,""en"",""te"")"),"నిర్వహించండి")</f>
        <v>నిర్వహించండి</v>
      </c>
      <c r="V637" s="4" t="str">
        <f>IFERROR(__xludf.DUMMYFUNCTION("GOOGLETRANSLATE(B637,""en"",""kn"")"),"ನಿರ್ವಹಿಸಿ")</f>
        <v>ನಿರ್ವಹಿಸಿ</v>
      </c>
      <c r="W637" s="4" t="str">
        <f>IFERROR(__xludf.DUMMYFUNCTION("GOOGLETRANSLATE(B637,""en"",""ml"")"),"കൈകാര്യം ചെയ്യുക")</f>
        <v>കൈകാര്യം ചെയ്യുക</v>
      </c>
      <c r="X637" s="4" t="str">
        <f>IFERROR(__xludf.DUMMYFUNCTION("GOOGLETRANSLATE(B637,""en"",""th"")"),"จัดการ")</f>
        <v>จัดการ</v>
      </c>
      <c r="Y637" s="4" t="str">
        <f>IFERROR(__xludf.DUMMYFUNCTION("GOOGLETRANSLATE(B637,""en"",""ko"")"),"관리하다")</f>
        <v>관리하다</v>
      </c>
      <c r="Z637" s="4" t="str">
        <f>IFERROR(__xludf.DUMMYFUNCTION("GOOGLETRANSLATE(B637,""en"",""zh"")"),"管理")</f>
        <v>管理</v>
      </c>
      <c r="AA637" s="4" t="str">
        <f>IFERROR(__xludf.DUMMYFUNCTION("GOOGLETRANSLATE(B637,""en"",""zh-TW"")"),"管理")</f>
        <v>管理</v>
      </c>
      <c r="AB637" s="4" t="str">
        <f>IFERROR(__xludf.DUMMYFUNCTION("GOOGLETRANSLATE(B637,""en"",""ja"")"),"管理")</f>
        <v>管理</v>
      </c>
      <c r="AC637" s="4" t="str">
        <f>IFERROR(__xludf.DUMMYFUNCTION("GOOGLETRANSLATE(B637,""en"",""bg"")"),"Управлявайте")</f>
        <v>Управлявайте</v>
      </c>
      <c r="AD637" s="4" t="str">
        <f>IFERROR(__xludf.DUMMYFUNCTION("GOOGLETRANSLATE(B637,""en"",""cs"")"),"Spravovat")</f>
        <v>Spravovat</v>
      </c>
      <c r="AE637" s="4" t="str">
        <f>IFERROR(__xludf.DUMMYFUNCTION("GOOGLETRANSLATE(B637,""en"",""da"")"),"Styre")</f>
        <v>Styre</v>
      </c>
      <c r="AF637" s="4" t="str">
        <f>IFERROR(__xludf.DUMMYFUNCTION("GOOGLETRANSLATE(B637,""en"",""el"")"),"Διαχειρίζομαι")</f>
        <v>Διαχειρίζομαι</v>
      </c>
      <c r="AG637" s="4" t="str">
        <f>IFERROR(__xludf.DUMMYFUNCTION("GOOGLETRANSLATE(B637,""en"",""et"")"),"Halda")</f>
        <v>Halda</v>
      </c>
      <c r="AH637" s="4" t="str">
        <f>IFERROR(__xludf.DUMMYFUNCTION("GOOGLETRANSLATE(B637,""en"",""fi"")"),"Hallitse")</f>
        <v>Hallitse</v>
      </c>
      <c r="AI637" s="4" t="str">
        <f>IFERROR(__xludf.DUMMYFUNCTION("GOOGLETRANSLATE(B637,""en"",""hr"")"),"Upravljati")</f>
        <v>Upravljati</v>
      </c>
      <c r="AJ637" s="4" t="str">
        <f>IFERROR(__xludf.DUMMYFUNCTION("GOOGLETRANSLATE(B637,""en"",""hu"")"),"Kezelése")</f>
        <v>Kezelése</v>
      </c>
      <c r="AK637" s="4" t="str">
        <f>IFERROR(__xludf.DUMMYFUNCTION("GOOGLETRANSLATE(B637,""en"",""hy"")"),"Կառավարել")</f>
        <v>Կառավարել</v>
      </c>
      <c r="AL637" s="4" t="str">
        <f>IFERROR(__xludf.DUMMYFUNCTION("GOOGLETRANSLATE(B637,""en"",""ca"")"),"Gestionar")</f>
        <v>Gestionar</v>
      </c>
      <c r="AM637" s="4" t="str">
        <f>IFERROR(__xludf.DUMMYFUNCTION("GOOGLETRANSLATE(B637,""en"",""nl"")"),"Beheren")</f>
        <v>Beheren</v>
      </c>
      <c r="AN637" s="4" t="str">
        <f>IFERROR(__xludf.DUMMYFUNCTION("GOOGLETRANSLATE(B637,""en"",""he"")"),"לְנַהֵל")</f>
        <v>לְנַהֵל</v>
      </c>
      <c r="AO637" s="4" t="str">
        <f>IFERROR(__xludf.DUMMYFUNCTION("GOOGLETRANSLATE(B637,""en"",""is"")"),"Stjórna")</f>
        <v>Stjórna</v>
      </c>
      <c r="AP637" s="4" t="str">
        <f>IFERROR(__xludf.DUMMYFUNCTION("GOOGLETRANSLATE(B637,""en"",""no"")"),"Administrer")</f>
        <v>Administrer</v>
      </c>
      <c r="AQ637" s="4" t="str">
        <f>IFERROR(__xludf.DUMMYFUNCTION("GOOGLETRANSLATE(B637,""en"",""fa"")"),"مدیریت کنید")</f>
        <v>مدیریت کنید</v>
      </c>
      <c r="AR637" s="4" t="str">
        <f>IFERROR(__xludf.DUMMYFUNCTION("GOOGLETRANSLATE(B637,""en"",""pl"")"),"Zarządzać")</f>
        <v>Zarządzać</v>
      </c>
      <c r="AS637" s="4" t="str">
        <f>IFERROR(__xludf.DUMMYFUNCTION("GOOGLETRANSLATE(B637,""en"",""sv"")"),"Hantera")</f>
        <v>Hantera</v>
      </c>
      <c r="AT637" s="4" t="str">
        <f>IFERROR(__xludf.DUMMYFUNCTION("GOOGLETRANSLATE(B637,""en"",""uk"")"),"Керувати")</f>
        <v>Керувати</v>
      </c>
      <c r="AU637" s="4" t="str">
        <f>IFERROR(__xludf.DUMMYFUNCTION("GOOGLETRANSLATE(B637,""en"",""zu"")"),"Phatha")</f>
        <v>Phatha</v>
      </c>
      <c r="AV637" s="4" t="str">
        <f>IFERROR(__xludf.DUMMYFUNCTION("GOOGLETRANSLATE(B637,""en"",""sr"")"),"Управљај")</f>
        <v>Управљај</v>
      </c>
    </row>
    <row r="638">
      <c r="A638" s="3" t="s">
        <v>1213</v>
      </c>
      <c r="B638" s="3" t="s">
        <v>1214</v>
      </c>
      <c r="C638" s="4" t="str">
        <f>IFERROR(__xludf.DUMMYFUNCTION("GOOGLETRANSLATE(B638,""en"",""ta"")"),"அமைக்கவும்")</f>
        <v>அமைக்கவும்</v>
      </c>
      <c r="D638" s="4" t="str">
        <f>IFERROR(__xludf.DUMMYFUNCTION("GOOGLETRANSLATE(B638,""en"",""hi"")"),"तय करना")</f>
        <v>तय करना</v>
      </c>
      <c r="E638" s="4" t="str">
        <f>IFERROR(__xludf.DUMMYFUNCTION("GOOGLETRANSLATE(B638,""en"",""id"")"),"Mengatur")</f>
        <v>Mengatur</v>
      </c>
      <c r="F638" s="4" t="str">
        <f>IFERROR(__xludf.DUMMYFUNCTION("GOOGLETRANSLATE(B638,""en"",""ms"")"),"Tetapkan")</f>
        <v>Tetapkan</v>
      </c>
      <c r="G638" s="4" t="str">
        <f>IFERROR(__xludf.DUMMYFUNCTION("GOOGLETRANSLATE(B638,""en"",""de"")"),"Satz")</f>
        <v>Satz</v>
      </c>
      <c r="H638" s="4" t="str">
        <f>IFERROR(__xludf.DUMMYFUNCTION("GOOGLETRANSLATE(B638,""en"",""es"")"),"Colocar")</f>
        <v>Colocar</v>
      </c>
      <c r="I638" s="4" t="str">
        <f>IFERROR(__xludf.DUMMYFUNCTION("GOOGLETRANSLATE(B638,""en"",""fr"")"),"Ensemble")</f>
        <v>Ensemble</v>
      </c>
      <c r="J638" s="4" t="str">
        <f>IFERROR(__xludf.DUMMYFUNCTION("GOOGLETRANSLATE(B638,""en"",""it"")"),"Impostato")</f>
        <v>Impostato</v>
      </c>
      <c r="K638" s="4" t="str">
        <f>IFERROR(__xludf.DUMMYFUNCTION("GOOGLETRANSLATE(B638,""en"",""pt"")"),"Definir")</f>
        <v>Definir</v>
      </c>
      <c r="L638" s="4" t="str">
        <f>IFERROR(__xludf.DUMMYFUNCTION("GOOGLETRANSLATE(B638,""en"",""ro"")"),"Set")</f>
        <v>Set</v>
      </c>
      <c r="M638" s="4" t="str">
        <f>IFERROR(__xludf.DUMMYFUNCTION("GOOGLETRANSLATE(B638,""en"",""vi"")"),"Bộ")</f>
        <v>Bộ</v>
      </c>
      <c r="N638" s="4" t="str">
        <f>IFERROR(__xludf.DUMMYFUNCTION("GOOGLETRANSLATE(B638,""en"",""ru"")"),"Набор")</f>
        <v>Набор</v>
      </c>
      <c r="O638" s="4" t="str">
        <f>IFERROR(__xludf.DUMMYFUNCTION("GOOGLETRANSLATE(B638,""en"",""tr"")"),"Ayarlamak")</f>
        <v>Ayarlamak</v>
      </c>
      <c r="P638" s="4" t="str">
        <f>IFERROR(__xludf.DUMMYFUNCTION("GOOGLETRANSLATE(B638,""en"",""ar"")"),"تعيين")</f>
        <v>تعيين</v>
      </c>
      <c r="Q638" s="4" t="str">
        <f>IFERROR(__xludf.DUMMYFUNCTION("GOOGLETRANSLATE(B638,""en"",""mr"")"),"सेट करा")</f>
        <v>सेट करा</v>
      </c>
      <c r="R638" s="4" t="str">
        <f>IFERROR(__xludf.DUMMYFUNCTION("GOOGLETRANSLATE(B638,""en"",""gu"")"),"સેટ")</f>
        <v>સેટ</v>
      </c>
      <c r="S638" s="4" t="str">
        <f>IFERROR(__xludf.DUMMYFUNCTION("GOOGLETRANSLATE(B638,""en"",""bn"")"),"সেট")</f>
        <v>সেট</v>
      </c>
      <c r="T638" s="4" t="str">
        <f>IFERROR(__xludf.DUMMYFUNCTION("GOOGLETRANSLATE(B638,""en"",""pa"")"),"ਸੈੱਟ ਕਰੋ")</f>
        <v>ਸੈੱਟ ਕਰੋ</v>
      </c>
      <c r="U638" s="4" t="str">
        <f>IFERROR(__xludf.DUMMYFUNCTION("GOOGLETRANSLATE(B638,""en"",""te"")"),"సెట్")</f>
        <v>సెట్</v>
      </c>
      <c r="V638" s="4" t="str">
        <f>IFERROR(__xludf.DUMMYFUNCTION("GOOGLETRANSLATE(B638,""en"",""kn"")"),"ಹೊಂದಿಸಿ")</f>
        <v>ಹೊಂದಿಸಿ</v>
      </c>
      <c r="W638" s="4" t="str">
        <f>IFERROR(__xludf.DUMMYFUNCTION("GOOGLETRANSLATE(B638,""en"",""ml"")"),"സജ്ജമാക്കുക")</f>
        <v>സജ്ജമാക്കുക</v>
      </c>
      <c r="X638" s="4" t="str">
        <f>IFERROR(__xludf.DUMMYFUNCTION("GOOGLETRANSLATE(B638,""en"",""th"")"),"ชุด")</f>
        <v>ชุด</v>
      </c>
      <c r="Y638" s="4" t="str">
        <f>IFERROR(__xludf.DUMMYFUNCTION("GOOGLETRANSLATE(B638,""en"",""ko"")"),"세트")</f>
        <v>세트</v>
      </c>
      <c r="Z638" s="4" t="str">
        <f>IFERROR(__xludf.DUMMYFUNCTION("GOOGLETRANSLATE(B638,""en"",""zh"")"),"放")</f>
        <v>放</v>
      </c>
      <c r="AA638" s="4" t="str">
        <f>IFERROR(__xludf.DUMMYFUNCTION("GOOGLETRANSLATE(B638,""en"",""zh-TW"")"),"放")</f>
        <v>放</v>
      </c>
      <c r="AB638" s="4" t="str">
        <f>IFERROR(__xludf.DUMMYFUNCTION("GOOGLETRANSLATE(B638,""en"",""ja"")"),"セット")</f>
        <v>セット</v>
      </c>
      <c r="AC638" s="4" t="str">
        <f>IFERROR(__xludf.DUMMYFUNCTION("GOOGLETRANSLATE(B638,""en"",""bg"")"),"Комплект")</f>
        <v>Комплект</v>
      </c>
      <c r="AD638" s="4" t="str">
        <f>IFERROR(__xludf.DUMMYFUNCTION("GOOGLETRANSLATE(B638,""en"",""cs"")"),"Soubor")</f>
        <v>Soubor</v>
      </c>
      <c r="AE638" s="4" t="str">
        <f>IFERROR(__xludf.DUMMYFUNCTION("GOOGLETRANSLATE(B638,""en"",""da"")"),"Sæt")</f>
        <v>Sæt</v>
      </c>
      <c r="AF638" s="4" t="str">
        <f>IFERROR(__xludf.DUMMYFUNCTION("GOOGLETRANSLATE(B638,""en"",""el"")"),"Σειρά")</f>
        <v>Σειρά</v>
      </c>
      <c r="AG638" s="4" t="str">
        <f>IFERROR(__xludf.DUMMYFUNCTION("GOOGLETRANSLATE(B638,""en"",""et"")"),"Määra")</f>
        <v>Määra</v>
      </c>
      <c r="AH638" s="4" t="str">
        <f>IFERROR(__xludf.DUMMYFUNCTION("GOOGLETRANSLATE(B638,""en"",""fi"")"),"Sarja")</f>
        <v>Sarja</v>
      </c>
      <c r="AI638" s="4" t="str">
        <f>IFERROR(__xludf.DUMMYFUNCTION("GOOGLETRANSLATE(B638,""en"",""hr"")"),"Set")</f>
        <v>Set</v>
      </c>
      <c r="AJ638" s="4" t="str">
        <f>IFERROR(__xludf.DUMMYFUNCTION("GOOGLETRANSLATE(B638,""en"",""hu"")"),"Készlet")</f>
        <v>Készlet</v>
      </c>
      <c r="AK638" s="4" t="str">
        <f>IFERROR(__xludf.DUMMYFUNCTION("GOOGLETRANSLATE(B638,""en"",""hy"")"),"Սահմանել")</f>
        <v>Սահմանել</v>
      </c>
      <c r="AL638" s="4" t="str">
        <f>IFERROR(__xludf.DUMMYFUNCTION("GOOGLETRANSLATE(B638,""en"",""ca"")"),"Set")</f>
        <v>Set</v>
      </c>
      <c r="AM638" s="4" t="str">
        <f>IFERROR(__xludf.DUMMYFUNCTION("GOOGLETRANSLATE(B638,""en"",""nl"")"),"Set")</f>
        <v>Set</v>
      </c>
      <c r="AN638" s="4" t="str">
        <f>IFERROR(__xludf.DUMMYFUNCTION("GOOGLETRANSLATE(B638,""en"",""he"")"),"מַעֲרֶכֶת")</f>
        <v>מַעֲרֶכֶת</v>
      </c>
      <c r="AO638" s="4" t="str">
        <f>IFERROR(__xludf.DUMMYFUNCTION("GOOGLETRANSLATE(B638,""en"",""is"")"),"Sett")</f>
        <v>Sett</v>
      </c>
      <c r="AP638" s="4" t="str">
        <f>IFERROR(__xludf.DUMMYFUNCTION("GOOGLETRANSLATE(B638,""en"",""no"")"),"Sett")</f>
        <v>Sett</v>
      </c>
      <c r="AQ638" s="4" t="str">
        <f>IFERROR(__xludf.DUMMYFUNCTION("GOOGLETRANSLATE(B638,""en"",""fa"")"),"تنظیم کنید")</f>
        <v>تنظیم کنید</v>
      </c>
      <c r="AR638" s="4" t="str">
        <f>IFERROR(__xludf.DUMMYFUNCTION("GOOGLETRANSLATE(B638,""en"",""pl"")"),"Ustawić")</f>
        <v>Ustawić</v>
      </c>
      <c r="AS638" s="4" t="str">
        <f>IFERROR(__xludf.DUMMYFUNCTION("GOOGLETRANSLATE(B638,""en"",""sv"")"),"Uppsättning")</f>
        <v>Uppsättning</v>
      </c>
      <c r="AT638" s="4" t="str">
        <f>IFERROR(__xludf.DUMMYFUNCTION("GOOGLETRANSLATE(B638,""en"",""uk"")"),"встановити")</f>
        <v>встановити</v>
      </c>
      <c r="AU638" s="4" t="str">
        <f>IFERROR(__xludf.DUMMYFUNCTION("GOOGLETRANSLATE(B638,""en"",""zu"")"),"Setha")</f>
        <v>Setha</v>
      </c>
      <c r="AV638" s="4" t="str">
        <f>IFERROR(__xludf.DUMMYFUNCTION("GOOGLETRANSLATE(B638,""en"",""sr"")"),"Сет")</f>
        <v>Сет</v>
      </c>
    </row>
    <row r="639">
      <c r="A639" s="3" t="s">
        <v>1215</v>
      </c>
      <c r="B639" s="3" t="s">
        <v>127</v>
      </c>
      <c r="C639" s="4" t="str">
        <f>IFERROR(__xludf.DUMMYFUNCTION("GOOGLETRANSLATE(B639,""en"",""ta"")"),"ஜிபிஎஸ் நேரம்")</f>
        <v>ஜிபிஎஸ் நேரம்</v>
      </c>
      <c r="D639" s="4" t="str">
        <f>IFERROR(__xludf.DUMMYFUNCTION("GOOGLETRANSLATE(B639,""en"",""hi"")"),"जीपीएस समय")</f>
        <v>जीपीएस समय</v>
      </c>
      <c r="E639" s="4" t="str">
        <f>IFERROR(__xludf.DUMMYFUNCTION("GOOGLETRANSLATE(B639,""en"",""id"")"),"Waktu GPS")</f>
        <v>Waktu GPS</v>
      </c>
      <c r="F639" s="4" t="str">
        <f>IFERROR(__xludf.DUMMYFUNCTION("GOOGLETRANSLATE(B639,""en"",""ms"")"),"Masa GPS")</f>
        <v>Masa GPS</v>
      </c>
      <c r="G639" s="4" t="str">
        <f>IFERROR(__xludf.DUMMYFUNCTION("GOOGLETRANSLATE(B639,""en"",""de"")"),"GPS-Zeit")</f>
        <v>GPS-Zeit</v>
      </c>
      <c r="H639" s="4" t="str">
        <f>IFERROR(__xludf.DUMMYFUNCTION("GOOGLETRANSLATE(B639,""en"",""es"")"),"Hora GPS")</f>
        <v>Hora GPS</v>
      </c>
      <c r="I639" s="4" t="str">
        <f>IFERROR(__xludf.DUMMYFUNCTION("GOOGLETRANSLATE(B639,""en"",""fr"")"),"Heure GPS")</f>
        <v>Heure GPS</v>
      </c>
      <c r="J639" s="4" t="str">
        <f>IFERROR(__xludf.DUMMYFUNCTION("GOOGLETRANSLATE(B639,""en"",""it"")"),"Ora GPS")</f>
        <v>Ora GPS</v>
      </c>
      <c r="K639" s="4" t="str">
        <f>IFERROR(__xludf.DUMMYFUNCTION("GOOGLETRANSLATE(B639,""en"",""pt"")"),"Hora do GPS")</f>
        <v>Hora do GPS</v>
      </c>
      <c r="L639" s="4" t="str">
        <f>IFERROR(__xludf.DUMMYFUNCTION("GOOGLETRANSLATE(B639,""en"",""ro"")"),"Ora GPS")</f>
        <v>Ora GPS</v>
      </c>
      <c r="M639" s="4" t="str">
        <f>IFERROR(__xludf.DUMMYFUNCTION("GOOGLETRANSLATE(B639,""en"",""vi"")"),"Thời gian GPS")</f>
        <v>Thời gian GPS</v>
      </c>
      <c r="N639" s="4" t="str">
        <f>IFERROR(__xludf.DUMMYFUNCTION("GOOGLETRANSLATE(B639,""en"",""ru"")"),"GPS-время")</f>
        <v>GPS-время</v>
      </c>
      <c r="O639" s="4" t="str">
        <f>IFERROR(__xludf.DUMMYFUNCTION("GOOGLETRANSLATE(B639,""en"",""tr"")"),"GPS Zamanı")</f>
        <v>GPS Zamanı</v>
      </c>
      <c r="P639" s="4" t="str">
        <f>IFERROR(__xludf.DUMMYFUNCTION("GOOGLETRANSLATE(B639,""en"",""ar"")"),"وقت نظام تحديد المواقع العالمي (GPS)")</f>
        <v>وقت نظام تحديد المواقع العالمي (GPS)</v>
      </c>
      <c r="Q639" s="4" t="str">
        <f>IFERROR(__xludf.DUMMYFUNCTION("GOOGLETRANSLATE(B639,""en"",""mr"")"),"जीपीएस वेळ")</f>
        <v>जीपीएस वेळ</v>
      </c>
      <c r="R639" s="4" t="str">
        <f>IFERROR(__xludf.DUMMYFUNCTION("GOOGLETRANSLATE(B639,""en"",""gu"")"),"જીપીએસ સમય")</f>
        <v>જીપીએસ સમય</v>
      </c>
      <c r="S639" s="4" t="str">
        <f>IFERROR(__xludf.DUMMYFUNCTION("GOOGLETRANSLATE(B639,""en"",""bn"")"),"জিপিএস সময়")</f>
        <v>জিপিএস সময়</v>
      </c>
      <c r="T639" s="4" t="str">
        <f>IFERROR(__xludf.DUMMYFUNCTION("GOOGLETRANSLATE(B639,""en"",""pa"")"),"GPS ਸਮਾਂ")</f>
        <v>GPS ਸਮਾਂ</v>
      </c>
      <c r="U639" s="4" t="str">
        <f>IFERROR(__xludf.DUMMYFUNCTION("GOOGLETRANSLATE(B639,""en"",""te"")"),"GPS సమయం")</f>
        <v>GPS సమయం</v>
      </c>
      <c r="V639" s="4" t="str">
        <f>IFERROR(__xludf.DUMMYFUNCTION("GOOGLETRANSLATE(B639,""en"",""kn"")"),"GPS ಸಮಯ")</f>
        <v>GPS ಸಮಯ</v>
      </c>
      <c r="W639" s="4" t="str">
        <f>IFERROR(__xludf.DUMMYFUNCTION("GOOGLETRANSLATE(B639,""en"",""ml"")"),"GPS സമയം")</f>
        <v>GPS സമയം</v>
      </c>
      <c r="X639" s="4" t="str">
        <f>IFERROR(__xludf.DUMMYFUNCTION("GOOGLETRANSLATE(B639,""en"",""th"")"),"เวลา GPS")</f>
        <v>เวลา GPS</v>
      </c>
      <c r="Y639" s="4" t="str">
        <f>IFERROR(__xludf.DUMMYFUNCTION("GOOGLETRANSLATE(B639,""en"",""ko"")"),"GPS 시간")</f>
        <v>GPS 시간</v>
      </c>
      <c r="Z639" s="4" t="str">
        <f>IFERROR(__xludf.DUMMYFUNCTION("GOOGLETRANSLATE(B639,""en"",""zh"")"),"GPS时间")</f>
        <v>GPS时间</v>
      </c>
      <c r="AA639" s="4" t="str">
        <f>IFERROR(__xludf.DUMMYFUNCTION("GOOGLETRANSLATE(B639,""en"",""zh-TW"")"),"GPS時間")</f>
        <v>GPS時間</v>
      </c>
      <c r="AB639" s="4" t="str">
        <f>IFERROR(__xludf.DUMMYFUNCTION("GOOGLETRANSLATE(B639,""en"",""ja"")"),"GPS時間")</f>
        <v>GPS時間</v>
      </c>
      <c r="AC639" s="4" t="str">
        <f>IFERROR(__xludf.DUMMYFUNCTION("GOOGLETRANSLATE(B639,""en"",""bg"")"),"GPS време")</f>
        <v>GPS време</v>
      </c>
      <c r="AD639" s="4" t="str">
        <f>IFERROR(__xludf.DUMMYFUNCTION("GOOGLETRANSLATE(B639,""en"",""cs"")"),"GPS čas")</f>
        <v>GPS čas</v>
      </c>
      <c r="AE639" s="4" t="str">
        <f>IFERROR(__xludf.DUMMYFUNCTION("GOOGLETRANSLATE(B639,""en"",""da"")"),"GPS tid")</f>
        <v>GPS tid</v>
      </c>
      <c r="AF639" s="4" t="str">
        <f>IFERROR(__xludf.DUMMYFUNCTION("GOOGLETRANSLATE(B639,""en"",""el"")"),"Ώρα GPS")</f>
        <v>Ώρα GPS</v>
      </c>
      <c r="AG639" s="4" t="str">
        <f>IFERROR(__xludf.DUMMYFUNCTION("GOOGLETRANSLATE(B639,""en"",""et"")"),"GPS aeg")</f>
        <v>GPS aeg</v>
      </c>
      <c r="AH639" s="4" t="str">
        <f>IFERROR(__xludf.DUMMYFUNCTION("GOOGLETRANSLATE(B639,""en"",""fi"")"),"GPS-aika")</f>
        <v>GPS-aika</v>
      </c>
      <c r="AI639" s="4" t="str">
        <f>IFERROR(__xludf.DUMMYFUNCTION("GOOGLETRANSLATE(B639,""en"",""hr"")"),"GPS vrijeme")</f>
        <v>GPS vrijeme</v>
      </c>
      <c r="AJ639" s="4" t="str">
        <f>IFERROR(__xludf.DUMMYFUNCTION("GOOGLETRANSLATE(B639,""en"",""hu"")"),"GPS idő")</f>
        <v>GPS idő</v>
      </c>
      <c r="AK639" s="4" t="str">
        <f>IFERROR(__xludf.DUMMYFUNCTION("GOOGLETRANSLATE(B639,""en"",""hy"")"),"GPS ժամանակ")</f>
        <v>GPS ժամանակ</v>
      </c>
      <c r="AL639" s="4" t="str">
        <f>IFERROR(__xludf.DUMMYFUNCTION("GOOGLETRANSLATE(B639,""en"",""ca"")"),"Hora GPS")</f>
        <v>Hora GPS</v>
      </c>
      <c r="AM639" s="4" t="str">
        <f>IFERROR(__xludf.DUMMYFUNCTION("GOOGLETRANSLATE(B639,""en"",""nl"")"),"GPS-tijd")</f>
        <v>GPS-tijd</v>
      </c>
      <c r="AN639" s="4" t="str">
        <f>IFERROR(__xludf.DUMMYFUNCTION("GOOGLETRANSLATE(B639,""en"",""he"")"),"זמן GPS")</f>
        <v>זמן GPS</v>
      </c>
      <c r="AO639" s="4" t="str">
        <f>IFERROR(__xludf.DUMMYFUNCTION("GOOGLETRANSLATE(B639,""en"",""is"")"),"GPS tími")</f>
        <v>GPS tími</v>
      </c>
      <c r="AP639" s="4" t="str">
        <f>IFERROR(__xludf.DUMMYFUNCTION("GOOGLETRANSLATE(B639,""en"",""no"")"),"GPS-tid")</f>
        <v>GPS-tid</v>
      </c>
      <c r="AQ639" s="4" t="str">
        <f>IFERROR(__xludf.DUMMYFUNCTION("GOOGLETRANSLATE(B639,""en"",""fa"")"),"زمان GPS")</f>
        <v>زمان GPS</v>
      </c>
      <c r="AR639" s="4" t="str">
        <f>IFERROR(__xludf.DUMMYFUNCTION("GOOGLETRANSLATE(B639,""en"",""pl"")"),"Czas GPS")</f>
        <v>Czas GPS</v>
      </c>
      <c r="AS639" s="4" t="str">
        <f>IFERROR(__xludf.DUMMYFUNCTION("GOOGLETRANSLATE(B639,""en"",""sv"")"),"GPS-tid")</f>
        <v>GPS-tid</v>
      </c>
      <c r="AT639" s="4" t="str">
        <f>IFERROR(__xludf.DUMMYFUNCTION("GOOGLETRANSLATE(B639,""en"",""uk"")"),"Час GPS")</f>
        <v>Час GPS</v>
      </c>
      <c r="AU639" s="4" t="str">
        <f>IFERROR(__xludf.DUMMYFUNCTION("GOOGLETRANSLATE(B639,""en"",""zu"")"),"Isikhathi se-GPS")</f>
        <v>Isikhathi se-GPS</v>
      </c>
      <c r="AV639" s="4" t="str">
        <f>IFERROR(__xludf.DUMMYFUNCTION("GOOGLETRANSLATE(B639,""en"",""sr"")"),"ГПС Тиме")</f>
        <v>ГПС Тиме</v>
      </c>
    </row>
    <row r="640">
      <c r="A640" s="3" t="s">
        <v>1216</v>
      </c>
      <c r="B640" s="3" t="s">
        <v>1217</v>
      </c>
      <c r="C640" s="4" t="str">
        <f>IFERROR(__xludf.DUMMYFUNCTION("GOOGLETRANSLATE(B640,""en"",""ta"")"),"ஜிபிஎஸ், குளோபல் பொசிஷனிங் சிஸ்டம் டைம் என்பது ஜிபிஎஸ் தரைக் கட்டுப்பாட்டு நிலையங்களில் உள்ள அணுக் கடிகாரங்கள் மற்றும் ஜிபிஎஸ் செயற்கைக்கோள்களால் செயல்படுத்தப்படும் அணு நேர அளவாகும்.")</f>
        <v>ஜிபிஎஸ், குளோபல் பொசிஷனிங் சிஸ்டம் டைம் என்பது ஜிபிஎஸ் தரைக் கட்டுப்பாட்டு நிலையங்களில் உள்ள அணுக் கடிகாரங்கள் மற்றும் ஜிபிஎஸ் செயற்கைக்கோள்களால் செயல்படுத்தப்படும் அணு நேர அளவாகும்.</v>
      </c>
      <c r="D640" s="4" t="str">
        <f>IFERROR(__xludf.DUMMYFUNCTION("GOOGLETRANSLATE(B640,""en"",""hi"")"),"जीपीएस, ग्लोबल पोजिशनिंग सिस्टम समय, जीपीएस ग्राउंड कंट्रोल स्टेशनों और जीपीएस उपग्रहों में परमाणु घड़ियों द्वारा कार्यान्वित परमाणु समय पैमाना है")</f>
        <v>जीपीएस, ग्लोबल पोजिशनिंग सिस्टम समय, जीपीएस ग्राउंड कंट्रोल स्टेशनों और जीपीएस उपग्रहों में परमाणु घड़ियों द्वारा कार्यान्वित परमाणु समय पैमाना है</v>
      </c>
      <c r="E640" s="4" t="str">
        <f>IFERROR(__xludf.DUMMYFUNCTION("GOOGLETRANSLATE(B640,""en"",""id"")"),"GPS, Global Positioning System time, adalah skala waktu atom yang diterapkan oleh jam atom di stasiun kontrol darat GPS dan satelit GPS itu sendiri.")</f>
        <v>GPS, Global Positioning System time, adalah skala waktu atom yang diterapkan oleh jam atom di stasiun kontrol darat GPS dan satelit GPS itu sendiri.</v>
      </c>
      <c r="F640" s="4" t="str">
        <f>IFERROR(__xludf.DUMMYFUNCTION("GOOGLETRANSLATE(B640,""en"",""ms"")"),"GPS, masa Sistem Penentududukan Global, ialah skala masa atom yang dilaksanakan oleh jam atom di stesen kawalan tanah GPS dan satelit GPS itu sendiri")</f>
        <v>GPS, masa Sistem Penentududukan Global, ialah skala masa atom yang dilaksanakan oleh jam atom di stesen kawalan tanah GPS dan satelit GPS itu sendiri</v>
      </c>
      <c r="G640" s="4" t="str">
        <f>IFERROR(__xludf.DUMMYFUNCTION("GOOGLETRANSLATE(B640,""en"",""de"")"),"GPS, Global Positioning System Time, ist die atomare Zeitskala, die von den Atomuhren in den GPS-Bodenkontrollstationen und den GPS-Satelliten selbst implementiert wird.")</f>
        <v>GPS, Global Positioning System Time, ist die atomare Zeitskala, die von den Atomuhren in den GPS-Bodenkontrollstationen und den GPS-Satelliten selbst implementiert wird.</v>
      </c>
      <c r="H640" s="4" t="str">
        <f>IFERROR(__xludf.DUMMYFUNCTION("GOOGLETRANSLATE(B640,""en"",""es"")"),"GPS, el tiempo del Sistema de Posicionamiento Global, es la escala de tiempo atómica implementada por los relojes atómicos en las estaciones de control terrestres GPS y los propios satélites GPS.")</f>
        <v>GPS, el tiempo del Sistema de Posicionamiento Global, es la escala de tiempo atómica implementada por los relojes atómicos en las estaciones de control terrestres GPS y los propios satélites GPS.</v>
      </c>
      <c r="I640" s="4" t="str">
        <f>IFERROR(__xludf.DUMMYFUNCTION("GOOGLETRANSLATE(B640,""en"",""fr"")"),"Le GPS, Global Positioning System time, est l'échelle de temps atomique mise en œuvre par les horloges atomiques des stations de contrôle au sol du GPS et des satellites GPS eux-mêmes.")</f>
        <v>Le GPS, Global Positioning System time, est l'échelle de temps atomique mise en œuvre par les horloges atomiques des stations de contrôle au sol du GPS et des satellites GPS eux-mêmes.</v>
      </c>
      <c r="J640" s="4" t="str">
        <f>IFERROR(__xludf.DUMMYFUNCTION("GOOGLETRANSLATE(B640,""en"",""it"")"),"Il tempo GPS, Global Positioning System, è la scala temporale atomica implementata dagli orologi atomici nelle stazioni di controllo a terra GPS e dagli stessi satelliti GPS")</f>
        <v>Il tempo GPS, Global Positioning System, è la scala temporale atomica implementata dagli orologi atomici nelle stazioni di controllo a terra GPS e dagli stessi satelliti GPS</v>
      </c>
      <c r="K640" s="4" t="str">
        <f>IFERROR(__xludf.DUMMYFUNCTION("GOOGLETRANSLATE(B640,""en"",""pt"")"),"GPS, o tempo do Sistema de Posicionamento Global, é a escala de tempo atômica implementada pelos relógios atômicos nas estações de controle terrestre do GPS e pelos próprios satélites GPS")</f>
        <v>GPS, o tempo do Sistema de Posicionamento Global, é a escala de tempo atômica implementada pelos relógios atômicos nas estações de controle terrestre do GPS e pelos próprios satélites GPS</v>
      </c>
      <c r="L640" s="4" t="str">
        <f>IFERROR(__xludf.DUMMYFUNCTION("GOOGLETRANSLATE(B640,""en"",""ro"")"),"GPS, ora sistemului de poziționare globală, este scala de timp atomică implementată de ceasurile atomice din stațiile de control la sol GPS și sateliții GPS înșiși")</f>
        <v>GPS, ora sistemului de poziționare globală, este scala de timp atomică implementată de ceasurile atomice din stațiile de control la sol GPS și sateliții GPS înșiși</v>
      </c>
      <c r="M640" s="4" t="str">
        <f>IFERROR(__xludf.DUMMYFUNCTION("GOOGLETRANSLATE(B640,""en"",""vi"")"),"GPS, Hệ thống định vị toàn cầu, là thang thời gian nguyên tử được thực hiện bởi các đồng hồ nguyên tử trong các trạm điều khiển mặt đất GPS và các vệ tinh GPS")</f>
        <v>GPS, Hệ thống định vị toàn cầu, là thang thời gian nguyên tử được thực hiện bởi các đồng hồ nguyên tử trong các trạm điều khiển mặt đất GPS và các vệ tinh GPS</v>
      </c>
      <c r="N640" s="4" t="str">
        <f>IFERROR(__xludf.DUMMYFUNCTION("GOOGLETRANSLATE(B640,""en"",""ru"")"),"GPS (время Глобальной системы позиционирования) — это атомная шкала времени, реализованная атомными часами на наземных станциях управления GPS и на самих спутниках GPS.")</f>
        <v>GPS (время Глобальной системы позиционирования) — это атомная шкала времени, реализованная атомными часами на наземных станциях управления GPS и на самих спутниках GPS.</v>
      </c>
      <c r="O640" s="4" t="str">
        <f>IFERROR(__xludf.DUMMYFUNCTION("GOOGLETRANSLATE(B640,""en"",""tr"")"),"GPS, Küresel Konumlandırma Sistemi zamanı, GPS yer kontrol istasyonlarındaki atom saatleri ve GPS uydularının kendileri tarafından uygulanan atomik zaman ölçeğidir")</f>
        <v>GPS, Küresel Konumlandırma Sistemi zamanı, GPS yer kontrol istasyonlarındaki atom saatleri ve GPS uydularının kendileri tarafından uygulanan atomik zaman ölçeğidir</v>
      </c>
      <c r="P640" s="4" t="str">
        <f>IFERROR(__xludf.DUMMYFUNCTION("GOOGLETRANSLATE(B640,""en"",""ar"")"),"GPS، وقت نظام تحديد المواقع العالمي، هو مقياس الوقت الذري الذي يتم تنفيذه بواسطة الساعات الذرية في محطات التحكم الأرضية لنظام تحديد المواقع العالمي وأقمار GPS نفسها")</f>
        <v>GPS، وقت نظام تحديد المواقع العالمي، هو مقياس الوقت الذري الذي يتم تنفيذه بواسطة الساعات الذرية في محطات التحكم الأرضية لنظام تحديد المواقع العالمي وأقمار GPS نفسها</v>
      </c>
      <c r="Q640" s="4" t="str">
        <f>IFERROR(__xludf.DUMMYFUNCTION("GOOGLETRANSLATE(B640,""en"",""mr"")"),"जीपीएस, ग्लोबल पोझिशनिंग सिस्टम टाइम, जीपीएस ग्राउंड कंट्रोल स्टेशन्स आणि जीपीएस उपग्रहांमध्ये अणु घड्याळांद्वारे लागू केलेला अणु टाइम स्केल आहे.")</f>
        <v>जीपीएस, ग्लोबल पोझिशनिंग सिस्टम टाइम, जीपीएस ग्राउंड कंट्रोल स्टेशन्स आणि जीपीएस उपग्रहांमध्ये अणु घड्याळांद्वारे लागू केलेला अणु टाइम स्केल आहे.</v>
      </c>
      <c r="R640" s="4" t="str">
        <f>IFERROR(__xludf.DUMMYFUNCTION("GOOGLETRANSLATE(B640,""en"",""gu"")"),"GPS, ગ્લોબલ પોઝિશનિંગ સિસ્ટમ ટાઇમ, GPS ગ્રાઉન્ડ કંટ્રોલ સ્ટેશનો અને GPS ઉપગ્રહોમાં અણુ ઘડિયાળો દ્વારા અમલમાં મૂકાયેલ અણુ સમય માપદંડ છે.")</f>
        <v>GPS, ગ્લોબલ પોઝિશનિંગ સિસ્ટમ ટાઇમ, GPS ગ્રાઉન્ડ કંટ્રોલ સ્ટેશનો અને GPS ઉપગ્રહોમાં અણુ ઘડિયાળો દ્વારા અમલમાં મૂકાયેલ અણુ સમય માપદંડ છે.</v>
      </c>
      <c r="S640" s="4" t="str">
        <f>IFERROR(__xludf.DUMMYFUNCTION("GOOGLETRANSLATE(B640,""en"",""bn"")"),"GPS, গ্লোবাল পজিশনিং সিস্টেম টাইম, হল পারমাণবিক টাইম স্কেল যা GPS গ্রাউন্ড কন্ট্রোল স্টেশন এবং GPS স্যাটেলাইটগুলিতে পারমাণবিক ঘড়ি দ্বারা প্রয়োগ করা হয়")</f>
        <v>GPS, গ্লোবাল পজিশনিং সিস্টেম টাইম, হল পারমাণবিক টাইম স্কেল যা GPS গ্রাউন্ড কন্ট্রোল স্টেশন এবং GPS স্যাটেলাইটগুলিতে পারমাণবিক ঘড়ি দ্বারা প্রয়োগ করা হয়</v>
      </c>
      <c r="T640" s="4" t="str">
        <f>IFERROR(__xludf.DUMMYFUNCTION("GOOGLETRANSLATE(B640,""en"",""pa"")"),"GPS, ਗਲੋਬਲ ਪੋਜ਼ੀਸ਼ਨਿੰਗ ਸਿਸਟਮ ਟਾਈਮ, GPS ਜ਼ਮੀਨੀ ਕੰਟਰੋਲ ਸਟੇਸ਼ਨਾਂ ਅਤੇ GPS ਸੈਟੇਲਾਈਟਾਂ ਵਿੱਚ ਪਰਮਾਣੂ ਘੜੀਆਂ ਦੁਆਰਾ ਲਾਗੂ ਕੀਤਾ ਪ੍ਰਮਾਣੂ ਸਮਾਂ ਪੈਮਾਨਾ ਹੈ।")</f>
        <v>GPS, ਗਲੋਬਲ ਪੋਜ਼ੀਸ਼ਨਿੰਗ ਸਿਸਟਮ ਟਾਈਮ, GPS ਜ਼ਮੀਨੀ ਕੰਟਰੋਲ ਸਟੇਸ਼ਨਾਂ ਅਤੇ GPS ਸੈਟੇਲਾਈਟਾਂ ਵਿੱਚ ਪਰਮਾਣੂ ਘੜੀਆਂ ਦੁਆਰਾ ਲਾਗੂ ਕੀਤਾ ਪ੍ਰਮਾਣੂ ਸਮਾਂ ਪੈਮਾਨਾ ਹੈ।</v>
      </c>
      <c r="U640" s="4" t="str">
        <f>IFERROR(__xludf.DUMMYFUNCTION("GOOGLETRANSLATE(B640,""en"",""te"")"),"GPS, గ్లోబల్ పొజిషనింగ్ సిస్టమ్ టైమ్, అనేది GPS గ్రౌండ్ కంట్రోల్ స్టేషన్‌లలోని అటామిక్ క్లాక్‌లు మరియు GPS ఉపగ్రహాల ద్వారా అమలు చేయబడిన అటామిక్ టైమ్ స్కేల్.")</f>
        <v>GPS, గ్లోబల్ పొజిషనింగ్ సిస్టమ్ టైమ్, అనేది GPS గ్రౌండ్ కంట్రోల్ స్టేషన్‌లలోని అటామిక్ క్లాక్‌లు మరియు GPS ఉపగ్రహాల ద్వారా అమలు చేయబడిన అటామిక్ టైమ్ స్కేల్.</v>
      </c>
      <c r="V640" s="4" t="str">
        <f>IFERROR(__xludf.DUMMYFUNCTION("GOOGLETRANSLATE(B640,""en"",""kn"")"),"GPS, ಗ್ಲೋಬಲ್ ಪೊಸಿಷನಿಂಗ್ ಸಿಸ್ಟಮ್ ಸಮಯ, ಪರಮಾಣು ಸಮಯದ ಪ್ರಮಾಣವು GPS ಭೂ ನಿಯಂತ್ರಣ ಕೇಂದ್ರಗಳಲ್ಲಿನ ಪರಮಾಣು ಗಡಿಯಾರಗಳು ಮತ್ತು GPS ಉಪಗ್ರಹಗಳು ಸ್ವತಃ ಅಳವಡಿಸಿಕೊಂಡಿವೆ.")</f>
        <v>GPS, ಗ್ಲೋಬಲ್ ಪೊಸಿಷನಿಂಗ್ ಸಿಸ್ಟಮ್ ಸಮಯ, ಪರಮಾಣು ಸಮಯದ ಪ್ರಮಾಣವು GPS ಭೂ ನಿಯಂತ್ರಣ ಕೇಂದ್ರಗಳಲ್ಲಿನ ಪರಮಾಣು ಗಡಿಯಾರಗಳು ಮತ್ತು GPS ಉಪಗ್ರಹಗಳು ಸ್ವತಃ ಅಳವಡಿಸಿಕೊಂಡಿವೆ.</v>
      </c>
      <c r="W640" s="4" t="str">
        <f>IFERROR(__xludf.DUMMYFUNCTION("GOOGLETRANSLATE(B640,""en"",""ml"")"),"ജിപിഎസ്, ഗ്ലോബൽ പൊസിഷനിംഗ് സിസ്റ്റം സമയം, ജിപിഎസ് ഗ്രൗണ്ട് കൺട്രോൾ സ്റ്റേഷനുകളിലെ ആറ്റോമിക് ക്ലോക്കുകളും ജിപിഎസ് ഉപഗ്രഹങ്ങളും നടപ്പിലാക്കുന്ന ആറ്റോമിക് ടൈം സ്കെയിൽ ആണ്.")</f>
        <v>ജിപിഎസ്, ഗ്ലോബൽ പൊസിഷനിംഗ് സിസ്റ്റം സമയം, ജിപിഎസ് ഗ്രൗണ്ട് കൺട്രോൾ സ്റ്റേഷനുകളിലെ ആറ്റോമിക് ക്ലോക്കുകളും ജിപിഎസ് ഉപഗ്രഹങ്ങളും നടപ്പിലാക്കുന്ന ആറ്റോമിക് ടൈം സ്കെയിൽ ആണ്.</v>
      </c>
      <c r="X640" s="4" t="str">
        <f>IFERROR(__xludf.DUMMYFUNCTION("GOOGLETRANSLATE(B640,""en"",""th"")"),"GPS หรือ Global Positioning System time คือมาตราส่วนเวลาแบบอะตอมซึ่งนำมาใช้โดยนาฬิกาอะตอมในสถานีควบคุมภาคพื้นดิน GPS และดาวเทียม GPS เอง")</f>
        <v>GPS หรือ Global Positioning System time คือมาตราส่วนเวลาแบบอะตอมซึ่งนำมาใช้โดยนาฬิกาอะตอมในสถานีควบคุมภาคพื้นดิน GPS และดาวเทียม GPS เอง</v>
      </c>
      <c r="Y640" s="4" t="str">
        <f>IFERROR(__xludf.DUMMYFUNCTION("GOOGLETRANSLATE(B640,""en"",""ko"")"),"GPS(Global Positioning System) 시간은 GPS 지상 관제소와 GPS 위성 자체의 원자 시계에 의해 구현된 원자 시간 척도입니다.")</f>
        <v>GPS(Global Positioning System) 시간은 GPS 지상 관제소와 GPS 위성 자체의 원자 시계에 의해 구현된 원자 시간 척도입니다.</v>
      </c>
      <c r="Z640" s="4" t="str">
        <f>IFERROR(__xludf.DUMMYFUNCTION("GOOGLETRANSLATE(B640,""en"",""zh"")"),"GPS，即全球定位系统时间，是由 GPS 地面控制站和 GPS 卫星本身的原子钟实现的原子时标")</f>
        <v>GPS，即全球定位系统时间，是由 GPS 地面控制站和 GPS 卫星本身的原子钟实现的原子时标</v>
      </c>
      <c r="AA640" s="4" t="str">
        <f>IFERROR(__xludf.DUMMYFUNCTION("GOOGLETRANSLATE(B640,""en"",""zh-TW"")"),"GPS，即全球定位系統時間，是由 GPS 地面控制站和 GPS 衛星本身的原子鐘實現的原子時標")</f>
        <v>GPS，即全球定位系統時間，是由 GPS 地面控制站和 GPS 衛星本身的原子鐘實現的原子時標</v>
      </c>
      <c r="AB640" s="4" t="str">
        <f>IFERROR(__xludf.DUMMYFUNCTION("GOOGLETRANSLATE(B640,""en"",""ja"")"),"GPS（全地球測位システム）時間は、GPS地上管制局とGPS衛星自体の原子時計によって実装される原子時間スケールです。")</f>
        <v>GPS（全地球測位システム）時間は、GPS地上管制局とGPS衛星自体の原子時計によって実装される原子時間スケールです。</v>
      </c>
      <c r="AC640" s="4" t="str">
        <f>IFERROR(__xludf.DUMMYFUNCTION("GOOGLETRANSLATE(B640,""en"",""bg"")"),"GPS, времето на глобалната система за позициониране, е атомната времева скала, въведена от атомните часовници в наземните контролни станции на GPS и самите GPS сателити")</f>
        <v>GPS, времето на глобалната система за позициониране, е атомната времева скала, въведена от атомните часовници в наземните контролни станции на GPS и самите GPS сателити</v>
      </c>
      <c r="AD640" s="4" t="str">
        <f>IFERROR(__xludf.DUMMYFUNCTION("GOOGLETRANSLATE(B640,""en"",""cs"")"),"GPS, Global Positioning System time, je atomové časové měřítko implementované atomovými hodinami v pozemních řídících stanicích GPS a samotnými satelity GPS.")</f>
        <v>GPS, Global Positioning System time, je atomové časové měřítko implementované atomovými hodinami v pozemních řídících stanicích GPS a samotnými satelity GPS.</v>
      </c>
      <c r="AE640" s="4" t="str">
        <f>IFERROR(__xludf.DUMMYFUNCTION("GOOGLETRANSLATE(B640,""en"",""da"")"),"GPS, Global Positioning System-tid, er den atomare tidsskala implementeret af atomurene i GPS-jordkontrolstationerne og selve GPS-satellitterne")</f>
        <v>GPS, Global Positioning System-tid, er den atomare tidsskala implementeret af atomurene i GPS-jordkontrolstationerne og selve GPS-satellitterne</v>
      </c>
      <c r="AF640" s="4" t="str">
        <f>IFERROR(__xludf.DUMMYFUNCTION("GOOGLETRANSLATE(B640,""en"",""el"")"),"GPS, η ώρα του παγκόσμιου συστήματος εντοπισμού θέσης, είναι η ατομική κλίμακα χρόνου που εφαρμόζεται από τα ατομικά ρολόγια στους σταθμούς ελέγχου επίγειου GPS και στους ίδιους τους δορυφόρους GPS")</f>
        <v>GPS, η ώρα του παγκόσμιου συστήματος εντοπισμού θέσης, είναι η ατομική κλίμακα χρόνου που εφαρμόζεται από τα ατομικά ρολόγια στους σταθμούς ελέγχου επίγειου GPS και στους ίδιους τους δορυφόρους GPS</v>
      </c>
      <c r="AG640" s="4" t="str">
        <f>IFERROR(__xludf.DUMMYFUNCTION("GOOGLETRANSLATE(B640,""en"",""et"")"),"GPS, globaalse positsioneerimissüsteemi aeg, on aatomi ajaskaala, mille rakendavad GPS maapealsete juhtimisjaamade aatomkellad ja GPS-satelliitid ise.")</f>
        <v>GPS, globaalse positsioneerimissüsteemi aeg, on aatomi ajaskaala, mille rakendavad GPS maapealsete juhtimisjaamade aatomkellad ja GPS-satelliitid ise.</v>
      </c>
      <c r="AH640" s="4" t="str">
        <f>IFERROR(__xludf.DUMMYFUNCTION("GOOGLETRANSLATE(B640,""en"",""fi"")"),"GPS, Global Positioning System -aika, on atomiaika-asteikko, joka on toteutettu GPS-maanohjausasemien atomikelloilla ja itse GPS-satelliiteilla.")</f>
        <v>GPS, Global Positioning System -aika, on atomiaika-asteikko, joka on toteutettu GPS-maanohjausasemien atomikelloilla ja itse GPS-satelliiteilla.</v>
      </c>
      <c r="AI640" s="4" t="str">
        <f>IFERROR(__xludf.DUMMYFUNCTION("GOOGLETRANSLATE(B640,""en"",""hr"")"),"GPS, Global Positioning System vrijeme, je atomska vremenska skala koju implementiraju atomski satovi u GPS zemaljskim kontrolnim stanicama i sami GPS sateliti")</f>
        <v>GPS, Global Positioning System vrijeme, je atomska vremenska skala koju implementiraju atomski satovi u GPS zemaljskim kontrolnim stanicama i sami GPS sateliti</v>
      </c>
      <c r="AJ640" s="4" t="str">
        <f>IFERROR(__xludf.DUMMYFUNCTION("GOOGLETRANSLATE(B640,""en"",""hu"")"),"A GPS, a Global Positioning System idő, a GPS földi irányítóállomások atomórái és maguk a GPS műholdak által megvalósított atomi időskála.")</f>
        <v>A GPS, a Global Positioning System idő, a GPS földi irányítóállomások atomórái és maguk a GPS műholdak által megvalósított atomi időskála.</v>
      </c>
      <c r="AK640" s="4" t="str">
        <f>IFERROR(__xludf.DUMMYFUNCTION("GOOGLETRANSLATE(B640,""en"",""hy"")"),"GPS, Գլոբալ դիրքորոշման համակարգի ժամանակը, ատոմային ժամանակի սանդղակն է, որն իրականացվում է ատոմային ժամացույցների կողմից GPS ցամաքային կառավարման կայաններում և հենց GPS արբանյակներում:")</f>
        <v>GPS, Գլոբալ դիրքորոշման համակարգի ժամանակը, ատոմային ժամանակի սանդղակն է, որն իրականացվում է ատոմային ժամացույցների կողմից GPS ցամաքային կառավարման կայաններում և հենց GPS արբանյակներում:</v>
      </c>
      <c r="AL640" s="4" t="str">
        <f>IFERROR(__xludf.DUMMYFUNCTION("GOOGLETRANSLATE(B640,""en"",""ca"")"),"El GPS, el temps del sistema de posicionament global, és l'escala de temps atòmica implementada pels rellotges atòmics a les estacions de control terrestre GPS i els mateixos satèl·lits GPS.")</f>
        <v>El GPS, el temps del sistema de posicionament global, és l'escala de temps atòmica implementada pels rellotges atòmics a les estacions de control terrestre GPS i els mateixos satèl·lits GPS.</v>
      </c>
      <c r="AM640" s="4" t="str">
        <f>IFERROR(__xludf.DUMMYFUNCTION("GOOGLETRANSLATE(B640,""en"",""nl"")"),"GPS, Global Positioning System-tijd, is de atomaire tijdschaal die wordt geïmplementeerd door de atoomklokken in de GPS-grondstations en de GPS-satellieten zelf.")</f>
        <v>GPS, Global Positioning System-tijd, is de atomaire tijdschaal die wordt geïmplementeerd door de atoomklokken in de GPS-grondstations en de GPS-satellieten zelf.</v>
      </c>
      <c r="AN640" s="4" t="str">
        <f>IFERROR(__xludf.DUMMYFUNCTION("GOOGLETRANSLATE(B640,""en"",""he"")"),"GPS, Global Positioning System time, הוא סולם הזמן האטומי המיושם על ידי השעונים האטומיים בתחנות הבקרה הקרקעית של GPS ולווייני ה-GPS עצמם")</f>
        <v>GPS, Global Positioning System time, הוא סולם הזמן האטומי המיושם על ידי השעונים האטומיים בתחנות הבקרה הקרקעית של GPS ולווייני ה-GPS עצמם</v>
      </c>
      <c r="AO640" s="4" t="str">
        <f>IFERROR(__xludf.DUMMYFUNCTION("GOOGLETRANSLATE(B640,""en"",""is"")"),"GPS, Global Positioning System time, er atómtímakvarðinn útfærður af atómklukkum í GPS stjórnstöðvum á jörðu niðri og GPS gervitunglunum sjálfum")</f>
        <v>GPS, Global Positioning System time, er atómtímakvarðinn útfærður af atómklukkum í GPS stjórnstöðvum á jörðu niðri og GPS gervitunglunum sjálfum</v>
      </c>
      <c r="AP640" s="4" t="str">
        <f>IFERROR(__xludf.DUMMYFUNCTION("GOOGLETRANSLATE(B640,""en"",""no"")"),"GPS, Global Positioning System-tid, er atomtidsskalaen implementert av atomklokkene i GPS-bakkekontrollstasjonene og selve GPS-satellittene")</f>
        <v>GPS, Global Positioning System-tid, er atomtidsskalaen implementert av atomklokkene i GPS-bakkekontrollstasjonene og selve GPS-satellittene</v>
      </c>
      <c r="AQ640" s="4" t="str">
        <f>IFERROR(__xludf.DUMMYFUNCTION("GOOGLETRANSLATE(B640,""en"",""fa"")"),"GPS، زمان سیستم موقعیت‌یابی جهانی، مقیاس زمانی اتمی است که توسط ساعت‌های اتمی در ایستگاه‌های کنترل زمینی GPS و خود ماهواره‌های GPS اجرا می‌شود.")</f>
        <v>GPS، زمان سیستم موقعیت‌یابی جهانی، مقیاس زمانی اتمی است که توسط ساعت‌های اتمی در ایستگاه‌های کنترل زمینی GPS و خود ماهواره‌های GPS اجرا می‌شود.</v>
      </c>
      <c r="AR640" s="4" t="str">
        <f>IFERROR(__xludf.DUMMYFUNCTION("GOOGLETRANSLATE(B640,""en"",""pl"")"),"GPS, czyli czas Global Positioning System, to skala czasu atomowego stosowana w zegarach atomowych na naziemnych stacjach kontroli GPS i samych satelitach GPS")</f>
        <v>GPS, czyli czas Global Positioning System, to skala czasu atomowego stosowana w zegarach atomowych na naziemnych stacjach kontroli GPS i samych satelitach GPS</v>
      </c>
      <c r="AS640" s="4" t="str">
        <f>IFERROR(__xludf.DUMMYFUNCTION("GOOGLETRANSLATE(B640,""en"",""sv"")"),"GPS, Global Positioning System-tid, är den atomära tidsskalan som implementeras av atomklockorna i GPS-markkontrollstationerna och GPS-satelliterna själva")</f>
        <v>GPS, Global Positioning System-tid, är den atomära tidsskalan som implementeras av atomklockorna i GPS-markkontrollstationerna och GPS-satelliterna själva</v>
      </c>
      <c r="AT640" s="4" t="str">
        <f>IFERROR(__xludf.DUMMYFUNCTION("GOOGLETRANSLATE(B640,""en"",""uk"")"),"GPS, час у системі глобального позиціонування, — це атомна шкала часу, реалізована атомними годинниками наземних станцій керування GPS і самими супутниками GPS")</f>
        <v>GPS, час у системі глобального позиціонування, — це атомна шкала часу, реалізована атомними годинниками наземних станцій керування GPS і самими супутниками GPS</v>
      </c>
      <c r="AU640" s="4" t="str">
        <f>IFERROR(__xludf.DUMMYFUNCTION("GOOGLETRANSLATE(B640,""en"",""zu"")"),"I-GPS, isikhathi se-Global Positioning System, isilinganiso sesikhathi se-athomu esisetshenziswa amawashi e-athomu eziteshini zokulawula umhlabathi ze-GPS kanye namasathelayithi e-GPS ngokwawo.")</f>
        <v>I-GPS, isikhathi se-Global Positioning System, isilinganiso sesikhathi se-athomu esisetshenziswa amawashi e-athomu eziteshini zokulawula umhlabathi ze-GPS kanye namasathelayithi e-GPS ngokwawo.</v>
      </c>
      <c r="AV640" s="4" t="str">
        <f>IFERROR(__xludf.DUMMYFUNCTION("GOOGLETRANSLATE(B640,""en"",""sr"")"),"ГПС, време глобалног система позиционирања, је атомска временска скала коју имплементирају атомски сатови у ГПС земаљским контролним станицама и сами ГПС сателити")</f>
        <v>ГПС, време глобалног система позиционирања, је атомска временска скала коју имплементирају атомски сатови у ГПС земаљским контролним станицама и сами ГПС сателити</v>
      </c>
    </row>
    <row r="641">
      <c r="A641" s="3" t="s">
        <v>1218</v>
      </c>
      <c r="B641" s="3" t="s">
        <v>1219</v>
      </c>
      <c r="C641" s="4" t="str">
        <f>IFERROR(__xludf.DUMMYFUNCTION("GOOGLETRANSLATE(B641,""en"",""ta"")"),"சாதன நேரம்")</f>
        <v>சாதன நேரம்</v>
      </c>
      <c r="D641" s="4" t="str">
        <f>IFERROR(__xludf.DUMMYFUNCTION("GOOGLETRANSLATE(B641,""en"",""hi"")"),"डिवाइस समय")</f>
        <v>डिवाइस समय</v>
      </c>
      <c r="E641" s="4" t="str">
        <f>IFERROR(__xludf.DUMMYFUNCTION("GOOGLETRANSLATE(B641,""en"",""id"")"),"Waktu Perangkat")</f>
        <v>Waktu Perangkat</v>
      </c>
      <c r="F641" s="4" t="str">
        <f>IFERROR(__xludf.DUMMYFUNCTION("GOOGLETRANSLATE(B641,""en"",""ms"")"),"Masa Peranti")</f>
        <v>Masa Peranti</v>
      </c>
      <c r="G641" s="4" t="str">
        <f>IFERROR(__xludf.DUMMYFUNCTION("GOOGLETRANSLATE(B641,""en"",""de"")"),"Gerätezeit")</f>
        <v>Gerätezeit</v>
      </c>
      <c r="H641" s="4" t="str">
        <f>IFERROR(__xludf.DUMMYFUNCTION("GOOGLETRANSLATE(B641,""en"",""es"")"),"Hora del dispositivo")</f>
        <v>Hora del dispositivo</v>
      </c>
      <c r="I641" s="4" t="str">
        <f>IFERROR(__xludf.DUMMYFUNCTION("GOOGLETRANSLATE(B641,""en"",""fr"")"),"Heure de l'appareil")</f>
        <v>Heure de l'appareil</v>
      </c>
      <c r="J641" s="4" t="str">
        <f>IFERROR(__xludf.DUMMYFUNCTION("GOOGLETRANSLATE(B641,""en"",""it"")"),"Tempo del dispositivo")</f>
        <v>Tempo del dispositivo</v>
      </c>
      <c r="K641" s="4" t="str">
        <f>IFERROR(__xludf.DUMMYFUNCTION("GOOGLETRANSLATE(B641,""en"",""pt"")"),"Hora do dispositivo")</f>
        <v>Hora do dispositivo</v>
      </c>
      <c r="L641" s="4" t="str">
        <f>IFERROR(__xludf.DUMMYFUNCTION("GOOGLETRANSLATE(B641,""en"",""ro"")"),"Ora dispozitivului")</f>
        <v>Ora dispozitivului</v>
      </c>
      <c r="M641" s="4" t="str">
        <f>IFERROR(__xludf.DUMMYFUNCTION("GOOGLETRANSLATE(B641,""en"",""vi"")"),"Thời gian thiết bị")</f>
        <v>Thời gian thiết bị</v>
      </c>
      <c r="N641" s="4" t="str">
        <f>IFERROR(__xludf.DUMMYFUNCTION("GOOGLETRANSLATE(B641,""en"",""ru"")"),"Время устройства")</f>
        <v>Время устройства</v>
      </c>
      <c r="O641" s="4" t="str">
        <f>IFERROR(__xludf.DUMMYFUNCTION("GOOGLETRANSLATE(B641,""en"",""tr"")"),"Cihaz Zamanı")</f>
        <v>Cihaz Zamanı</v>
      </c>
      <c r="P641" s="4" t="str">
        <f>IFERROR(__xludf.DUMMYFUNCTION("GOOGLETRANSLATE(B641,""en"",""ar"")"),"وقت الجهاز")</f>
        <v>وقت الجهاز</v>
      </c>
      <c r="Q641" s="4" t="str">
        <f>IFERROR(__xludf.DUMMYFUNCTION("GOOGLETRANSLATE(B641,""en"",""mr"")"),"डिव्हाइस वेळ")</f>
        <v>डिव्हाइस वेळ</v>
      </c>
      <c r="R641" s="4" t="str">
        <f>IFERROR(__xludf.DUMMYFUNCTION("GOOGLETRANSLATE(B641,""en"",""gu"")"),"ઉપકરણ સમય")</f>
        <v>ઉપકરણ સમય</v>
      </c>
      <c r="S641" s="4" t="str">
        <f>IFERROR(__xludf.DUMMYFUNCTION("GOOGLETRANSLATE(B641,""en"",""bn"")"),"ডিভাইস সময়")</f>
        <v>ডিভাইস সময়</v>
      </c>
      <c r="T641" s="4" t="str">
        <f>IFERROR(__xludf.DUMMYFUNCTION("GOOGLETRANSLATE(B641,""en"",""pa"")"),"ਡਿਵਾਈਸ ਸਮਾਂ")</f>
        <v>ਡਿਵਾਈਸ ਸਮਾਂ</v>
      </c>
      <c r="U641" s="4" t="str">
        <f>IFERROR(__xludf.DUMMYFUNCTION("GOOGLETRANSLATE(B641,""en"",""te"")"),"పరికర సమయం")</f>
        <v>పరికర సమయం</v>
      </c>
      <c r="V641" s="4" t="str">
        <f>IFERROR(__xludf.DUMMYFUNCTION("GOOGLETRANSLATE(B641,""en"",""kn"")"),"ಸಾಧನದ ಸಮಯ")</f>
        <v>ಸಾಧನದ ಸಮಯ</v>
      </c>
      <c r="W641" s="4" t="str">
        <f>IFERROR(__xludf.DUMMYFUNCTION("GOOGLETRANSLATE(B641,""en"",""ml"")"),"ഉപകരണ സമയം")</f>
        <v>ഉപകരണ സമയം</v>
      </c>
      <c r="X641" s="4" t="str">
        <f>IFERROR(__xludf.DUMMYFUNCTION("GOOGLETRANSLATE(B641,""en"",""th"")"),"เวลาอุปกรณ์")</f>
        <v>เวลาอุปกรณ์</v>
      </c>
      <c r="Y641" s="4" t="str">
        <f>IFERROR(__xludf.DUMMYFUNCTION("GOOGLETRANSLATE(B641,""en"",""ko"")"),"기기 시간")</f>
        <v>기기 시간</v>
      </c>
      <c r="Z641" s="4" t="str">
        <f>IFERROR(__xludf.DUMMYFUNCTION("GOOGLETRANSLATE(B641,""en"",""zh"")"),"设备时间")</f>
        <v>设备时间</v>
      </c>
      <c r="AA641" s="4" t="str">
        <f>IFERROR(__xludf.DUMMYFUNCTION("GOOGLETRANSLATE(B641,""en"",""zh-TW"")"),"設備時間")</f>
        <v>設備時間</v>
      </c>
      <c r="AB641" s="4" t="str">
        <f>IFERROR(__xludf.DUMMYFUNCTION("GOOGLETRANSLATE(B641,""en"",""ja"")"),"デバイス時間")</f>
        <v>デバイス時間</v>
      </c>
      <c r="AC641" s="4" t="str">
        <f>IFERROR(__xludf.DUMMYFUNCTION("GOOGLETRANSLATE(B641,""en"",""bg"")"),"Време на устройството")</f>
        <v>Време на устройството</v>
      </c>
      <c r="AD641" s="4" t="str">
        <f>IFERROR(__xludf.DUMMYFUNCTION("GOOGLETRANSLATE(B641,""en"",""cs"")"),"Čas zařízení")</f>
        <v>Čas zařízení</v>
      </c>
      <c r="AE641" s="4" t="str">
        <f>IFERROR(__xludf.DUMMYFUNCTION("GOOGLETRANSLATE(B641,""en"",""da"")"),"Enheds tid")</f>
        <v>Enheds tid</v>
      </c>
      <c r="AF641" s="4" t="str">
        <f>IFERROR(__xludf.DUMMYFUNCTION("GOOGLETRANSLATE(B641,""en"",""el"")"),"Ώρα συσκευής")</f>
        <v>Ώρα συσκευής</v>
      </c>
      <c r="AG641" s="4" t="str">
        <f>IFERROR(__xludf.DUMMYFUNCTION("GOOGLETRANSLATE(B641,""en"",""et"")"),"Seadme aeg")</f>
        <v>Seadme aeg</v>
      </c>
      <c r="AH641" s="4" t="str">
        <f>IFERROR(__xludf.DUMMYFUNCTION("GOOGLETRANSLATE(B641,""en"",""fi"")"),"Laitteen aika")</f>
        <v>Laitteen aika</v>
      </c>
      <c r="AI641" s="4" t="str">
        <f>IFERROR(__xludf.DUMMYFUNCTION("GOOGLETRANSLATE(B641,""en"",""hr"")"),"Vrijeme uređaja")</f>
        <v>Vrijeme uređaja</v>
      </c>
      <c r="AJ641" s="4" t="str">
        <f>IFERROR(__xludf.DUMMYFUNCTION("GOOGLETRANSLATE(B641,""en"",""hu"")"),"Eszköz idő")</f>
        <v>Eszköz idő</v>
      </c>
      <c r="AK641" s="4" t="str">
        <f>IFERROR(__xludf.DUMMYFUNCTION("GOOGLETRANSLATE(B641,""en"",""hy"")"),"Սարքի ժամանակը")</f>
        <v>Սարքի ժամանակը</v>
      </c>
      <c r="AL641" s="4" t="str">
        <f>IFERROR(__xludf.DUMMYFUNCTION("GOOGLETRANSLATE(B641,""en"",""ca"")"),"Hora del dispositiu")</f>
        <v>Hora del dispositiu</v>
      </c>
      <c r="AM641" s="4" t="str">
        <f>IFERROR(__xludf.DUMMYFUNCTION("GOOGLETRANSLATE(B641,""en"",""nl"")"),"Apparaattijd")</f>
        <v>Apparaattijd</v>
      </c>
      <c r="AN641" s="4" t="str">
        <f>IFERROR(__xludf.DUMMYFUNCTION("GOOGLETRANSLATE(B641,""en"",""he"")"),"זמן מכשיר")</f>
        <v>זמן מכשיר</v>
      </c>
      <c r="AO641" s="4" t="str">
        <f>IFERROR(__xludf.DUMMYFUNCTION("GOOGLETRANSLATE(B641,""en"",""is"")"),"Tími tækis")</f>
        <v>Tími tækis</v>
      </c>
      <c r="AP641" s="4" t="str">
        <f>IFERROR(__xludf.DUMMYFUNCTION("GOOGLETRANSLATE(B641,""en"",""no"")"),"Enhetstid")</f>
        <v>Enhetstid</v>
      </c>
      <c r="AQ641" s="4" t="str">
        <f>IFERROR(__xludf.DUMMYFUNCTION("GOOGLETRANSLATE(B641,""en"",""fa"")"),"زمان دستگاه")</f>
        <v>زمان دستگاه</v>
      </c>
      <c r="AR641" s="4" t="str">
        <f>IFERROR(__xludf.DUMMYFUNCTION("GOOGLETRANSLATE(B641,""en"",""pl"")"),"Czas urządzenia")</f>
        <v>Czas urządzenia</v>
      </c>
      <c r="AS641" s="4" t="str">
        <f>IFERROR(__xludf.DUMMYFUNCTION("GOOGLETRANSLATE(B641,""en"",""sv"")"),"Enhetstid")</f>
        <v>Enhetstid</v>
      </c>
      <c r="AT641" s="4" t="str">
        <f>IFERROR(__xludf.DUMMYFUNCTION("GOOGLETRANSLATE(B641,""en"",""uk"")"),"Час пристрою")</f>
        <v>Час пристрою</v>
      </c>
      <c r="AU641" s="4" t="str">
        <f>IFERROR(__xludf.DUMMYFUNCTION("GOOGLETRANSLATE(B641,""en"",""zu"")"),"Isikhathi Sedivayisi")</f>
        <v>Isikhathi Sedivayisi</v>
      </c>
      <c r="AV641" s="4" t="str">
        <f>IFERROR(__xludf.DUMMYFUNCTION("GOOGLETRANSLATE(B641,""en"",""sr"")"),"Време уређаја")</f>
        <v>Време уређаја</v>
      </c>
    </row>
    <row r="642">
      <c r="A642" s="3" t="s">
        <v>1220</v>
      </c>
      <c r="B642" s="3" t="s">
        <v>1221</v>
      </c>
      <c r="C642" s="4" t="str">
        <f>IFERROR(__xludf.DUMMYFUNCTION("GOOGLETRANSLATE(B642,""en"",""ta"")"),"ஜிபிஎஸ் சிக்னலுக்காகக் காத்திருக்கிறது")</f>
        <v>ஜிபிஎஸ் சிக்னலுக்காகக் காத்திருக்கிறது</v>
      </c>
      <c r="D642" s="4" t="str">
        <f>IFERROR(__xludf.DUMMYFUNCTION("GOOGLETRANSLATE(B642,""en"",""hi"")"),"GPS सिग्नल की प्रतीक्षा में")</f>
        <v>GPS सिग्नल की प्रतीक्षा में</v>
      </c>
      <c r="E642" s="4" t="str">
        <f>IFERROR(__xludf.DUMMYFUNCTION("GOOGLETRANSLATE(B642,""en"",""id"")"),"Menunggu sinyal GPS")</f>
        <v>Menunggu sinyal GPS</v>
      </c>
      <c r="F642" s="4" t="str">
        <f>IFERROR(__xludf.DUMMYFUNCTION("GOOGLETRANSLATE(B642,""en"",""ms"")"),"Menunggu isyarat GPS")</f>
        <v>Menunggu isyarat GPS</v>
      </c>
      <c r="G642" s="4" t="str">
        <f>IFERROR(__xludf.DUMMYFUNCTION("GOOGLETRANSLATE(B642,""en"",""de"")"),"Warten auf ein GPS-Signal")</f>
        <v>Warten auf ein GPS-Signal</v>
      </c>
      <c r="H642" s="4" t="str">
        <f>IFERROR(__xludf.DUMMYFUNCTION("GOOGLETRANSLATE(B642,""en"",""es"")"),"Esperando una señal GPS")</f>
        <v>Esperando una señal GPS</v>
      </c>
      <c r="I642" s="4" t="str">
        <f>IFERROR(__xludf.DUMMYFUNCTION("GOOGLETRANSLATE(B642,""en"",""fr"")"),"En attente d'un signal GPS")</f>
        <v>En attente d'un signal GPS</v>
      </c>
      <c r="J642" s="4" t="str">
        <f>IFERROR(__xludf.DUMMYFUNCTION("GOOGLETRANSLATE(B642,""en"",""it"")"),"In attesa del segnale GPS")</f>
        <v>In attesa del segnale GPS</v>
      </c>
      <c r="K642" s="4" t="str">
        <f>IFERROR(__xludf.DUMMYFUNCTION("GOOGLETRANSLATE(B642,""en"",""pt"")"),"Aguardando sinal de GPS")</f>
        <v>Aguardando sinal de GPS</v>
      </c>
      <c r="L642" s="4" t="str">
        <f>IFERROR(__xludf.DUMMYFUNCTION("GOOGLETRANSLATE(B642,""en"",""ro"")"),"Se așteaptă un semnal GPS")</f>
        <v>Se așteaptă un semnal GPS</v>
      </c>
      <c r="M642" s="4" t="str">
        <f>IFERROR(__xludf.DUMMYFUNCTION("GOOGLETRANSLATE(B642,""en"",""vi"")"),"Đang chờ tín hiệu GPS")</f>
        <v>Đang chờ tín hiệu GPS</v>
      </c>
      <c r="N642" s="4" t="str">
        <f>IFERROR(__xludf.DUMMYFUNCTION("GOOGLETRANSLATE(B642,""en"",""ru"")"),"Ожидание сигнала GPS")</f>
        <v>Ожидание сигнала GPS</v>
      </c>
      <c r="O642" s="4" t="str">
        <f>IFERROR(__xludf.DUMMYFUNCTION("GOOGLETRANSLATE(B642,""en"",""tr"")"),"GPS sinyali bekleniyor")</f>
        <v>GPS sinyali bekleniyor</v>
      </c>
      <c r="P642" s="4" t="str">
        <f>IFERROR(__xludf.DUMMYFUNCTION("GOOGLETRANSLATE(B642,""en"",""ar"")"),"في انتظار إشارة GPS")</f>
        <v>في انتظار إشارة GPS</v>
      </c>
      <c r="Q642" s="4" t="str">
        <f>IFERROR(__xludf.DUMMYFUNCTION("GOOGLETRANSLATE(B642,""en"",""mr"")"),"GPS सिग्नलची वाट पाहत आहे")</f>
        <v>GPS सिग्नलची वाट पाहत आहे</v>
      </c>
      <c r="R642" s="4" t="str">
        <f>IFERROR(__xludf.DUMMYFUNCTION("GOOGLETRANSLATE(B642,""en"",""gu"")"),"GPS સિગ્નલની રાહ જોઈ રહ્યાં છીએ")</f>
        <v>GPS સિગ્નલની રાહ જોઈ રહ્યાં છીએ</v>
      </c>
      <c r="S642" s="4" t="str">
        <f>IFERROR(__xludf.DUMMYFUNCTION("GOOGLETRANSLATE(B642,""en"",""bn"")"),"একটি জিপিএস সিগন্যালের জন্য অপেক্ষা করা হচ্ছে")</f>
        <v>একটি জিপিএস সিগন্যালের জন্য অপেক্ষা করা হচ্ছে</v>
      </c>
      <c r="T642" s="4" t="str">
        <f>IFERROR(__xludf.DUMMYFUNCTION("GOOGLETRANSLATE(B642,""en"",""pa"")"),"ਇੱਕ GPS ਸਿਗਨਲ ਦੀ ਉਡੀਕ ਕੀਤੀ ਜਾ ਰਹੀ ਹੈ")</f>
        <v>ਇੱਕ GPS ਸਿਗਨਲ ਦੀ ਉਡੀਕ ਕੀਤੀ ਜਾ ਰਹੀ ਹੈ</v>
      </c>
      <c r="U642" s="4" t="str">
        <f>IFERROR(__xludf.DUMMYFUNCTION("GOOGLETRANSLATE(B642,""en"",""te"")"),"GPS సిగ్నల్ కోసం వేచి ఉంది")</f>
        <v>GPS సిగ్నల్ కోసం వేచి ఉంది</v>
      </c>
      <c r="V642" s="4" t="str">
        <f>IFERROR(__xludf.DUMMYFUNCTION("GOOGLETRANSLATE(B642,""en"",""kn"")"),"GPS ಸಿಗ್ನಲ್‌ಗಾಗಿ ಕಾಯಲಾಗುತ್ತಿದೆ")</f>
        <v>GPS ಸಿಗ್ನಲ್‌ಗಾಗಿ ಕಾಯಲಾಗುತ್ತಿದೆ</v>
      </c>
      <c r="W642" s="4" t="str">
        <f>IFERROR(__xludf.DUMMYFUNCTION("GOOGLETRANSLATE(B642,""en"",""ml"")"),"ഒരു GPS സിഗ്നലിനായി കാത്തിരിക്കുന്നു")</f>
        <v>ഒരു GPS സിഗ്നലിനായി കാത്തിരിക്കുന്നു</v>
      </c>
      <c r="X642" s="4" t="str">
        <f>IFERROR(__xludf.DUMMYFUNCTION("GOOGLETRANSLATE(B642,""en"",""th"")"),"กำลังรอสัญญาณ GPS")</f>
        <v>กำลังรอสัญญาณ GPS</v>
      </c>
      <c r="Y642" s="4" t="str">
        <f>IFERROR(__xludf.DUMMYFUNCTION("GOOGLETRANSLATE(B642,""en"",""ko"")"),"GPS 신호를 기다리는 중")</f>
        <v>GPS 신호를 기다리는 중</v>
      </c>
      <c r="Z642" s="4" t="str">
        <f>IFERROR(__xludf.DUMMYFUNCTION("GOOGLETRANSLATE(B642,""en"",""zh"")"),"等待 GPS 信号")</f>
        <v>等待 GPS 信号</v>
      </c>
      <c r="AA642" s="4" t="str">
        <f>IFERROR(__xludf.DUMMYFUNCTION("GOOGLETRANSLATE(B642,""en"",""zh-TW"")"),"等待 GPS 訊號")</f>
        <v>等待 GPS 訊號</v>
      </c>
      <c r="AB642" s="4" t="str">
        <f>IFERROR(__xludf.DUMMYFUNCTION("GOOGLETRANSLATE(B642,""en"",""ja"")"),"GPS信号を待っています")</f>
        <v>GPS信号を待っています</v>
      </c>
      <c r="AC642" s="4" t="str">
        <f>IFERROR(__xludf.DUMMYFUNCTION("GOOGLETRANSLATE(B642,""en"",""bg"")"),"Изчакване на GPS сигнал")</f>
        <v>Изчакване на GPS сигнал</v>
      </c>
      <c r="AD642" s="4" t="str">
        <f>IFERROR(__xludf.DUMMYFUNCTION("GOOGLETRANSLATE(B642,""en"",""cs"")"),"Čekání na signál GPS")</f>
        <v>Čekání na signál GPS</v>
      </c>
      <c r="AE642" s="4" t="str">
        <f>IFERROR(__xludf.DUMMYFUNCTION("GOOGLETRANSLATE(B642,""en"",""da"")"),"Venter på et GPS-signal")</f>
        <v>Venter på et GPS-signal</v>
      </c>
      <c r="AF642" s="4" t="str">
        <f>IFERROR(__xludf.DUMMYFUNCTION("GOOGLETRANSLATE(B642,""en"",""el"")"),"Αναμονή για σήμα GPS")</f>
        <v>Αναμονή για σήμα GPS</v>
      </c>
      <c r="AG642" s="4" t="str">
        <f>IFERROR(__xludf.DUMMYFUNCTION("GOOGLETRANSLATE(B642,""en"",""et"")"),"Ootab GPS-signaali")</f>
        <v>Ootab GPS-signaali</v>
      </c>
      <c r="AH642" s="4" t="str">
        <f>IFERROR(__xludf.DUMMYFUNCTION("GOOGLETRANSLATE(B642,""en"",""fi"")"),"Odotetaan GPS-signaalia")</f>
        <v>Odotetaan GPS-signaalia</v>
      </c>
      <c r="AI642" s="4" t="str">
        <f>IFERROR(__xludf.DUMMYFUNCTION("GOOGLETRANSLATE(B642,""en"",""hr"")"),"Čekam GPS signal")</f>
        <v>Čekam GPS signal</v>
      </c>
      <c r="AJ642" s="4" t="str">
        <f>IFERROR(__xludf.DUMMYFUNCTION("GOOGLETRANSLATE(B642,""en"",""hu"")"),"Várakozás a GPS jelre")</f>
        <v>Várakozás a GPS jelre</v>
      </c>
      <c r="AK642" s="4" t="str">
        <f>IFERROR(__xludf.DUMMYFUNCTION("GOOGLETRANSLATE(B642,""en"",""hy"")"),"Սպասում է GPS ազդանշանի")</f>
        <v>Սպասում է GPS ազդանշանի</v>
      </c>
      <c r="AL642" s="4" t="str">
        <f>IFERROR(__xludf.DUMMYFUNCTION("GOOGLETRANSLATE(B642,""en"",""ca"")"),"Esperant un senyal GPS")</f>
        <v>Esperant un senyal GPS</v>
      </c>
      <c r="AM642" s="4" t="str">
        <f>IFERROR(__xludf.DUMMYFUNCTION("GOOGLETRANSLATE(B642,""en"",""nl"")"),"Wachten op een GPS-signaal")</f>
        <v>Wachten op een GPS-signaal</v>
      </c>
      <c r="AN642" s="4" t="str">
        <f>IFERROR(__xludf.DUMMYFUNCTION("GOOGLETRANSLATE(B642,""en"",""he"")"),"ממתין לאות GPS")</f>
        <v>ממתין לאות GPS</v>
      </c>
      <c r="AO642" s="4" t="str">
        <f>IFERROR(__xludf.DUMMYFUNCTION("GOOGLETRANSLATE(B642,""en"",""is"")"),"Bíður eftir GPS merki")</f>
        <v>Bíður eftir GPS merki</v>
      </c>
      <c r="AP642" s="4" t="str">
        <f>IFERROR(__xludf.DUMMYFUNCTION("GOOGLETRANSLATE(B642,""en"",""no"")"),"Venter på GPS-signal")</f>
        <v>Venter på GPS-signal</v>
      </c>
      <c r="AQ642" s="4" t="str">
        <f>IFERROR(__xludf.DUMMYFUNCTION("GOOGLETRANSLATE(B642,""en"",""fa"")"),"در انتظار سیگنال GPS")</f>
        <v>در انتظار سیگنال GPS</v>
      </c>
      <c r="AR642" s="4" t="str">
        <f>IFERROR(__xludf.DUMMYFUNCTION("GOOGLETRANSLATE(B642,""en"",""pl"")"),"Oczekiwanie na sygnał GPS")</f>
        <v>Oczekiwanie na sygnał GPS</v>
      </c>
      <c r="AS642" s="4" t="str">
        <f>IFERROR(__xludf.DUMMYFUNCTION("GOOGLETRANSLATE(B642,""en"",""sv"")"),"Väntar på en GPS-signal")</f>
        <v>Väntar på en GPS-signal</v>
      </c>
      <c r="AT642" s="4" t="str">
        <f>IFERROR(__xludf.DUMMYFUNCTION("GOOGLETRANSLATE(B642,""en"",""uk"")"),"Очікування сигналу GPS")</f>
        <v>Очікування сигналу GPS</v>
      </c>
      <c r="AU642" s="4" t="str">
        <f>IFERROR(__xludf.DUMMYFUNCTION("GOOGLETRANSLATE(B642,""en"",""zu"")"),"Ilinde isignali ye-GPS")</f>
        <v>Ilinde isignali ye-GPS</v>
      </c>
      <c r="AV642" s="4" t="str">
        <f>IFERROR(__xludf.DUMMYFUNCTION("GOOGLETRANSLATE(B642,""en"",""sr"")"),"Чека се ГПС сигнал")</f>
        <v>Чека се ГПС сигнал</v>
      </c>
    </row>
    <row r="643">
      <c r="A643" s="3" t="s">
        <v>1222</v>
      </c>
      <c r="B643" s="3" t="s">
        <v>1223</v>
      </c>
      <c r="C643" s="4" t="str">
        <f>IFERROR(__xludf.DUMMYFUNCTION("GOOGLETRANSLATE(B643,""en"",""ta"")"),"GPS நேரத்தைப் பெறுவதில் தோல்வி")</f>
        <v>GPS நேரத்தைப் பெறுவதில் தோல்வி</v>
      </c>
      <c r="D643" s="4" t="str">
        <f>IFERROR(__xludf.DUMMYFUNCTION("GOOGLETRANSLATE(B643,""en"",""hi"")"),"GPS समय प्राप्त करने में विफल")</f>
        <v>GPS समय प्राप्त करने में विफल</v>
      </c>
      <c r="E643" s="4" t="str">
        <f>IFERROR(__xludf.DUMMYFUNCTION("GOOGLETRANSLATE(B643,""en"",""id"")"),"Gagal mendapatkan waktu GPS")</f>
        <v>Gagal mendapatkan waktu GPS</v>
      </c>
      <c r="F643" s="4" t="str">
        <f>IFERROR(__xludf.DUMMYFUNCTION("GOOGLETRANSLATE(B643,""en"",""ms"")"),"Gagal mendapatkan masa GPS")</f>
        <v>Gagal mendapatkan masa GPS</v>
      </c>
      <c r="G643" s="4" t="str">
        <f>IFERROR(__xludf.DUMMYFUNCTION("GOOGLETRANSLATE(B643,""en"",""de"")"),"GPS-Zeit konnte nicht abgerufen werden")</f>
        <v>GPS-Zeit konnte nicht abgerufen werden</v>
      </c>
      <c r="H643" s="4" t="str">
        <f>IFERROR(__xludf.DUMMYFUNCTION("GOOGLETRANSLATE(B643,""en"",""es"")"),"No se pudo obtener la hora del GPS")</f>
        <v>No se pudo obtener la hora del GPS</v>
      </c>
      <c r="I643" s="4" t="str">
        <f>IFERROR(__xludf.DUMMYFUNCTION("GOOGLETRANSLATE(B643,""en"",""fr"")"),"Impossible d'obtenir l'heure GPS")</f>
        <v>Impossible d'obtenir l'heure GPS</v>
      </c>
      <c r="J643" s="4" t="str">
        <f>IFERROR(__xludf.DUMMYFUNCTION("GOOGLETRANSLATE(B643,""en"",""it"")"),"Impossibile ottenere l'ora GPS")</f>
        <v>Impossibile ottenere l'ora GPS</v>
      </c>
      <c r="K643" s="4" t="str">
        <f>IFERROR(__xludf.DUMMYFUNCTION("GOOGLETRANSLATE(B643,""en"",""pt"")"),"Falha ao obter a hora do GPS")</f>
        <v>Falha ao obter a hora do GPS</v>
      </c>
      <c r="L643" s="4" t="str">
        <f>IFERROR(__xludf.DUMMYFUNCTION("GOOGLETRANSLATE(B643,""en"",""ro"")"),"Nu s-a obținut ora GPS")</f>
        <v>Nu s-a obținut ora GPS</v>
      </c>
      <c r="M643" s="4" t="str">
        <f>IFERROR(__xludf.DUMMYFUNCTION("GOOGLETRANSLATE(B643,""en"",""vi"")"),"Không lấy được thời gian GPS")</f>
        <v>Không lấy được thời gian GPS</v>
      </c>
      <c r="N643" s="4" t="str">
        <f>IFERROR(__xludf.DUMMYFUNCTION("GOOGLETRANSLATE(B643,""en"",""ru"")"),"Не удалось получить время GPS")</f>
        <v>Не удалось получить время GPS</v>
      </c>
      <c r="O643" s="4" t="str">
        <f>IFERROR(__xludf.DUMMYFUNCTION("GOOGLETRANSLATE(B643,""en"",""tr"")"),"GPS saati alınamadı")</f>
        <v>GPS saati alınamadı</v>
      </c>
      <c r="P643" s="4" t="str">
        <f>IFERROR(__xludf.DUMMYFUNCTION("GOOGLETRANSLATE(B643,""en"",""ar"")"),"فشل في الحصول على وقت GPS")</f>
        <v>فشل في الحصول على وقت GPS</v>
      </c>
      <c r="Q643" s="4" t="str">
        <f>IFERROR(__xludf.DUMMYFUNCTION("GOOGLETRANSLATE(B643,""en"",""mr"")"),"GPS वेळ मिळवण्यात अयशस्वी")</f>
        <v>GPS वेळ मिळवण्यात अयशस्वी</v>
      </c>
      <c r="R643" s="4" t="str">
        <f>IFERROR(__xludf.DUMMYFUNCTION("GOOGLETRANSLATE(B643,""en"",""gu"")"),"GPS સમય મેળવવામાં નિષ્ફળ")</f>
        <v>GPS સમય મેળવવામાં નિષ્ફળ</v>
      </c>
      <c r="S643" s="4" t="str">
        <f>IFERROR(__xludf.DUMMYFUNCTION("GOOGLETRANSLATE(B643,""en"",""bn"")"),"GPS সময় পেতে ব্যর্থ হয়েছে৷")</f>
        <v>GPS সময় পেতে ব্যর্থ হয়েছে৷</v>
      </c>
      <c r="T643" s="4" t="str">
        <f>IFERROR(__xludf.DUMMYFUNCTION("GOOGLETRANSLATE(B643,""en"",""pa"")"),"GPS ਸਮਾਂ ਪ੍ਰਾਪਤ ਕਰਨ ਵਿੱਚ ਅਸਫਲ")</f>
        <v>GPS ਸਮਾਂ ਪ੍ਰਾਪਤ ਕਰਨ ਵਿੱਚ ਅਸਫਲ</v>
      </c>
      <c r="U643" s="4" t="str">
        <f>IFERROR(__xludf.DUMMYFUNCTION("GOOGLETRANSLATE(B643,""en"",""te"")"),"GPS సమయాన్ని పొందడంలో విఫలమైంది")</f>
        <v>GPS సమయాన్ని పొందడంలో విఫలమైంది</v>
      </c>
      <c r="V643" s="4" t="str">
        <f>IFERROR(__xludf.DUMMYFUNCTION("GOOGLETRANSLATE(B643,""en"",""kn"")"),"GPS ಸಮಯವನ್ನು ಪಡೆಯುವಲ್ಲಿ ವಿಫಲವಾಗಿದೆ")</f>
        <v>GPS ಸಮಯವನ್ನು ಪಡೆಯುವಲ್ಲಿ ವಿಫಲವಾಗಿದೆ</v>
      </c>
      <c r="W643" s="4" t="str">
        <f>IFERROR(__xludf.DUMMYFUNCTION("GOOGLETRANSLATE(B643,""en"",""ml"")"),"GPS സമയം നേടുന്നതിൽ പരാജയപ്പെട്ടു")</f>
        <v>GPS സമയം നേടുന്നതിൽ പരാജയപ്പെട്ടു</v>
      </c>
      <c r="X643" s="4" t="str">
        <f>IFERROR(__xludf.DUMMYFUNCTION("GOOGLETRANSLATE(B643,""en"",""th"")"),"ไม่สามารถรับเวลา GPS ได้")</f>
        <v>ไม่สามารถรับเวลา GPS ได้</v>
      </c>
      <c r="Y643" s="4" t="str">
        <f>IFERROR(__xludf.DUMMYFUNCTION("GOOGLETRANSLATE(B643,""en"",""ko"")"),"GPS 시간을 가져오는 데 실패했습니다")</f>
        <v>GPS 시간을 가져오는 데 실패했습니다</v>
      </c>
      <c r="Z643" s="4" t="str">
        <f>IFERROR(__xludf.DUMMYFUNCTION("GOOGLETRANSLATE(B643,""en"",""zh"")"),"无法获取 GPS 时间")</f>
        <v>无法获取 GPS 时间</v>
      </c>
      <c r="AA643" s="4" t="str">
        <f>IFERROR(__xludf.DUMMYFUNCTION("GOOGLETRANSLATE(B643,""en"",""zh-TW"")"),"無法取得 GPS 時間")</f>
        <v>無法取得 GPS 時間</v>
      </c>
      <c r="AB643" s="4" t="str">
        <f>IFERROR(__xludf.DUMMYFUNCTION("GOOGLETRANSLATE(B643,""en"",""ja"")"),"GPS時間を取得できませんでした")</f>
        <v>GPS時間を取得できませんでした</v>
      </c>
      <c r="AC643" s="4" t="str">
        <f>IFERROR(__xludf.DUMMYFUNCTION("GOOGLETRANSLATE(B643,""en"",""bg"")"),"Неуспешно получаване на GPS време")</f>
        <v>Неуспешно получаване на GPS време</v>
      </c>
      <c r="AD643" s="4" t="str">
        <f>IFERROR(__xludf.DUMMYFUNCTION("GOOGLETRANSLATE(B643,""en"",""cs"")"),"Nepodařilo se získat čas GPS")</f>
        <v>Nepodařilo se získat čas GPS</v>
      </c>
      <c r="AE643" s="4" t="str">
        <f>IFERROR(__xludf.DUMMYFUNCTION("GOOGLETRANSLATE(B643,""en"",""da"")"),"GPS-tid kunne ikke hentes")</f>
        <v>GPS-tid kunne ikke hentes</v>
      </c>
      <c r="AF643" s="4" t="str">
        <f>IFERROR(__xludf.DUMMYFUNCTION("GOOGLETRANSLATE(B643,""en"",""el"")"),"Αποτυχία λήψης ώρας GPS")</f>
        <v>Αποτυχία λήψης ώρας GPS</v>
      </c>
      <c r="AG643" s="4" t="str">
        <f>IFERROR(__xludf.DUMMYFUNCTION("GOOGLETRANSLATE(B643,""en"",""et"")"),"GPS-i aja hankimine ebaõnnestus")</f>
        <v>GPS-i aja hankimine ebaõnnestus</v>
      </c>
      <c r="AH643" s="4" t="str">
        <f>IFERROR(__xludf.DUMMYFUNCTION("GOOGLETRANSLATE(B643,""en"",""fi"")"),"GPS-ajan saaminen epäonnistui")</f>
        <v>GPS-ajan saaminen epäonnistui</v>
      </c>
      <c r="AI643" s="4" t="str">
        <f>IFERROR(__xludf.DUMMYFUNCTION("GOOGLETRANSLATE(B643,""en"",""hr"")"),"GPS vrijeme nije uspjelo")</f>
        <v>GPS vrijeme nije uspjelo</v>
      </c>
      <c r="AJ643" s="4" t="str">
        <f>IFERROR(__xludf.DUMMYFUNCTION("GOOGLETRANSLATE(B643,""en"",""hu"")"),"Nem sikerült lekérni a GPS-időt")</f>
        <v>Nem sikerült lekérni a GPS-időt</v>
      </c>
      <c r="AK643" s="4" t="str">
        <f>IFERROR(__xludf.DUMMYFUNCTION("GOOGLETRANSLATE(B643,""en"",""hy"")"),"Չհաջողվեց ստանալ GPS ժամանակը")</f>
        <v>Չհաջողվեց ստանալ GPS ժամանակը</v>
      </c>
      <c r="AL643" s="4" t="str">
        <f>IFERROR(__xludf.DUMMYFUNCTION("GOOGLETRANSLATE(B643,""en"",""ca"")"),"No s'ha pogut obtenir l'hora del GPS")</f>
        <v>No s'ha pogut obtenir l'hora del GPS</v>
      </c>
      <c r="AM643" s="4" t="str">
        <f>IFERROR(__xludf.DUMMYFUNCTION("GOOGLETRANSLATE(B643,""en"",""nl"")"),"GPS-tijd kon niet worden opgehaald")</f>
        <v>GPS-tijd kon niet worden opgehaald</v>
      </c>
      <c r="AN643" s="4" t="str">
        <f>IFERROR(__xludf.DUMMYFUNCTION("GOOGLETRANSLATE(B643,""en"",""he"")"),"קבלת זמן GPS נכשלה")</f>
        <v>קבלת זמן GPS נכשלה</v>
      </c>
      <c r="AO643" s="4" t="str">
        <f>IFERROR(__xludf.DUMMYFUNCTION("GOOGLETRANSLATE(B643,""en"",""is"")"),"Mistókst að fá GPS tíma")</f>
        <v>Mistókst að fá GPS tíma</v>
      </c>
      <c r="AP643" s="4" t="str">
        <f>IFERROR(__xludf.DUMMYFUNCTION("GOOGLETRANSLATE(B643,""en"",""no"")"),"Kunne ikke hente GPS-tid")</f>
        <v>Kunne ikke hente GPS-tid</v>
      </c>
      <c r="AQ643" s="4" t="str">
        <f>IFERROR(__xludf.DUMMYFUNCTION("GOOGLETRANSLATE(B643,""en"",""fa"")"),"زمان GPS دریافت نشد")</f>
        <v>زمان GPS دریافت نشد</v>
      </c>
      <c r="AR643" s="4" t="str">
        <f>IFERROR(__xludf.DUMMYFUNCTION("GOOGLETRANSLATE(B643,""en"",""pl"")"),"Nie udało się uzyskać czasu GPS")</f>
        <v>Nie udało się uzyskać czasu GPS</v>
      </c>
      <c r="AS643" s="4" t="str">
        <f>IFERROR(__xludf.DUMMYFUNCTION("GOOGLETRANSLATE(B643,""en"",""sv"")"),"Det gick inte att hämta GPS-tid")</f>
        <v>Det gick inte att hämta GPS-tid</v>
      </c>
      <c r="AT643" s="4" t="str">
        <f>IFERROR(__xludf.DUMMYFUNCTION("GOOGLETRANSLATE(B643,""en"",""uk"")"),"Не вдалося отримати час GPS")</f>
        <v>Не вдалося отримати час GPS</v>
      </c>
      <c r="AU643" s="4" t="str">
        <f>IFERROR(__xludf.DUMMYFUNCTION("GOOGLETRANSLATE(B643,""en"",""zu"")"),"Yehlulekile ukuthola isikhathi se-GPS")</f>
        <v>Yehlulekile ukuthola isikhathi se-GPS</v>
      </c>
      <c r="AV643" s="4" t="str">
        <f>IFERROR(__xludf.DUMMYFUNCTION("GOOGLETRANSLATE(B643,""en"",""sr"")"),"Добијање ГПС времена није успело")</f>
        <v>Добијање ГПС времена није успело</v>
      </c>
    </row>
    <row r="644">
      <c r="A644" s="3" t="s">
        <v>1224</v>
      </c>
      <c r="B644" s="3" t="s">
        <v>1225</v>
      </c>
      <c r="C644" s="4" t="str">
        <f>IFERROR(__xludf.DUMMYFUNCTION("GOOGLETRANSLATE(B644,""en"",""ta"")"),"இருப்பிட அனுமதி")</f>
        <v>இருப்பிட அனுமதி</v>
      </c>
      <c r="D644" s="4" t="str">
        <f>IFERROR(__xludf.DUMMYFUNCTION("GOOGLETRANSLATE(B644,""en"",""hi"")"),"स्थान अनुमति")</f>
        <v>स्थान अनुमति</v>
      </c>
      <c r="E644" s="4" t="str">
        <f>IFERROR(__xludf.DUMMYFUNCTION("GOOGLETRANSLATE(B644,""en"",""id"")"),"Izin Lokasi")</f>
        <v>Izin Lokasi</v>
      </c>
      <c r="F644" s="4" t="str">
        <f>IFERROR(__xludf.DUMMYFUNCTION("GOOGLETRANSLATE(B644,""en"",""ms"")"),"Kebenaran Lokasi")</f>
        <v>Kebenaran Lokasi</v>
      </c>
      <c r="G644" s="4" t="str">
        <f>IFERROR(__xludf.DUMMYFUNCTION("GOOGLETRANSLATE(B644,""en"",""de"")"),"Standortberechtigung")</f>
        <v>Standortberechtigung</v>
      </c>
      <c r="H644" s="4" t="str">
        <f>IFERROR(__xludf.DUMMYFUNCTION("GOOGLETRANSLATE(B644,""en"",""es"")"),"Permiso de ubicación")</f>
        <v>Permiso de ubicación</v>
      </c>
      <c r="I644" s="4" t="str">
        <f>IFERROR(__xludf.DUMMYFUNCTION("GOOGLETRANSLATE(B644,""en"",""fr"")"),"Autorisation de localisation")</f>
        <v>Autorisation de localisation</v>
      </c>
      <c r="J644" s="4" t="str">
        <f>IFERROR(__xludf.DUMMYFUNCTION("GOOGLETRANSLATE(B644,""en"",""it"")"),"Autorizzazione alla posizione")</f>
        <v>Autorizzazione alla posizione</v>
      </c>
      <c r="K644" s="4" t="str">
        <f>IFERROR(__xludf.DUMMYFUNCTION("GOOGLETRANSLATE(B644,""en"",""pt"")"),"Permissão de localização")</f>
        <v>Permissão de localização</v>
      </c>
      <c r="L644" s="4" t="str">
        <f>IFERROR(__xludf.DUMMYFUNCTION("GOOGLETRANSLATE(B644,""en"",""ro"")"),"Permisiune de locație")</f>
        <v>Permisiune de locație</v>
      </c>
      <c r="M644" s="4" t="str">
        <f>IFERROR(__xludf.DUMMYFUNCTION("GOOGLETRANSLATE(B644,""en"",""vi"")"),"Quyền vị trí")</f>
        <v>Quyền vị trí</v>
      </c>
      <c r="N644" s="4" t="str">
        <f>IFERROR(__xludf.DUMMYFUNCTION("GOOGLETRANSLATE(B644,""en"",""ru"")"),"Разрешение на местоположение")</f>
        <v>Разрешение на местоположение</v>
      </c>
      <c r="O644" s="4" t="str">
        <f>IFERROR(__xludf.DUMMYFUNCTION("GOOGLETRANSLATE(B644,""en"",""tr"")"),"Konum İzni")</f>
        <v>Konum İzni</v>
      </c>
      <c r="P644" s="4" t="str">
        <f>IFERROR(__xludf.DUMMYFUNCTION("GOOGLETRANSLATE(B644,""en"",""ar"")"),"إذن الموقع")</f>
        <v>إذن الموقع</v>
      </c>
      <c r="Q644" s="4" t="str">
        <f>IFERROR(__xludf.DUMMYFUNCTION("GOOGLETRANSLATE(B644,""en"",""mr"")"),"स्थान परवानगी")</f>
        <v>स्थान परवानगी</v>
      </c>
      <c r="R644" s="4" t="str">
        <f>IFERROR(__xludf.DUMMYFUNCTION("GOOGLETRANSLATE(B644,""en"",""gu"")"),"સ્થાન પરવાનગી")</f>
        <v>સ્થાન પરવાનગી</v>
      </c>
      <c r="S644" s="4" t="str">
        <f>IFERROR(__xludf.DUMMYFUNCTION("GOOGLETRANSLATE(B644,""en"",""bn"")"),"অবস্থানের অনুমতি")</f>
        <v>অবস্থানের অনুমতি</v>
      </c>
      <c r="T644" s="4" t="str">
        <f>IFERROR(__xludf.DUMMYFUNCTION("GOOGLETRANSLATE(B644,""en"",""pa"")"),"ਟਿਕਾਣਾ ਇਜਾਜ਼ਤ")</f>
        <v>ਟਿਕਾਣਾ ਇਜਾਜ਼ਤ</v>
      </c>
      <c r="U644" s="4" t="str">
        <f>IFERROR(__xludf.DUMMYFUNCTION("GOOGLETRANSLATE(B644,""en"",""te"")"),"స్థాన అనుమతి")</f>
        <v>స్థాన అనుమతి</v>
      </c>
      <c r="V644" s="4" t="str">
        <f>IFERROR(__xludf.DUMMYFUNCTION("GOOGLETRANSLATE(B644,""en"",""kn"")"),"ಸ್ಥಳ ಅನುಮತಿ")</f>
        <v>ಸ್ಥಳ ಅನುಮತಿ</v>
      </c>
      <c r="W644" s="4" t="str">
        <f>IFERROR(__xludf.DUMMYFUNCTION("GOOGLETRANSLATE(B644,""en"",""ml"")"),"ലൊക്കേഷൻ അനുമതി")</f>
        <v>ലൊക്കേഷൻ അനുമതി</v>
      </c>
      <c r="X644" s="4" t="str">
        <f>IFERROR(__xludf.DUMMYFUNCTION("GOOGLETRANSLATE(B644,""en"",""th"")"),"การอนุญาตระบุตำแหน่ง")</f>
        <v>การอนุญาตระบุตำแหน่ง</v>
      </c>
      <c r="Y644" s="4" t="str">
        <f>IFERROR(__xludf.DUMMYFUNCTION("GOOGLETRANSLATE(B644,""en"",""ko"")"),"위치 허가")</f>
        <v>위치 허가</v>
      </c>
      <c r="Z644" s="4" t="str">
        <f>IFERROR(__xludf.DUMMYFUNCTION("GOOGLETRANSLATE(B644,""en"",""zh"")"),"位置许可")</f>
        <v>位置许可</v>
      </c>
      <c r="AA644" s="4" t="str">
        <f>IFERROR(__xludf.DUMMYFUNCTION("GOOGLETRANSLATE(B644,""en"",""zh-TW"")"),"位置許可")</f>
        <v>位置許可</v>
      </c>
      <c r="AB644" s="4" t="str">
        <f>IFERROR(__xludf.DUMMYFUNCTION("GOOGLETRANSLATE(B644,""en"",""ja"")"),"位置情報の許可")</f>
        <v>位置情報の許可</v>
      </c>
      <c r="AC644" s="4" t="str">
        <f>IFERROR(__xludf.DUMMYFUNCTION("GOOGLETRANSLATE(B644,""en"",""bg"")"),"Разрешение за местоположение")</f>
        <v>Разрешение за местоположение</v>
      </c>
      <c r="AD644" s="4" t="str">
        <f>IFERROR(__xludf.DUMMYFUNCTION("GOOGLETRANSLATE(B644,""en"",""cs"")"),"Povolení k umístění")</f>
        <v>Povolení k umístění</v>
      </c>
      <c r="AE644" s="4" t="str">
        <f>IFERROR(__xludf.DUMMYFUNCTION("GOOGLETRANSLATE(B644,""en"",""da"")"),"Placeringstilladelse")</f>
        <v>Placeringstilladelse</v>
      </c>
      <c r="AF644" s="4" t="str">
        <f>IFERROR(__xludf.DUMMYFUNCTION("GOOGLETRANSLATE(B644,""en"",""el"")"),"Άδεια τοποθεσίας")</f>
        <v>Άδεια τοποθεσίας</v>
      </c>
      <c r="AG644" s="4" t="str">
        <f>IFERROR(__xludf.DUMMYFUNCTION("GOOGLETRANSLATE(B644,""en"",""et"")"),"Asukoha luba")</f>
        <v>Asukoha luba</v>
      </c>
      <c r="AH644" s="4" t="str">
        <f>IFERROR(__xludf.DUMMYFUNCTION("GOOGLETRANSLATE(B644,""en"",""fi"")"),"Sijainnin lupa")</f>
        <v>Sijainnin lupa</v>
      </c>
      <c r="AI644" s="4" t="str">
        <f>IFERROR(__xludf.DUMMYFUNCTION("GOOGLETRANSLATE(B644,""en"",""hr"")"),"Dozvola za lokaciju")</f>
        <v>Dozvola za lokaciju</v>
      </c>
      <c r="AJ644" s="4" t="str">
        <f>IFERROR(__xludf.DUMMYFUNCTION("GOOGLETRANSLATE(B644,""en"",""hu"")"),"Helyengedély")</f>
        <v>Helyengedély</v>
      </c>
      <c r="AK644" s="4" t="str">
        <f>IFERROR(__xludf.DUMMYFUNCTION("GOOGLETRANSLATE(B644,""en"",""hy"")"),"Տեղադրության թույլտվություն")</f>
        <v>Տեղադրության թույլտվություն</v>
      </c>
      <c r="AL644" s="4" t="str">
        <f>IFERROR(__xludf.DUMMYFUNCTION("GOOGLETRANSLATE(B644,""en"",""ca"")"),"Permís d'ubicació")</f>
        <v>Permís d'ubicació</v>
      </c>
      <c r="AM644" s="4" t="str">
        <f>IFERROR(__xludf.DUMMYFUNCTION("GOOGLETRANSLATE(B644,""en"",""nl"")"),"Locatietoestemming")</f>
        <v>Locatietoestemming</v>
      </c>
      <c r="AN644" s="4" t="str">
        <f>IFERROR(__xludf.DUMMYFUNCTION("GOOGLETRANSLATE(B644,""en"",""he"")"),"הרשאת מיקום")</f>
        <v>הרשאת מיקום</v>
      </c>
      <c r="AO644" s="4" t="str">
        <f>IFERROR(__xludf.DUMMYFUNCTION("GOOGLETRANSLATE(B644,""en"",""is"")"),"Staðsetningarleyfi")</f>
        <v>Staðsetningarleyfi</v>
      </c>
      <c r="AP644" s="4" t="str">
        <f>IFERROR(__xludf.DUMMYFUNCTION("GOOGLETRANSLATE(B644,""en"",""no"")"),"Stedstillatelse")</f>
        <v>Stedstillatelse</v>
      </c>
      <c r="AQ644" s="4" t="str">
        <f>IFERROR(__xludf.DUMMYFUNCTION("GOOGLETRANSLATE(B644,""en"",""fa"")"),"مجوز مکان")</f>
        <v>مجوز مکان</v>
      </c>
      <c r="AR644" s="4" t="str">
        <f>IFERROR(__xludf.DUMMYFUNCTION("GOOGLETRANSLATE(B644,""en"",""pl"")"),"Zezwolenie na lokalizację")</f>
        <v>Zezwolenie na lokalizację</v>
      </c>
      <c r="AS644" s="4" t="str">
        <f>IFERROR(__xludf.DUMMYFUNCTION("GOOGLETRANSLATE(B644,""en"",""sv"")"),"Platstillstånd")</f>
        <v>Platstillstånd</v>
      </c>
      <c r="AT644" s="4" t="str">
        <f>IFERROR(__xludf.DUMMYFUNCTION("GOOGLETRANSLATE(B644,""en"",""uk"")"),"Дозвіл на місцезнаходження")</f>
        <v>Дозвіл на місцезнаходження</v>
      </c>
      <c r="AU644" s="4" t="str">
        <f>IFERROR(__xludf.DUMMYFUNCTION("GOOGLETRANSLATE(B644,""en"",""zu"")"),"Imvume yendawo")</f>
        <v>Imvume yendawo</v>
      </c>
      <c r="AV644" s="4" t="str">
        <f>IFERROR(__xludf.DUMMYFUNCTION("GOOGLETRANSLATE(B644,""en"",""sr"")"),"Дозвола за локацију")</f>
        <v>Дозвола за локацију</v>
      </c>
    </row>
    <row r="645">
      <c r="A645" s="3" t="s">
        <v>1226</v>
      </c>
      <c r="B645" s="3" t="s">
        <v>1227</v>
      </c>
      <c r="C645" s="4" t="str">
        <f>IFERROR(__xludf.DUMMYFUNCTION("GOOGLETRANSLATE(B645,""en"",""ta"")"),"GPS நேரத்தைப் பெற, இந்தப் பயன்பாட்டிற்கு உங்கள் இருப்பிடத்திற்கான அணுகல் தேவை.")</f>
        <v>GPS நேரத்தைப் பெற, இந்தப் பயன்பாட்டிற்கு உங்கள் இருப்பிடத்திற்கான அணுகல் தேவை.</v>
      </c>
      <c r="D645" s="4" t="str">
        <f>IFERROR(__xludf.DUMMYFUNCTION("GOOGLETRANSLATE(B645,""en"",""hi"")"),"GPS समय प्राप्त करने के लिए इस ऐप को आपके स्थान तक पहुंच की आवश्यकता है।")</f>
        <v>GPS समय प्राप्त करने के लिए इस ऐप को आपके स्थान तक पहुंच की आवश्यकता है।</v>
      </c>
      <c r="E645" s="4" t="str">
        <f>IFERROR(__xludf.DUMMYFUNCTION("GOOGLETRANSLATE(B645,""en"",""id"")"),"Aplikasi ini memerlukan akses ke lokasi Anda untuk mendapatkan waktu GPS.")</f>
        <v>Aplikasi ini memerlukan akses ke lokasi Anda untuk mendapatkan waktu GPS.</v>
      </c>
      <c r="F645" s="4" t="str">
        <f>IFERROR(__xludf.DUMMYFUNCTION("GOOGLETRANSLATE(B645,""en"",""ms"")"),"Apl ini memerlukan akses ke lokasi anda untuk mendapatkan masa GPS.")</f>
        <v>Apl ini memerlukan akses ke lokasi anda untuk mendapatkan masa GPS.</v>
      </c>
      <c r="G645" s="4" t="str">
        <f>IFERROR(__xludf.DUMMYFUNCTION("GOOGLETRANSLATE(B645,""en"",""de"")"),"Diese App benötigt Zugriff auf Ihren Standort, um die GPS-Zeit zu ermitteln.")</f>
        <v>Diese App benötigt Zugriff auf Ihren Standort, um die GPS-Zeit zu ermitteln.</v>
      </c>
      <c r="H645" s="4" t="str">
        <f>IFERROR(__xludf.DUMMYFUNCTION("GOOGLETRANSLATE(B645,""en"",""es"")"),"Esta aplicación necesita acceso a tu ubicación para obtener la hora GPS.")</f>
        <v>Esta aplicación necesita acceso a tu ubicación para obtener la hora GPS.</v>
      </c>
      <c r="I645" s="4" t="str">
        <f>IFERROR(__xludf.DUMMYFUNCTION("GOOGLETRANSLATE(B645,""en"",""fr"")"),"Cette application a besoin d'accéder à votre position pour obtenir l'heure GPS.")</f>
        <v>Cette application a besoin d'accéder à votre position pour obtenir l'heure GPS.</v>
      </c>
      <c r="J645" s="4" t="str">
        <f>IFERROR(__xludf.DUMMYFUNCTION("GOOGLETRANSLATE(B645,""en"",""it"")"),"Questa app ha bisogno di accedere alla tua posizione per ottenere l'ora GPS.")</f>
        <v>Questa app ha bisogno di accedere alla tua posizione per ottenere l'ora GPS.</v>
      </c>
      <c r="K645" s="4" t="str">
        <f>IFERROR(__xludf.DUMMYFUNCTION("GOOGLETRANSLATE(B645,""en"",""pt"")"),"Este aplicativo precisa acessar sua localização para obter a hora do GPS.")</f>
        <v>Este aplicativo precisa acessar sua localização para obter a hora do GPS.</v>
      </c>
      <c r="L645" s="4" t="str">
        <f>IFERROR(__xludf.DUMMYFUNCTION("GOOGLETRANSLATE(B645,""en"",""ro"")"),"Această aplicație are nevoie de acces la locația dvs. pentru a obține ora GPS.")</f>
        <v>Această aplicație are nevoie de acces la locația dvs. pentru a obține ora GPS.</v>
      </c>
      <c r="M645" s="4" t="str">
        <f>IFERROR(__xludf.DUMMYFUNCTION("GOOGLETRANSLATE(B645,""en"",""vi"")"),"Ứng dụng này cần truy cập vị trí của bạn để lấy thời gian GPS.")</f>
        <v>Ứng dụng này cần truy cập vị trí của bạn để lấy thời gian GPS.</v>
      </c>
      <c r="N645" s="4" t="str">
        <f>IFERROR(__xludf.DUMMYFUNCTION("GOOGLETRANSLATE(B645,""en"",""ru"")"),"Для получения времени GPS этому приложению необходим доступ к вашему местоположению.")</f>
        <v>Для получения времени GPS этому приложению необходим доступ к вашему местоположению.</v>
      </c>
      <c r="O645" s="4" t="str">
        <f>IFERROR(__xludf.DUMMYFUNCTION("GOOGLETRANSLATE(B645,""en"",""tr"")"),"Bu uygulamanın GPS zamanını alabilmesi için konumunuza erişmesi gerekiyor.")</f>
        <v>Bu uygulamanın GPS zamanını alabilmesi için konumunuza erişmesi gerekiyor.</v>
      </c>
      <c r="P645" s="4" t="str">
        <f>IFERROR(__xludf.DUMMYFUNCTION("GOOGLETRANSLATE(B645,""en"",""ar"")"),"يحتاج هذا التطبيق إلى الوصول إلى موقعك للحصول على وقت GPS.")</f>
        <v>يحتاج هذا التطبيق إلى الوصول إلى موقعك للحصول على وقت GPS.</v>
      </c>
      <c r="Q645" s="4" t="str">
        <f>IFERROR(__xludf.DUMMYFUNCTION("GOOGLETRANSLATE(B645,""en"",""mr"")"),"GPS वेळ मिळवण्यासाठी या ॲपला तुमच्या स्थानामध्ये प्रवेश आवश्यक आहे.")</f>
        <v>GPS वेळ मिळवण्यासाठी या ॲपला तुमच्या स्थानामध्ये प्रवेश आवश्यक आहे.</v>
      </c>
      <c r="R645" s="4" t="str">
        <f>IFERROR(__xludf.DUMMYFUNCTION("GOOGLETRANSLATE(B645,""en"",""gu"")"),"GPS સમય મેળવવા માટે આ એપ્લિકેશનને તમારા સ્થાનની ઍક્સેસની જરૂર છે.")</f>
        <v>GPS સમય મેળવવા માટે આ એપ્લિકેશનને તમારા સ્થાનની ઍક્સેસની જરૂર છે.</v>
      </c>
      <c r="S645" s="4" t="str">
        <f>IFERROR(__xludf.DUMMYFUNCTION("GOOGLETRANSLATE(B645,""en"",""bn"")"),"GPS সময় পেতে এই অ্যাপটি আপনার অবস্থানে অ্যাক্সেসের প্রয়োজন।")</f>
        <v>GPS সময় পেতে এই অ্যাপটি আপনার অবস্থানে অ্যাক্সেসের প্রয়োজন।</v>
      </c>
      <c r="T645" s="4" t="str">
        <f>IFERROR(__xludf.DUMMYFUNCTION("GOOGLETRANSLATE(B645,""en"",""pa"")"),"ਇਸ ਐਪ ਨੂੰ GPS ਸਮਾਂ ਪ੍ਰਾਪਤ ਕਰਨ ਲਈ ਤੁਹਾਡੇ ਟਿਕਾਣੇ ਤੱਕ ਪਹੁੰਚ ਦੀ ਲੋੜ ਹੈ।")</f>
        <v>ਇਸ ਐਪ ਨੂੰ GPS ਸਮਾਂ ਪ੍ਰਾਪਤ ਕਰਨ ਲਈ ਤੁਹਾਡੇ ਟਿਕਾਣੇ ਤੱਕ ਪਹੁੰਚ ਦੀ ਲੋੜ ਹੈ।</v>
      </c>
      <c r="U645" s="4" t="str">
        <f>IFERROR(__xludf.DUMMYFUNCTION("GOOGLETRANSLATE(B645,""en"",""te"")"),"GPS సమయాన్ని పొందడానికి ఈ యాప్‌కి మీ స్థానానికి యాక్సెస్ అవసరం.")</f>
        <v>GPS సమయాన్ని పొందడానికి ఈ యాప్‌కి మీ స్థానానికి యాక్సెస్ అవసరం.</v>
      </c>
      <c r="V645" s="4" t="str">
        <f>IFERROR(__xludf.DUMMYFUNCTION("GOOGLETRANSLATE(B645,""en"",""kn"")"),"GPS ಸಮಯವನ್ನು ಪಡೆಯಲು ಈ ಅಪ್ಲಿಕೇಶನ್‌ಗೆ ನಿಮ್ಮ ಸ್ಥಳಕ್ಕೆ ಪ್ರವೇಶದ ಅಗತ್ಯವಿದೆ.")</f>
        <v>GPS ಸಮಯವನ್ನು ಪಡೆಯಲು ಈ ಅಪ್ಲಿಕೇಶನ್‌ಗೆ ನಿಮ್ಮ ಸ್ಥಳಕ್ಕೆ ಪ್ರವೇಶದ ಅಗತ್ಯವಿದೆ.</v>
      </c>
      <c r="W645" s="4" t="str">
        <f>IFERROR(__xludf.DUMMYFUNCTION("GOOGLETRANSLATE(B645,""en"",""ml"")"),"GPS സമയം ലഭിക്കാൻ ഈ ആപ്പിന് നിങ്ങളുടെ ലൊക്കേഷനിലേക്ക് ആക്‌സസ് ആവശ്യമാണ്.")</f>
        <v>GPS സമയം ലഭിക്കാൻ ഈ ആപ്പിന് നിങ്ങളുടെ ലൊക്കേഷനിലേക്ക് ആക്‌സസ് ആവശ്യമാണ്.</v>
      </c>
      <c r="X645" s="4" t="str">
        <f>IFERROR(__xludf.DUMMYFUNCTION("GOOGLETRANSLATE(B645,""en"",""th"")"),"แอปนี้ต้องการเข้าถึงตำแหน่งของคุณเพื่อรับเวลา GPS")</f>
        <v>แอปนี้ต้องการเข้าถึงตำแหน่งของคุณเพื่อรับเวลา GPS</v>
      </c>
      <c r="Y645" s="4" t="str">
        <f>IFERROR(__xludf.DUMMYFUNCTION("GOOGLETRANSLATE(B645,""en"",""ko"")"),"이 앱은 GPS 시간을 얻기 위해 사용자의 위치에 액세스해야 합니다.")</f>
        <v>이 앱은 GPS 시간을 얻기 위해 사용자의 위치에 액세스해야 합니다.</v>
      </c>
      <c r="Z645" s="4" t="str">
        <f>IFERROR(__xludf.DUMMYFUNCTION("GOOGLETRANSLATE(B645,""en"",""zh"")"),"此应用程序需要访问您的位置以获取 GPS 时间。")</f>
        <v>此应用程序需要访问您的位置以获取 GPS 时间。</v>
      </c>
      <c r="AA645" s="4" t="str">
        <f>IFERROR(__xludf.DUMMYFUNCTION("GOOGLETRANSLATE(B645,""en"",""zh-TW"")"),"此應用程式需要存取您的位置以獲取 GPS 時間。")</f>
        <v>此應用程式需要存取您的位置以獲取 GPS 時間。</v>
      </c>
      <c r="AB645" s="4" t="str">
        <f>IFERROR(__xludf.DUMMYFUNCTION("GOOGLETRANSLATE(B645,""en"",""ja"")"),"このアプリは GPS 時間を取得するためにあなたの位置情報にアクセスする必要があります。")</f>
        <v>このアプリは GPS 時間を取得するためにあなたの位置情報にアクセスする必要があります。</v>
      </c>
      <c r="AC645" s="4" t="str">
        <f>IFERROR(__xludf.DUMMYFUNCTION("GOOGLETRANSLATE(B645,""en"",""bg"")"),"Това приложение се нуждае от достъп до вашето местоположение, за да получи GPS време.")</f>
        <v>Това приложение се нуждае от достъп до вашето местоположение, за да получи GPS време.</v>
      </c>
      <c r="AD645" s="4" t="str">
        <f>IFERROR(__xludf.DUMMYFUNCTION("GOOGLETRANSLATE(B645,""en"",""cs"")"),"Tato aplikace potřebuje přístup k vaší poloze, aby mohla získat čas GPS.")</f>
        <v>Tato aplikace potřebuje přístup k vaší poloze, aby mohla získat čas GPS.</v>
      </c>
      <c r="AE645" s="4" t="str">
        <f>IFERROR(__xludf.DUMMYFUNCTION("GOOGLETRANSLATE(B645,""en"",""da"")"),"Denne app skal have adgang til din placering for at få GPS-tid.")</f>
        <v>Denne app skal have adgang til din placering for at få GPS-tid.</v>
      </c>
      <c r="AF645" s="4" t="str">
        <f>IFERROR(__xludf.DUMMYFUNCTION("GOOGLETRANSLATE(B645,""en"",""el"")"),"Αυτή η εφαρμογή χρειάζεται πρόσβαση στην τοποθεσία σας για να λαμβάνει ώρα GPS.")</f>
        <v>Αυτή η εφαρμογή χρειάζεται πρόσβαση στην τοποθεσία σας για να λαμβάνει ώρα GPS.</v>
      </c>
      <c r="AG645" s="4" t="str">
        <f>IFERROR(__xludf.DUMMYFUNCTION("GOOGLETRANSLATE(B645,""en"",""et"")"),"See rakendus vajab GPS-aja hankimiseks juurdepääsu teie asukohale.")</f>
        <v>See rakendus vajab GPS-aja hankimiseks juurdepääsu teie asukohale.</v>
      </c>
      <c r="AH645" s="4" t="str">
        <f>IFERROR(__xludf.DUMMYFUNCTION("GOOGLETRANSLATE(B645,""en"",""fi"")"),"Tämä sovellus tarvitsee pääsyn sijaintiisi saadakseen GPS-ajan.")</f>
        <v>Tämä sovellus tarvitsee pääsyn sijaintiisi saadakseen GPS-ajan.</v>
      </c>
      <c r="AI645" s="4" t="str">
        <f>IFERROR(__xludf.DUMMYFUNCTION("GOOGLETRANSLATE(B645,""en"",""hr"")"),"Ova aplikacija treba pristup vašoj lokaciji kako bi dobila GPS vrijeme.")</f>
        <v>Ova aplikacija treba pristup vašoj lokaciji kako bi dobila GPS vrijeme.</v>
      </c>
      <c r="AJ645" s="4" t="str">
        <f>IFERROR(__xludf.DUMMYFUNCTION("GOOGLETRANSLATE(B645,""en"",""hu"")"),"Ennek az alkalmazásnak hozzá kell férnie az Ön tartózkodási helyéhez a GPS-idő lekéréséhez.")</f>
        <v>Ennek az alkalmazásnak hozzá kell férnie az Ön tartózkodási helyéhez a GPS-idő lekéréséhez.</v>
      </c>
      <c r="AK645" s="4" t="str">
        <f>IFERROR(__xludf.DUMMYFUNCTION("GOOGLETRANSLATE(B645,""en"",""hy"")"),"Այս հավելվածին անհրաժեշտ է մուտք գործել ձեր գտնվելու վայր՝ GPS ժամանակ ստանալու համար:")</f>
        <v>Այս հավելվածին անհրաժեշտ է մուտք գործել ձեր գտնվելու վայր՝ GPS ժամանակ ստանալու համար:</v>
      </c>
      <c r="AL645" s="4" t="str">
        <f>IFERROR(__xludf.DUMMYFUNCTION("GOOGLETRANSLATE(B645,""en"",""ca"")"),"Aquesta aplicació necessita accedir a la vostra ubicació per obtenir l'hora del GPS.")</f>
        <v>Aquesta aplicació necessita accedir a la vostra ubicació per obtenir l'hora del GPS.</v>
      </c>
      <c r="AM645" s="4" t="str">
        <f>IFERROR(__xludf.DUMMYFUNCTION("GOOGLETRANSLATE(B645,""en"",""nl"")"),"Deze app heeft toegang nodig tot uw locatie om de GPS-tijd te verkrijgen.")</f>
        <v>Deze app heeft toegang nodig tot uw locatie om de GPS-tijd te verkrijgen.</v>
      </c>
      <c r="AN645" s="4" t="str">
        <f>IFERROR(__xludf.DUMMYFUNCTION("GOOGLETRANSLATE(B645,""en"",""he"")"),"אפליקציה זו צריכה גישה למיקום שלך כדי לקבל זמן GPS.")</f>
        <v>אפליקציה זו צריכה גישה למיקום שלך כדי לקבל זמן GPS.</v>
      </c>
      <c r="AO645" s="4" t="str">
        <f>IFERROR(__xludf.DUMMYFUNCTION("GOOGLETRANSLATE(B645,""en"",""is"")"),"Þetta app þarf aðgang að staðsetningu þinni til að fá GPS tíma.")</f>
        <v>Þetta app þarf aðgang að staðsetningu þinni til að fá GPS tíma.</v>
      </c>
      <c r="AP645" s="4" t="str">
        <f>IFERROR(__xludf.DUMMYFUNCTION("GOOGLETRANSLATE(B645,""en"",""no"")"),"Denne appen trenger tilgang til posisjonen din for å få GPS-tid.")</f>
        <v>Denne appen trenger tilgang til posisjonen din for å få GPS-tid.</v>
      </c>
      <c r="AQ645" s="4" t="str">
        <f>IFERROR(__xludf.DUMMYFUNCTION("GOOGLETRANSLATE(B645,""en"",""fa"")"),"این برنامه برای دریافت زمان GPS نیاز به دسترسی به موقعیت مکانی شما دارد.")</f>
        <v>این برنامه برای دریافت زمان GPS نیاز به دسترسی به موقعیت مکانی شما دارد.</v>
      </c>
      <c r="AR645" s="4" t="str">
        <f>IFERROR(__xludf.DUMMYFUNCTION("GOOGLETRANSLATE(B645,""en"",""pl"")"),"Ta aplikacja potrzebuje dostępu do Twojej lokalizacji, aby uzyskać czas GPS.")</f>
        <v>Ta aplikacja potrzebuje dostępu do Twojej lokalizacji, aby uzyskać czas GPS.</v>
      </c>
      <c r="AS645" s="4" t="str">
        <f>IFERROR(__xludf.DUMMYFUNCTION("GOOGLETRANSLATE(B645,""en"",""sv"")"),"Den här appen behöver åtkomst till din plats för att få GPS-tid.")</f>
        <v>Den här appen behöver åtkomst till din plats för att få GPS-tid.</v>
      </c>
      <c r="AT645" s="4" t="str">
        <f>IFERROR(__xludf.DUMMYFUNCTION("GOOGLETRANSLATE(B645,""en"",""uk"")"),"Цій програмі потрібен доступ до вашого місцезнаходження, щоб отримати час GPS.")</f>
        <v>Цій програмі потрібен доступ до вашого місцезнаходження, щоб отримати час GPS.</v>
      </c>
      <c r="AU645" s="4" t="str">
        <f>IFERROR(__xludf.DUMMYFUNCTION("GOOGLETRANSLATE(B645,""en"",""zu"")"),"Lolu hlelo lokusebenza ludinga ukufinyelela endaweni yakho ukuze luthole isikhathi se-GPS.")</f>
        <v>Lolu hlelo lokusebenza ludinga ukufinyelela endaweni yakho ukuze luthole isikhathi se-GPS.</v>
      </c>
      <c r="AV645" s="4" t="str">
        <f>IFERROR(__xludf.DUMMYFUNCTION("GOOGLETRANSLATE(B645,""en"",""sr"")"),"Овој апликацији је потребан приступ вашој локацији да би добила ГПС време.")</f>
        <v>Овој апликацији је потребан приступ вашој локацији да би добила ГПС време.</v>
      </c>
    </row>
    <row r="646">
      <c r="A646" s="3" t="s">
        <v>1228</v>
      </c>
      <c r="B646" s="3" t="s">
        <v>1229</v>
      </c>
      <c r="C646" s="4" t="str">
        <f>IFERROR(__xludf.DUMMYFUNCTION("GOOGLETRANSLATE(B646,""en"",""ta"")"),"கேள் மீ லேட்டர்")</f>
        <v>கேள் மீ லேட்டர்</v>
      </c>
      <c r="D646" s="4" t="str">
        <f>IFERROR(__xludf.DUMMYFUNCTION("GOOGLETRANSLATE(B646,""en"",""hi"")"),"मुझसे बाद में पूछें")</f>
        <v>मुझसे बाद में पूछें</v>
      </c>
      <c r="E646" s="4" t="str">
        <f>IFERROR(__xludf.DUMMYFUNCTION("GOOGLETRANSLATE(B646,""en"",""id"")"),"Tanyakan padaku nanti")</f>
        <v>Tanyakan padaku nanti</v>
      </c>
      <c r="F646" s="4" t="str">
        <f>IFERROR(__xludf.DUMMYFUNCTION("GOOGLETRANSLATE(B646,""en"",""ms"")"),"Tanya Saya Nanti")</f>
        <v>Tanya Saya Nanti</v>
      </c>
      <c r="G646" s="4" t="str">
        <f>IFERROR(__xludf.DUMMYFUNCTION("GOOGLETRANSLATE(B646,""en"",""de"")"),"Frag mich später")</f>
        <v>Frag mich später</v>
      </c>
      <c r="H646" s="4" t="str">
        <f>IFERROR(__xludf.DUMMYFUNCTION("GOOGLETRANSLATE(B646,""en"",""es"")"),"Pregúntame más tarde")</f>
        <v>Pregúntame más tarde</v>
      </c>
      <c r="I646" s="4" t="str">
        <f>IFERROR(__xludf.DUMMYFUNCTION("GOOGLETRANSLATE(B646,""en"",""fr"")"),"Demande-moi plus tard")</f>
        <v>Demande-moi plus tard</v>
      </c>
      <c r="J646" s="4" t="str">
        <f>IFERROR(__xludf.DUMMYFUNCTION("GOOGLETRANSLATE(B646,""en"",""it"")"),"Chiedimelo più tardi")</f>
        <v>Chiedimelo più tardi</v>
      </c>
      <c r="K646" s="4" t="str">
        <f>IFERROR(__xludf.DUMMYFUNCTION("GOOGLETRANSLATE(B646,""en"",""pt"")"),"Pergunte-me mais tarde")</f>
        <v>Pergunte-me mais tarde</v>
      </c>
      <c r="L646" s="4" t="str">
        <f>IFERROR(__xludf.DUMMYFUNCTION("GOOGLETRANSLATE(B646,""en"",""ro"")"),"Întreabă-mă mai târziu")</f>
        <v>Întreabă-mă mai târziu</v>
      </c>
      <c r="M646" s="4" t="str">
        <f>IFERROR(__xludf.DUMMYFUNCTION("GOOGLETRANSLATE(B646,""en"",""vi"")"),"Hỏi tôi sau")</f>
        <v>Hỏi tôi sau</v>
      </c>
      <c r="N646" s="4" t="str">
        <f>IFERROR(__xludf.DUMMYFUNCTION("GOOGLETRANSLATE(B646,""en"",""ru"")"),"Спросите меня позже")</f>
        <v>Спросите меня позже</v>
      </c>
      <c r="O646" s="4" t="str">
        <f>IFERROR(__xludf.DUMMYFUNCTION("GOOGLETRANSLATE(B646,""en"",""tr"")"),"Bana Sonra Sor")</f>
        <v>Bana Sonra Sor</v>
      </c>
      <c r="P646" s="4" t="str">
        <f>IFERROR(__xludf.DUMMYFUNCTION("GOOGLETRANSLATE(B646,""en"",""ar"")"),"اسألني لاحقًا")</f>
        <v>اسألني لاحقًا</v>
      </c>
      <c r="Q646" s="4" t="str">
        <f>IFERROR(__xludf.DUMMYFUNCTION("GOOGLETRANSLATE(B646,""en"",""mr"")"),"मला नंतर विचारा")</f>
        <v>मला नंतर विचारा</v>
      </c>
      <c r="R646" s="4" t="str">
        <f>IFERROR(__xludf.DUMMYFUNCTION("GOOGLETRANSLATE(B646,""en"",""gu"")"),"મને પછી પૂછો")</f>
        <v>મને પછી પૂછો</v>
      </c>
      <c r="S646" s="4" t="str">
        <f>IFERROR(__xludf.DUMMYFUNCTION("GOOGLETRANSLATE(B646,""en"",""bn"")"),"আমাকে পরে জিজ্ঞাসা করুন")</f>
        <v>আমাকে পরে জিজ্ঞাসা করুন</v>
      </c>
      <c r="T646" s="4" t="str">
        <f>IFERROR(__xludf.DUMMYFUNCTION("GOOGLETRANSLATE(B646,""en"",""pa"")"),"ਮੈਨੂੰ ਬਾਅਦ ਵਿੱਚ ਪੁੱਛੋ")</f>
        <v>ਮੈਨੂੰ ਬਾਅਦ ਵਿੱਚ ਪੁੱਛੋ</v>
      </c>
      <c r="U646" s="4" t="str">
        <f>IFERROR(__xludf.DUMMYFUNCTION("GOOGLETRANSLATE(B646,""en"",""te"")"),"నన్ను తర్వాత అడగండి")</f>
        <v>నన్ను తర్వాత అడగండి</v>
      </c>
      <c r="V646" s="4" t="str">
        <f>IFERROR(__xludf.DUMMYFUNCTION("GOOGLETRANSLATE(B646,""en"",""kn"")"),"ನಂತರ ನನ್ನನ್ನು ಕೇಳಿ")</f>
        <v>ನಂತರ ನನ್ನನ್ನು ಕೇಳಿ</v>
      </c>
      <c r="W646" s="4" t="str">
        <f>IFERROR(__xludf.DUMMYFUNCTION("GOOGLETRANSLATE(B646,""en"",""ml"")"),"എന്നോട് പിന്നീട് ചോദിക്കൂ")</f>
        <v>എന്നോട് പിന്നീട് ചോദിക്കൂ</v>
      </c>
      <c r="X646" s="4" t="str">
        <f>IFERROR(__xludf.DUMMYFUNCTION("GOOGLETRANSLATE(B646,""en"",""th"")"),"ถามฉันทีหลัง")</f>
        <v>ถามฉันทีหลัง</v>
      </c>
      <c r="Y646" s="4" t="str">
        <f>IFERROR(__xludf.DUMMYFUNCTION("GOOGLETRANSLATE(B646,""en"",""ko"")"),"나중에 물어보세요")</f>
        <v>나중에 물어보세요</v>
      </c>
      <c r="Z646" s="4" t="str">
        <f>IFERROR(__xludf.DUMMYFUNCTION("GOOGLETRANSLATE(B646,""en"",""zh"")"),"稍后询问我")</f>
        <v>稍后询问我</v>
      </c>
      <c r="AA646" s="4" t="str">
        <f>IFERROR(__xludf.DUMMYFUNCTION("GOOGLETRANSLATE(B646,""en"",""zh-TW"")"),"稍後詢問我")</f>
        <v>稍後詢問我</v>
      </c>
      <c r="AB646" s="4" t="str">
        <f>IFERROR(__xludf.DUMMYFUNCTION("GOOGLETRANSLATE(B646,""en"",""ja"")"),"後で聞いてください")</f>
        <v>後で聞いてください</v>
      </c>
      <c r="AC646" s="4" t="str">
        <f>IFERROR(__xludf.DUMMYFUNCTION("GOOGLETRANSLATE(B646,""en"",""bg"")"),"Попитай ме по-късно")</f>
        <v>Попитай ме по-късно</v>
      </c>
      <c r="AD646" s="4" t="str">
        <f>IFERROR(__xludf.DUMMYFUNCTION("GOOGLETRANSLATE(B646,""en"",""cs"")"),"Zeptejte se mě později")</f>
        <v>Zeptejte se mě později</v>
      </c>
      <c r="AE646" s="4" t="str">
        <f>IFERROR(__xludf.DUMMYFUNCTION("GOOGLETRANSLATE(B646,""en"",""da"")"),"Spørg mig senere")</f>
        <v>Spørg mig senere</v>
      </c>
      <c r="AF646" s="4" t="str">
        <f>IFERROR(__xludf.DUMMYFUNCTION("GOOGLETRANSLATE(B646,""en"",""el"")"),"Ρωτήστε με αργότερα")</f>
        <v>Ρωτήστε με αργότερα</v>
      </c>
      <c r="AG646" s="4" t="str">
        <f>IFERROR(__xludf.DUMMYFUNCTION("GOOGLETRANSLATE(B646,""en"",""et"")"),"Küsi minult hiljem")</f>
        <v>Küsi minult hiljem</v>
      </c>
      <c r="AH646" s="4" t="str">
        <f>IFERROR(__xludf.DUMMYFUNCTION("GOOGLETRANSLATE(B646,""en"",""fi"")"),"Kysy myöhemmin")</f>
        <v>Kysy myöhemmin</v>
      </c>
      <c r="AI646" s="4" t="str">
        <f>IFERROR(__xludf.DUMMYFUNCTION("GOOGLETRANSLATE(B646,""en"",""hr"")"),"Pitaj me kasnije")</f>
        <v>Pitaj me kasnije</v>
      </c>
      <c r="AJ646" s="4" t="str">
        <f>IFERROR(__xludf.DUMMYFUNCTION("GOOGLETRANSLATE(B646,""en"",""hu"")"),"Kérdezz később")</f>
        <v>Kérdezz később</v>
      </c>
      <c r="AK646" s="4" t="str">
        <f>IFERROR(__xludf.DUMMYFUNCTION("GOOGLETRANSLATE(B646,""en"",""hy"")"),"Հարցրու ինձ ավելի ուշ")</f>
        <v>Հարցրու ինձ ավելի ուշ</v>
      </c>
      <c r="AL646" s="4" t="str">
        <f>IFERROR(__xludf.DUMMYFUNCTION("GOOGLETRANSLATE(B646,""en"",""ca"")"),"Pregunta'm més tard")</f>
        <v>Pregunta'm més tard</v>
      </c>
      <c r="AM646" s="4" t="str">
        <f>IFERROR(__xludf.DUMMYFUNCTION("GOOGLETRANSLATE(B646,""en"",""nl"")"),"Vraag het me later")</f>
        <v>Vraag het me later</v>
      </c>
      <c r="AN646" s="4" t="str">
        <f>IFERROR(__xludf.DUMMYFUNCTION("GOOGLETRANSLATE(B646,""en"",""he"")"),"שאל אותי מאוחר יותר")</f>
        <v>שאל אותי מאוחר יותר</v>
      </c>
      <c r="AO646" s="4" t="str">
        <f>IFERROR(__xludf.DUMMYFUNCTION("GOOGLETRANSLATE(B646,""en"",""is"")"),"Spyrðu mig seinna")</f>
        <v>Spyrðu mig seinna</v>
      </c>
      <c r="AP646" s="4" t="str">
        <f>IFERROR(__xludf.DUMMYFUNCTION("GOOGLETRANSLATE(B646,""en"",""no"")"),"Spør meg senere")</f>
        <v>Spør meg senere</v>
      </c>
      <c r="AQ646" s="4" t="str">
        <f>IFERROR(__xludf.DUMMYFUNCTION("GOOGLETRANSLATE(B646,""en"",""fa"")"),"بعداً از من بپرس")</f>
        <v>بعداً از من بپرس</v>
      </c>
      <c r="AR646" s="4" t="str">
        <f>IFERROR(__xludf.DUMMYFUNCTION("GOOGLETRANSLATE(B646,""en"",""pl"")"),"Zapytaj mnie później")</f>
        <v>Zapytaj mnie później</v>
      </c>
      <c r="AS646" s="4" t="str">
        <f>IFERROR(__xludf.DUMMYFUNCTION("GOOGLETRANSLATE(B646,""en"",""sv"")"),"Fråga mig senare")</f>
        <v>Fråga mig senare</v>
      </c>
      <c r="AT646" s="4" t="str">
        <f>IFERROR(__xludf.DUMMYFUNCTION("GOOGLETRANSLATE(B646,""en"",""uk"")"),"Запитай мене пізніше")</f>
        <v>Запитай мене пізніше</v>
      </c>
      <c r="AU646" s="4" t="str">
        <f>IFERROR(__xludf.DUMMYFUNCTION("GOOGLETRANSLATE(B646,""en"",""zu"")"),"Ngibuze Kamuva")</f>
        <v>Ngibuze Kamuva</v>
      </c>
      <c r="AV646" s="4" t="str">
        <f>IFERROR(__xludf.DUMMYFUNCTION("GOOGLETRANSLATE(B646,""en"",""sr"")"),"Питај ме касније")</f>
        <v>Питај ме касније</v>
      </c>
    </row>
    <row r="647">
      <c r="A647" s="3" t="s">
        <v>1230</v>
      </c>
      <c r="B647" s="3" t="s">
        <v>357</v>
      </c>
      <c r="C647" s="4" t="str">
        <f>IFERROR(__xludf.DUMMYFUNCTION("GOOGLETRANSLATE(B647,""en"",""ta"")"),"ரத்து செய்")</f>
        <v>ரத்து செய்</v>
      </c>
      <c r="D647" s="4" t="str">
        <f>IFERROR(__xludf.DUMMYFUNCTION("GOOGLETRANSLATE(B647,""en"",""hi"")"),"रद्द करना")</f>
        <v>रद्द करना</v>
      </c>
      <c r="E647" s="4" t="str">
        <f>IFERROR(__xludf.DUMMYFUNCTION("GOOGLETRANSLATE(B647,""en"",""id"")"),"Membatalkan")</f>
        <v>Membatalkan</v>
      </c>
      <c r="F647" s="4" t="str">
        <f>IFERROR(__xludf.DUMMYFUNCTION("GOOGLETRANSLATE(B647,""en"",""ms"")"),"Batal")</f>
        <v>Batal</v>
      </c>
      <c r="G647" s="4" t="str">
        <f>IFERROR(__xludf.DUMMYFUNCTION("GOOGLETRANSLATE(B647,""en"",""de"")"),"Stornieren")</f>
        <v>Stornieren</v>
      </c>
      <c r="H647" s="4" t="str">
        <f>IFERROR(__xludf.DUMMYFUNCTION("GOOGLETRANSLATE(B647,""en"",""es"")"),"Cancelar")</f>
        <v>Cancelar</v>
      </c>
      <c r="I647" s="4" t="str">
        <f>IFERROR(__xludf.DUMMYFUNCTION("GOOGLETRANSLATE(B647,""en"",""fr"")"),"Annuler")</f>
        <v>Annuler</v>
      </c>
      <c r="J647" s="4" t="str">
        <f>IFERROR(__xludf.DUMMYFUNCTION("GOOGLETRANSLATE(B647,""en"",""it"")"),"Cancellare")</f>
        <v>Cancellare</v>
      </c>
      <c r="K647" s="4" t="str">
        <f>IFERROR(__xludf.DUMMYFUNCTION("GOOGLETRANSLATE(B647,""en"",""pt"")"),"Cancelar")</f>
        <v>Cancelar</v>
      </c>
      <c r="L647" s="4" t="str">
        <f>IFERROR(__xludf.DUMMYFUNCTION("GOOGLETRANSLATE(B647,""en"",""ro"")"),"Anula")</f>
        <v>Anula</v>
      </c>
      <c r="M647" s="4" t="str">
        <f>IFERROR(__xludf.DUMMYFUNCTION("GOOGLETRANSLATE(B647,""en"",""vi"")"),"Hủy bỏ")</f>
        <v>Hủy bỏ</v>
      </c>
      <c r="N647" s="4" t="str">
        <f>IFERROR(__xludf.DUMMYFUNCTION("GOOGLETRANSLATE(B647,""en"",""ru"")"),"Отмена")</f>
        <v>Отмена</v>
      </c>
      <c r="O647" s="4" t="str">
        <f>IFERROR(__xludf.DUMMYFUNCTION("GOOGLETRANSLATE(B647,""en"",""tr"")"),"İptal etmek")</f>
        <v>İptal etmek</v>
      </c>
      <c r="P647" s="4" t="str">
        <f>IFERROR(__xludf.DUMMYFUNCTION("GOOGLETRANSLATE(B647,""en"",""ar"")"),"يلغي")</f>
        <v>يلغي</v>
      </c>
      <c r="Q647" s="4" t="str">
        <f>IFERROR(__xludf.DUMMYFUNCTION("GOOGLETRANSLATE(B647,""en"",""mr"")"),"रद्द करा")</f>
        <v>रद्द करा</v>
      </c>
      <c r="R647" s="4" t="str">
        <f>IFERROR(__xludf.DUMMYFUNCTION("GOOGLETRANSLATE(B647,""en"",""gu"")"),"રદ કરો")</f>
        <v>રદ કરો</v>
      </c>
      <c r="S647" s="4" t="str">
        <f>IFERROR(__xludf.DUMMYFUNCTION("GOOGLETRANSLATE(B647,""en"",""bn"")"),"বাতিল করুন")</f>
        <v>বাতিল করুন</v>
      </c>
      <c r="T647" s="4" t="str">
        <f>IFERROR(__xludf.DUMMYFUNCTION("GOOGLETRANSLATE(B647,""en"",""pa"")"),"ਰੱਦ ਕਰੋ")</f>
        <v>ਰੱਦ ਕਰੋ</v>
      </c>
      <c r="U647" s="4" t="str">
        <f>IFERROR(__xludf.DUMMYFUNCTION("GOOGLETRANSLATE(B647,""en"",""te"")"),"రద్దు చేయి")</f>
        <v>రద్దు చేయి</v>
      </c>
      <c r="V647" s="4" t="str">
        <f>IFERROR(__xludf.DUMMYFUNCTION("GOOGLETRANSLATE(B647,""en"",""kn"")"),"ರದ್ದುಮಾಡು")</f>
        <v>ರದ್ದುಮಾಡು</v>
      </c>
      <c r="W647" s="4" t="str">
        <f>IFERROR(__xludf.DUMMYFUNCTION("GOOGLETRANSLATE(B647,""en"",""ml"")"),"റദ്ദാക്കുക")</f>
        <v>റദ്ദാക്കുക</v>
      </c>
      <c r="X647" s="4" t="str">
        <f>IFERROR(__xludf.DUMMYFUNCTION("GOOGLETRANSLATE(B647,""en"",""th"")"),"ยกเลิก")</f>
        <v>ยกเลิก</v>
      </c>
      <c r="Y647" s="4" t="str">
        <f>IFERROR(__xludf.DUMMYFUNCTION("GOOGLETRANSLATE(B647,""en"",""ko"")"),"취소")</f>
        <v>취소</v>
      </c>
      <c r="Z647" s="4" t="str">
        <f>IFERROR(__xludf.DUMMYFUNCTION("GOOGLETRANSLATE(B647,""en"",""zh"")"),"取消")</f>
        <v>取消</v>
      </c>
      <c r="AA647" s="4" t="str">
        <f>IFERROR(__xludf.DUMMYFUNCTION("GOOGLETRANSLATE(B647,""en"",""zh-TW"")"),"取消")</f>
        <v>取消</v>
      </c>
      <c r="AB647" s="4" t="str">
        <f>IFERROR(__xludf.DUMMYFUNCTION("GOOGLETRANSLATE(B647,""en"",""ja"")"),"キャンセル")</f>
        <v>キャンセル</v>
      </c>
      <c r="AC647" s="4" t="str">
        <f>IFERROR(__xludf.DUMMYFUNCTION("GOOGLETRANSLATE(B647,""en"",""bg"")"),"Отказ")</f>
        <v>Отказ</v>
      </c>
      <c r="AD647" s="4" t="str">
        <f>IFERROR(__xludf.DUMMYFUNCTION("GOOGLETRANSLATE(B647,""en"",""cs"")"),"Zrušit")</f>
        <v>Zrušit</v>
      </c>
      <c r="AE647" s="4" t="str">
        <f>IFERROR(__xludf.DUMMYFUNCTION("GOOGLETRANSLATE(B647,""en"",""da"")"),"Ophæve")</f>
        <v>Ophæve</v>
      </c>
      <c r="AF647" s="4" t="str">
        <f>IFERROR(__xludf.DUMMYFUNCTION("GOOGLETRANSLATE(B647,""en"",""el"")"),"Ματαίωση")</f>
        <v>Ματαίωση</v>
      </c>
      <c r="AG647" s="4" t="str">
        <f>IFERROR(__xludf.DUMMYFUNCTION("GOOGLETRANSLATE(B647,""en"",""et"")"),"Tühista")</f>
        <v>Tühista</v>
      </c>
      <c r="AH647" s="4" t="str">
        <f>IFERROR(__xludf.DUMMYFUNCTION("GOOGLETRANSLATE(B647,""en"",""fi"")"),"Peruuttaa")</f>
        <v>Peruuttaa</v>
      </c>
      <c r="AI647" s="4" t="str">
        <f>IFERROR(__xludf.DUMMYFUNCTION("GOOGLETRANSLATE(B647,""en"",""hr"")"),"Otkazati")</f>
        <v>Otkazati</v>
      </c>
      <c r="AJ647" s="4" t="str">
        <f>IFERROR(__xludf.DUMMYFUNCTION("GOOGLETRANSLATE(B647,""en"",""hu"")"),"Mégsem")</f>
        <v>Mégsem</v>
      </c>
      <c r="AK647" s="4" t="str">
        <f>IFERROR(__xludf.DUMMYFUNCTION("GOOGLETRANSLATE(B647,""en"",""hy"")"),"Չեղարկել")</f>
        <v>Չեղարկել</v>
      </c>
      <c r="AL647" s="4" t="str">
        <f>IFERROR(__xludf.DUMMYFUNCTION("GOOGLETRANSLATE(B647,""en"",""ca"")"),"Cancel·la")</f>
        <v>Cancel·la</v>
      </c>
      <c r="AM647" s="4" t="str">
        <f>IFERROR(__xludf.DUMMYFUNCTION("GOOGLETRANSLATE(B647,""en"",""nl"")"),"Annuleren")</f>
        <v>Annuleren</v>
      </c>
      <c r="AN647" s="4" t="str">
        <f>IFERROR(__xludf.DUMMYFUNCTION("GOOGLETRANSLATE(B647,""en"",""he"")"),"לְבַטֵל")</f>
        <v>לְבַטֵל</v>
      </c>
      <c r="AO647" s="4" t="str">
        <f>IFERROR(__xludf.DUMMYFUNCTION("GOOGLETRANSLATE(B647,""en"",""is"")"),"Hætta við")</f>
        <v>Hætta við</v>
      </c>
      <c r="AP647" s="4" t="str">
        <f>IFERROR(__xludf.DUMMYFUNCTION("GOOGLETRANSLATE(B647,""en"",""no"")"),"Kansellere")</f>
        <v>Kansellere</v>
      </c>
      <c r="AQ647" s="4" t="str">
        <f>IFERROR(__xludf.DUMMYFUNCTION("GOOGLETRANSLATE(B647,""en"",""fa"")"),"لغو کنید")</f>
        <v>لغو کنید</v>
      </c>
      <c r="AR647" s="4" t="str">
        <f>IFERROR(__xludf.DUMMYFUNCTION("GOOGLETRANSLATE(B647,""en"",""pl"")"),"Anulować")</f>
        <v>Anulować</v>
      </c>
      <c r="AS647" s="4" t="str">
        <f>IFERROR(__xludf.DUMMYFUNCTION("GOOGLETRANSLATE(B647,""en"",""sv"")"),"Avboka")</f>
        <v>Avboka</v>
      </c>
      <c r="AT647" s="4" t="str">
        <f>IFERROR(__xludf.DUMMYFUNCTION("GOOGLETRANSLATE(B647,""en"",""uk"")"),"Скасувати")</f>
        <v>Скасувати</v>
      </c>
      <c r="AU647" s="4" t="str">
        <f>IFERROR(__xludf.DUMMYFUNCTION("GOOGLETRANSLATE(B647,""en"",""zu"")"),"Khansela")</f>
        <v>Khansela</v>
      </c>
      <c r="AV647" s="4" t="str">
        <f>IFERROR(__xludf.DUMMYFUNCTION("GOOGLETRANSLATE(B647,""en"",""sr"")"),"Откажи")</f>
        <v>Откажи</v>
      </c>
    </row>
    <row r="648">
      <c r="A648" s="3" t="s">
        <v>1231</v>
      </c>
      <c r="B648" s="3" t="s">
        <v>1232</v>
      </c>
      <c r="C648" s="4" t="str">
        <f>IFERROR(__xludf.DUMMYFUNCTION("GOOGLETRANSLATE(B648,""en"",""ta"")"),"சரி")</f>
        <v>சரி</v>
      </c>
      <c r="D648" s="4" t="str">
        <f>IFERROR(__xludf.DUMMYFUNCTION("GOOGLETRANSLATE(B648,""en"",""hi"")"),"ठीक है")</f>
        <v>ठीक है</v>
      </c>
      <c r="E648" s="4" t="str">
        <f>IFERROR(__xludf.DUMMYFUNCTION("GOOGLETRANSLATE(B648,""en"",""id"")"),"OKE")</f>
        <v>OKE</v>
      </c>
      <c r="F648" s="4" t="str">
        <f>IFERROR(__xludf.DUMMYFUNCTION("GOOGLETRANSLATE(B648,""en"",""ms"")"),"OK")</f>
        <v>OK</v>
      </c>
      <c r="G648" s="4" t="str">
        <f>IFERROR(__xludf.DUMMYFUNCTION("GOOGLETRANSLATE(B648,""en"",""de"")"),"OK")</f>
        <v>OK</v>
      </c>
      <c r="H648" s="4" t="str">
        <f>IFERROR(__xludf.DUMMYFUNCTION("GOOGLETRANSLATE(B648,""en"",""es"")"),"DE ACUERDO")</f>
        <v>DE ACUERDO</v>
      </c>
      <c r="I648" s="4" t="str">
        <f>IFERROR(__xludf.DUMMYFUNCTION("GOOGLETRANSLATE(B648,""en"",""fr"")"),"D'ACCORD")</f>
        <v>D'ACCORD</v>
      </c>
      <c r="J648" s="4" t="str">
        <f>IFERROR(__xludf.DUMMYFUNCTION("GOOGLETRANSLATE(B648,""en"",""it"")"),"OK")</f>
        <v>OK</v>
      </c>
      <c r="K648" s="4" t="str">
        <f>IFERROR(__xludf.DUMMYFUNCTION("GOOGLETRANSLATE(B648,""en"",""pt"")"),"OK")</f>
        <v>OK</v>
      </c>
      <c r="L648" s="4" t="str">
        <f>IFERROR(__xludf.DUMMYFUNCTION("GOOGLETRANSLATE(B648,""en"",""ro"")"),"Bine")</f>
        <v>Bine</v>
      </c>
      <c r="M648" s="4" t="str">
        <f>IFERROR(__xludf.DUMMYFUNCTION("GOOGLETRANSLATE(B648,""en"",""vi"")"),"ĐƯỢC RỒI")</f>
        <v>ĐƯỢC RỒI</v>
      </c>
      <c r="N648" s="4" t="str">
        <f>IFERROR(__xludf.DUMMYFUNCTION("GOOGLETRANSLATE(B648,""en"",""ru"")"),"ХОРОШО")</f>
        <v>ХОРОШО</v>
      </c>
      <c r="O648" s="4" t="str">
        <f>IFERROR(__xludf.DUMMYFUNCTION("GOOGLETRANSLATE(B648,""en"",""tr"")"),"TAMAM")</f>
        <v>TAMAM</v>
      </c>
      <c r="P648" s="4" t="str">
        <f>IFERROR(__xludf.DUMMYFUNCTION("GOOGLETRANSLATE(B648,""en"",""ar"")"),"نعم")</f>
        <v>نعم</v>
      </c>
      <c r="Q648" s="4" t="str">
        <f>IFERROR(__xludf.DUMMYFUNCTION("GOOGLETRANSLATE(B648,""en"",""mr"")"),"ठीक आहे")</f>
        <v>ठीक आहे</v>
      </c>
      <c r="R648" s="4" t="str">
        <f>IFERROR(__xludf.DUMMYFUNCTION("GOOGLETRANSLATE(B648,""en"",""gu"")"),"ઠીક છે")</f>
        <v>ઠીક છે</v>
      </c>
      <c r="S648" s="4" t="str">
        <f>IFERROR(__xludf.DUMMYFUNCTION("GOOGLETRANSLATE(B648,""en"",""bn"")"),"ঠিক আছে")</f>
        <v>ঠিক আছে</v>
      </c>
      <c r="T648" s="4" t="str">
        <f>IFERROR(__xludf.DUMMYFUNCTION("GOOGLETRANSLATE(B648,""en"",""pa"")"),"ਠੀਕ ਹੈ")</f>
        <v>ਠੀਕ ਹੈ</v>
      </c>
      <c r="U648" s="4" t="str">
        <f>IFERROR(__xludf.DUMMYFUNCTION("GOOGLETRANSLATE(B648,""en"",""te"")"),"సరే")</f>
        <v>సరే</v>
      </c>
      <c r="V648" s="4" t="str">
        <f>IFERROR(__xludf.DUMMYFUNCTION("GOOGLETRANSLATE(B648,""en"",""kn"")"),"ಸರಿ")</f>
        <v>ಸರಿ</v>
      </c>
      <c r="W648" s="4" t="str">
        <f>IFERROR(__xludf.DUMMYFUNCTION("GOOGLETRANSLATE(B648,""en"",""ml"")"),"ശരി")</f>
        <v>ശരി</v>
      </c>
      <c r="X648" s="4" t="str">
        <f>IFERROR(__xludf.DUMMYFUNCTION("GOOGLETRANSLATE(B648,""en"",""th"")"),"ตกลง")</f>
        <v>ตกลง</v>
      </c>
      <c r="Y648" s="4" t="str">
        <f>IFERROR(__xludf.DUMMYFUNCTION("GOOGLETRANSLATE(B648,""en"",""ko"")"),"좋아요")</f>
        <v>좋아요</v>
      </c>
      <c r="Z648" s="4" t="str">
        <f>IFERROR(__xludf.DUMMYFUNCTION("GOOGLETRANSLATE(B648,""en"",""zh"")"),"好的")</f>
        <v>好的</v>
      </c>
      <c r="AA648" s="4" t="str">
        <f>IFERROR(__xludf.DUMMYFUNCTION("GOOGLETRANSLATE(B648,""en"",""zh-TW"")"),"好的")</f>
        <v>好的</v>
      </c>
      <c r="AB648" s="4" t="str">
        <f>IFERROR(__xludf.DUMMYFUNCTION("GOOGLETRANSLATE(B648,""en"",""ja"")"),"わかりました")</f>
        <v>わかりました</v>
      </c>
      <c r="AC648" s="4" t="str">
        <f>IFERROR(__xludf.DUMMYFUNCTION("GOOGLETRANSLATE(B648,""en"",""bg"")"),"добре")</f>
        <v>добре</v>
      </c>
      <c r="AD648" s="4" t="str">
        <f>IFERROR(__xludf.DUMMYFUNCTION("GOOGLETRANSLATE(B648,""en"",""cs"")"),"OK")</f>
        <v>OK</v>
      </c>
      <c r="AE648" s="4" t="str">
        <f>IFERROR(__xludf.DUMMYFUNCTION("GOOGLETRANSLATE(B648,""en"",""da"")"),"OK")</f>
        <v>OK</v>
      </c>
      <c r="AF648" s="4" t="str">
        <f>IFERROR(__xludf.DUMMYFUNCTION("GOOGLETRANSLATE(B648,""en"",""el"")"),"ΕΝΤΑΞΕΙ")</f>
        <v>ΕΝΤΑΞΕΙ</v>
      </c>
      <c r="AG648" s="4" t="str">
        <f>IFERROR(__xludf.DUMMYFUNCTION("GOOGLETRANSLATE(B648,""en"",""et"")"),"OK")</f>
        <v>OK</v>
      </c>
      <c r="AH648" s="4" t="str">
        <f>IFERROR(__xludf.DUMMYFUNCTION("GOOGLETRANSLATE(B648,""en"",""fi"")"),"OK")</f>
        <v>OK</v>
      </c>
      <c r="AI648" s="4" t="str">
        <f>IFERROR(__xludf.DUMMYFUNCTION("GOOGLETRANSLATE(B648,""en"",""hr"")"),"U REDU")</f>
        <v>U REDU</v>
      </c>
      <c r="AJ648" s="4" t="str">
        <f>IFERROR(__xludf.DUMMYFUNCTION("GOOGLETRANSLATE(B648,""en"",""hu"")"),"RENDBEN")</f>
        <v>RENDBEN</v>
      </c>
      <c r="AK648" s="4" t="str">
        <f>IFERROR(__xludf.DUMMYFUNCTION("GOOGLETRANSLATE(B648,""en"",""hy"")"),"Լավ")</f>
        <v>Լավ</v>
      </c>
      <c r="AL648" s="4" t="str">
        <f>IFERROR(__xludf.DUMMYFUNCTION("GOOGLETRANSLATE(B648,""en"",""ca"")"),"D'acord")</f>
        <v>D'acord</v>
      </c>
      <c r="AM648" s="4" t="str">
        <f>IFERROR(__xludf.DUMMYFUNCTION("GOOGLETRANSLATE(B648,""en"",""nl"")"),"OK")</f>
        <v>OK</v>
      </c>
      <c r="AN648" s="4" t="str">
        <f>IFERROR(__xludf.DUMMYFUNCTION("GOOGLETRANSLATE(B648,""en"",""he"")"),"בְּסֵדֶר")</f>
        <v>בְּסֵדֶר</v>
      </c>
      <c r="AO648" s="4" t="str">
        <f>IFERROR(__xludf.DUMMYFUNCTION("GOOGLETRANSLATE(B648,""en"",""is"")"),"Allt í lagi")</f>
        <v>Allt í lagi</v>
      </c>
      <c r="AP648" s="4" t="str">
        <f>IFERROR(__xludf.DUMMYFUNCTION("GOOGLETRANSLATE(B648,""en"",""no"")"),"OK")</f>
        <v>OK</v>
      </c>
      <c r="AQ648" s="4" t="str">
        <f>IFERROR(__xludf.DUMMYFUNCTION("GOOGLETRANSLATE(B648,""en"",""fa"")"),"باشه")</f>
        <v>باشه</v>
      </c>
      <c r="AR648" s="4" t="str">
        <f>IFERROR(__xludf.DUMMYFUNCTION("GOOGLETRANSLATE(B648,""en"",""pl"")"),"OK")</f>
        <v>OK</v>
      </c>
      <c r="AS648" s="4" t="str">
        <f>IFERROR(__xludf.DUMMYFUNCTION("GOOGLETRANSLATE(B648,""en"",""sv"")"),"OK")</f>
        <v>OK</v>
      </c>
      <c r="AT648" s="4" t="str">
        <f>IFERROR(__xludf.DUMMYFUNCTION("GOOGLETRANSLATE(B648,""en"",""uk"")"),"добре")</f>
        <v>добре</v>
      </c>
      <c r="AU648" s="4" t="str">
        <f>IFERROR(__xludf.DUMMYFUNCTION("GOOGLETRANSLATE(B648,""en"",""zu"")"),"KULUNGILE")</f>
        <v>KULUNGILE</v>
      </c>
      <c r="AV648" s="4" t="str">
        <f>IFERROR(__xludf.DUMMYFUNCTION("GOOGLETRANSLATE(B648,""en"",""sr"")"),"ОК")</f>
        <v>ОК</v>
      </c>
    </row>
    <row r="649">
      <c r="A649" s="3" t="s">
        <v>1233</v>
      </c>
      <c r="B649" s="3" t="s">
        <v>1234</v>
      </c>
      <c r="C649" s="4" t="str">
        <f>IFERROR(__xludf.DUMMYFUNCTION("GOOGLETRANSLATE(B649,""en"",""ta"")"),"இருப்பிட அனுமதி வழங்கப்படவில்லை")</f>
        <v>இருப்பிட அனுமதி வழங்கப்படவில்லை</v>
      </c>
      <c r="D649" s="4" t="str">
        <f>IFERROR(__xludf.DUMMYFUNCTION("GOOGLETRANSLATE(B649,""en"",""hi"")"),"स्थान की अनुमति नहीं दी गई")</f>
        <v>स्थान की अनुमति नहीं दी गई</v>
      </c>
      <c r="E649" s="4" t="str">
        <f>IFERROR(__xludf.DUMMYFUNCTION("GOOGLETRANSLATE(B649,""en"",""id"")"),"Izin lokasi tidak diberikan")</f>
        <v>Izin lokasi tidak diberikan</v>
      </c>
      <c r="F649" s="4" t="str">
        <f>IFERROR(__xludf.DUMMYFUNCTION("GOOGLETRANSLATE(B649,""en"",""ms"")"),"Kebenaran lokasi tidak diberikan")</f>
        <v>Kebenaran lokasi tidak diberikan</v>
      </c>
      <c r="G649" s="4" t="str">
        <f>IFERROR(__xludf.DUMMYFUNCTION("GOOGLETRANSLATE(B649,""en"",""de"")"),"Standortberechtigung nicht erteilt")</f>
        <v>Standortberechtigung nicht erteilt</v>
      </c>
      <c r="H649" s="4" t="str">
        <f>IFERROR(__xludf.DUMMYFUNCTION("GOOGLETRANSLATE(B649,""en"",""es"")"),"Permiso de ubicación no concedido")</f>
        <v>Permiso de ubicación no concedido</v>
      </c>
      <c r="I649" s="4" t="str">
        <f>IFERROR(__xludf.DUMMYFUNCTION("GOOGLETRANSLATE(B649,""en"",""fr"")"),"Autorisation de localisation non accordée")</f>
        <v>Autorisation de localisation non accordée</v>
      </c>
      <c r="J649" s="4" t="str">
        <f>IFERROR(__xludf.DUMMYFUNCTION("GOOGLETRANSLATE(B649,""en"",""it"")"),"Autorizzazione alla posizione non concessa")</f>
        <v>Autorizzazione alla posizione non concessa</v>
      </c>
      <c r="K649" s="4" t="str">
        <f>IFERROR(__xludf.DUMMYFUNCTION("GOOGLETRANSLATE(B649,""en"",""pt"")"),"Permissão de localização não concedida")</f>
        <v>Permissão de localização não concedida</v>
      </c>
      <c r="L649" s="4" t="str">
        <f>IFERROR(__xludf.DUMMYFUNCTION("GOOGLETRANSLATE(B649,""en"",""ro"")"),"Permisiunea de locație nu a fost acordată")</f>
        <v>Permisiunea de locație nu a fost acordată</v>
      </c>
      <c r="M649" s="4" t="str">
        <f>IFERROR(__xludf.DUMMYFUNCTION("GOOGLETRANSLATE(B649,""en"",""vi"")"),"Quyền vị trí không được cấp")</f>
        <v>Quyền vị trí không được cấp</v>
      </c>
      <c r="N649" s="4" t="str">
        <f>IFERROR(__xludf.DUMMYFUNCTION("GOOGLETRANSLATE(B649,""en"",""ru"")"),"Разрешение на местоположение не предоставлено")</f>
        <v>Разрешение на местоположение не предоставлено</v>
      </c>
      <c r="O649" s="4" t="str">
        <f>IFERROR(__xludf.DUMMYFUNCTION("GOOGLETRANSLATE(B649,""en"",""tr"")"),"Konum izni verilmedi")</f>
        <v>Konum izni verilmedi</v>
      </c>
      <c r="P649" s="4" t="str">
        <f>IFERROR(__xludf.DUMMYFUNCTION("GOOGLETRANSLATE(B649,""en"",""ar"")"),"لم يتم منح إذن الموقع")</f>
        <v>لم يتم منح إذن الموقع</v>
      </c>
      <c r="Q649" s="4" t="str">
        <f>IFERROR(__xludf.DUMMYFUNCTION("GOOGLETRANSLATE(B649,""en"",""mr"")"),"स्थान परवानगी दिली नाही")</f>
        <v>स्थान परवानगी दिली नाही</v>
      </c>
      <c r="R649" s="4" t="str">
        <f>IFERROR(__xludf.DUMMYFUNCTION("GOOGLETRANSLATE(B649,""en"",""gu"")"),"સ્થાનની પરવાનગી આપવામાં આવી નથી")</f>
        <v>સ્થાનની પરવાનગી આપવામાં આવી નથી</v>
      </c>
      <c r="S649" s="4" t="str">
        <f>IFERROR(__xludf.DUMMYFUNCTION("GOOGLETRANSLATE(B649,""en"",""bn"")"),"অবস্থানের অনুমতি দেওয়া হয়নি")</f>
        <v>অবস্থানের অনুমতি দেওয়া হয়নি</v>
      </c>
      <c r="T649" s="4" t="str">
        <f>IFERROR(__xludf.DUMMYFUNCTION("GOOGLETRANSLATE(B649,""en"",""pa"")"),"ਸਥਾਨ ਦੀ ਇਜਾਜ਼ਤ ਨਹੀਂ ਦਿੱਤੀ ਗਈ")</f>
        <v>ਸਥਾਨ ਦੀ ਇਜਾਜ਼ਤ ਨਹੀਂ ਦਿੱਤੀ ਗਈ</v>
      </c>
      <c r="U649" s="4" t="str">
        <f>IFERROR(__xludf.DUMMYFUNCTION("GOOGLETRANSLATE(B649,""en"",""te"")"),"స్థాన అనుమతి మంజూరు కాలేదు")</f>
        <v>స్థాన అనుమతి మంజూరు కాలేదు</v>
      </c>
      <c r="V649" s="4" t="str">
        <f>IFERROR(__xludf.DUMMYFUNCTION("GOOGLETRANSLATE(B649,""en"",""kn"")"),"ಸ್ಥಳ ಅನುಮತಿ ನೀಡಲಾಗಿಲ್ಲ")</f>
        <v>ಸ್ಥಳ ಅನುಮತಿ ನೀಡಲಾಗಿಲ್ಲ</v>
      </c>
      <c r="W649" s="4" t="str">
        <f>IFERROR(__xludf.DUMMYFUNCTION("GOOGLETRANSLATE(B649,""en"",""ml"")"),"ലൊക്കേഷൻ അനുമതി നൽകിയിട്ടില്ല")</f>
        <v>ലൊക്കേഷൻ അനുമതി നൽകിയിട്ടില്ല</v>
      </c>
      <c r="X649" s="4" t="str">
        <f>IFERROR(__xludf.DUMMYFUNCTION("GOOGLETRANSLATE(B649,""en"",""th"")"),"ไม่ได้รับอนุญาติให้ระบุตำแหน่ง")</f>
        <v>ไม่ได้รับอนุญาติให้ระบุตำแหน่ง</v>
      </c>
      <c r="Y649" s="4" t="str">
        <f>IFERROR(__xludf.DUMMYFUNCTION("GOOGLETRANSLATE(B649,""en"",""ko"")"),"위치 권한이 부여되지 않았습니다")</f>
        <v>위치 권한이 부여되지 않았습니다</v>
      </c>
      <c r="Z649" s="4" t="str">
        <f>IFERROR(__xludf.DUMMYFUNCTION("GOOGLETRANSLATE(B649,""en"",""zh"")"),"未授予位置权限")</f>
        <v>未授予位置权限</v>
      </c>
      <c r="AA649" s="4" t="str">
        <f>IFERROR(__xludf.DUMMYFUNCTION("GOOGLETRANSLATE(B649,""en"",""zh-TW"")"),"未授予位置權限")</f>
        <v>未授予位置權限</v>
      </c>
      <c r="AB649" s="4" t="str">
        <f>IFERROR(__xludf.DUMMYFUNCTION("GOOGLETRANSLATE(B649,""en"",""ja"")"),"位置情報の許可が与えられていません")</f>
        <v>位置情報の許可が与えられていません</v>
      </c>
      <c r="AC649" s="4" t="str">
        <f>IFERROR(__xludf.DUMMYFUNCTION("GOOGLETRANSLATE(B649,""en"",""bg"")"),"Разрешението за местоположение не е дадено")</f>
        <v>Разрешението за местоположение не е дадено</v>
      </c>
      <c r="AD649" s="4" t="str">
        <f>IFERROR(__xludf.DUMMYFUNCTION("GOOGLETRANSLATE(B649,""en"",""cs"")"),"Oprávnění k poloze nebylo uděleno")</f>
        <v>Oprávnění k poloze nebylo uděleno</v>
      </c>
      <c r="AE649" s="4" t="str">
        <f>IFERROR(__xludf.DUMMYFUNCTION("GOOGLETRANSLATE(B649,""en"",""da"")"),"Placeringstilladelse er ikke givet")</f>
        <v>Placeringstilladelse er ikke givet</v>
      </c>
      <c r="AF649" s="4" t="str">
        <f>IFERROR(__xludf.DUMMYFUNCTION("GOOGLETRANSLATE(B649,""en"",""el"")"),"Δεν έχει χορηγηθεί άδεια τοποθεσίας")</f>
        <v>Δεν έχει χορηγηθεί άδεια τοποθεσίας</v>
      </c>
      <c r="AG649" s="4" t="str">
        <f>IFERROR(__xludf.DUMMYFUNCTION("GOOGLETRANSLATE(B649,""en"",""et"")"),"Asukoha luba pole antud")</f>
        <v>Asukoha luba pole antud</v>
      </c>
      <c r="AH649" s="4" t="str">
        <f>IFERROR(__xludf.DUMMYFUNCTION("GOOGLETRANSLATE(B649,""en"",""fi"")"),"Sijaintilupaa ei myönnetty")</f>
        <v>Sijaintilupaa ei myönnetty</v>
      </c>
      <c r="AI649" s="4" t="str">
        <f>IFERROR(__xludf.DUMMYFUNCTION("GOOGLETRANSLATE(B649,""en"",""hr"")"),"Dopuštenje za lokaciju nije odobreno")</f>
        <v>Dopuštenje za lokaciju nije odobreno</v>
      </c>
      <c r="AJ649" s="4" t="str">
        <f>IFERROR(__xludf.DUMMYFUNCTION("GOOGLETRANSLATE(B649,""en"",""hu"")"),"Helymeghatározási engedély nincs megadva")</f>
        <v>Helymeghatározási engedély nincs megadva</v>
      </c>
      <c r="AK649" s="4" t="str">
        <f>IFERROR(__xludf.DUMMYFUNCTION("GOOGLETRANSLATE(B649,""en"",""hy"")"),"Տեղադրության թույլտվությունը չի տրվել")</f>
        <v>Տեղադրության թույլտվությունը չի տրվել</v>
      </c>
      <c r="AL649" s="4" t="str">
        <f>IFERROR(__xludf.DUMMYFUNCTION("GOOGLETRANSLATE(B649,""en"",""ca"")"),"No s'ha concedit el permís d'ubicació")</f>
        <v>No s'ha concedit el permís d'ubicació</v>
      </c>
      <c r="AM649" s="4" t="str">
        <f>IFERROR(__xludf.DUMMYFUNCTION("GOOGLETRANSLATE(B649,""en"",""nl"")"),"Locatietoestemming niet verleend")</f>
        <v>Locatietoestemming niet verleend</v>
      </c>
      <c r="AN649" s="4" t="str">
        <f>IFERROR(__xludf.DUMMYFUNCTION("GOOGLETRANSLATE(B649,""en"",""he"")"),"הרשאת מיקום לא ניתנה")</f>
        <v>הרשאת מיקום לא ניתנה</v>
      </c>
      <c r="AO649" s="4" t="str">
        <f>IFERROR(__xludf.DUMMYFUNCTION("GOOGLETRANSLATE(B649,""en"",""is"")"),"Staðsetningarleyfi ekki veitt")</f>
        <v>Staðsetningarleyfi ekki veitt</v>
      </c>
      <c r="AP649" s="4" t="str">
        <f>IFERROR(__xludf.DUMMYFUNCTION("GOOGLETRANSLATE(B649,""en"",""no"")"),"Stedstillatelse ikke gitt")</f>
        <v>Stedstillatelse ikke gitt</v>
      </c>
      <c r="AQ649" s="4" t="str">
        <f>IFERROR(__xludf.DUMMYFUNCTION("GOOGLETRANSLATE(B649,""en"",""fa"")"),"مجوز مکان داده نشده است")</f>
        <v>مجوز مکان داده نشده است</v>
      </c>
      <c r="AR649" s="4" t="str">
        <f>IFERROR(__xludf.DUMMYFUNCTION("GOOGLETRANSLATE(B649,""en"",""pl"")"),"Nie udzielono pozwolenia na lokalizację")</f>
        <v>Nie udzielono pozwolenia na lokalizację</v>
      </c>
      <c r="AS649" s="4" t="str">
        <f>IFERROR(__xludf.DUMMYFUNCTION("GOOGLETRANSLATE(B649,""en"",""sv"")"),"Platstillstånd har inte beviljats")</f>
        <v>Platstillstånd har inte beviljats</v>
      </c>
      <c r="AT649" s="4" t="str">
        <f>IFERROR(__xludf.DUMMYFUNCTION("GOOGLETRANSLATE(B649,""en"",""uk"")"),"Дозвіл на місцезнаходження не надано")</f>
        <v>Дозвіл на місцезнаходження не надано</v>
      </c>
      <c r="AU649" s="4" t="str">
        <f>IFERROR(__xludf.DUMMYFUNCTION("GOOGLETRANSLATE(B649,""en"",""zu"")"),"Imvume yendawo ayinikiwe")</f>
        <v>Imvume yendawo ayinikiwe</v>
      </c>
      <c r="AV649" s="4" t="str">
        <f>IFERROR(__xludf.DUMMYFUNCTION("GOOGLETRANSLATE(B649,""en"",""sr"")"),"Дозвола за локацију није дата")</f>
        <v>Дозвола за локацију није дата</v>
      </c>
    </row>
    <row r="650">
      <c r="A650" s="3" t="s">
        <v>1235</v>
      </c>
      <c r="B650" s="3" t="s">
        <v>1236</v>
      </c>
      <c r="C650" s="4" t="str">
        <f>IFERROR(__xludf.DUMMYFUNCTION("GOOGLETRANSLATE(B650,""en"",""ta"")"),"செயற்கைக்கோள் தரவை ஏற்றுகிறது...")</f>
        <v>செயற்கைக்கோள் தரவை ஏற்றுகிறது...</v>
      </c>
      <c r="D650" s="4" t="str">
        <f>IFERROR(__xludf.DUMMYFUNCTION("GOOGLETRANSLATE(B650,""en"",""hi"")"),"उपग्रह डेटा लोड हो रहा है...")</f>
        <v>उपग्रह डेटा लोड हो रहा है...</v>
      </c>
      <c r="E650" s="4" t="str">
        <f>IFERROR(__xludf.DUMMYFUNCTION("GOOGLETRANSLATE(B650,""en"",""id"")"),"Memuat data satelit...")</f>
        <v>Memuat data satelit...</v>
      </c>
      <c r="F650" s="4" t="str">
        <f>IFERROR(__xludf.DUMMYFUNCTION("GOOGLETRANSLATE(B650,""en"",""ms"")"),"Memuatkan data satelit...")</f>
        <v>Memuatkan data satelit...</v>
      </c>
      <c r="G650" s="4" t="str">
        <f>IFERROR(__xludf.DUMMYFUNCTION("GOOGLETRANSLATE(B650,""en"",""de"")"),"Satellitendaten werden geladen...")</f>
        <v>Satellitendaten werden geladen...</v>
      </c>
      <c r="H650" s="4" t="str">
        <f>IFERROR(__xludf.DUMMYFUNCTION("GOOGLETRANSLATE(B650,""en"",""es"")"),"Cargando datos satelitales...")</f>
        <v>Cargando datos satelitales...</v>
      </c>
      <c r="I650" s="4" t="str">
        <f>IFERROR(__xludf.DUMMYFUNCTION("GOOGLETRANSLATE(B650,""en"",""fr"")"),"Chargement des données satellite...")</f>
        <v>Chargement des données satellite...</v>
      </c>
      <c r="J650" s="4" t="str">
        <f>IFERROR(__xludf.DUMMYFUNCTION("GOOGLETRANSLATE(B650,""en"",""it"")"),"Caricamento dati satellitari in corso...")</f>
        <v>Caricamento dati satellitari in corso...</v>
      </c>
      <c r="K650" s="4" t="str">
        <f>IFERROR(__xludf.DUMMYFUNCTION("GOOGLETRANSLATE(B650,""en"",""pt"")"),"Carregando dados de satélite...")</f>
        <v>Carregando dados de satélite...</v>
      </c>
      <c r="L650" s="4" t="str">
        <f>IFERROR(__xludf.DUMMYFUNCTION("GOOGLETRANSLATE(B650,""en"",""ro"")"),"Se încarcă datele satelitare...")</f>
        <v>Se încarcă datele satelitare...</v>
      </c>
      <c r="M650" s="4" t="str">
        <f>IFERROR(__xludf.DUMMYFUNCTION("GOOGLETRANSLATE(B650,""en"",""vi"")"),"Đang tải dữ liệu vệ tinh...")</f>
        <v>Đang tải dữ liệu vệ tinh...</v>
      </c>
      <c r="N650" s="4" t="str">
        <f>IFERROR(__xludf.DUMMYFUNCTION("GOOGLETRANSLATE(B650,""en"",""ru"")"),"Загрузка спутниковых данных...")</f>
        <v>Загрузка спутниковых данных...</v>
      </c>
      <c r="O650" s="4" t="str">
        <f>IFERROR(__xludf.DUMMYFUNCTION("GOOGLETRANSLATE(B650,""en"",""tr"")"),"Uydu verileri yükleniyor...")</f>
        <v>Uydu verileri yükleniyor...</v>
      </c>
      <c r="P650" s="4" t="str">
        <f>IFERROR(__xludf.DUMMYFUNCTION("GOOGLETRANSLATE(B650,""en"",""ar"")"),"جاري تحميل بيانات القمر الصناعي...")</f>
        <v>جاري تحميل بيانات القمر الصناعي...</v>
      </c>
      <c r="Q650" s="4" t="str">
        <f>IFERROR(__xludf.DUMMYFUNCTION("GOOGLETRANSLATE(B650,""en"",""mr"")"),"उपग्रह डेटा लोड करत आहे...")</f>
        <v>उपग्रह डेटा लोड करत आहे...</v>
      </c>
      <c r="R650" s="4" t="str">
        <f>IFERROR(__xludf.DUMMYFUNCTION("GOOGLETRANSLATE(B650,""en"",""gu"")"),"સેટેલાઇટ ડેટા લોડ કરી રહ્યું છે...")</f>
        <v>સેટેલાઇટ ડેટા લોડ કરી રહ્યું છે...</v>
      </c>
      <c r="S650" s="4" t="str">
        <f>IFERROR(__xludf.DUMMYFUNCTION("GOOGLETRANSLATE(B650,""en"",""bn"")"),"স্যাটেলাইট ডেটা লোড হচ্ছে...")</f>
        <v>স্যাটেলাইট ডেটা লোড হচ্ছে...</v>
      </c>
      <c r="T650" s="4" t="str">
        <f>IFERROR(__xludf.DUMMYFUNCTION("GOOGLETRANSLATE(B650,""en"",""pa"")"),"ਸੈਟੇਲਾਈਟ ਡਾਟਾ ਲੋਡ ਕੀਤਾ ਜਾ ਰਿਹਾ ਹੈ...")</f>
        <v>ਸੈਟੇਲਾਈਟ ਡਾਟਾ ਲੋਡ ਕੀਤਾ ਜਾ ਰਿਹਾ ਹੈ...</v>
      </c>
      <c r="U650" s="4" t="str">
        <f>IFERROR(__xludf.DUMMYFUNCTION("GOOGLETRANSLATE(B650,""en"",""te"")"),"ఉపగ్రహ డేటా లోడ్ అవుతోంది...")</f>
        <v>ఉపగ్రహ డేటా లోడ్ అవుతోంది...</v>
      </c>
      <c r="V650" s="4" t="str">
        <f>IFERROR(__xludf.DUMMYFUNCTION("GOOGLETRANSLATE(B650,""en"",""kn"")"),"ಉಪಗ್ರಹ ಡೇಟಾವನ್ನು ಲೋಡ್ ಮಾಡಲಾಗುತ್ತಿದೆ...")</f>
        <v>ಉಪಗ್ರಹ ಡೇಟಾವನ್ನು ಲೋಡ್ ಮಾಡಲಾಗುತ್ತಿದೆ...</v>
      </c>
      <c r="W650" s="4" t="str">
        <f>IFERROR(__xludf.DUMMYFUNCTION("GOOGLETRANSLATE(B650,""en"",""ml"")"),"ഉപഗ്രഹ ഡാറ്റ ലോഡുചെയ്യുന്നു...")</f>
        <v>ഉപഗ്രഹ ഡാറ്റ ലോഡുചെയ്യുന്നു...</v>
      </c>
      <c r="X650" s="4" t="str">
        <f>IFERROR(__xludf.DUMMYFUNCTION("GOOGLETRANSLATE(B650,""en"",""th"")"),"กำลังโหลดข้อมูลจากดาวเทียม...")</f>
        <v>กำลังโหลดข้อมูลจากดาวเทียม...</v>
      </c>
      <c r="Y650" s="4" t="str">
        <f>IFERROR(__xludf.DUMMYFUNCTION("GOOGLETRANSLATE(B650,""en"",""ko"")"),"위성 데이터를 로딩 중입니다...")</f>
        <v>위성 데이터를 로딩 중입니다...</v>
      </c>
      <c r="Z650" s="4" t="str">
        <f>IFERROR(__xludf.DUMMYFUNCTION("GOOGLETRANSLATE(B650,""en"",""zh"")"),"正在加载卫星数据...")</f>
        <v>正在加载卫星数据...</v>
      </c>
      <c r="AA650" s="4" t="str">
        <f>IFERROR(__xludf.DUMMYFUNCTION("GOOGLETRANSLATE(B650,""en"",""zh-TW"")"),"正在載入衛星資料...")</f>
        <v>正在載入衛星資料...</v>
      </c>
      <c r="AB650" s="4" t="str">
        <f>IFERROR(__xludf.DUMMYFUNCTION("GOOGLETRANSLATE(B650,""en"",""ja"")"),"衛星データを読み込んでいます...")</f>
        <v>衛星データを読み込んでいます...</v>
      </c>
      <c r="AC650" s="4" t="str">
        <f>IFERROR(__xludf.DUMMYFUNCTION("GOOGLETRANSLATE(B650,""en"",""bg"")"),"Сателитните данни се зареждат...")</f>
        <v>Сателитните данни се зареждат...</v>
      </c>
      <c r="AD650" s="4" t="str">
        <f>IFERROR(__xludf.DUMMYFUNCTION("GOOGLETRANSLATE(B650,""en"",""cs"")"),"Načítání satelitních dat...")</f>
        <v>Načítání satelitních dat...</v>
      </c>
      <c r="AE650" s="4" t="str">
        <f>IFERROR(__xludf.DUMMYFUNCTION("GOOGLETRANSLATE(B650,""en"",""da"")"),"Indlæser satellitdata...")</f>
        <v>Indlæser satellitdata...</v>
      </c>
      <c r="AF650" s="4" t="str">
        <f>IFERROR(__xludf.DUMMYFUNCTION("GOOGLETRANSLATE(B650,""en"",""el"")"),"Φόρτωση δορυφορικών δεδομένων...")</f>
        <v>Φόρτωση δορυφορικών δεδομένων...</v>
      </c>
      <c r="AG650" s="4" t="str">
        <f>IFERROR(__xludf.DUMMYFUNCTION("GOOGLETRANSLATE(B650,""en"",""et"")"),"Satelliidiandmete laadimine...")</f>
        <v>Satelliidiandmete laadimine...</v>
      </c>
      <c r="AH650" s="4" t="str">
        <f>IFERROR(__xludf.DUMMYFUNCTION("GOOGLETRANSLATE(B650,""en"",""fi"")"),"Ladataan satelliittitietoja...")</f>
        <v>Ladataan satelliittitietoja...</v>
      </c>
      <c r="AI650" s="4" t="str">
        <f>IFERROR(__xludf.DUMMYFUNCTION("GOOGLETRANSLATE(B650,""en"",""hr"")"),"Učitavanje satelitskih podataka...")</f>
        <v>Učitavanje satelitskih podataka...</v>
      </c>
      <c r="AJ650" s="4" t="str">
        <f>IFERROR(__xludf.DUMMYFUNCTION("GOOGLETRANSLATE(B650,""en"",""hu"")"),"Műholdadatok betöltése...")</f>
        <v>Műholdadatok betöltése...</v>
      </c>
      <c r="AK650" s="4" t="str">
        <f>IFERROR(__xludf.DUMMYFUNCTION("GOOGLETRANSLATE(B650,""en"",""hy"")"),"Արբանյակային տվյալների բեռնում...")</f>
        <v>Արբանյակային տվյալների բեռնում...</v>
      </c>
      <c r="AL650" s="4" t="str">
        <f>IFERROR(__xludf.DUMMYFUNCTION("GOOGLETRANSLATE(B650,""en"",""ca"")"),"S'estan carregant les dades del satèl·lit...")</f>
        <v>S'estan carregant les dades del satèl·lit...</v>
      </c>
      <c r="AM650" s="4" t="str">
        <f>IFERROR(__xludf.DUMMYFUNCTION("GOOGLETRANSLATE(B650,""en"",""nl"")"),"Satellietgegevens worden geladen...")</f>
        <v>Satellietgegevens worden geladen...</v>
      </c>
      <c r="AN650" s="4" t="str">
        <f>IFERROR(__xludf.DUMMYFUNCTION("GOOGLETRANSLATE(B650,""en"",""he"")"),"טוען נתוני לווין...")</f>
        <v>טוען נתוני לווין...</v>
      </c>
      <c r="AO650" s="4" t="str">
        <f>IFERROR(__xludf.DUMMYFUNCTION("GOOGLETRANSLATE(B650,""en"",""is"")"),"Hleður gervihnattagögnum...")</f>
        <v>Hleður gervihnattagögnum...</v>
      </c>
      <c r="AP650" s="4" t="str">
        <f>IFERROR(__xludf.DUMMYFUNCTION("GOOGLETRANSLATE(B650,""en"",""no"")"),"Laster inn satellittdata...")</f>
        <v>Laster inn satellittdata...</v>
      </c>
      <c r="AQ650" s="4" t="str">
        <f>IFERROR(__xludf.DUMMYFUNCTION("GOOGLETRANSLATE(B650,""en"",""fa"")"),"در حال بارگیری داده های ماهواره ای...")</f>
        <v>در حال بارگیری داده های ماهواره ای...</v>
      </c>
      <c r="AR650" s="4" t="str">
        <f>IFERROR(__xludf.DUMMYFUNCTION("GOOGLETRANSLATE(B650,""en"",""pl"")"),"Ładowanie danych satelitarnych...")</f>
        <v>Ładowanie danych satelitarnych...</v>
      </c>
      <c r="AS650" s="4" t="str">
        <f>IFERROR(__xludf.DUMMYFUNCTION("GOOGLETRANSLATE(B650,""en"",""sv"")"),"Laddar satellitdata...")</f>
        <v>Laddar satellitdata...</v>
      </c>
      <c r="AT650" s="4" t="str">
        <f>IFERROR(__xludf.DUMMYFUNCTION("GOOGLETRANSLATE(B650,""en"",""uk"")"),"Завантаження супутникових даних...")</f>
        <v>Завантаження супутникових даних...</v>
      </c>
      <c r="AU650" s="4" t="str">
        <f>IFERROR(__xludf.DUMMYFUNCTION("GOOGLETRANSLATE(B650,""en"",""zu"")"),"Ilayisha idatha yesathelayithi...")</f>
        <v>Ilayisha idatha yesathelayithi...</v>
      </c>
      <c r="AV650" s="4" t="str">
        <f>IFERROR(__xludf.DUMMYFUNCTION("GOOGLETRANSLATE(B650,""en"",""sr"")"),"Учитавање сателитских података...")</f>
        <v>Учитавање сателитских података...</v>
      </c>
    </row>
    <row r="651">
      <c r="A651" s="3" t="s">
        <v>1237</v>
      </c>
      <c r="B651" s="3" t="s">
        <v>1238</v>
      </c>
      <c r="C651" s="4" t="str">
        <f>IFERROR(__xludf.DUMMYFUNCTION("GOOGLETRANSLATE(B651,""en"",""ta"")"),"தரவு பழையதாக இருக்கலாம் (கடைசியாக புதுப்பிக்கப்பட்டது: {{time}}வி முன்பு)")</f>
        <v>தரவு பழையதாக இருக்கலாம் (கடைசியாக புதுப்பிக்கப்பட்டது: {{time}}வி முன்பு)</v>
      </c>
      <c r="D651" s="4" t="str">
        <f>IFERROR(__xludf.DUMMYFUNCTION("GOOGLETRANSLATE(B651,""en"",""hi"")"),"डेटा पुराना हो सकता है (अंतिम अपडेट: {{समय}}s पहले)")</f>
        <v>डेटा पुराना हो सकता है (अंतिम अपडेट: {{समय}}s पहले)</v>
      </c>
      <c r="E651" s="4" t="str">
        <f>IFERROR(__xludf.DUMMYFUNCTION("GOOGLETRANSLATE(B651,""en"",""id"")"),"Data mungkin sudah tidak berlaku lagi (Pembaruan terakhir: {{time}}d yang lalu)")</f>
        <v>Data mungkin sudah tidak berlaku lagi (Pembaruan terakhir: {{time}}d yang lalu)</v>
      </c>
      <c r="F651" s="4" t="str">
        <f>IFERROR(__xludf.DUMMYFUNCTION("GOOGLETRANSLATE(B651,""en"",""ms"")"),"Data mungkin lapuk (Kemas kini terakhir: {{time}}s ago)")</f>
        <v>Data mungkin lapuk (Kemas kini terakhir: {{time}}s ago)</v>
      </c>
      <c r="G651" s="4" t="str">
        <f>IFERROR(__xludf.DUMMYFUNCTION("GOOGLETRANSLATE(B651,""en"",""de"")"),"Daten können veraltet sein (Letzte Aktualisierung: vor {{time}} s)")</f>
        <v>Daten können veraltet sein (Letzte Aktualisierung: vor {{time}} s)</v>
      </c>
      <c r="H651" s="4" t="str">
        <f>IFERROR(__xludf.DUMMYFUNCTION("GOOGLETRANSLATE(B651,""en"",""es"")"),"Los datos pueden estar desactualizados (Última actualización: hace {{time}}s)")</f>
        <v>Los datos pueden estar desactualizados (Última actualización: hace {{time}}s)</v>
      </c>
      <c r="I651" s="4" t="str">
        <f>IFERROR(__xludf.DUMMYFUNCTION("GOOGLETRANSLATE(B651,""en"",""fr"")"),"Les données peuvent être obsolètes (dernière mise à jour : il y a {{time}}s)")</f>
        <v>Les données peuvent être obsolètes (dernière mise à jour : il y a {{time}}s)</v>
      </c>
      <c r="J651" s="4" t="str">
        <f>IFERROR(__xludf.DUMMYFUNCTION("GOOGLETRANSLATE(B651,""en"",""it"")"),"I dati potrebbero essere obsoleti (Ultimo aggiornamento: {{time}}s fa)")</f>
        <v>I dati potrebbero essere obsoleti (Ultimo aggiornamento: {{time}}s fa)</v>
      </c>
      <c r="K651" s="4" t="str">
        <f>IFERROR(__xludf.DUMMYFUNCTION("GOOGLETRANSLATE(B651,""en"",""pt"")"),"Os dados podem estar desatualizados (Última atualização: {{time}}s atrás)")</f>
        <v>Os dados podem estar desatualizados (Última atualização: {{time}}s atrás)</v>
      </c>
      <c r="L651" s="4" t="str">
        <f>IFERROR(__xludf.DUMMYFUNCTION("GOOGLETRANSLATE(B651,""en"",""ro"")"),"Datele pot fi învechite (Ultima actualizare: acum {{time}}s)")</f>
        <v>Datele pot fi învechite (Ultima actualizare: acum {{time}}s)</v>
      </c>
      <c r="M651" s="4" t="str">
        <f>IFERROR(__xludf.DUMMYFUNCTION("GOOGLETRANSLATE(B651,""en"",""vi"")"),"Dữ liệu có thể đã cũ (Lần cập nhật cuối: {{time}}s trước)")</f>
        <v>Dữ liệu có thể đã cũ (Lần cập nhật cuối: {{time}}s trước)</v>
      </c>
      <c r="N651" s="4" t="str">
        <f>IFERROR(__xludf.DUMMYFUNCTION("GOOGLETRANSLATE(B651,""en"",""ru"")"),"Данные могут быть устаревшими (Последнее обновление: {{time}}s назад)")</f>
        <v>Данные могут быть устаревшими (Последнее обновление: {{time}}s назад)</v>
      </c>
      <c r="O651" s="4" t="str">
        <f>IFERROR(__xludf.DUMMYFUNCTION("GOOGLETRANSLATE(B651,""en"",""tr"")"),"Veriler eski olabilir (Son güncelleme: {{time}}s önce)")</f>
        <v>Veriler eski olabilir (Son güncelleme: {{time}}s önce)</v>
      </c>
      <c r="P651" s="4" t="str">
        <f>IFERROR(__xludf.DUMMYFUNCTION("GOOGLETRANSLATE(B651,""en"",""ar"")"),"قد تكون البيانات قديمة (آخر تحديث: منذ {{time}} ثانية)")</f>
        <v>قد تكون البيانات قديمة (آخر تحديث: منذ {{time}} ثانية)</v>
      </c>
      <c r="Q651" s="4" t="str">
        <f>IFERROR(__xludf.DUMMYFUNCTION("GOOGLETRANSLATE(B651,""en"",""mr"")"),"डेटा जुना असू शकतो (अंतिम अपडेट: {{time}}s पूर्वी)")</f>
        <v>डेटा जुना असू शकतो (अंतिम अपडेट: {{time}}s पूर्वी)</v>
      </c>
      <c r="R651" s="4" t="str">
        <f>IFERROR(__xludf.DUMMYFUNCTION("GOOGLETRANSLATE(B651,""en"",""gu"")"),"ડેટા જૂનો હોઈ શકે છે (છેલ્લું અપડેટ: {{time}}સે પહેલા)")</f>
        <v>ડેટા જૂનો હોઈ શકે છે (છેલ્લું અપડેટ: {{time}}સે પહેલા)</v>
      </c>
      <c r="S651" s="4" t="str">
        <f>IFERROR(__xludf.DUMMYFUNCTION("GOOGLETRANSLATE(B651,""en"",""bn"")"),"ডেটা পুরানো হতে পারে (শেষ আপডেট: {{time}} সেকেন্ড আগে)")</f>
        <v>ডেটা পুরানো হতে পারে (শেষ আপডেট: {{time}} সেকেন্ড আগে)</v>
      </c>
      <c r="T651" s="4" t="str">
        <f>IFERROR(__xludf.DUMMYFUNCTION("GOOGLETRANSLATE(B651,""en"",""pa"")"),"ਡਾਟਾ ਪੁਰਾਣਾ ਹੋ ਸਕਦਾ ਹੈ (ਆਖਰੀ ਅੱਪਡੇਟ: {{time}}s ਪਹਿਲਾਂ)")</f>
        <v>ਡਾਟਾ ਪੁਰਾਣਾ ਹੋ ਸਕਦਾ ਹੈ (ਆਖਰੀ ਅੱਪਡੇਟ: {{time}}s ਪਹਿਲਾਂ)</v>
      </c>
      <c r="U651" s="4" t="str">
        <f>IFERROR(__xludf.DUMMYFUNCTION("GOOGLETRANSLATE(B651,""en"",""te"")"),"డేటా పాతది కావచ్చు (చివరి నవీకరణ: {{time}}s క్రితం)")</f>
        <v>డేటా పాతది కావచ్చు (చివరి నవీకరణ: {{time}}s క్రితం)</v>
      </c>
      <c r="V651" s="4" t="str">
        <f>IFERROR(__xludf.DUMMYFUNCTION("GOOGLETRANSLATE(B651,""en"",""kn"")"),"ಡೇಟಾ ಹಳೆಯದಾಗಿರಬಹುದು (ಕೊನೆಯ ನವೀಕರಣ: {{time}}s ಹಿಂದೆ)")</f>
        <v>ಡೇಟಾ ಹಳೆಯದಾಗಿರಬಹುದು (ಕೊನೆಯ ನವೀಕರಣ: {{time}}s ಹಿಂದೆ)</v>
      </c>
      <c r="W651" s="4" t="str">
        <f>IFERROR(__xludf.DUMMYFUNCTION("GOOGLETRANSLATE(B651,""en"",""ml"")"),"ഡാറ്റ പഴയതാവാം (അവസാനം അപ്ഡേറ്റ്: {{time}}s മുമ്പ്)")</f>
        <v>ഡാറ്റ പഴയതാവാം (അവസാനം അപ്ഡേറ്റ്: {{time}}s മുമ്പ്)</v>
      </c>
      <c r="X651" s="4" t="str">
        <f>IFERROR(__xludf.DUMMYFUNCTION("GOOGLETRANSLATE(B651,""en"",""th"")"),"ข้อมูลอาจจะเก่า (อัปเดตล่าสุด: {{time}} วินาทีที่ผ่านมา)")</f>
        <v>ข้อมูลอาจจะเก่า (อัปเดตล่าสุด: {{time}} วินาทีที่ผ่านมา)</v>
      </c>
      <c r="Y651" s="4" t="str">
        <f>IFERROR(__xludf.DUMMYFUNCTION("GOOGLETRANSLATE(B651,""en"",""ko"")"),"데이터가 오래되었을 수 있습니다(최종 업데이트: {{time}}초 전)")</f>
        <v>데이터가 오래되었을 수 있습니다(최종 업데이트: {{time}}초 전)</v>
      </c>
      <c r="Z651" s="4" t="str">
        <f>IFERROR(__xludf.DUMMYFUNCTION("GOOGLETRANSLATE(B651,""en"",""zh"")"),"数据可能已过时（上次更新时间：{{time}}秒前）")</f>
        <v>数据可能已过时（上次更新时间：{{time}}秒前）</v>
      </c>
      <c r="AA651" s="4" t="str">
        <f>IFERROR(__xludf.DUMMYFUNCTION("GOOGLETRANSLATE(B651,""en"",""zh-TW"")"),"資料可能已過時（上次更新時間：{{time}}秒前）")</f>
        <v>資料可能已過時（上次更新時間：{{time}}秒前）</v>
      </c>
      <c r="AB651" s="4" t="str">
        <f>IFERROR(__xludf.DUMMYFUNCTION("GOOGLETRANSLATE(B651,""en"",""ja"")"),"データが古い可能性があります (最終更新: {{time}} 秒前)")</f>
        <v>データが古い可能性があります (最終更新: {{time}} 秒前)</v>
      </c>
      <c r="AC651" s="4" t="str">
        <f>IFERROR(__xludf.DUMMYFUNCTION("GOOGLETRANSLATE(B651,""en"",""bg"")"),"Данните може да са остарели (Последна актуализация: преди {{time}}s)")</f>
        <v>Данните може да са остарели (Последна актуализация: преди {{time}}s)</v>
      </c>
      <c r="AD651" s="4" t="str">
        <f>IFERROR(__xludf.DUMMYFUNCTION("GOOGLETRANSLATE(B651,""en"",""cs"")"),"Data mohou být zastaralá (Poslední aktualizace: před {{time}} s)")</f>
        <v>Data mohou být zastaralá (Poslední aktualizace: před {{time}} s)</v>
      </c>
      <c r="AE651" s="4" t="str">
        <f>IFERROR(__xludf.DUMMYFUNCTION("GOOGLETRANSLATE(B651,""en"",""da"")"),"Data kan være forældede (sidste opdatering: for {{time}} s siden)")</f>
        <v>Data kan være forældede (sidste opdatering: for {{time}} s siden)</v>
      </c>
      <c r="AF651" s="4" t="str">
        <f>IFERROR(__xludf.DUMMYFUNCTION("GOOGLETRANSLATE(B651,""en"",""el"")"),"Τα δεδομένα ενδέχεται να είναι μπαγιάτικα (Τελευταία ενημέρωση: πριν από {{time}}δευτ.)")</f>
        <v>Τα δεδομένα ενδέχεται να είναι μπαγιάτικα (Τελευταία ενημέρωση: πριν από {{time}}δευτ.)</v>
      </c>
      <c r="AG651" s="4" t="str">
        <f>IFERROR(__xludf.DUMMYFUNCTION("GOOGLETRANSLATE(B651,""en"",""et"")"),"Andmed võivad olla aegunud (viimane värskendus: {{time}} s tagasi)")</f>
        <v>Andmed võivad olla aegunud (viimane värskendus: {{time}} s tagasi)</v>
      </c>
      <c r="AH651" s="4" t="str">
        <f>IFERROR(__xludf.DUMMYFUNCTION("GOOGLETRANSLATE(B651,""en"",""fi"")"),"Tiedot voivat olla vanhentuneita (Viimeisin päivitys: {{time}} s sitten)")</f>
        <v>Tiedot voivat olla vanhentuneita (Viimeisin päivitys: {{time}} s sitten)</v>
      </c>
      <c r="AI651" s="4" t="str">
        <f>IFERROR(__xludf.DUMMYFUNCTION("GOOGLETRANSLATE(B651,""en"",""hr"")"),"Podaci su možda zastarjeli (zadnje ažuriranje: prije {{time}}s)")</f>
        <v>Podaci su možda zastarjeli (zadnje ažuriranje: prije {{time}}s)</v>
      </c>
      <c r="AJ651" s="4" t="str">
        <f>IFERROR(__xludf.DUMMYFUNCTION("GOOGLETRANSLATE(B651,""en"",""hu"")"),"Előfordulhat, hogy az adatok elavultak (Utolsó frissítés: {{time}} másodperce)")</f>
        <v>Előfordulhat, hogy az adatok elavultak (Utolsó frissítés: {{time}} másodperce)</v>
      </c>
      <c r="AK651" s="4" t="str">
        <f>IFERROR(__xludf.DUMMYFUNCTION("GOOGLETRANSLATE(B651,""en"",""hy"")"),"Տվյալները կարող են հնացած լինել (Վերջին թարմացումը՝ {{time}} վրկ առաջ)")</f>
        <v>Տվյալները կարող են հնացած լինել (Վերջին թարմացումը՝ {{time}} վրկ առաջ)</v>
      </c>
      <c r="AL651" s="4" t="str">
        <f>IFERROR(__xludf.DUMMYFUNCTION("GOOGLETRANSLATE(B651,""en"",""ca"")"),"Les dades poden estar obsoletes (última actualització: fa {{time}}s)")</f>
        <v>Les dades poden estar obsoletes (última actualització: fa {{time}}s)</v>
      </c>
      <c r="AM651" s="4" t="str">
        <f>IFERROR(__xludf.DUMMYFUNCTION("GOOGLETRANSLATE(B651,""en"",""nl"")"),"Gegevens kunnen verouderd zijn (laatste update: {{time}}s geleden)")</f>
        <v>Gegevens kunnen verouderd zijn (laatste update: {{time}}s geleden)</v>
      </c>
      <c r="AN651" s="4" t="str">
        <f>IFERROR(__xludf.DUMMYFUNCTION("GOOGLETRANSLATE(B651,""en"",""he"")"),"הנתונים עשויים להיות מיושנים (עדכון אחרון: לפני {{time}} שניות)")</f>
        <v>הנתונים עשויים להיות מיושנים (עדכון אחרון: לפני {{time}} שניות)</v>
      </c>
      <c r="AO651" s="4" t="str">
        <f>IFERROR(__xludf.DUMMYFUNCTION("GOOGLETRANSLATE(B651,""en"",""is"")"),"Gögn gætu verið gömul (Síðast uppfært: fyrir {{time}}s síðan)")</f>
        <v>Gögn gætu verið gömul (Síðast uppfært: fyrir {{time}}s síðan)</v>
      </c>
      <c r="AP651" s="4" t="str">
        <f>IFERROR(__xludf.DUMMYFUNCTION("GOOGLETRANSLATE(B651,""en"",""no"")"),"Data kan være foreldede (siste oppdatering: for {{time}}s siden)")</f>
        <v>Data kan være foreldede (siste oppdatering: for {{time}}s siden)</v>
      </c>
      <c r="AQ651" s="4" t="str">
        <f>IFERROR(__xludf.DUMMYFUNCTION("GOOGLETRANSLATE(B651,""en"",""fa"")"),"داده ها ممکن است کهنه باشند (آخرین به روز رسانی: {{time}} ثانیه پیش)")</f>
        <v>داده ها ممکن است کهنه باشند (آخرین به روز رسانی: {{time}} ثانیه پیش)</v>
      </c>
      <c r="AR651" s="4" t="str">
        <f>IFERROR(__xludf.DUMMYFUNCTION("GOOGLETRANSLATE(B651,""en"",""pl"")"),"Dane mogą być nieaktualne (Ostatnia aktualizacja: {{time}}s temu)")</f>
        <v>Dane mogą być nieaktualne (Ostatnia aktualizacja: {{time}}s temu)</v>
      </c>
      <c r="AS651" s="4" t="str">
        <f>IFERROR(__xludf.DUMMYFUNCTION("GOOGLETRANSLATE(B651,""en"",""sv"")"),"Data kan vara inaktuella (senaste uppdatering: för {{time}}s sedan)")</f>
        <v>Data kan vara inaktuella (senaste uppdatering: för {{time}}s sedan)</v>
      </c>
      <c r="AT651" s="4" t="str">
        <f>IFERROR(__xludf.DUMMYFUNCTION("GOOGLETRANSLATE(B651,""en"",""uk"")"),"Дані можуть бути застарілими (останнє оновлення: {{time}}s тому)")</f>
        <v>Дані можуть бути застарілими (останнє оновлення: {{time}}s тому)</v>
      </c>
      <c r="AU651" s="4" t="str">
        <f>IFERROR(__xludf.DUMMYFUNCTION("GOOGLETRANSLATE(B651,""en"",""zu"")"),"Idatha kungenzeka ukuthi isidala (Isibuyekezo sokugcina: {{time}}s edlule)")</f>
        <v>Idatha kungenzeka ukuthi isidala (Isibuyekezo sokugcina: {{time}}s edlule)</v>
      </c>
      <c r="AV651" s="4" t="str">
        <f>IFERROR(__xludf.DUMMYFUNCTION("GOOGLETRANSLATE(B651,""en"",""sr"")"),"Подаци су можда застарели (последње ажурирање: пре {{тиме}} с)")</f>
        <v>Подаци су можда застарели (последње ажурирање: пре {{тиме}} с)</v>
      </c>
    </row>
    <row r="652">
      <c r="A652" s="3" t="s">
        <v>1239</v>
      </c>
      <c r="B652" s="3" t="s">
        <v>1240</v>
      </c>
      <c r="C652" s="4" t="str">
        <f>IFERROR(__xludf.DUMMYFUNCTION("GOOGLETRANSLATE(B652,""en"",""ta"")"),"{{கோணம்}}°")</f>
        <v>{{கோணம்}}°</v>
      </c>
      <c r="D652" s="4" t="str">
        <f>IFERROR(__xludf.DUMMYFUNCTION("GOOGLETRANSLATE(B652,""en"",""hi"")"),"{{कोण}}°")</f>
        <v>{{कोण}}°</v>
      </c>
      <c r="E652" s="4" t="str">
        <f>IFERROR(__xludf.DUMMYFUNCTION("GOOGLETRANSLATE(B652,""en"",""id"")"),"{{sudut}}°")</f>
        <v>{{sudut}}°</v>
      </c>
      <c r="F652" s="4" t="str">
        <f>IFERROR(__xludf.DUMMYFUNCTION("GOOGLETRANSLATE(B652,""en"",""ms"")"),"{{sudut}}°")</f>
        <v>{{sudut}}°</v>
      </c>
      <c r="G652" s="4" t="str">
        <f>IFERROR(__xludf.DUMMYFUNCTION("GOOGLETRANSLATE(B652,""en"",""de"")"),"{{Winkel}}°")</f>
        <v>{{Winkel}}°</v>
      </c>
      <c r="H652" s="4" t="str">
        <f>IFERROR(__xludf.DUMMYFUNCTION("GOOGLETRANSLATE(B652,""en"",""es"")"),"{{ángulo}}°")</f>
        <v>{{ángulo}}°</v>
      </c>
      <c r="I652" s="4" t="str">
        <f>IFERROR(__xludf.DUMMYFUNCTION("GOOGLETRANSLATE(B652,""en"",""fr"")"),"{{angle}}°")</f>
        <v>{{angle}}°</v>
      </c>
      <c r="J652" s="4" t="str">
        <f>IFERROR(__xludf.DUMMYFUNCTION("GOOGLETRANSLATE(B652,""en"",""it"")"),"{{angolo}}°")</f>
        <v>{{angolo}}°</v>
      </c>
      <c r="K652" s="4" t="str">
        <f>IFERROR(__xludf.DUMMYFUNCTION("GOOGLETRANSLATE(B652,""en"",""pt"")"),"{{ângulo}}°")</f>
        <v>{{ângulo}}°</v>
      </c>
      <c r="L652" s="4" t="str">
        <f>IFERROR(__xludf.DUMMYFUNCTION("GOOGLETRANSLATE(B652,""en"",""ro"")"),"{{unghi}}°")</f>
        <v>{{unghi}}°</v>
      </c>
      <c r="M652" s="4" t="str">
        <f>IFERROR(__xludf.DUMMYFUNCTION("GOOGLETRANSLATE(B652,""en"",""vi"")"),"{{góc}}°")</f>
        <v>{{góc}}°</v>
      </c>
      <c r="N652" s="4" t="str">
        <f>IFERROR(__xludf.DUMMYFUNCTION("GOOGLETRANSLATE(B652,""en"",""ru"")"),"{{угол}}°")</f>
        <v>{{угол}}°</v>
      </c>
      <c r="O652" s="4" t="str">
        <f>IFERROR(__xludf.DUMMYFUNCTION("GOOGLETRANSLATE(B652,""en"",""tr"")"),"{{açı}}°")</f>
        <v>{{açı}}°</v>
      </c>
      <c r="P652" s="4" t="str">
        <f>IFERROR(__xludf.DUMMYFUNCTION("GOOGLETRANSLATE(B652,""en"",""ar"")"),"{{زاوية}}°")</f>
        <v>{{زاوية}}°</v>
      </c>
      <c r="Q652" s="4" t="str">
        <f>IFERROR(__xludf.DUMMYFUNCTION("GOOGLETRANSLATE(B652,""en"",""mr"")"),"{{angle}}°")</f>
        <v>{{angle}}°</v>
      </c>
      <c r="R652" s="4" t="str">
        <f>IFERROR(__xludf.DUMMYFUNCTION("GOOGLETRANSLATE(B652,""en"",""gu"")"),"{{angle}}°")</f>
        <v>{{angle}}°</v>
      </c>
      <c r="S652" s="4" t="str">
        <f>IFERROR(__xludf.DUMMYFUNCTION("GOOGLETRANSLATE(B652,""en"",""bn"")"),"{{কোণ}}°")</f>
        <v>{{কোণ}}°</v>
      </c>
      <c r="T652" s="4" t="str">
        <f>IFERROR(__xludf.DUMMYFUNCTION("GOOGLETRANSLATE(B652,""en"",""pa"")"),"{{angle}}°")</f>
        <v>{{angle}}°</v>
      </c>
      <c r="U652" s="4" t="str">
        <f>IFERROR(__xludf.DUMMYFUNCTION("GOOGLETRANSLATE(B652,""en"",""te"")"),"{{angle}}°")</f>
        <v>{{angle}}°</v>
      </c>
      <c r="V652" s="4" t="str">
        <f>IFERROR(__xludf.DUMMYFUNCTION("GOOGLETRANSLATE(B652,""en"",""kn"")"),"{{angle}}°")</f>
        <v>{{angle}}°</v>
      </c>
      <c r="W652" s="4" t="str">
        <f>IFERROR(__xludf.DUMMYFUNCTION("GOOGLETRANSLATE(B652,""en"",""ml"")"),"{{കോണ്}}°")</f>
        <v>{{കോണ്}}°</v>
      </c>
      <c r="X652" s="4" t="str">
        <f>IFERROR(__xludf.DUMMYFUNCTION("GOOGLETRANSLATE(B652,""en"",""th"")"),"{{มุม}}°")</f>
        <v>{{มุม}}°</v>
      </c>
      <c r="Y652" s="4" t="str">
        <f>IFERROR(__xludf.DUMMYFUNCTION("GOOGLETRANSLATE(B652,""en"",""ko"")"),"{{각도}}°")</f>
        <v>{{각도}}°</v>
      </c>
      <c r="Z652" s="4" t="str">
        <f>IFERROR(__xludf.DUMMYFUNCTION("GOOGLETRANSLATE(B652,""en"",""zh"")"),"{{角度}}°")</f>
        <v>{{角度}}°</v>
      </c>
      <c r="AA652" s="4" t="str">
        <f>IFERROR(__xludf.DUMMYFUNCTION("GOOGLETRANSLATE(B652,""en"",""zh-TW"")"),"{{角}}°")</f>
        <v>{{角}}°</v>
      </c>
      <c r="AB652" s="4" t="str">
        <f>IFERROR(__xludf.DUMMYFUNCTION("GOOGLETRANSLATE(B652,""en"",""ja"")"),"{{角度}}°")</f>
        <v>{{角度}}°</v>
      </c>
      <c r="AC652" s="4" t="str">
        <f>IFERROR(__xludf.DUMMYFUNCTION("GOOGLETRANSLATE(B652,""en"",""bg"")"),"{{ъгъл}}°")</f>
        <v>{{ъгъл}}°</v>
      </c>
      <c r="AD652" s="4" t="str">
        <f>IFERROR(__xludf.DUMMYFUNCTION("GOOGLETRANSLATE(B652,""en"",""cs"")"),"{{úhel}}°")</f>
        <v>{{úhel}}°</v>
      </c>
      <c r="AE652" s="4" t="str">
        <f>IFERROR(__xludf.DUMMYFUNCTION("GOOGLETRANSLATE(B652,""en"",""da"")"),"{{vinkel}}°")</f>
        <v>{{vinkel}}°</v>
      </c>
      <c r="AF652" s="4" t="str">
        <f>IFERROR(__xludf.DUMMYFUNCTION("GOOGLETRANSLATE(B652,""en"",""el"")"),"{{γωνία}}°")</f>
        <v>{{γωνία}}°</v>
      </c>
      <c r="AG652" s="4" t="str">
        <f>IFERROR(__xludf.DUMMYFUNCTION("GOOGLETRANSLATE(B652,""en"",""et"")"),"{{nurk}}°")</f>
        <v>{{nurk}}°</v>
      </c>
      <c r="AH652" s="4" t="str">
        <f>IFERROR(__xludf.DUMMYFUNCTION("GOOGLETRANSLATE(B652,""en"",""fi"")"),"{{kulma}}°")</f>
        <v>{{kulma}}°</v>
      </c>
      <c r="AI652" s="4" t="str">
        <f>IFERROR(__xludf.DUMMYFUNCTION("GOOGLETRANSLATE(B652,""en"",""hr"")"),"{{kut}}°")</f>
        <v>{{kut}}°</v>
      </c>
      <c r="AJ652" s="4" t="str">
        <f>IFERROR(__xludf.DUMMYFUNCTION("GOOGLETRANSLATE(B652,""en"",""hu"")"),"{{szög}}°")</f>
        <v>{{szög}}°</v>
      </c>
      <c r="AK652" s="4" t="str">
        <f>IFERROR(__xludf.DUMMYFUNCTION("GOOGLETRANSLATE(B652,""en"",""hy"")"),"{{անկյուն}}°")</f>
        <v>{{անկյուն}}°</v>
      </c>
      <c r="AL652" s="4" t="str">
        <f>IFERROR(__xludf.DUMMYFUNCTION("GOOGLETRANSLATE(B652,""en"",""ca"")"),"{{angle}}°")</f>
        <v>{{angle}}°</v>
      </c>
      <c r="AM652" s="4" t="str">
        <f>IFERROR(__xludf.DUMMYFUNCTION("GOOGLETRANSLATE(B652,""en"",""nl"")"),"{{hoek}}°")</f>
        <v>{{hoek}}°</v>
      </c>
      <c r="AN652" s="4" t="str">
        <f>IFERROR(__xludf.DUMMYFUNCTION("GOOGLETRANSLATE(B652,""en"",""he"")"),"{{זווית}}°")</f>
        <v>{{זווית}}°</v>
      </c>
      <c r="AO652" s="4" t="str">
        <f>IFERROR(__xludf.DUMMYFUNCTION("GOOGLETRANSLATE(B652,""en"",""is"")"),"{{horn}}°")</f>
        <v>{{horn}}°</v>
      </c>
      <c r="AP652" s="4" t="str">
        <f>IFERROR(__xludf.DUMMYFUNCTION("GOOGLETRANSLATE(B652,""en"",""no"")"),"{{vinkel}}°")</f>
        <v>{{vinkel}}°</v>
      </c>
      <c r="AQ652" s="4" t="str">
        <f>IFERROR(__xludf.DUMMYFUNCTION("GOOGLETRANSLATE(B652,""en"",""fa"")"),"{{زاویه}} درجه")</f>
        <v>{{زاویه}} درجه</v>
      </c>
      <c r="AR652" s="4" t="str">
        <f>IFERROR(__xludf.DUMMYFUNCTION("GOOGLETRANSLATE(B652,""en"",""pl"")"),"{{kąt}}°")</f>
        <v>{{kąt}}°</v>
      </c>
      <c r="AS652" s="4" t="str">
        <f>IFERROR(__xludf.DUMMYFUNCTION("GOOGLETRANSLATE(B652,""en"",""sv"")"),"{{vinkel}}°")</f>
        <v>{{vinkel}}°</v>
      </c>
      <c r="AT652" s="4" t="str">
        <f>IFERROR(__xludf.DUMMYFUNCTION("GOOGLETRANSLATE(B652,""en"",""uk"")"),"{{кут}}°")</f>
        <v>{{кут}}°</v>
      </c>
      <c r="AU652" s="4" t="str">
        <f>IFERROR(__xludf.DUMMYFUNCTION("GOOGLETRANSLATE(B652,""en"",""zu"")"),"{{i-engeli}}°")</f>
        <v>{{i-engeli}}°</v>
      </c>
      <c r="AV652" s="4" t="str">
        <f>IFERROR(__xludf.DUMMYFUNCTION("GOOGLETRANSLATE(B652,""en"",""sr"")"),"{{угао}}°")</f>
        <v>{{угао}}°</v>
      </c>
    </row>
    <row r="653">
      <c r="A653" s="3" t="s">
        <v>1241</v>
      </c>
      <c r="B653" s="3" t="s">
        <v>1236</v>
      </c>
      <c r="C653" s="4" t="str">
        <f>IFERROR(__xludf.DUMMYFUNCTION("GOOGLETRANSLATE(B653,""en"",""ta"")"),"செயற்கைக்கோள் தரவை ஏற்றுகிறது...")</f>
        <v>செயற்கைக்கோள் தரவை ஏற்றுகிறது...</v>
      </c>
      <c r="D653" s="4" t="str">
        <f>IFERROR(__xludf.DUMMYFUNCTION("GOOGLETRANSLATE(B653,""en"",""hi"")"),"उपग्रह डेटा लोड हो रहा है...")</f>
        <v>उपग्रह डेटा लोड हो रहा है...</v>
      </c>
      <c r="E653" s="4" t="str">
        <f>IFERROR(__xludf.DUMMYFUNCTION("GOOGLETRANSLATE(B653,""en"",""id"")"),"Memuat data satelit...")</f>
        <v>Memuat data satelit...</v>
      </c>
      <c r="F653" s="4" t="str">
        <f>IFERROR(__xludf.DUMMYFUNCTION("GOOGLETRANSLATE(B653,""en"",""ms"")"),"Memuatkan data satelit...")</f>
        <v>Memuatkan data satelit...</v>
      </c>
      <c r="G653" s="4" t="str">
        <f>IFERROR(__xludf.DUMMYFUNCTION("GOOGLETRANSLATE(B653,""en"",""de"")"),"Satellitendaten werden geladen...")</f>
        <v>Satellitendaten werden geladen...</v>
      </c>
      <c r="H653" s="4" t="str">
        <f>IFERROR(__xludf.DUMMYFUNCTION("GOOGLETRANSLATE(B653,""en"",""es"")"),"Cargando datos satelitales...")</f>
        <v>Cargando datos satelitales...</v>
      </c>
      <c r="I653" s="4" t="str">
        <f>IFERROR(__xludf.DUMMYFUNCTION("GOOGLETRANSLATE(B653,""en"",""fr"")"),"Chargement des données satellite...")</f>
        <v>Chargement des données satellite...</v>
      </c>
      <c r="J653" s="4" t="str">
        <f>IFERROR(__xludf.DUMMYFUNCTION("GOOGLETRANSLATE(B653,""en"",""it"")"),"Caricamento dati satellitari in corso...")</f>
        <v>Caricamento dati satellitari in corso...</v>
      </c>
      <c r="K653" s="4" t="str">
        <f>IFERROR(__xludf.DUMMYFUNCTION("GOOGLETRANSLATE(B653,""en"",""pt"")"),"Carregando dados de satélite...")</f>
        <v>Carregando dados de satélite...</v>
      </c>
      <c r="L653" s="4" t="str">
        <f>IFERROR(__xludf.DUMMYFUNCTION("GOOGLETRANSLATE(B653,""en"",""ro"")"),"Se încarcă datele satelitare...")</f>
        <v>Se încarcă datele satelitare...</v>
      </c>
      <c r="M653" s="4" t="str">
        <f>IFERROR(__xludf.DUMMYFUNCTION("GOOGLETRANSLATE(B653,""en"",""vi"")"),"Đang tải dữ liệu vệ tinh...")</f>
        <v>Đang tải dữ liệu vệ tinh...</v>
      </c>
      <c r="N653" s="4" t="str">
        <f>IFERROR(__xludf.DUMMYFUNCTION("GOOGLETRANSLATE(B653,""en"",""ru"")"),"Загрузка спутниковых данных...")</f>
        <v>Загрузка спутниковых данных...</v>
      </c>
      <c r="O653" s="4" t="str">
        <f>IFERROR(__xludf.DUMMYFUNCTION("GOOGLETRANSLATE(B653,""en"",""tr"")"),"Uydu verileri yükleniyor...")</f>
        <v>Uydu verileri yükleniyor...</v>
      </c>
      <c r="P653" s="4" t="str">
        <f>IFERROR(__xludf.DUMMYFUNCTION("GOOGLETRANSLATE(B653,""en"",""ar"")"),"جاري تحميل بيانات القمر الصناعي...")</f>
        <v>جاري تحميل بيانات القمر الصناعي...</v>
      </c>
      <c r="Q653" s="4" t="str">
        <f>IFERROR(__xludf.DUMMYFUNCTION("GOOGLETRANSLATE(B653,""en"",""mr"")"),"उपग्रह डेटा लोड करत आहे...")</f>
        <v>उपग्रह डेटा लोड करत आहे...</v>
      </c>
      <c r="R653" s="4" t="str">
        <f>IFERROR(__xludf.DUMMYFUNCTION("GOOGLETRANSLATE(B653,""en"",""gu"")"),"સેટેલાઇટ ડેટા લોડ કરી રહ્યું છે...")</f>
        <v>સેટેલાઇટ ડેટા લોડ કરી રહ્યું છે...</v>
      </c>
      <c r="S653" s="4" t="str">
        <f>IFERROR(__xludf.DUMMYFUNCTION("GOOGLETRANSLATE(B653,""en"",""bn"")"),"স্যাটেলাইট ডেটা লোড হচ্ছে...")</f>
        <v>স্যাটেলাইট ডেটা লোড হচ্ছে...</v>
      </c>
      <c r="T653" s="4" t="str">
        <f>IFERROR(__xludf.DUMMYFUNCTION("GOOGLETRANSLATE(B653,""en"",""pa"")"),"ਸੈਟੇਲਾਈਟ ਡਾਟਾ ਲੋਡ ਕੀਤਾ ਜਾ ਰਿਹਾ ਹੈ...")</f>
        <v>ਸੈਟੇਲਾਈਟ ਡਾਟਾ ਲੋਡ ਕੀਤਾ ਜਾ ਰਿਹਾ ਹੈ...</v>
      </c>
      <c r="U653" s="4" t="str">
        <f>IFERROR(__xludf.DUMMYFUNCTION("GOOGLETRANSLATE(B653,""en"",""te"")"),"ఉపగ్రహ డేటా లోడ్ అవుతోంది...")</f>
        <v>ఉపగ్రహ డేటా లోడ్ అవుతోంది...</v>
      </c>
      <c r="V653" s="4" t="str">
        <f>IFERROR(__xludf.DUMMYFUNCTION("GOOGLETRANSLATE(B653,""en"",""kn"")"),"ಉಪಗ್ರಹ ಡೇಟಾವನ್ನು ಲೋಡ್ ಮಾಡಲಾಗುತ್ತಿದೆ...")</f>
        <v>ಉಪಗ್ರಹ ಡೇಟಾವನ್ನು ಲೋಡ್ ಮಾಡಲಾಗುತ್ತಿದೆ...</v>
      </c>
      <c r="W653" s="4" t="str">
        <f>IFERROR(__xludf.DUMMYFUNCTION("GOOGLETRANSLATE(B653,""en"",""ml"")"),"ഉപഗ്രഹ ഡാറ്റ ലോഡുചെയ്യുന്നു...")</f>
        <v>ഉപഗ്രഹ ഡാറ്റ ലോഡുചെയ്യുന്നു...</v>
      </c>
      <c r="X653" s="4" t="str">
        <f>IFERROR(__xludf.DUMMYFUNCTION("GOOGLETRANSLATE(B653,""en"",""th"")"),"กำลังโหลดข้อมูลจากดาวเทียม...")</f>
        <v>กำลังโหลดข้อมูลจากดาวเทียม...</v>
      </c>
      <c r="Y653" s="4" t="str">
        <f>IFERROR(__xludf.DUMMYFUNCTION("GOOGLETRANSLATE(B653,""en"",""ko"")"),"위성 데이터를 로딩 중입니다...")</f>
        <v>위성 데이터를 로딩 중입니다...</v>
      </c>
      <c r="Z653" s="4" t="str">
        <f>IFERROR(__xludf.DUMMYFUNCTION("GOOGLETRANSLATE(B653,""en"",""zh"")"),"正在加载卫星数据...")</f>
        <v>正在加载卫星数据...</v>
      </c>
      <c r="AA653" s="4" t="str">
        <f>IFERROR(__xludf.DUMMYFUNCTION("GOOGLETRANSLATE(B653,""en"",""zh-TW"")"),"正在載入衛星資料...")</f>
        <v>正在載入衛星資料...</v>
      </c>
      <c r="AB653" s="4" t="str">
        <f>IFERROR(__xludf.DUMMYFUNCTION("GOOGLETRANSLATE(B653,""en"",""ja"")"),"衛星データを読み込んでいます...")</f>
        <v>衛星データを読み込んでいます...</v>
      </c>
      <c r="AC653" s="4" t="str">
        <f>IFERROR(__xludf.DUMMYFUNCTION("GOOGLETRANSLATE(B653,""en"",""bg"")"),"Сателитните данни се зареждат...")</f>
        <v>Сателитните данни се зареждат...</v>
      </c>
      <c r="AD653" s="4" t="str">
        <f>IFERROR(__xludf.DUMMYFUNCTION("GOOGLETRANSLATE(B653,""en"",""cs"")"),"Načítání satelitních dat...")</f>
        <v>Načítání satelitních dat...</v>
      </c>
      <c r="AE653" s="4" t="str">
        <f>IFERROR(__xludf.DUMMYFUNCTION("GOOGLETRANSLATE(B653,""en"",""da"")"),"Indlæser satellitdata...")</f>
        <v>Indlæser satellitdata...</v>
      </c>
      <c r="AF653" s="4" t="str">
        <f>IFERROR(__xludf.DUMMYFUNCTION("GOOGLETRANSLATE(B653,""en"",""el"")"),"Φόρτωση δορυφορικών δεδομένων...")</f>
        <v>Φόρτωση δορυφορικών δεδομένων...</v>
      </c>
      <c r="AG653" s="4" t="str">
        <f>IFERROR(__xludf.DUMMYFUNCTION("GOOGLETRANSLATE(B653,""en"",""et"")"),"Satelliidiandmete laadimine...")</f>
        <v>Satelliidiandmete laadimine...</v>
      </c>
      <c r="AH653" s="4" t="str">
        <f>IFERROR(__xludf.DUMMYFUNCTION("GOOGLETRANSLATE(B653,""en"",""fi"")"),"Ladataan satelliittitietoja...")</f>
        <v>Ladataan satelliittitietoja...</v>
      </c>
      <c r="AI653" s="4" t="str">
        <f>IFERROR(__xludf.DUMMYFUNCTION("GOOGLETRANSLATE(B653,""en"",""hr"")"),"Učitavanje satelitskih podataka...")</f>
        <v>Učitavanje satelitskih podataka...</v>
      </c>
      <c r="AJ653" s="4" t="str">
        <f>IFERROR(__xludf.DUMMYFUNCTION("GOOGLETRANSLATE(B653,""en"",""hu"")"),"Műholdadatok betöltése...")</f>
        <v>Műholdadatok betöltése...</v>
      </c>
      <c r="AK653" s="4" t="str">
        <f>IFERROR(__xludf.DUMMYFUNCTION("GOOGLETRANSLATE(B653,""en"",""hy"")"),"Արբանյակային տվյալների բեռնում...")</f>
        <v>Արբանյակային տվյալների բեռնում...</v>
      </c>
      <c r="AL653" s="4" t="str">
        <f>IFERROR(__xludf.DUMMYFUNCTION("GOOGLETRANSLATE(B653,""en"",""ca"")"),"S'estan carregant les dades del satèl·lit...")</f>
        <v>S'estan carregant les dades del satèl·lit...</v>
      </c>
      <c r="AM653" s="4" t="str">
        <f>IFERROR(__xludf.DUMMYFUNCTION("GOOGLETRANSLATE(B653,""en"",""nl"")"),"Satellietgegevens worden geladen...")</f>
        <v>Satellietgegevens worden geladen...</v>
      </c>
      <c r="AN653" s="4" t="str">
        <f>IFERROR(__xludf.DUMMYFUNCTION("GOOGLETRANSLATE(B653,""en"",""he"")"),"טוען נתוני לווין...")</f>
        <v>טוען נתוני לווין...</v>
      </c>
      <c r="AO653" s="4" t="str">
        <f>IFERROR(__xludf.DUMMYFUNCTION("GOOGLETRANSLATE(B653,""en"",""is"")"),"Hleður gervihnattagögnum...")</f>
        <v>Hleður gervihnattagögnum...</v>
      </c>
      <c r="AP653" s="4" t="str">
        <f>IFERROR(__xludf.DUMMYFUNCTION("GOOGLETRANSLATE(B653,""en"",""no"")"),"Laster inn satellittdata...")</f>
        <v>Laster inn satellittdata...</v>
      </c>
      <c r="AQ653" s="4" t="str">
        <f>IFERROR(__xludf.DUMMYFUNCTION("GOOGLETRANSLATE(B653,""en"",""fa"")"),"در حال بارگیری داده های ماهواره ای...")</f>
        <v>در حال بارگیری داده های ماهواره ای...</v>
      </c>
      <c r="AR653" s="4" t="str">
        <f>IFERROR(__xludf.DUMMYFUNCTION("GOOGLETRANSLATE(B653,""en"",""pl"")"),"Ładowanie danych satelitarnych...")</f>
        <v>Ładowanie danych satelitarnych...</v>
      </c>
      <c r="AS653" s="4" t="str">
        <f>IFERROR(__xludf.DUMMYFUNCTION("GOOGLETRANSLATE(B653,""en"",""sv"")"),"Laddar satellitdata...")</f>
        <v>Laddar satellitdata...</v>
      </c>
      <c r="AT653" s="4" t="str">
        <f>IFERROR(__xludf.DUMMYFUNCTION("GOOGLETRANSLATE(B653,""en"",""uk"")"),"Завантаження супутникових даних...")</f>
        <v>Завантаження супутникових даних...</v>
      </c>
      <c r="AU653" s="4" t="str">
        <f>IFERROR(__xludf.DUMMYFUNCTION("GOOGLETRANSLATE(B653,""en"",""zu"")"),"Ilayisha idatha yesathelayithi...")</f>
        <v>Ilayisha idatha yesathelayithi...</v>
      </c>
      <c r="AV653" s="4" t="str">
        <f>IFERROR(__xludf.DUMMYFUNCTION("GOOGLETRANSLATE(B653,""en"",""sr"")"),"Учитавање сателитских података...")</f>
        <v>Учитавање сателитских података...</v>
      </c>
    </row>
    <row r="654">
      <c r="A654" s="3" t="s">
        <v>1242</v>
      </c>
      <c r="B654" s="3" t="s">
        <v>1243</v>
      </c>
      <c r="C654" s="4" t="str">
        <f>IFERROR(__xludf.DUMMYFUNCTION("GOOGLETRANSLATE(B654,""en"",""ta"")"),"CSVக்கு ஏற்றுமதி செய்")</f>
        <v>CSVக்கு ஏற்றுமதி செய்</v>
      </c>
      <c r="D654" s="4" t="str">
        <f>IFERROR(__xludf.DUMMYFUNCTION("GOOGLETRANSLATE(B654,""en"",""hi"")"),"CSV में निर्यात करें")</f>
        <v>CSV में निर्यात करें</v>
      </c>
      <c r="E654" s="4" t="str">
        <f>IFERROR(__xludf.DUMMYFUNCTION("GOOGLETRANSLATE(B654,""en"",""id"")"),"Ekspor ke CSV")</f>
        <v>Ekspor ke CSV</v>
      </c>
      <c r="F654" s="4" t="str">
        <f>IFERROR(__xludf.DUMMYFUNCTION("GOOGLETRANSLATE(B654,""en"",""ms"")"),"Eksport ke CSV")</f>
        <v>Eksport ke CSV</v>
      </c>
      <c r="G654" s="4" t="str">
        <f>IFERROR(__xludf.DUMMYFUNCTION("GOOGLETRANSLATE(B654,""en"",""de"")"),"Als CSV exportieren")</f>
        <v>Als CSV exportieren</v>
      </c>
      <c r="H654" s="4" t="str">
        <f>IFERROR(__xludf.DUMMYFUNCTION("GOOGLETRANSLATE(B654,""en"",""es"")"),"Exportar a CSV")</f>
        <v>Exportar a CSV</v>
      </c>
      <c r="I654" s="4" t="str">
        <f>IFERROR(__xludf.DUMMYFUNCTION("GOOGLETRANSLATE(B654,""en"",""fr"")"),"Exporter au format CSV")</f>
        <v>Exporter au format CSV</v>
      </c>
      <c r="J654" s="4" t="str">
        <f>IFERROR(__xludf.DUMMYFUNCTION("GOOGLETRANSLATE(B654,""en"",""it"")"),"Esporta in CSV")</f>
        <v>Esporta in CSV</v>
      </c>
      <c r="K654" s="4" t="str">
        <f>IFERROR(__xludf.DUMMYFUNCTION("GOOGLETRANSLATE(B654,""en"",""pt"")"),"Exportar para CSV")</f>
        <v>Exportar para CSV</v>
      </c>
      <c r="L654" s="4" t="str">
        <f>IFERROR(__xludf.DUMMYFUNCTION("GOOGLETRANSLATE(B654,""en"",""ro"")"),"Exportați în CSV")</f>
        <v>Exportați în CSV</v>
      </c>
      <c r="M654" s="4" t="str">
        <f>IFERROR(__xludf.DUMMYFUNCTION("GOOGLETRANSLATE(B654,""en"",""vi"")"),"Xuất sang CSV")</f>
        <v>Xuất sang CSV</v>
      </c>
      <c r="N654" s="4" t="str">
        <f>IFERROR(__xludf.DUMMYFUNCTION("GOOGLETRANSLATE(B654,""en"",""ru"")"),"Экспорт в CSV")</f>
        <v>Экспорт в CSV</v>
      </c>
      <c r="O654" s="4" t="str">
        <f>IFERROR(__xludf.DUMMYFUNCTION("GOOGLETRANSLATE(B654,""en"",""tr"")"),"CSV'ye aktar")</f>
        <v>CSV'ye aktar</v>
      </c>
      <c r="P654" s="4" t="str">
        <f>IFERROR(__xludf.DUMMYFUNCTION("GOOGLETRANSLATE(B654,""en"",""ar"")"),"التصدير إلى CSV")</f>
        <v>التصدير إلى CSV</v>
      </c>
      <c r="Q654" s="4" t="str">
        <f>IFERROR(__xludf.DUMMYFUNCTION("GOOGLETRANSLATE(B654,""en"",""mr"")"),"CSV वर निर्यात करा")</f>
        <v>CSV वर निर्यात करा</v>
      </c>
      <c r="R654" s="4" t="str">
        <f>IFERROR(__xludf.DUMMYFUNCTION("GOOGLETRANSLATE(B654,""en"",""gu"")"),"CSV પર નિકાસ કરો")</f>
        <v>CSV પર નિકાસ કરો</v>
      </c>
      <c r="S654" s="4" t="str">
        <f>IFERROR(__xludf.DUMMYFUNCTION("GOOGLETRANSLATE(B654,""en"",""bn"")"),"CSV-এ রপ্তানি করুন")</f>
        <v>CSV-এ রপ্তানি করুন</v>
      </c>
      <c r="T654" s="4" t="str">
        <f>IFERROR(__xludf.DUMMYFUNCTION("GOOGLETRANSLATE(B654,""en"",""pa"")"),"CSV ਵਿੱਚ ਨਿਰਯਾਤ ਕਰੋ")</f>
        <v>CSV ਵਿੱਚ ਨਿਰਯਾਤ ਕਰੋ</v>
      </c>
      <c r="U654" s="4" t="str">
        <f>IFERROR(__xludf.DUMMYFUNCTION("GOOGLETRANSLATE(B654,""en"",""te"")"),"CSVకి ఎగుమతి చేయండి")</f>
        <v>CSVకి ఎగుమతి చేయండి</v>
      </c>
      <c r="V654" s="4" t="str">
        <f>IFERROR(__xludf.DUMMYFUNCTION("GOOGLETRANSLATE(B654,""en"",""kn"")"),"CSV ಗೆ ರಫ್ತು ಮಾಡಿ")</f>
        <v>CSV ಗೆ ರಫ್ತು ಮಾಡಿ</v>
      </c>
      <c r="W654" s="4" t="str">
        <f>IFERROR(__xludf.DUMMYFUNCTION("GOOGLETRANSLATE(B654,""en"",""ml"")"),"CSV-ലേക്ക് കയറ്റുമതി ചെയ്യുക")</f>
        <v>CSV-ലേക്ക് കയറ്റുമതി ചെയ്യുക</v>
      </c>
      <c r="X654" s="4" t="str">
        <f>IFERROR(__xludf.DUMMYFUNCTION("GOOGLETRANSLATE(B654,""en"",""th"")"),"ส่งออกไปยัง CSV")</f>
        <v>ส่งออกไปยัง CSV</v>
      </c>
      <c r="Y654" s="4" t="str">
        <f>IFERROR(__xludf.DUMMYFUNCTION("GOOGLETRANSLATE(B654,""en"",""ko"")"),"CSV로 내보내기")</f>
        <v>CSV로 내보내기</v>
      </c>
      <c r="Z654" s="4" t="str">
        <f>IFERROR(__xludf.DUMMYFUNCTION("GOOGLETRANSLATE(B654,""en"",""zh"")"),"导出到 CSV")</f>
        <v>导出到 CSV</v>
      </c>
      <c r="AA654" s="4" t="str">
        <f>IFERROR(__xludf.DUMMYFUNCTION("GOOGLETRANSLATE(B654,""en"",""zh-TW"")"),"匯出到 CSV")</f>
        <v>匯出到 CSV</v>
      </c>
      <c r="AB654" s="4" t="str">
        <f>IFERROR(__xludf.DUMMYFUNCTION("GOOGLETRANSLATE(B654,""en"",""ja"")"),"CSVにエクスポート")</f>
        <v>CSVにエクスポート</v>
      </c>
      <c r="AC654" s="4" t="str">
        <f>IFERROR(__xludf.DUMMYFUNCTION("GOOGLETRANSLATE(B654,""en"",""bg"")"),"Експортиране в CSV")</f>
        <v>Експортиране в CSV</v>
      </c>
      <c r="AD654" s="4" t="str">
        <f>IFERROR(__xludf.DUMMYFUNCTION("GOOGLETRANSLATE(B654,""en"",""cs"")"),"Export do CSV")</f>
        <v>Export do CSV</v>
      </c>
      <c r="AE654" s="4" t="str">
        <f>IFERROR(__xludf.DUMMYFUNCTION("GOOGLETRANSLATE(B654,""en"",""da"")"),"Eksporter til CSV")</f>
        <v>Eksporter til CSV</v>
      </c>
      <c r="AF654" s="4" t="str">
        <f>IFERROR(__xludf.DUMMYFUNCTION("GOOGLETRANSLATE(B654,""en"",""el"")"),"Εξαγωγή σε CSV")</f>
        <v>Εξαγωγή σε CSV</v>
      </c>
      <c r="AG654" s="4" t="str">
        <f>IFERROR(__xludf.DUMMYFUNCTION("GOOGLETRANSLATE(B654,""en"",""et"")"),"Ekspordi CSV-sse")</f>
        <v>Ekspordi CSV-sse</v>
      </c>
      <c r="AH654" s="4" t="str">
        <f>IFERROR(__xludf.DUMMYFUNCTION("GOOGLETRANSLATE(B654,""en"",""fi"")"),"Vie CSV-muotoon")</f>
        <v>Vie CSV-muotoon</v>
      </c>
      <c r="AI654" s="4" t="str">
        <f>IFERROR(__xludf.DUMMYFUNCTION("GOOGLETRANSLATE(B654,""en"",""hr"")"),"Izvoz u CSV")</f>
        <v>Izvoz u CSV</v>
      </c>
      <c r="AJ654" s="4" t="str">
        <f>IFERROR(__xludf.DUMMYFUNCTION("GOOGLETRANSLATE(B654,""en"",""hu"")"),"Exportálás CSV-be")</f>
        <v>Exportálás CSV-be</v>
      </c>
      <c r="AK654" s="4" t="str">
        <f>IFERROR(__xludf.DUMMYFUNCTION("GOOGLETRANSLATE(B654,""en"",""hy"")"),"Արտահանել CSV")</f>
        <v>Արտահանել CSV</v>
      </c>
      <c r="AL654" s="4" t="str">
        <f>IFERROR(__xludf.DUMMYFUNCTION("GOOGLETRANSLATE(B654,""en"",""ca"")"),"Exporta a CSV")</f>
        <v>Exporta a CSV</v>
      </c>
      <c r="AM654" s="4" t="str">
        <f>IFERROR(__xludf.DUMMYFUNCTION("GOOGLETRANSLATE(B654,""en"",""nl"")"),"Exporteren naar CSV")</f>
        <v>Exporteren naar CSV</v>
      </c>
      <c r="AN654" s="4" t="str">
        <f>IFERROR(__xludf.DUMMYFUNCTION("GOOGLETRANSLATE(B654,""en"",""he"")"),"ייצוא ל-CSV")</f>
        <v>ייצוא ל-CSV</v>
      </c>
      <c r="AO654" s="4" t="str">
        <f>IFERROR(__xludf.DUMMYFUNCTION("GOOGLETRANSLATE(B654,""en"",""is"")"),"Flytja út í CSV")</f>
        <v>Flytja út í CSV</v>
      </c>
      <c r="AP654" s="4" t="str">
        <f>IFERROR(__xludf.DUMMYFUNCTION("GOOGLETRANSLATE(B654,""en"",""no"")"),"Eksporter til CSV")</f>
        <v>Eksporter til CSV</v>
      </c>
      <c r="AQ654" s="4" t="str">
        <f>IFERROR(__xludf.DUMMYFUNCTION("GOOGLETRANSLATE(B654,""en"",""fa"")"),"صادرات به CSV")</f>
        <v>صادرات به CSV</v>
      </c>
      <c r="AR654" s="4" t="str">
        <f>IFERROR(__xludf.DUMMYFUNCTION("GOOGLETRANSLATE(B654,""en"",""pl"")"),"Eksportuj do CSV")</f>
        <v>Eksportuj do CSV</v>
      </c>
      <c r="AS654" s="4" t="str">
        <f>IFERROR(__xludf.DUMMYFUNCTION("GOOGLETRANSLATE(B654,""en"",""sv"")"),"Exportera till CSV")</f>
        <v>Exportera till CSV</v>
      </c>
      <c r="AT654" s="4" t="str">
        <f>IFERROR(__xludf.DUMMYFUNCTION("GOOGLETRANSLATE(B654,""en"",""uk"")"),"Експорт у CSV")</f>
        <v>Експорт у CSV</v>
      </c>
      <c r="AU654" s="4" t="str">
        <f>IFERROR(__xludf.DUMMYFUNCTION("GOOGLETRANSLATE(B654,""en"",""zu"")"),"Khipha ku-CSV")</f>
        <v>Khipha ku-CSV</v>
      </c>
      <c r="AV654" s="4" t="str">
        <f>IFERROR(__xludf.DUMMYFUNCTION("GOOGLETRANSLATE(B654,""en"",""sr"")"),"Извези у ЦСВ")</f>
        <v>Извези у ЦСВ</v>
      </c>
    </row>
    <row r="655">
      <c r="A655" s="3" t="s">
        <v>1244</v>
      </c>
      <c r="B655" s="3" t="s">
        <v>1245</v>
      </c>
      <c r="C655" s="4" t="str">
        <f>IFERROR(__xludf.DUMMYFUNCTION("GOOGLETRANSLATE(B655,""en"",""ta"")"),"ஏற்றுமதி வெற்றி")</f>
        <v>ஏற்றுமதி வெற்றி</v>
      </c>
      <c r="D655" s="4" t="str">
        <f>IFERROR(__xludf.DUMMYFUNCTION("GOOGLETRANSLATE(B655,""en"",""hi"")"),"निर्यात सफल")</f>
        <v>निर्यात सफल</v>
      </c>
      <c r="E655" s="4" t="str">
        <f>IFERROR(__xludf.DUMMYFUNCTION("GOOGLETRANSLATE(B655,""en"",""id"")"),"Ekspor Berhasil")</f>
        <v>Ekspor Berhasil</v>
      </c>
      <c r="F655" s="4" t="str">
        <f>IFERROR(__xludf.DUMMYFUNCTION("GOOGLETRANSLATE(B655,""en"",""ms"")"),"Eksport Berjaya")</f>
        <v>Eksport Berjaya</v>
      </c>
      <c r="G655" s="4" t="str">
        <f>IFERROR(__xludf.DUMMYFUNCTION("GOOGLETRANSLATE(B655,""en"",""de"")"),"Export erfolgreich")</f>
        <v>Export erfolgreich</v>
      </c>
      <c r="H655" s="4" t="str">
        <f>IFERROR(__xludf.DUMMYFUNCTION("GOOGLETRANSLATE(B655,""en"",""es"")"),"Exportación exitosa")</f>
        <v>Exportación exitosa</v>
      </c>
      <c r="I655" s="4" t="str">
        <f>IFERROR(__xludf.DUMMYFUNCTION("GOOGLETRANSLATE(B655,""en"",""fr"")"),"Exportation réussie")</f>
        <v>Exportation réussie</v>
      </c>
      <c r="J655" s="4" t="str">
        <f>IFERROR(__xludf.DUMMYFUNCTION("GOOGLETRANSLATE(B655,""en"",""it"")"),"Esportazione riuscita")</f>
        <v>Esportazione riuscita</v>
      </c>
      <c r="K655" s="4" t="str">
        <f>IFERROR(__xludf.DUMMYFUNCTION("GOOGLETRANSLATE(B655,""en"",""pt"")"),"Exportação bem-sucedida")</f>
        <v>Exportação bem-sucedida</v>
      </c>
      <c r="L655" s="4" t="str">
        <f>IFERROR(__xludf.DUMMYFUNCTION("GOOGLETRANSLATE(B655,""en"",""ro"")"),"Export cu succes")</f>
        <v>Export cu succes</v>
      </c>
      <c r="M655" s="4" t="str">
        <f>IFERROR(__xludf.DUMMYFUNCTION("GOOGLETRANSLATE(B655,""en"",""vi"")"),"Xuất khẩu thành công")</f>
        <v>Xuất khẩu thành công</v>
      </c>
      <c r="N655" s="4" t="str">
        <f>IFERROR(__xludf.DUMMYFUNCTION("GOOGLETRANSLATE(B655,""en"",""ru"")"),"Экспорт успешен")</f>
        <v>Экспорт успешен</v>
      </c>
      <c r="O655" s="4" t="str">
        <f>IFERROR(__xludf.DUMMYFUNCTION("GOOGLETRANSLATE(B655,""en"",""tr"")"),"İhracat Başarılı")</f>
        <v>İhracat Başarılı</v>
      </c>
      <c r="P655" s="4" t="str">
        <f>IFERROR(__xludf.DUMMYFUNCTION("GOOGLETRANSLATE(B655,""en"",""ar"")"),"تم التصدير بنجاح")</f>
        <v>تم التصدير بنجاح</v>
      </c>
      <c r="Q655" s="4" t="str">
        <f>IFERROR(__xludf.DUMMYFUNCTION("GOOGLETRANSLATE(B655,""en"",""mr"")"),"निर्यात यशस्वी")</f>
        <v>निर्यात यशस्वी</v>
      </c>
      <c r="R655" s="4" t="str">
        <f>IFERROR(__xludf.DUMMYFUNCTION("GOOGLETRANSLATE(B655,""en"",""gu"")"),"નિકાસ સફળ")</f>
        <v>નિકાસ સફળ</v>
      </c>
      <c r="S655" s="4" t="str">
        <f>IFERROR(__xludf.DUMMYFUNCTION("GOOGLETRANSLATE(B655,""en"",""bn"")"),"রপ্তানি সফল")</f>
        <v>রপ্তানি সফল</v>
      </c>
      <c r="T655" s="4" t="str">
        <f>IFERROR(__xludf.DUMMYFUNCTION("GOOGLETRANSLATE(B655,""en"",""pa"")"),"ਨਿਰਯਾਤ ਸਫਲ")</f>
        <v>ਨਿਰਯਾਤ ਸਫਲ</v>
      </c>
      <c r="U655" s="4" t="str">
        <f>IFERROR(__xludf.DUMMYFUNCTION("GOOGLETRANSLATE(B655,""en"",""te"")"),"ఎగుమతి విజయవంతమైంది")</f>
        <v>ఎగుమతి విజయవంతమైంది</v>
      </c>
      <c r="V655" s="4" t="str">
        <f>IFERROR(__xludf.DUMMYFUNCTION("GOOGLETRANSLATE(B655,""en"",""kn"")"),"ರಫ್ತು ಯಶಸ್ವಿಯಾಗಿದೆ")</f>
        <v>ರಫ್ತು ಯಶಸ್ವಿಯಾಗಿದೆ</v>
      </c>
      <c r="W655" s="4" t="str">
        <f>IFERROR(__xludf.DUMMYFUNCTION("GOOGLETRANSLATE(B655,""en"",""ml"")"),"കയറ്റുമതി വിജയിച്ചു")</f>
        <v>കയറ്റുമതി വിജയിച്ചു</v>
      </c>
      <c r="X655" s="4" t="str">
        <f>IFERROR(__xludf.DUMMYFUNCTION("GOOGLETRANSLATE(B655,""en"",""th"")"),"การส่งออกสำเร็จ")</f>
        <v>การส่งออกสำเร็จ</v>
      </c>
      <c r="Y655" s="4" t="str">
        <f>IFERROR(__xludf.DUMMYFUNCTION("GOOGLETRANSLATE(B655,""en"",""ko"")"),"내보내기 성공")</f>
        <v>내보내기 성공</v>
      </c>
      <c r="Z655" s="4" t="str">
        <f>IFERROR(__xludf.DUMMYFUNCTION("GOOGLETRANSLATE(B655,""en"",""zh"")"),"导出成功")</f>
        <v>导出成功</v>
      </c>
      <c r="AA655" s="4" t="str">
        <f>IFERROR(__xludf.DUMMYFUNCTION("GOOGLETRANSLATE(B655,""en"",""zh-TW"")"),"匯出成功")</f>
        <v>匯出成功</v>
      </c>
      <c r="AB655" s="4" t="str">
        <f>IFERROR(__xludf.DUMMYFUNCTION("GOOGLETRANSLATE(B655,""en"",""ja"")"),"エクスポート成功")</f>
        <v>エクスポート成功</v>
      </c>
      <c r="AC655" s="4" t="str">
        <f>IFERROR(__xludf.DUMMYFUNCTION("GOOGLETRANSLATE(B655,""en"",""bg"")"),"Експортирането е успешно")</f>
        <v>Експортирането е успешно</v>
      </c>
      <c r="AD655" s="4" t="str">
        <f>IFERROR(__xludf.DUMMYFUNCTION("GOOGLETRANSLATE(B655,""en"",""cs"")"),"Export byl úspěšný")</f>
        <v>Export byl úspěšný</v>
      </c>
      <c r="AE655" s="4" t="str">
        <f>IFERROR(__xludf.DUMMYFUNCTION("GOOGLETRANSLATE(B655,""en"",""da"")"),"Eksporten lykkedes")</f>
        <v>Eksporten lykkedes</v>
      </c>
      <c r="AF655" s="4" t="str">
        <f>IFERROR(__xludf.DUMMYFUNCTION("GOOGLETRANSLATE(B655,""en"",""el"")"),"Η εξαγωγή ολοκληρώθηκε με επιτυχία")</f>
        <v>Η εξαγωγή ολοκληρώθηκε με επιτυχία</v>
      </c>
      <c r="AG655" s="4" t="str">
        <f>IFERROR(__xludf.DUMMYFUNCTION("GOOGLETRANSLATE(B655,""en"",""et"")"),"Eksportimine õnnestus")</f>
        <v>Eksportimine õnnestus</v>
      </c>
      <c r="AH655" s="4" t="str">
        <f>IFERROR(__xludf.DUMMYFUNCTION("GOOGLETRANSLATE(B655,""en"",""fi"")"),"Vienti onnistui")</f>
        <v>Vienti onnistui</v>
      </c>
      <c r="AI655" s="4" t="str">
        <f>IFERROR(__xludf.DUMMYFUNCTION("GOOGLETRANSLATE(B655,""en"",""hr"")"),"Izvoz uspješan")</f>
        <v>Izvoz uspješan</v>
      </c>
      <c r="AJ655" s="4" t="str">
        <f>IFERROR(__xludf.DUMMYFUNCTION("GOOGLETRANSLATE(B655,""en"",""hu"")"),"Az exportálás sikeres")</f>
        <v>Az exportálás sikeres</v>
      </c>
      <c r="AK655" s="4" t="str">
        <f>IFERROR(__xludf.DUMMYFUNCTION("GOOGLETRANSLATE(B655,""en"",""hy"")"),"Արտահանումը հաջողվեց")</f>
        <v>Արտահանումը հաջողվեց</v>
      </c>
      <c r="AL655" s="4" t="str">
        <f>IFERROR(__xludf.DUMMYFUNCTION("GOOGLETRANSLATE(B655,""en"",""ca"")"),"Exportació correcta")</f>
        <v>Exportació correcta</v>
      </c>
      <c r="AM655" s="4" t="str">
        <f>IFERROR(__xludf.DUMMYFUNCTION("GOOGLETRANSLATE(B655,""en"",""nl"")"),"Exporteren succesvol")</f>
        <v>Exporteren succesvol</v>
      </c>
      <c r="AN655" s="4" t="str">
        <f>IFERROR(__xludf.DUMMYFUNCTION("GOOGLETRANSLATE(B655,""en"",""he"")"),"הייצוא הצליח")</f>
        <v>הייצוא הצליח</v>
      </c>
      <c r="AO655" s="4" t="str">
        <f>IFERROR(__xludf.DUMMYFUNCTION("GOOGLETRANSLATE(B655,""en"",""is"")"),"Útflutningur tókst")</f>
        <v>Útflutningur tókst</v>
      </c>
      <c r="AP655" s="4" t="str">
        <f>IFERROR(__xludf.DUMMYFUNCTION("GOOGLETRANSLATE(B655,""en"",""no"")"),"Eksporten var vellykket")</f>
        <v>Eksporten var vellykket</v>
      </c>
      <c r="AQ655" s="4" t="str">
        <f>IFERROR(__xludf.DUMMYFUNCTION("GOOGLETRANSLATE(B655,""en"",""fa"")"),"صادرات با موفقیت انجام شد")</f>
        <v>صادرات با موفقیت انجام شد</v>
      </c>
      <c r="AR655" s="4" t="str">
        <f>IFERROR(__xludf.DUMMYFUNCTION("GOOGLETRANSLATE(B655,""en"",""pl"")"),"Eksport zakończony sukcesem")</f>
        <v>Eksport zakończony sukcesem</v>
      </c>
      <c r="AS655" s="4" t="str">
        <f>IFERROR(__xludf.DUMMYFUNCTION("GOOGLETRANSLATE(B655,""en"",""sv"")"),"Exporten lyckades")</f>
        <v>Exporten lyckades</v>
      </c>
      <c r="AT655" s="4" t="str">
        <f>IFERROR(__xludf.DUMMYFUNCTION("GOOGLETRANSLATE(B655,""en"",""uk"")"),"Експорт успішний")</f>
        <v>Експорт успішний</v>
      </c>
      <c r="AU655" s="4" t="str">
        <f>IFERROR(__xludf.DUMMYFUNCTION("GOOGLETRANSLATE(B655,""en"",""zu"")"),"Ukuthumela Kuphumelele")</f>
        <v>Ukuthumela Kuphumelele</v>
      </c>
      <c r="AV655" s="4" t="str">
        <f>IFERROR(__xludf.DUMMYFUNCTION("GOOGLETRANSLATE(B655,""en"",""sr"")"),"Извоз је успео")</f>
        <v>Извоз је успео</v>
      </c>
    </row>
    <row r="656">
      <c r="A656" s="3" t="s">
        <v>1246</v>
      </c>
      <c r="B656" s="3" t="s">
        <v>1247</v>
      </c>
      <c r="C656" s="4" t="str">
        <f>IFERROR(__xludf.DUMMYFUNCTION("GOOGLETRANSLATE(B656,""en"",""ta"")"),"ஏற்றுமதி தோல்வியடைந்தது")</f>
        <v>ஏற்றுமதி தோல்வியடைந்தது</v>
      </c>
      <c r="D656" s="4" t="str">
        <f>IFERROR(__xludf.DUMMYFUNCTION("GOOGLETRANSLATE(B656,""en"",""hi"")"),"निर्यात विफल")</f>
        <v>निर्यात विफल</v>
      </c>
      <c r="E656" s="4" t="str">
        <f>IFERROR(__xludf.DUMMYFUNCTION("GOOGLETRANSLATE(B656,""en"",""id"")"),"Ekspor Gagal")</f>
        <v>Ekspor Gagal</v>
      </c>
      <c r="F656" s="4" t="str">
        <f>IFERROR(__xludf.DUMMYFUNCTION("GOOGLETRANSLATE(B656,""en"",""ms"")"),"Eksport Gagal")</f>
        <v>Eksport Gagal</v>
      </c>
      <c r="G656" s="4" t="str">
        <f>IFERROR(__xludf.DUMMYFUNCTION("GOOGLETRANSLATE(B656,""en"",""de"")"),"Export fehlgeschlagen")</f>
        <v>Export fehlgeschlagen</v>
      </c>
      <c r="H656" s="4" t="str">
        <f>IFERROR(__xludf.DUMMYFUNCTION("GOOGLETRANSLATE(B656,""en"",""es"")"),"Exportación fallida")</f>
        <v>Exportación fallida</v>
      </c>
      <c r="I656" s="4" t="str">
        <f>IFERROR(__xludf.DUMMYFUNCTION("GOOGLETRANSLATE(B656,""en"",""fr"")"),"Échec de l'exportation")</f>
        <v>Échec de l'exportation</v>
      </c>
      <c r="J656" s="4" t="str">
        <f>IFERROR(__xludf.DUMMYFUNCTION("GOOGLETRANSLATE(B656,""en"",""it"")"),"Esportazione non riuscita")</f>
        <v>Esportazione non riuscita</v>
      </c>
      <c r="K656" s="4" t="str">
        <f>IFERROR(__xludf.DUMMYFUNCTION("GOOGLETRANSLATE(B656,""en"",""pt"")"),"Exportação falhou")</f>
        <v>Exportação falhou</v>
      </c>
      <c r="L656" s="4" t="str">
        <f>IFERROR(__xludf.DUMMYFUNCTION("GOOGLETRANSLATE(B656,""en"",""ro"")"),"Export eșuat")</f>
        <v>Export eșuat</v>
      </c>
      <c r="M656" s="4" t="str">
        <f>IFERROR(__xludf.DUMMYFUNCTION("GOOGLETRANSLATE(B656,""en"",""vi"")"),"Xuất không thành công")</f>
        <v>Xuất không thành công</v>
      </c>
      <c r="N656" s="4" t="str">
        <f>IFERROR(__xludf.DUMMYFUNCTION("GOOGLETRANSLATE(B656,""en"",""ru"")"),"Экспорт не удался")</f>
        <v>Экспорт не удался</v>
      </c>
      <c r="O656" s="4" t="str">
        <f>IFERROR(__xludf.DUMMYFUNCTION("GOOGLETRANSLATE(B656,""en"",""tr"")"),"İhracat Başarısız")</f>
        <v>İhracat Başarısız</v>
      </c>
      <c r="P656" s="4" t="str">
        <f>IFERROR(__xludf.DUMMYFUNCTION("GOOGLETRANSLATE(B656,""en"",""ar"")"),"فشل التصدير")</f>
        <v>فشل التصدير</v>
      </c>
      <c r="Q656" s="4" t="str">
        <f>IFERROR(__xludf.DUMMYFUNCTION("GOOGLETRANSLATE(B656,""en"",""mr"")"),"निर्यात अयशस्वी")</f>
        <v>निर्यात अयशस्वी</v>
      </c>
      <c r="R656" s="4" t="str">
        <f>IFERROR(__xludf.DUMMYFUNCTION("GOOGLETRANSLATE(B656,""en"",""gu"")"),"નિકાસ નિષ્ફળ")</f>
        <v>નિકાસ નિષ્ફળ</v>
      </c>
      <c r="S656" s="4" t="str">
        <f>IFERROR(__xludf.DUMMYFUNCTION("GOOGLETRANSLATE(B656,""en"",""bn"")"),"রপ্তানি ব্যর্থ হয়েছে৷")</f>
        <v>রপ্তানি ব্যর্থ হয়েছে৷</v>
      </c>
      <c r="T656" s="4" t="str">
        <f>IFERROR(__xludf.DUMMYFUNCTION("GOOGLETRANSLATE(B656,""en"",""pa"")"),"ਨਿਰਯਾਤ ਅਸਫਲ ਰਿਹਾ")</f>
        <v>ਨਿਰਯਾਤ ਅਸਫਲ ਰਿਹਾ</v>
      </c>
      <c r="U656" s="4" t="str">
        <f>IFERROR(__xludf.DUMMYFUNCTION("GOOGLETRANSLATE(B656,""en"",""te"")"),"ఎగుమతి విఫలమైంది")</f>
        <v>ఎగుమతి విఫలమైంది</v>
      </c>
      <c r="V656" s="4" t="str">
        <f>IFERROR(__xludf.DUMMYFUNCTION("GOOGLETRANSLATE(B656,""en"",""kn"")"),"ರಫ್ತು ವಿಫಲವಾಗಿದೆ")</f>
        <v>ರಫ್ತು ವಿಫಲವಾಗಿದೆ</v>
      </c>
      <c r="W656" s="4" t="str">
        <f>IFERROR(__xludf.DUMMYFUNCTION("GOOGLETRANSLATE(B656,""en"",""ml"")"),"കയറ്റുമതി പരാജയപ്പെട്ടു")</f>
        <v>കയറ്റുമതി പരാജയപ്പെട്ടു</v>
      </c>
      <c r="X656" s="4" t="str">
        <f>IFERROR(__xludf.DUMMYFUNCTION("GOOGLETRANSLATE(B656,""en"",""th"")"),"การส่งออกล้มเหลว")</f>
        <v>การส่งออกล้มเหลว</v>
      </c>
      <c r="Y656" s="4" t="str">
        <f>IFERROR(__xludf.DUMMYFUNCTION("GOOGLETRANSLATE(B656,""en"",""ko"")"),"내보내기 실패")</f>
        <v>내보내기 실패</v>
      </c>
      <c r="Z656" s="4" t="str">
        <f>IFERROR(__xludf.DUMMYFUNCTION("GOOGLETRANSLATE(B656,""en"",""zh"")"),"导出失败")</f>
        <v>导出失败</v>
      </c>
      <c r="AA656" s="4" t="str">
        <f>IFERROR(__xludf.DUMMYFUNCTION("GOOGLETRANSLATE(B656,""en"",""zh-TW"")"),"匯出失敗")</f>
        <v>匯出失敗</v>
      </c>
      <c r="AB656" s="4" t="str">
        <f>IFERROR(__xludf.DUMMYFUNCTION("GOOGLETRANSLATE(B656,""en"",""ja"")"),"エクスポートに失敗しました")</f>
        <v>エクスポートに失敗しました</v>
      </c>
      <c r="AC656" s="4" t="str">
        <f>IFERROR(__xludf.DUMMYFUNCTION("GOOGLETRANSLATE(B656,""en"",""bg"")"),"Неуспешно експортиране")</f>
        <v>Неуспешно експортиране</v>
      </c>
      <c r="AD656" s="4" t="str">
        <f>IFERROR(__xludf.DUMMYFUNCTION("GOOGLETRANSLATE(B656,""en"",""cs"")"),"Export se nezdařil")</f>
        <v>Export se nezdařil</v>
      </c>
      <c r="AE656" s="4" t="str">
        <f>IFERROR(__xludf.DUMMYFUNCTION("GOOGLETRANSLATE(B656,""en"",""da"")"),"Eksport mislykkedes")</f>
        <v>Eksport mislykkedes</v>
      </c>
      <c r="AF656" s="4" t="str">
        <f>IFERROR(__xludf.DUMMYFUNCTION("GOOGLETRANSLATE(B656,""en"",""el"")"),"Η εξαγωγή απέτυχε")</f>
        <v>Η εξαγωγή απέτυχε</v>
      </c>
      <c r="AG656" s="4" t="str">
        <f>IFERROR(__xludf.DUMMYFUNCTION("GOOGLETRANSLATE(B656,""en"",""et"")"),"Eksport ebaõnnestus")</f>
        <v>Eksport ebaõnnestus</v>
      </c>
      <c r="AH656" s="4" t="str">
        <f>IFERROR(__xludf.DUMMYFUNCTION("GOOGLETRANSLATE(B656,""en"",""fi"")"),"Vienti epäonnistui")</f>
        <v>Vienti epäonnistui</v>
      </c>
      <c r="AI656" s="4" t="str">
        <f>IFERROR(__xludf.DUMMYFUNCTION("GOOGLETRANSLATE(B656,""en"",""hr"")"),"Izvoz nije uspio")</f>
        <v>Izvoz nije uspio</v>
      </c>
      <c r="AJ656" s="4" t="str">
        <f>IFERROR(__xludf.DUMMYFUNCTION("GOOGLETRANSLATE(B656,""en"",""hu"")"),"Az exportálás sikertelen")</f>
        <v>Az exportálás sikertelen</v>
      </c>
      <c r="AK656" s="4" t="str">
        <f>IFERROR(__xludf.DUMMYFUNCTION("GOOGLETRANSLATE(B656,""en"",""hy"")"),"Արտահանումը ձախողվեց")</f>
        <v>Արտահանումը ձախողվեց</v>
      </c>
      <c r="AL656" s="4" t="str">
        <f>IFERROR(__xludf.DUMMYFUNCTION("GOOGLETRANSLATE(B656,""en"",""ca"")"),"Ha fallat l'exportació")</f>
        <v>Ha fallat l'exportació</v>
      </c>
      <c r="AM656" s="4" t="str">
        <f>IFERROR(__xludf.DUMMYFUNCTION("GOOGLETRANSLATE(B656,""en"",""nl"")"),"Exporteren mislukt")</f>
        <v>Exporteren mislukt</v>
      </c>
      <c r="AN656" s="4" t="str">
        <f>IFERROR(__xludf.DUMMYFUNCTION("GOOGLETRANSLATE(B656,""en"",""he"")"),"הייצוא נכשל")</f>
        <v>הייצוא נכשל</v>
      </c>
      <c r="AO656" s="4" t="str">
        <f>IFERROR(__xludf.DUMMYFUNCTION("GOOGLETRANSLATE(B656,""en"",""is"")"),"Útflutningur mistókst")</f>
        <v>Útflutningur mistókst</v>
      </c>
      <c r="AP656" s="4" t="str">
        <f>IFERROR(__xludf.DUMMYFUNCTION("GOOGLETRANSLATE(B656,""en"",""no"")"),"Eksporten mislyktes")</f>
        <v>Eksporten mislyktes</v>
      </c>
      <c r="AQ656" s="4" t="str">
        <f>IFERROR(__xludf.DUMMYFUNCTION("GOOGLETRANSLATE(B656,""en"",""fa"")"),"صادرات انجام نشد")</f>
        <v>صادرات انجام نشد</v>
      </c>
      <c r="AR656" s="4" t="str">
        <f>IFERROR(__xludf.DUMMYFUNCTION("GOOGLETRANSLATE(B656,""en"",""pl"")"),"Eksport nie powiódł się")</f>
        <v>Eksport nie powiódł się</v>
      </c>
      <c r="AS656" s="4" t="str">
        <f>IFERROR(__xludf.DUMMYFUNCTION("GOOGLETRANSLATE(B656,""en"",""sv"")"),"Exporten misslyckades")</f>
        <v>Exporten misslyckades</v>
      </c>
      <c r="AT656" s="4" t="str">
        <f>IFERROR(__xludf.DUMMYFUNCTION("GOOGLETRANSLATE(B656,""en"",""uk"")"),"Помилка експорту")</f>
        <v>Помилка експорту</v>
      </c>
      <c r="AU656" s="4" t="str">
        <f>IFERROR(__xludf.DUMMYFUNCTION("GOOGLETRANSLATE(B656,""en"",""zu"")"),"Ukukhipha Kwehlulekile")</f>
        <v>Ukukhipha Kwehlulekile</v>
      </c>
      <c r="AV656" s="4" t="str">
        <f>IFERROR(__xludf.DUMMYFUNCTION("GOOGLETRANSLATE(B656,""en"",""sr"")"),"Извоз није успео")</f>
        <v>Извоз није успео</v>
      </c>
    </row>
    <row r="657">
      <c r="A657" s="3" t="s">
        <v>1248</v>
      </c>
      <c r="B657" s="3" t="s">
        <v>1249</v>
      </c>
      <c r="C657" s="4" t="str">
        <f>IFERROR(__xludf.DUMMYFUNCTION("GOOGLETRANSLATE(B657,""en"",""ta"")"),"கோப்பு சேமிக்கப்பட்டது: {{பாதை}}")</f>
        <v>கோப்பு சேமிக்கப்பட்டது: {{பாதை}}</v>
      </c>
      <c r="D657" s="4" t="str">
        <f>IFERROR(__xludf.DUMMYFUNCTION("GOOGLETRANSLATE(B657,""en"",""hi"")"),"फ़ाइल सहेजी गई: {{path}}")</f>
        <v>फ़ाइल सहेजी गई: {{path}}</v>
      </c>
      <c r="E657" s="4" t="str">
        <f>IFERROR(__xludf.DUMMYFUNCTION("GOOGLETRANSLATE(B657,""en"",""id"")"),"File disimpan ke: {{path}}")</f>
        <v>File disimpan ke: {{path}}</v>
      </c>
      <c r="F657" s="4" t="str">
        <f>IFERROR(__xludf.DUMMYFUNCTION("GOOGLETRANSLATE(B657,""en"",""ms"")"),"Fail disimpan ke: {{path}}")</f>
        <v>Fail disimpan ke: {{path}}</v>
      </c>
      <c r="G657" s="4" t="str">
        <f>IFERROR(__xludf.DUMMYFUNCTION("GOOGLETRANSLATE(B657,""en"",""de"")"),"Datei gespeichert unter: {{path}}")</f>
        <v>Datei gespeichert unter: {{path}}</v>
      </c>
      <c r="H657" s="4" t="str">
        <f>IFERROR(__xludf.DUMMYFUNCTION("GOOGLETRANSLATE(B657,""en"",""es"")"),"Archivo guardado en: {{path}}")</f>
        <v>Archivo guardado en: {{path}}</v>
      </c>
      <c r="I657" s="4" t="str">
        <f>IFERROR(__xludf.DUMMYFUNCTION("GOOGLETRANSLATE(B657,""en"",""fr"")"),"Fichier enregistré dans : {{path}}")</f>
        <v>Fichier enregistré dans : {{path}}</v>
      </c>
      <c r="J657" s="4" t="str">
        <f>IFERROR(__xludf.DUMMYFUNCTION("GOOGLETRANSLATE(B657,""en"",""it"")"),"File salvato in: {{path}}")</f>
        <v>File salvato in: {{path}}</v>
      </c>
      <c r="K657" s="4" t="str">
        <f>IFERROR(__xludf.DUMMYFUNCTION("GOOGLETRANSLATE(B657,""en"",""pt"")"),"Arquivo salvo em: {{path}}")</f>
        <v>Arquivo salvo em: {{path}}</v>
      </c>
      <c r="L657" s="4" t="str">
        <f>IFERROR(__xludf.DUMMYFUNCTION("GOOGLETRANSLATE(B657,""en"",""ro"")"),"Fișier salvat în: {{cale}}")</f>
        <v>Fișier salvat în: {{cale}}</v>
      </c>
      <c r="M657" s="4" t="str">
        <f>IFERROR(__xludf.DUMMYFUNCTION("GOOGLETRANSLATE(B657,""en"",""vi"")"),"Tệp đã lưu vào: {{path}}")</f>
        <v>Tệp đã lưu vào: {{path}}</v>
      </c>
      <c r="N657" s="4" t="str">
        <f>IFERROR(__xludf.DUMMYFUNCTION("GOOGLETRANSLATE(B657,""en"",""ru"")"),"Файл сохранен в: {{path}}")</f>
        <v>Файл сохранен в: {{path}}</v>
      </c>
      <c r="O657" s="4" t="str">
        <f>IFERROR(__xludf.DUMMYFUNCTION("GOOGLETRANSLATE(B657,""en"",""tr"")"),"Dosya şuraya kaydedildi: {{path}}")</f>
        <v>Dosya şuraya kaydedildi: {{path}}</v>
      </c>
      <c r="P657" s="4" t="str">
        <f>IFERROR(__xludf.DUMMYFUNCTION("GOOGLETRANSLATE(B657,""en"",""ar"")"),"تم حفظ الملف في: {{path}}")</f>
        <v>تم حفظ الملف في: {{path}}</v>
      </c>
      <c r="Q657" s="4" t="str">
        <f>IFERROR(__xludf.DUMMYFUNCTION("GOOGLETRANSLATE(B657,""en"",""mr"")"),"फाइल यामध्ये सेव्ह केली: {{path}}")</f>
        <v>फाइल यामध्ये सेव्ह केली: {{path}}</v>
      </c>
      <c r="R657" s="4" t="str">
        <f>IFERROR(__xludf.DUMMYFUNCTION("GOOGLETRANSLATE(B657,""en"",""gu"")"),"ફાઇલ આમાં સાચવી: {{path}}")</f>
        <v>ફાઇલ આમાં સાચવી: {{path}}</v>
      </c>
      <c r="S657" s="4" t="str">
        <f>IFERROR(__xludf.DUMMYFUNCTION("GOOGLETRANSLATE(B657,""en"",""bn"")"),"ফাইল এতে সংরক্ষিত হয়েছে: {{path}}")</f>
        <v>ফাইল এতে সংরক্ষিত হয়েছে: {{path}}</v>
      </c>
      <c r="T657" s="4" t="str">
        <f>IFERROR(__xludf.DUMMYFUNCTION("GOOGLETRANSLATE(B657,""en"",""pa"")"),"ਫ਼ਾਈਲ ਇਸ ਵਿੱਚ ਸੁਰੱਖਿਅਤ ਕੀਤੀ ਗਈ: {{path}}")</f>
        <v>ਫ਼ਾਈਲ ਇਸ ਵਿੱਚ ਸੁਰੱਖਿਅਤ ਕੀਤੀ ਗਈ: {{path}}</v>
      </c>
      <c r="U657" s="4" t="str">
        <f>IFERROR(__xludf.DUMMYFUNCTION("GOOGLETRANSLATE(B657,""en"",""te"")"),"ఫైల్ ఇక్కడ సేవ్ చేయబడింది: {{path}}")</f>
        <v>ఫైల్ ఇక్కడ సేవ్ చేయబడింది: {{path}}</v>
      </c>
      <c r="V657" s="4" t="str">
        <f>IFERROR(__xludf.DUMMYFUNCTION("GOOGLETRANSLATE(B657,""en"",""kn"")"),"ಫೈಲ್ ಅನ್ನು ಇಲ್ಲಿ ಉಳಿಸಲಾಗಿದೆ: {{path}}")</f>
        <v>ಫೈಲ್ ಅನ್ನು ಇಲ್ಲಿ ಉಳಿಸಲಾಗಿದೆ: {{path}}</v>
      </c>
      <c r="W657" s="4" t="str">
        <f>IFERROR(__xludf.DUMMYFUNCTION("GOOGLETRANSLATE(B657,""en"",""ml"")"),"ഫയൽ ഇതിലേക്ക് സംരക്ഷിച്ചു: {{path}}")</f>
        <v>ഫയൽ ഇതിലേക്ക് സംരക്ഷിച്ചു: {{path}}</v>
      </c>
      <c r="X657" s="4" t="str">
        <f>IFERROR(__xludf.DUMMYFUNCTION("GOOGLETRANSLATE(B657,""en"",""th"")"),"ไฟล์ถูกบันทึกไปที่: {{path}}")</f>
        <v>ไฟล์ถูกบันทึกไปที่: {{path}}</v>
      </c>
      <c r="Y657" s="4" t="str">
        <f>IFERROR(__xludf.DUMMYFUNCTION("GOOGLETRANSLATE(B657,""en"",""ko"")"),"파일이 저장됨: {{path}}")</f>
        <v>파일이 저장됨: {{path}}</v>
      </c>
      <c r="Z657" s="4" t="str">
        <f>IFERROR(__xludf.DUMMYFUNCTION("GOOGLETRANSLATE(B657,""en"",""zh"")"),"文件保存至：{{path}}")</f>
        <v>文件保存至：{{path}}</v>
      </c>
      <c r="AA657" s="4" t="str">
        <f>IFERROR(__xludf.DUMMYFUNCTION("GOOGLETRANSLATE(B657,""en"",""zh-TW"")"),"文件儲存至：{{path}}")</f>
        <v>文件儲存至：{{path}}</v>
      </c>
      <c r="AB657" s="4" t="str">
        <f>IFERROR(__xludf.DUMMYFUNCTION("GOOGLETRANSLATE(B657,""en"",""ja"")"),"ファイルの保存先: {{path}}")</f>
        <v>ファイルの保存先: {{path}}</v>
      </c>
      <c r="AC657" s="4" t="str">
        <f>IFERROR(__xludf.DUMMYFUNCTION("GOOGLETRANSLATE(B657,""en"",""bg"")"),"Файлът е запазен на: {{path}}")</f>
        <v>Файлът е запазен на: {{path}}</v>
      </c>
      <c r="AD657" s="4" t="str">
        <f>IFERROR(__xludf.DUMMYFUNCTION("GOOGLETRANSLATE(B657,""en"",""cs"")"),"Soubor byl uložen do: {{cesta}}")</f>
        <v>Soubor byl uložen do: {{cesta}}</v>
      </c>
      <c r="AE657" s="4" t="str">
        <f>IFERROR(__xludf.DUMMYFUNCTION("GOOGLETRANSLATE(B657,""en"",""da"")"),"Fil gemt til: {{path}}")</f>
        <v>Fil gemt til: {{path}}</v>
      </c>
      <c r="AF657" s="4" t="str">
        <f>IFERROR(__xludf.DUMMYFUNCTION("GOOGLETRANSLATE(B657,""en"",""el"")"),"Το αρχείο αποθηκεύτηκε στο: {{path}}")</f>
        <v>Το αρχείο αποθηκεύτηκε στο: {{path}}</v>
      </c>
      <c r="AG657" s="4" t="str">
        <f>IFERROR(__xludf.DUMMYFUNCTION("GOOGLETRANSLATE(B657,""en"",""et"")"),"Fail salvestati: {{path}}")</f>
        <v>Fail salvestati: {{path}}</v>
      </c>
      <c r="AH657" s="4" t="str">
        <f>IFERROR(__xludf.DUMMYFUNCTION("GOOGLETRANSLATE(B657,""en"",""fi"")"),"Tiedosto tallennettu: {{path}}")</f>
        <v>Tiedosto tallennettu: {{path}}</v>
      </c>
      <c r="AI657" s="4" t="str">
        <f>IFERROR(__xludf.DUMMYFUNCTION("GOOGLETRANSLATE(B657,""en"",""hr"")"),"Datoteka je spremljena na: {{path}}")</f>
        <v>Datoteka je spremljena na: {{path}}</v>
      </c>
      <c r="AJ657" s="4" t="str">
        <f>IFERROR(__xludf.DUMMYFUNCTION("GOOGLETRANSLATE(B657,""en"",""hu"")"),"A fájl elmentve ide: {{path}}")</f>
        <v>A fájl elmentve ide: {{path}}</v>
      </c>
      <c r="AK657" s="4" t="str">
        <f>IFERROR(__xludf.DUMMYFUNCTION("GOOGLETRANSLATE(B657,""en"",""hy"")"),"Ֆայլը պահված է՝ {{ path}}")</f>
        <v>Ֆայլը պահված է՝ {{ path}}</v>
      </c>
      <c r="AL657" s="4" t="str">
        <f>IFERROR(__xludf.DUMMYFUNCTION("GOOGLETRANSLATE(B657,""en"",""ca"")"),"Fitxer desat a: {{path}}")</f>
        <v>Fitxer desat a: {{path}}</v>
      </c>
      <c r="AM657" s="4" t="str">
        <f>IFERROR(__xludf.DUMMYFUNCTION("GOOGLETRANSLATE(B657,""en"",""nl"")"),"Bestand opgeslagen in: {{path}}")</f>
        <v>Bestand opgeslagen in: {{path}}</v>
      </c>
      <c r="AN657" s="4" t="str">
        <f>IFERROR(__xludf.DUMMYFUNCTION("GOOGLETRANSLATE(B657,""en"",""he"")"),"הקובץ נשמר ב: {{path}}")</f>
        <v>הקובץ נשמר ב: {{path}}</v>
      </c>
      <c r="AO657" s="4" t="str">
        <f>IFERROR(__xludf.DUMMYFUNCTION("GOOGLETRANSLATE(B657,""en"",""is"")"),"Skrá vistuð í: {{path}}")</f>
        <v>Skrá vistuð í: {{path}}</v>
      </c>
      <c r="AP657" s="4" t="str">
        <f>IFERROR(__xludf.DUMMYFUNCTION("GOOGLETRANSLATE(B657,""en"",""no"")"),"Fil lagret til: {{path}}")</f>
        <v>Fil lagret til: {{path}}</v>
      </c>
      <c r="AQ657" s="4" t="str">
        <f>IFERROR(__xludf.DUMMYFUNCTION("GOOGLETRANSLATE(B657,""en"",""fa"")"),"فایل ذخیره شده در: {{path}}")</f>
        <v>فایل ذخیره شده در: {{path}}</v>
      </c>
      <c r="AR657" s="4" t="str">
        <f>IFERROR(__xludf.DUMMYFUNCTION("GOOGLETRANSLATE(B657,""en"",""pl"")"),"Plik zapisany w: {{path}}")</f>
        <v>Plik zapisany w: {{path}}</v>
      </c>
      <c r="AS657" s="4" t="str">
        <f>IFERROR(__xludf.DUMMYFUNCTION("GOOGLETRANSLATE(B657,""en"",""sv"")"),"Filen sparad till: {{sökväg}}")</f>
        <v>Filen sparad till: {{sökväg}}</v>
      </c>
      <c r="AT657" s="4" t="str">
        <f>IFERROR(__xludf.DUMMYFUNCTION("GOOGLETRANSLATE(B657,""en"",""uk"")"),"Файл збережено в: {{path}}")</f>
        <v>Файл збережено в: {{path}}</v>
      </c>
      <c r="AU657" s="4" t="str">
        <f>IFERROR(__xludf.DUMMYFUNCTION("GOOGLETRANSLATE(B657,""en"",""zu"")"),"Ifayela lilondolozwe kokuthi: {{path}}")</f>
        <v>Ifayela lilondolozwe kokuthi: {{path}}</v>
      </c>
      <c r="AV657" s="4" t="str">
        <f>IFERROR(__xludf.DUMMYFUNCTION("GOOGLETRANSLATE(B657,""en"",""sr"")"),"Датотека је сачувана на: {{патх}}")</f>
        <v>Датотека је сачувана на: {{патх}}</v>
      </c>
    </row>
    <row r="658">
      <c r="A658" s="3" t="s">
        <v>1250</v>
      </c>
      <c r="B658" s="3" t="s">
        <v>1251</v>
      </c>
      <c r="C658" s="4" t="str">
        <f>IFERROR(__xludf.DUMMYFUNCTION("GOOGLETRANSLATE(B658,""en"",""ta"")"),"பிழை: {{செய்தி}}")</f>
        <v>பிழை: {{செய்தி}}</v>
      </c>
      <c r="D658" s="4" t="str">
        <f>IFERROR(__xludf.DUMMYFUNCTION("GOOGLETRANSLATE(B658,""en"",""hi"")"),"त्रुटि संदेश}}")</f>
        <v>त्रुटि संदेश}}</v>
      </c>
      <c r="E658" s="4" t="str">
        <f>IFERROR(__xludf.DUMMYFUNCTION("GOOGLETRANSLATE(B658,""en"",""id"")"),"Kesalahan: {{pesan}}")</f>
        <v>Kesalahan: {{pesan}}</v>
      </c>
      <c r="F658" s="4" t="str">
        <f>IFERROR(__xludf.DUMMYFUNCTION("GOOGLETRANSLATE(B658,""en"",""ms"")"),"Ralat: {{message}}")</f>
        <v>Ralat: {{message}}</v>
      </c>
      <c r="G658" s="4" t="str">
        <f>IFERROR(__xludf.DUMMYFUNCTION("GOOGLETRANSLATE(B658,""en"",""de"")"),"Fehler: {{message}}")</f>
        <v>Fehler: {{message}}</v>
      </c>
      <c r="H658" s="4" t="str">
        <f>IFERROR(__xludf.DUMMYFUNCTION("GOOGLETRANSLATE(B658,""en"",""es"")"),"Mensaje de error}}")</f>
        <v>Mensaje de error}}</v>
      </c>
      <c r="I658" s="4" t="str">
        <f>IFERROR(__xludf.DUMMYFUNCTION("GOOGLETRANSLATE(B658,""en"",""fr"")"),"Erreur : {{message}}")</f>
        <v>Erreur : {{message}}</v>
      </c>
      <c r="J658" s="4" t="str">
        <f>IFERROR(__xludf.DUMMYFUNCTION("GOOGLETRANSLATE(B658,""en"",""it"")"),"Errore: {{message}}")</f>
        <v>Errore: {{message}}</v>
      </c>
      <c r="K658" s="4" t="str">
        <f>IFERROR(__xludf.DUMMYFUNCTION("GOOGLETRANSLATE(B658,""en"",""pt"")"),"Erro: {{message}}")</f>
        <v>Erro: {{message}}</v>
      </c>
      <c r="L658" s="4" t="str">
        <f>IFERROR(__xludf.DUMMYFUNCTION("GOOGLETRANSLATE(B658,""en"",""ro"")"),"Eroare: {{mesaj}}")</f>
        <v>Eroare: {{mesaj}}</v>
      </c>
      <c r="M658" s="4" t="str">
        <f>IFERROR(__xludf.DUMMYFUNCTION("GOOGLETRANSLATE(B658,""en"",""vi"")"),"Lỗi: {{message}}")</f>
        <v>Lỗi: {{message}}</v>
      </c>
      <c r="N658" s="4" t="str">
        <f>IFERROR(__xludf.DUMMYFUNCTION("GOOGLETRANSLATE(B658,""en"",""ru"")"),"Ошибка: {{message}}")</f>
        <v>Ошибка: {{message}}</v>
      </c>
      <c r="O658" s="4" t="str">
        <f>IFERROR(__xludf.DUMMYFUNCTION("GOOGLETRANSLATE(B658,""en"",""tr"")"),"Hata: {{mesaj}}")</f>
        <v>Hata: {{mesaj}}</v>
      </c>
      <c r="P658" s="4" t="str">
        <f>IFERROR(__xludf.DUMMYFUNCTION("GOOGLETRANSLATE(B658,""en"",""ar"")"),"خطأ: {{message}}")</f>
        <v>خطأ: {{message}}</v>
      </c>
      <c r="Q658" s="4" t="str">
        <f>IFERROR(__xludf.DUMMYFUNCTION("GOOGLETRANSLATE(B658,""en"",""mr"")"),"त्रुटी: {{message}}")</f>
        <v>त्रुटी: {{message}}</v>
      </c>
      <c r="R658" s="4" t="str">
        <f>IFERROR(__xludf.DUMMYFUNCTION("GOOGLETRANSLATE(B658,""en"",""gu"")"),"ભૂલ: {{message}}")</f>
        <v>ભૂલ: {{message}}</v>
      </c>
      <c r="S658" s="4" t="str">
        <f>IFERROR(__xludf.DUMMYFUNCTION("GOOGLETRANSLATE(B658,""en"",""bn"")"),"ত্রুটি: {{message}}")</f>
        <v>ত্রুটি: {{message}}</v>
      </c>
      <c r="T658" s="4" t="str">
        <f>IFERROR(__xludf.DUMMYFUNCTION("GOOGLETRANSLATE(B658,""en"",""pa"")"),"ਗਲਤੀ: {{message}}")</f>
        <v>ਗਲਤੀ: {{message}}</v>
      </c>
      <c r="U658" s="4" t="str">
        <f>IFERROR(__xludf.DUMMYFUNCTION("GOOGLETRANSLATE(B658,""en"",""te"")"),"లోపం: {{message}}")</f>
        <v>లోపం: {{message}}</v>
      </c>
      <c r="V658" s="4" t="str">
        <f>IFERROR(__xludf.DUMMYFUNCTION("GOOGLETRANSLATE(B658,""en"",""kn"")"),"ದೋಷ: {{ಸಂದೇಶ}}")</f>
        <v>ದೋಷ: {{ಸಂದೇಶ}}</v>
      </c>
      <c r="W658" s="4" t="str">
        <f>IFERROR(__xludf.DUMMYFUNCTION("GOOGLETRANSLATE(B658,""en"",""ml"")"),"പിശക്: {{message}}")</f>
        <v>പിശക്: {{message}}</v>
      </c>
      <c r="X658" s="4" t="str">
        <f>IFERROR(__xludf.DUMMYFUNCTION("GOOGLETRANSLATE(B658,""en"",""th"")"),"ข้อผิดพลาด: {{ข้อความ}}")</f>
        <v>ข้อผิดพลาด: {{ข้อความ}}</v>
      </c>
      <c r="Y658" s="4" t="str">
        <f>IFERROR(__xludf.DUMMYFUNCTION("GOOGLETRANSLATE(B658,""en"",""ko"")"),"오류: {{메시지}}")</f>
        <v>오류: {{메시지}}</v>
      </c>
      <c r="Z658" s="4" t="str">
        <f>IFERROR(__xludf.DUMMYFUNCTION("GOOGLETRANSLATE(B658,""en"",""zh"")"),"错误信息}}")</f>
        <v>错误信息}}</v>
      </c>
      <c r="AA658" s="4" t="str">
        <f>IFERROR(__xludf.DUMMYFUNCTION("GOOGLETRANSLATE(B658,""en"",""zh-TW"")"),"錯誤訊息}}")</f>
        <v>錯誤訊息}}</v>
      </c>
      <c r="AB658" s="4" t="str">
        <f>IFERROR(__xludf.DUMMYFUNCTION("GOOGLETRANSLATE(B658,""en"",""ja"")"),"エラー: {{message}}")</f>
        <v>エラー: {{message}}</v>
      </c>
      <c r="AC658" s="4" t="str">
        <f>IFERROR(__xludf.DUMMYFUNCTION("GOOGLETRANSLATE(B658,""en"",""bg"")"),"Грешка: {{message}}")</f>
        <v>Грешка: {{message}}</v>
      </c>
      <c r="AD658" s="4" t="str">
        <f>IFERROR(__xludf.DUMMYFUNCTION("GOOGLETRANSLATE(B658,""en"",""cs"")"),"Chyba: {{message}}")</f>
        <v>Chyba: {{message}}</v>
      </c>
      <c r="AE658" s="4" t="str">
        <f>IFERROR(__xludf.DUMMYFUNCTION("GOOGLETRANSLATE(B658,""en"",""da"")"),"Fejl: {{meddelelse}}")</f>
        <v>Fejl: {{meddelelse}}</v>
      </c>
      <c r="AF658" s="4" t="str">
        <f>IFERROR(__xludf.DUMMYFUNCTION("GOOGLETRANSLATE(B658,""en"",""el"")"),"Σφάλμα: {{message}}")</f>
        <v>Σφάλμα: {{message}}</v>
      </c>
      <c r="AG658" s="4" t="str">
        <f>IFERROR(__xludf.DUMMYFUNCTION("GOOGLETRANSLATE(B658,""en"",""et"")"),"Viga: {{message}}")</f>
        <v>Viga: {{message}}</v>
      </c>
      <c r="AH658" s="4" t="str">
        <f>IFERROR(__xludf.DUMMYFUNCTION("GOOGLETRANSLATE(B658,""en"",""fi"")"),"Virhe: {{message}}")</f>
        <v>Virhe: {{message}}</v>
      </c>
      <c r="AI658" s="4" t="str">
        <f>IFERROR(__xludf.DUMMYFUNCTION("GOOGLETRANSLATE(B658,""en"",""hr"")"),"Greška: {{message}}")</f>
        <v>Greška: {{message}}</v>
      </c>
      <c r="AJ658" s="4" t="str">
        <f>IFERROR(__xludf.DUMMYFUNCTION("GOOGLETRANSLATE(B658,""en"",""hu"")"),"Hiba: {{üzenet}}")</f>
        <v>Hiba: {{üzenet}}</v>
      </c>
      <c r="AK658" s="4" t="str">
        <f>IFERROR(__xludf.DUMMYFUNCTION("GOOGLETRANSLATE(B658,""en"",""hy"")"),"Սխալ՝ {{message}}")</f>
        <v>Սխալ՝ {{message}}</v>
      </c>
      <c r="AL658" s="4" t="str">
        <f>IFERROR(__xludf.DUMMYFUNCTION("GOOGLETRANSLATE(B658,""en"",""ca"")"),"Error: {{missatge}}")</f>
        <v>Error: {{missatge}}</v>
      </c>
      <c r="AM658" s="4" t="str">
        <f>IFERROR(__xludf.DUMMYFUNCTION("GOOGLETRANSLATE(B658,""en"",""nl"")"),"Fout: {{bericht}}")</f>
        <v>Fout: {{bericht}}</v>
      </c>
      <c r="AN658" s="4" t="str">
        <f>IFERROR(__xludf.DUMMYFUNCTION("GOOGLETRANSLATE(B658,""en"",""he"")"),"שגיאה: {{הודעה}}")</f>
        <v>שגיאה: {{הודעה}}</v>
      </c>
      <c r="AO658" s="4" t="str">
        <f>IFERROR(__xludf.DUMMYFUNCTION("GOOGLETRANSLATE(B658,""en"",""is"")"),"Villa: {{skilaboð}}")</f>
        <v>Villa: {{skilaboð}}</v>
      </c>
      <c r="AP658" s="4" t="str">
        <f>IFERROR(__xludf.DUMMYFUNCTION("GOOGLETRANSLATE(B658,""en"",""no"")"),"Feil: {{melding}}")</f>
        <v>Feil: {{melding}}</v>
      </c>
      <c r="AQ658" s="4" t="str">
        <f>IFERROR(__xludf.DUMMYFUNCTION("GOOGLETRANSLATE(B658,""en"",""fa"")"),"خطا: {{پیام}}")</f>
        <v>خطا: {{پیام}}</v>
      </c>
      <c r="AR658" s="4" t="str">
        <f>IFERROR(__xludf.DUMMYFUNCTION("GOOGLETRANSLATE(B658,""en"",""pl"")"),"Błąd: {{message}}")</f>
        <v>Błąd: {{message}}</v>
      </c>
      <c r="AS658" s="4" t="str">
        <f>IFERROR(__xludf.DUMMYFUNCTION("GOOGLETRANSLATE(B658,""en"",""sv"")"),"Fel: {{meddelande}}")</f>
        <v>Fel: {{meddelande}}</v>
      </c>
      <c r="AT658" s="4" t="str">
        <f>IFERROR(__xludf.DUMMYFUNCTION("GOOGLETRANSLATE(B658,""en"",""uk"")"),"Помилка: {{message}}")</f>
        <v>Помилка: {{message}}</v>
      </c>
      <c r="AU658" s="4" t="str">
        <f>IFERROR(__xludf.DUMMYFUNCTION("GOOGLETRANSLATE(B658,""en"",""zu"")"),"Iphutha: {{umlayezo}}")</f>
        <v>Iphutha: {{umlayezo}}</v>
      </c>
      <c r="AV658" s="4" t="str">
        <f>IFERROR(__xludf.DUMMYFUNCTION("GOOGLETRANSLATE(B658,""en"",""sr"")"),"Грешка: {{порука}}")</f>
        <v>Грешка: {{порука}}</v>
      </c>
    </row>
    <row r="659">
      <c r="A659" s="3" t="s">
        <v>1252</v>
      </c>
      <c r="B659" s="3" t="s">
        <v>1253</v>
      </c>
      <c r="C659" s="4" t="str">
        <f>IFERROR(__xludf.DUMMYFUNCTION("GOOGLETRANSLATE(B659,""en"",""ta"")"),"செயற்கைக்கோள் எண்: {{number}}")</f>
        <v>செயற்கைக்கோள் எண்: {{number}}</v>
      </c>
      <c r="D659" s="4" t="str">
        <f>IFERROR(__xludf.DUMMYFUNCTION("GOOGLETRANSLATE(B659,""en"",""hi"")"),"सैटेलाइट संख्या: {{number}}")</f>
        <v>सैटेलाइट संख्या: {{number}}</v>
      </c>
      <c r="E659" s="4" t="str">
        <f>IFERROR(__xludf.DUMMYFUNCTION("GOOGLETRANSLATE(B659,""en"",""id"")"),"Nomor Satelit: {{number}}")</f>
        <v>Nomor Satelit: {{number}}</v>
      </c>
      <c r="F659" s="4" t="str">
        <f>IFERROR(__xludf.DUMMYFUNCTION("GOOGLETRANSLATE(B659,""en"",""ms"")"),"Nombor Satelit: {{nombor}}")</f>
        <v>Nombor Satelit: {{nombor}}</v>
      </c>
      <c r="G659" s="4" t="str">
        <f>IFERROR(__xludf.DUMMYFUNCTION("GOOGLETRANSLATE(B659,""en"",""de"")"),"Satellitennummer: {{number}}")</f>
        <v>Satellitennummer: {{number}}</v>
      </c>
      <c r="H659" s="4" t="str">
        <f>IFERROR(__xludf.DUMMYFUNCTION("GOOGLETRANSLATE(B659,""en"",""es"")"),"Número de satélite: {{number}}")</f>
        <v>Número de satélite: {{number}}</v>
      </c>
      <c r="I659" s="4" t="str">
        <f>IFERROR(__xludf.DUMMYFUNCTION("GOOGLETRANSLATE(B659,""en"",""fr"")"),"Numéro de satellite : {{number}}")</f>
        <v>Numéro de satellite : {{number}}</v>
      </c>
      <c r="J659" s="4" t="str">
        <f>IFERROR(__xludf.DUMMYFUNCTION("GOOGLETRANSLATE(B659,""en"",""it"")"),"Numero satellite: {{numero}}")</f>
        <v>Numero satellite: {{numero}}</v>
      </c>
      <c r="K659" s="4" t="str">
        <f>IFERROR(__xludf.DUMMYFUNCTION("GOOGLETRANSLATE(B659,""en"",""pt"")"),"Número do satélite: {{número}}")</f>
        <v>Número do satélite: {{número}}</v>
      </c>
      <c r="L659" s="4" t="str">
        <f>IFERROR(__xludf.DUMMYFUNCTION("GOOGLETRANSLATE(B659,""en"",""ro"")"),"Număr satelit: {{number}}")</f>
        <v>Număr satelit: {{number}}</v>
      </c>
      <c r="M659" s="4" t="str">
        <f>IFERROR(__xludf.DUMMYFUNCTION("GOOGLETRANSLATE(B659,""en"",""vi"")"),"Số vệ tinh: {{number}}")</f>
        <v>Số vệ tinh: {{number}}</v>
      </c>
      <c r="N659" s="4" t="str">
        <f>IFERROR(__xludf.DUMMYFUNCTION("GOOGLETRANSLATE(B659,""en"",""ru"")"),"Номер спутника: {{number}}")</f>
        <v>Номер спутника: {{number}}</v>
      </c>
      <c r="O659" s="4" t="str">
        <f>IFERROR(__xludf.DUMMYFUNCTION("GOOGLETRANSLATE(B659,""en"",""tr"")"),"Uydu Numarası: {{number}}")</f>
        <v>Uydu Numarası: {{number}}</v>
      </c>
      <c r="P659" s="4" t="str">
        <f>IFERROR(__xludf.DUMMYFUNCTION("GOOGLETRANSLATE(B659,""en"",""ar"")"),"رقم القمر الصناعي: {{number}}")</f>
        <v>رقم القمر الصناعي: {{number}}</v>
      </c>
      <c r="Q659" s="4" t="str">
        <f>IFERROR(__xludf.DUMMYFUNCTION("GOOGLETRANSLATE(B659,""en"",""mr"")"),"उपग्रह क्रमांक: {{number}}")</f>
        <v>उपग्रह क्रमांक: {{number}}</v>
      </c>
      <c r="R659" s="4" t="str">
        <f>IFERROR(__xludf.DUMMYFUNCTION("GOOGLETRANSLATE(B659,""en"",""gu"")"),"સેટેલાઇટ નંબર: {{number}}")</f>
        <v>સેટેલાઇટ નંબર: {{number}}</v>
      </c>
      <c r="S659" s="4" t="str">
        <f>IFERROR(__xludf.DUMMYFUNCTION("GOOGLETRANSLATE(B659,""en"",""bn"")"),"স্যাটেলাইট নম্বর: {{number}}")</f>
        <v>স্যাটেলাইট নম্বর: {{number}}</v>
      </c>
      <c r="T659" s="4" t="str">
        <f>IFERROR(__xludf.DUMMYFUNCTION("GOOGLETRANSLATE(B659,""en"",""pa"")"),"ਸੈਟੇਲਾਈਟ ਨੰਬਰ: {{number}}")</f>
        <v>ਸੈਟੇਲਾਈਟ ਨੰਬਰ: {{number}}</v>
      </c>
      <c r="U659" s="4" t="str">
        <f>IFERROR(__xludf.DUMMYFUNCTION("GOOGLETRANSLATE(B659,""en"",""te"")"),"ఉపగ్రహ సంఖ్య: {{number}}")</f>
        <v>ఉపగ్రహ సంఖ్య: {{number}}</v>
      </c>
      <c r="V659" s="4" t="str">
        <f>IFERROR(__xludf.DUMMYFUNCTION("GOOGLETRANSLATE(B659,""en"",""kn"")"),"ಉಪಗ್ರಹ ಸಂಖ್ಯೆ: {{number}}")</f>
        <v>ಉಪಗ್ರಹ ಸಂಖ್ಯೆ: {{number}}</v>
      </c>
      <c r="W659" s="4" t="str">
        <f>IFERROR(__xludf.DUMMYFUNCTION("GOOGLETRANSLATE(B659,""en"",""ml"")"),"ഉപഗ്രഹ നമ്പർ: {{number}}")</f>
        <v>ഉപഗ്രഹ നമ്പർ: {{number}}</v>
      </c>
      <c r="X659" s="4" t="str">
        <f>IFERROR(__xludf.DUMMYFUNCTION("GOOGLETRANSLATE(B659,""en"",""th"")"),"หมายเลขดาวเทียม: {{number}}")</f>
        <v>หมายเลขดาวเทียม: {{number}}</v>
      </c>
      <c r="Y659" s="4" t="str">
        <f>IFERROR(__xludf.DUMMYFUNCTION("GOOGLETRANSLATE(B659,""en"",""ko"")"),"위성 번호: {{number}}")</f>
        <v>위성 번호: {{number}}</v>
      </c>
      <c r="Z659" s="4" t="str">
        <f>IFERROR(__xludf.DUMMYFUNCTION("GOOGLETRANSLATE(B659,""en"",""zh"")"),"卫星编号：{{number}}")</f>
        <v>卫星编号：{{number}}</v>
      </c>
      <c r="AA659" s="4" t="str">
        <f>IFERROR(__xludf.DUMMYFUNCTION("GOOGLETRANSLATE(B659,""en"",""zh-TW"")"),"衛星編號：{{number}}")</f>
        <v>衛星編號：{{number}}</v>
      </c>
      <c r="AB659" s="4" t="str">
        <f>IFERROR(__xludf.DUMMYFUNCTION("GOOGLETRANSLATE(B659,""en"",""ja"")"),"衛星番号: {{number}}")</f>
        <v>衛星番号: {{number}}</v>
      </c>
      <c r="AC659" s="4" t="str">
        <f>IFERROR(__xludf.DUMMYFUNCTION("GOOGLETRANSLATE(B659,""en"",""bg"")"),"Номер на сателита: {{номер}}")</f>
        <v>Номер на сателита: {{номер}}</v>
      </c>
      <c r="AD659" s="4" t="str">
        <f>IFERROR(__xludf.DUMMYFUNCTION("GOOGLETRANSLATE(B659,""en"",""cs"")"),"Číslo satelitu: {{number}}")</f>
        <v>Číslo satelitu: {{number}}</v>
      </c>
      <c r="AE659" s="4" t="str">
        <f>IFERROR(__xludf.DUMMYFUNCTION("GOOGLETRANSLATE(B659,""en"",""da"")"),"Satellitnummer: {{number}}")</f>
        <v>Satellitnummer: {{number}}</v>
      </c>
      <c r="AF659" s="4" t="str">
        <f>IFERROR(__xludf.DUMMYFUNCTION("GOOGLETRANSLATE(B659,""en"",""el"")"),"Αριθμός δορυφόρου: {{number}}")</f>
        <v>Αριθμός δορυφόρου: {{number}}</v>
      </c>
      <c r="AG659" s="4" t="str">
        <f>IFERROR(__xludf.DUMMYFUNCTION("GOOGLETRANSLATE(B659,""en"",""et"")"),"Satelliidinumber: {{number}}")</f>
        <v>Satelliidinumber: {{number}}</v>
      </c>
      <c r="AH659" s="4" t="str">
        <f>IFERROR(__xludf.DUMMYFUNCTION("GOOGLETRANSLATE(B659,""en"",""fi"")"),"Satelliittinumero: {{number}}")</f>
        <v>Satelliittinumero: {{number}}</v>
      </c>
      <c r="AI659" s="4" t="str">
        <f>IFERROR(__xludf.DUMMYFUNCTION("GOOGLETRANSLATE(B659,""en"",""hr"")"),"Broj satelita: {{number}}")</f>
        <v>Broj satelita: {{number}}</v>
      </c>
      <c r="AJ659" s="4" t="str">
        <f>IFERROR(__xludf.DUMMYFUNCTION("GOOGLETRANSLATE(B659,""en"",""hu"")"),"Műholdszám: {{szám}}")</f>
        <v>Műholdszám: {{szám}}</v>
      </c>
      <c r="AK659" s="4" t="str">
        <f>IFERROR(__xludf.DUMMYFUNCTION("GOOGLETRANSLATE(B659,""en"",""hy"")"),"Արբանյակի համարը՝ {{number}}")</f>
        <v>Արբանյակի համարը՝ {{number}}</v>
      </c>
      <c r="AL659" s="4" t="str">
        <f>IFERROR(__xludf.DUMMYFUNCTION("GOOGLETRANSLATE(B659,""en"",""ca"")"),"Número de satèl·lit: {{number}}")</f>
        <v>Número de satèl·lit: {{number}}</v>
      </c>
      <c r="AM659" s="4" t="str">
        <f>IFERROR(__xludf.DUMMYFUNCTION("GOOGLETRANSLATE(B659,""en"",""nl"")"),"Satellietnummer: {{number}}")</f>
        <v>Satellietnummer: {{number}}</v>
      </c>
      <c r="AN659" s="4" t="str">
        <f>IFERROR(__xludf.DUMMYFUNCTION("GOOGLETRANSLATE(B659,""en"",""he"")"),"מספר לוויין: {{number}}")</f>
        <v>מספר לוויין: {{number}}</v>
      </c>
      <c r="AO659" s="4" t="str">
        <f>IFERROR(__xludf.DUMMYFUNCTION("GOOGLETRANSLATE(B659,""en"",""is"")"),"Gervihnattanúmer: {{number}}")</f>
        <v>Gervihnattanúmer: {{number}}</v>
      </c>
      <c r="AP659" s="4" t="str">
        <f>IFERROR(__xludf.DUMMYFUNCTION("GOOGLETRANSLATE(B659,""en"",""no"")"),"Satellittnummer: {{number}}")</f>
        <v>Satellittnummer: {{number}}</v>
      </c>
      <c r="AQ659" s="4" t="str">
        <f>IFERROR(__xludf.DUMMYFUNCTION("GOOGLETRANSLATE(B659,""en"",""fa"")"),"شماره ماهواره: {{number}}")</f>
        <v>شماره ماهواره: {{number}}</v>
      </c>
      <c r="AR659" s="4" t="str">
        <f>IFERROR(__xludf.DUMMYFUNCTION("GOOGLETRANSLATE(B659,""en"",""pl"")"),"Numer satelity: {{number}}")</f>
        <v>Numer satelity: {{number}}</v>
      </c>
      <c r="AS659" s="4" t="str">
        <f>IFERROR(__xludf.DUMMYFUNCTION("GOOGLETRANSLATE(B659,""en"",""sv"")"),"Satellitnummer: {{number}}")</f>
        <v>Satellitnummer: {{number}}</v>
      </c>
      <c r="AT659" s="4" t="str">
        <f>IFERROR(__xludf.DUMMYFUNCTION("GOOGLETRANSLATE(B659,""en"",""uk"")"),"Номер супутника: {{number}}")</f>
        <v>Номер супутника: {{number}}</v>
      </c>
      <c r="AU659" s="4" t="str">
        <f>IFERROR(__xludf.DUMMYFUNCTION("GOOGLETRANSLATE(B659,""en"",""zu"")"),"Inombolo Yesathelayithi: {{number}}")</f>
        <v>Inombolo Yesathelayithi: {{number}}</v>
      </c>
      <c r="AV659" s="4" t="str">
        <f>IFERROR(__xludf.DUMMYFUNCTION("GOOGLETRANSLATE(B659,""en"",""sr"")"),"Број сателита: {{нумбер}}")</f>
        <v>Број сателита: {{нумбер}}</v>
      </c>
    </row>
    <row r="660">
      <c r="A660" s="3" t="s">
        <v>1254</v>
      </c>
      <c r="B660" s="3" t="s">
        <v>1255</v>
      </c>
      <c r="C660" s="4" t="str">
        <f>IFERROR(__xludf.DUMMYFUNCTION("GOOGLETRANSLATE(B660,""en"",""ta"")"),"சமிக்ஞை வலிமை: {{தரம்}}")</f>
        <v>சமிக்ஞை வலிமை: {{தரம்}}</v>
      </c>
      <c r="D660" s="4" t="str">
        <f>IFERROR(__xludf.DUMMYFUNCTION("GOOGLETRANSLATE(B660,""en"",""hi"")"),"सिग्नल शक्ति: {{गुणवत्ता}}")</f>
        <v>सिग्नल शक्ति: {{गुणवत्ता}}</v>
      </c>
      <c r="E660" s="4" t="str">
        <f>IFERROR(__xludf.DUMMYFUNCTION("GOOGLETRANSLATE(B660,""en"",""id"")"),"Kekuatan Sinyal: {{kualitas}}")</f>
        <v>Kekuatan Sinyal: {{kualitas}}</v>
      </c>
      <c r="F660" s="4" t="str">
        <f>IFERROR(__xludf.DUMMYFUNCTION("GOOGLETRANSLATE(B660,""en"",""ms"")"),"Kekuatan Isyarat: {{quality}}")</f>
        <v>Kekuatan Isyarat: {{quality}}</v>
      </c>
      <c r="G660" s="4" t="str">
        <f>IFERROR(__xludf.DUMMYFUNCTION("GOOGLETRANSLATE(B660,""en"",""de"")"),"Signalstärke: {{quality}}")</f>
        <v>Signalstärke: {{quality}}</v>
      </c>
      <c r="H660" s="4" t="str">
        <f>IFERROR(__xludf.DUMMYFUNCTION("GOOGLETRANSLATE(B660,""en"",""es"")"),"Intensidad de la señal: {{quality}}")</f>
        <v>Intensidad de la señal: {{quality}}</v>
      </c>
      <c r="I660" s="4" t="str">
        <f>IFERROR(__xludf.DUMMYFUNCTION("GOOGLETRANSLATE(B660,""en"",""fr"")"),"Intensité du signal : {{quality}}")</f>
        <v>Intensité du signal : {{quality}}</v>
      </c>
      <c r="J660" s="4" t="str">
        <f>IFERROR(__xludf.DUMMYFUNCTION("GOOGLETRANSLATE(B660,""en"",""it"")"),"Intensità del segnale: {{quality}}")</f>
        <v>Intensità del segnale: {{quality}}</v>
      </c>
      <c r="K660" s="4" t="str">
        <f>IFERROR(__xludf.DUMMYFUNCTION("GOOGLETRANSLATE(B660,""en"",""pt"")"),"Intensidade do sinal: {{qualidade}}")</f>
        <v>Intensidade do sinal: {{qualidade}}</v>
      </c>
      <c r="L660" s="4" t="str">
        <f>IFERROR(__xludf.DUMMYFUNCTION("GOOGLETRANSLATE(B660,""en"",""ro"")"),"Puterea semnalului: {{calitate}}")</f>
        <v>Puterea semnalului: {{calitate}}</v>
      </c>
      <c r="M660" s="4" t="str">
        <f>IFERROR(__xludf.DUMMYFUNCTION("GOOGLETRANSLATE(B660,""en"",""vi"")"),"Cường độ tín hiệu: {{quality}}")</f>
        <v>Cường độ tín hiệu: {{quality}}</v>
      </c>
      <c r="N660" s="4" t="str">
        <f>IFERROR(__xludf.DUMMYFUNCTION("GOOGLETRANSLATE(B660,""en"",""ru"")"),"Уровень сигнала: {{quality}}")</f>
        <v>Уровень сигнала: {{quality}}</v>
      </c>
      <c r="O660" s="4" t="str">
        <f>IFERROR(__xludf.DUMMYFUNCTION("GOOGLETRANSLATE(B660,""en"",""tr"")"),"Sinyal Gücü: {{quality}}")</f>
        <v>Sinyal Gücü: {{quality}}</v>
      </c>
      <c r="P660" s="4" t="str">
        <f>IFERROR(__xludf.DUMMYFUNCTION("GOOGLETRANSLATE(B660,""en"",""ar"")"),"قوة الإشارة: {{quality}}")</f>
        <v>قوة الإشارة: {{quality}}</v>
      </c>
      <c r="Q660" s="4" t="str">
        <f>IFERROR(__xludf.DUMMYFUNCTION("GOOGLETRANSLATE(B660,""en"",""mr"")"),"सिग्नल स्ट्रेंथ: {{गुणवत्ता}}")</f>
        <v>सिग्नल स्ट्रेंथ: {{गुणवत्ता}}</v>
      </c>
      <c r="R660" s="4" t="str">
        <f>IFERROR(__xludf.DUMMYFUNCTION("GOOGLETRANSLATE(B660,""en"",""gu"")"),"સિગ્નલ સ્ટ્રેન્થ: {{quality}}")</f>
        <v>સિગ્નલ સ્ટ્રેન્થ: {{quality}}</v>
      </c>
      <c r="S660" s="4" t="str">
        <f>IFERROR(__xludf.DUMMYFUNCTION("GOOGLETRANSLATE(B660,""en"",""bn"")"),"সংকেত শক্তি: {{গুণমান}}")</f>
        <v>সংকেত শক্তি: {{গুণমান}}</v>
      </c>
      <c r="T660" s="4" t="str">
        <f>IFERROR(__xludf.DUMMYFUNCTION("GOOGLETRANSLATE(B660,""en"",""pa"")"),"ਸਿਗਨਲ ਦੀ ਤਾਕਤ: {{quality}}")</f>
        <v>ਸਿਗਨਲ ਦੀ ਤਾਕਤ: {{quality}}</v>
      </c>
      <c r="U660" s="4" t="str">
        <f>IFERROR(__xludf.DUMMYFUNCTION("GOOGLETRANSLATE(B660,""en"",""te"")"),"సిగ్నల్ బలం: {{నాణ్యత}}")</f>
        <v>సిగ్నల్ బలం: {{నాణ్యత}}</v>
      </c>
      <c r="V660" s="4" t="str">
        <f>IFERROR(__xludf.DUMMYFUNCTION("GOOGLETRANSLATE(B660,""en"",""kn"")"),"ಸಿಗ್ನಲ್ ಸಾಮರ್ಥ್ಯ: {{ಗುಣಮಟ್ಟ}}")</f>
        <v>ಸಿಗ್ನಲ್ ಸಾಮರ್ಥ್ಯ: {{ಗುಣಮಟ್ಟ}}</v>
      </c>
      <c r="W660" s="4" t="str">
        <f>IFERROR(__xludf.DUMMYFUNCTION("GOOGLETRANSLATE(B660,""en"",""ml"")"),"സിഗ്നൽ ശക്തി: {{നിലവാരം}}")</f>
        <v>സിഗ്നൽ ശക്തി: {{നിലവാരം}}</v>
      </c>
      <c r="X660" s="4" t="str">
        <f>IFERROR(__xludf.DUMMYFUNCTION("GOOGLETRANSLATE(B660,""en"",""th"")"),"ความแรงของสัญญาณ: {{คุณภาพ}}")</f>
        <v>ความแรงของสัญญาณ: {{คุณภาพ}}</v>
      </c>
      <c r="Y660" s="4" t="str">
        <f>IFERROR(__xludf.DUMMYFUNCTION("GOOGLETRANSLATE(B660,""en"",""ko"")"),"신호 강도: {{quality}}")</f>
        <v>신호 강도: {{quality}}</v>
      </c>
      <c r="Z660" s="4" t="str">
        <f>IFERROR(__xludf.DUMMYFUNCTION("GOOGLETRANSLATE(B660,""en"",""zh"")"),"信号强度：{{quality}}")</f>
        <v>信号强度：{{quality}}</v>
      </c>
      <c r="AA660" s="4" t="str">
        <f>IFERROR(__xludf.DUMMYFUNCTION("GOOGLETRANSLATE(B660,""en"",""zh-TW"")"),"訊號強度：{{quality}}")</f>
        <v>訊號強度：{{quality}}</v>
      </c>
      <c r="AB660" s="4" t="str">
        <f>IFERROR(__xludf.DUMMYFUNCTION("GOOGLETRANSLATE(B660,""en"",""ja"")"),"信号強度: {{quality}}")</f>
        <v>信号強度: {{quality}}</v>
      </c>
      <c r="AC660" s="4" t="str">
        <f>IFERROR(__xludf.DUMMYFUNCTION("GOOGLETRANSLATE(B660,""en"",""bg"")"),"Сила на сигнала: {{качество}}")</f>
        <v>Сила на сигнала: {{качество}}</v>
      </c>
      <c r="AD660" s="4" t="str">
        <f>IFERROR(__xludf.DUMMYFUNCTION("GOOGLETRANSLATE(B660,""en"",""cs"")"),"Síla signálu: {{quality}}")</f>
        <v>Síla signálu: {{quality}}</v>
      </c>
      <c r="AE660" s="4" t="str">
        <f>IFERROR(__xludf.DUMMYFUNCTION("GOOGLETRANSLATE(B660,""en"",""da"")"),"Signalstyrke: {{kvalitet}}")</f>
        <v>Signalstyrke: {{kvalitet}}</v>
      </c>
      <c r="AF660" s="4" t="str">
        <f>IFERROR(__xludf.DUMMYFUNCTION("GOOGLETRANSLATE(B660,""en"",""el"")"),"Ισχύς σήματος: {{ποιότητα}}")</f>
        <v>Ισχύς σήματος: {{ποιότητα}}</v>
      </c>
      <c r="AG660" s="4" t="str">
        <f>IFERROR(__xludf.DUMMYFUNCTION("GOOGLETRANSLATE(B660,""en"",""et"")"),"Signaali tugevus: {{quality}}")</f>
        <v>Signaali tugevus: {{quality}}</v>
      </c>
      <c r="AH660" s="4" t="str">
        <f>IFERROR(__xludf.DUMMYFUNCTION("GOOGLETRANSLATE(B660,""en"",""fi"")"),"Signaalin voimakkuus: {{laatu}}")</f>
        <v>Signaalin voimakkuus: {{laatu}}</v>
      </c>
      <c r="AI660" s="4" t="str">
        <f>IFERROR(__xludf.DUMMYFUNCTION("GOOGLETRANSLATE(B660,""en"",""hr"")"),"Snaga signala: {{kvaliteta}}")</f>
        <v>Snaga signala: {{kvaliteta}}</v>
      </c>
      <c r="AJ660" s="4" t="str">
        <f>IFERROR(__xludf.DUMMYFUNCTION("GOOGLETRANSLATE(B660,""en"",""hu"")"),"Jelerősség: {{minőség}}")</f>
        <v>Jelerősség: {{minőség}}</v>
      </c>
      <c r="AK660" s="4" t="str">
        <f>IFERROR(__xludf.DUMMYFUNCTION("GOOGLETRANSLATE(B660,""en"",""hy"")"),"Ազդանշանի ուժ՝ {{որակ}}")</f>
        <v>Ազդանշանի ուժ՝ {{որակ}}</v>
      </c>
      <c r="AL660" s="4" t="str">
        <f>IFERROR(__xludf.DUMMYFUNCTION("GOOGLETRANSLATE(B660,""en"",""ca"")"),"Intensitat del senyal: {{qualitat}}")</f>
        <v>Intensitat del senyal: {{qualitat}}</v>
      </c>
      <c r="AM660" s="4" t="str">
        <f>IFERROR(__xludf.DUMMYFUNCTION("GOOGLETRANSLATE(B660,""en"",""nl"")"),"Signaalsterkte: {{kwaliteit}}")</f>
        <v>Signaalsterkte: {{kwaliteit}}</v>
      </c>
      <c r="AN660" s="4" t="str">
        <f>IFERROR(__xludf.DUMMYFUNCTION("GOOGLETRANSLATE(B660,""en"",""he"")"),"עוצמת אות: {{איכות}}")</f>
        <v>עוצמת אות: {{איכות}}</v>
      </c>
      <c r="AO660" s="4" t="str">
        <f>IFERROR(__xludf.DUMMYFUNCTION("GOOGLETRANSLATE(B660,""en"",""is"")"),"Merkjastyrkur: {{gæði}}")</f>
        <v>Merkjastyrkur: {{gæði}}</v>
      </c>
      <c r="AP660" s="4" t="str">
        <f>IFERROR(__xludf.DUMMYFUNCTION("GOOGLETRANSLATE(B660,""en"",""no"")"),"Signalstyrke: {{kvalitet}}")</f>
        <v>Signalstyrke: {{kvalitet}}</v>
      </c>
      <c r="AQ660" s="4" t="str">
        <f>IFERROR(__xludf.DUMMYFUNCTION("GOOGLETRANSLATE(B660,""en"",""fa"")"),"قدرت سیگنال: {{کیفیت}}")</f>
        <v>قدرت سیگنال: {{کیفیت}}</v>
      </c>
      <c r="AR660" s="4" t="str">
        <f>IFERROR(__xludf.DUMMYFUNCTION("GOOGLETRANSLATE(B660,""en"",""pl"")"),"Siła sygnału: {{jakość}}")</f>
        <v>Siła sygnału: {{jakość}}</v>
      </c>
      <c r="AS660" s="4" t="str">
        <f>IFERROR(__xludf.DUMMYFUNCTION("GOOGLETRANSLATE(B660,""en"",""sv"")"),"Signalstyrka: {{kvalitet}}")</f>
        <v>Signalstyrka: {{kvalitet}}</v>
      </c>
      <c r="AT660" s="4" t="str">
        <f>IFERROR(__xludf.DUMMYFUNCTION("GOOGLETRANSLATE(B660,""en"",""uk"")"),"Потужність сигналу: {{якість}}")</f>
        <v>Потужність сигналу: {{якість}}</v>
      </c>
      <c r="AU660" s="4" t="str">
        <f>IFERROR(__xludf.DUMMYFUNCTION("GOOGLETRANSLATE(B660,""en"",""zu"")"),"Amandla Esiginali: {{quality}}")</f>
        <v>Amandla Esiginali: {{quality}}</v>
      </c>
      <c r="AV660" s="4" t="str">
        <f>IFERROR(__xludf.DUMMYFUNCTION("GOOGLETRANSLATE(B660,""en"",""sr"")"),"Јачина сигнала: {{квалитет}}")</f>
        <v>Јачина сигнала: {{квалитет}}</v>
      </c>
    </row>
    <row r="661">
      <c r="A661" s="3" t="s">
        <v>1256</v>
      </c>
      <c r="B661" s="3" t="s">
        <v>1257</v>
      </c>
      <c r="C661" s="4" t="str">
        <f>IFERROR(__xludf.DUMMYFUNCTION("GOOGLETRANSLATE(B661,""en"",""ta"")"),"உயரம்: {{மதிப்பு}}°")</f>
        <v>உயரம்: {{மதிப்பு}}°</v>
      </c>
      <c r="D661" s="4" t="str">
        <f>IFERROR(__xludf.DUMMYFUNCTION("GOOGLETRANSLATE(B661,""en"",""hi"")"),"ऊंचाई: {{value}}°")</f>
        <v>ऊंचाई: {{value}}°</v>
      </c>
      <c r="E661" s="4" t="str">
        <f>IFERROR(__xludf.DUMMYFUNCTION("GOOGLETRANSLATE(B661,""en"",""id"")"),"Ketinggian: {{value}}°")</f>
        <v>Ketinggian: {{value}}°</v>
      </c>
      <c r="F661" s="4" t="str">
        <f>IFERROR(__xludf.DUMMYFUNCTION("GOOGLETRANSLATE(B661,""en"",""ms"")"),"Ketinggian: {{nilai}}°")</f>
        <v>Ketinggian: {{nilai}}°</v>
      </c>
      <c r="G661" s="4" t="str">
        <f>IFERROR(__xludf.DUMMYFUNCTION("GOOGLETRANSLATE(B661,""en"",""de"")"),"Höhe: {{value}}°")</f>
        <v>Höhe: {{value}}°</v>
      </c>
      <c r="H661" s="4" t="str">
        <f>IFERROR(__xludf.DUMMYFUNCTION("GOOGLETRANSLATE(B661,""en"",""es"")"),"Elevación: {{value}}°")</f>
        <v>Elevación: {{value}}°</v>
      </c>
      <c r="I661" s="4" t="str">
        <f>IFERROR(__xludf.DUMMYFUNCTION("GOOGLETRANSLATE(B661,""en"",""fr"")"),"Élévation : {{value}}°")</f>
        <v>Élévation : {{value}}°</v>
      </c>
      <c r="J661" s="4" t="str">
        <f>IFERROR(__xludf.DUMMYFUNCTION("GOOGLETRANSLATE(B661,""en"",""it"")"),"Altitudine: {{value}}°")</f>
        <v>Altitudine: {{value}}°</v>
      </c>
      <c r="K661" s="4" t="str">
        <f>IFERROR(__xludf.DUMMYFUNCTION("GOOGLETRANSLATE(B661,""en"",""pt"")"),"Elevação: {{value}}°")</f>
        <v>Elevação: {{value}}°</v>
      </c>
      <c r="L661" s="4" t="str">
        <f>IFERROR(__xludf.DUMMYFUNCTION("GOOGLETRANSLATE(B661,""en"",""ro"")"),"Altitudine: {{valoare}}°")</f>
        <v>Altitudine: {{valoare}}°</v>
      </c>
      <c r="M661" s="4" t="str">
        <f>IFERROR(__xludf.DUMMYFUNCTION("GOOGLETRANSLATE(B661,""en"",""vi"")"),"Độ cao: {{value}}°")</f>
        <v>Độ cao: {{value}}°</v>
      </c>
      <c r="N661" s="4" t="str">
        <f>IFERROR(__xludf.DUMMYFUNCTION("GOOGLETRANSLATE(B661,""en"",""ru"")"),"Высота: {{value}}°")</f>
        <v>Высота: {{value}}°</v>
      </c>
      <c r="O661" s="4" t="str">
        <f>IFERROR(__xludf.DUMMYFUNCTION("GOOGLETRANSLATE(B661,""en"",""tr"")"),"Yükseklik: {{value}}°")</f>
        <v>Yükseklik: {{value}}°</v>
      </c>
      <c r="P661" s="4" t="str">
        <f>IFERROR(__xludf.DUMMYFUNCTION("GOOGLETRANSLATE(B661,""en"",""ar"")"),"الارتفاع: {{value}}°")</f>
        <v>الارتفاع: {{value}}°</v>
      </c>
      <c r="Q661" s="4" t="str">
        <f>IFERROR(__xludf.DUMMYFUNCTION("GOOGLETRANSLATE(B661,""en"",""mr"")"),"उंची: {{value}}°")</f>
        <v>उंची: {{value}}°</v>
      </c>
      <c r="R661" s="4" t="str">
        <f>IFERROR(__xludf.DUMMYFUNCTION("GOOGLETRANSLATE(B661,""en"",""gu"")"),"એલિવેશન: {{value}}°")</f>
        <v>એલિવેશન: {{value}}°</v>
      </c>
      <c r="S661" s="4" t="str">
        <f>IFERROR(__xludf.DUMMYFUNCTION("GOOGLETRANSLATE(B661,""en"",""bn"")"),"উচ্চতা: {{value}}°")</f>
        <v>উচ্চতা: {{value}}°</v>
      </c>
      <c r="T661" s="4" t="str">
        <f>IFERROR(__xludf.DUMMYFUNCTION("GOOGLETRANSLATE(B661,""en"",""pa"")"),"ਉਚਾਈ: {{value}}°")</f>
        <v>ਉਚਾਈ: {{value}}°</v>
      </c>
      <c r="U661" s="4" t="str">
        <f>IFERROR(__xludf.DUMMYFUNCTION("GOOGLETRANSLATE(B661,""en"",""te"")"),"ఎత్తు: {{value}}°")</f>
        <v>ఎత్తు: {{value}}°</v>
      </c>
      <c r="V661" s="4" t="str">
        <f>IFERROR(__xludf.DUMMYFUNCTION("GOOGLETRANSLATE(B661,""en"",""kn"")"),"ಎತ್ತರ: {{value}}°")</f>
        <v>ಎತ್ತರ: {{value}}°</v>
      </c>
      <c r="W661" s="4" t="str">
        <f>IFERROR(__xludf.DUMMYFUNCTION("GOOGLETRANSLATE(B661,""en"",""ml"")"),"ഉയരം: {{മൂല്യം}}°")</f>
        <v>ഉയരം: {{മൂല്യം}}°</v>
      </c>
      <c r="X661" s="4" t="str">
        <f>IFERROR(__xludf.DUMMYFUNCTION("GOOGLETRANSLATE(B661,""en"",""th"")"),"ระดับความสูง: {{ค่า}}°")</f>
        <v>ระดับความสูง: {{ค่า}}°</v>
      </c>
      <c r="Y661" s="4" t="str">
        <f>IFERROR(__xludf.DUMMYFUNCTION("GOOGLETRANSLATE(B661,""en"",""ko"")"),"고도: {{value}}°")</f>
        <v>고도: {{value}}°</v>
      </c>
      <c r="Z661" s="4" t="str">
        <f>IFERROR(__xludf.DUMMYFUNCTION("GOOGLETRANSLATE(B661,""en"",""zh"")"),"海拔：{{value}}°")</f>
        <v>海拔：{{value}}°</v>
      </c>
      <c r="AA661" s="4" t="str">
        <f>IFERROR(__xludf.DUMMYFUNCTION("GOOGLETRANSLATE(B661,""en"",""zh-TW"")"),"海拔：{{value}}°")</f>
        <v>海拔：{{value}}°</v>
      </c>
      <c r="AB661" s="4" t="str">
        <f>IFERROR(__xludf.DUMMYFUNCTION("GOOGLETRANSLATE(B661,""en"",""ja"")"),"標高: {{value}}°")</f>
        <v>標高: {{value}}°</v>
      </c>
      <c r="AC661" s="4" t="str">
        <f>IFERROR(__xludf.DUMMYFUNCTION("GOOGLETRANSLATE(B661,""en"",""bg"")"),"Надморска височина: {{value}}°")</f>
        <v>Надморска височина: {{value}}°</v>
      </c>
      <c r="AD661" s="4" t="str">
        <f>IFERROR(__xludf.DUMMYFUNCTION("GOOGLETRANSLATE(B661,""en"",""cs"")"),"Nadmořská výška: {{value}}°")</f>
        <v>Nadmořská výška: {{value}}°</v>
      </c>
      <c r="AE661" s="4" t="str">
        <f>IFERROR(__xludf.DUMMYFUNCTION("GOOGLETRANSLATE(B661,""en"",""da"")"),"Højde: {{værdi}}°")</f>
        <v>Højde: {{værdi}}°</v>
      </c>
      <c r="AF661" s="4" t="str">
        <f>IFERROR(__xludf.DUMMYFUNCTION("GOOGLETRANSLATE(B661,""en"",""el"")"),"Υψόμετρο: {{value}}°")</f>
        <v>Υψόμετρο: {{value}}°</v>
      </c>
      <c r="AG661" s="4" t="str">
        <f>IFERROR(__xludf.DUMMYFUNCTION("GOOGLETRANSLATE(B661,""en"",""et"")"),"Kõrgus: {{väärtus}}°")</f>
        <v>Kõrgus: {{väärtus}}°</v>
      </c>
      <c r="AH661" s="4" t="str">
        <f>IFERROR(__xludf.DUMMYFUNCTION("GOOGLETRANSLATE(B661,""en"",""fi"")"),"Korkeus: {{arvo}}°")</f>
        <v>Korkeus: {{arvo}}°</v>
      </c>
      <c r="AI661" s="4" t="str">
        <f>IFERROR(__xludf.DUMMYFUNCTION("GOOGLETRANSLATE(B661,""en"",""hr"")"),"Nadmorska visina: {{value}}°")</f>
        <v>Nadmorska visina: {{value}}°</v>
      </c>
      <c r="AJ661" s="4" t="str">
        <f>IFERROR(__xludf.DUMMYFUNCTION("GOOGLETRANSLATE(B661,""en"",""hu"")"),"Magasság: {{érték}}°")</f>
        <v>Magasság: {{érték}}°</v>
      </c>
      <c r="AK661" s="4" t="str">
        <f>IFERROR(__xludf.DUMMYFUNCTION("GOOGLETRANSLATE(B661,""en"",""hy"")"),"Բարձրությունը՝ {{արժեք}}°")</f>
        <v>Բարձրությունը՝ {{արժեք}}°</v>
      </c>
      <c r="AL661" s="4" t="str">
        <f>IFERROR(__xludf.DUMMYFUNCTION("GOOGLETRANSLATE(B661,""en"",""ca"")"),"Elevació: {{valor}}°")</f>
        <v>Elevació: {{valor}}°</v>
      </c>
      <c r="AM661" s="4" t="str">
        <f>IFERROR(__xludf.DUMMYFUNCTION("GOOGLETRANSLATE(B661,""en"",""nl"")"),"Hoogte: {{value}}°")</f>
        <v>Hoogte: {{value}}°</v>
      </c>
      <c r="AN661" s="4" t="str">
        <f>IFERROR(__xludf.DUMMYFUNCTION("GOOGLETRANSLATE(B661,""en"",""he"")"),"גובה: {{value}}°")</f>
        <v>גובה: {{value}}°</v>
      </c>
      <c r="AO661" s="4" t="str">
        <f>IFERROR(__xludf.DUMMYFUNCTION("GOOGLETRANSLATE(B661,""en"",""is"")"),"Hæð: {{gildi}}°")</f>
        <v>Hæð: {{gildi}}°</v>
      </c>
      <c r="AP661" s="4" t="str">
        <f>IFERROR(__xludf.DUMMYFUNCTION("GOOGLETRANSLATE(B661,""en"",""no"")"),"Høyde: {{value}}°")</f>
        <v>Høyde: {{value}}°</v>
      </c>
      <c r="AQ661" s="4" t="str">
        <f>IFERROR(__xludf.DUMMYFUNCTION("GOOGLETRANSLATE(B661,""en"",""fa"")"),"ارتفاع: {{value}}°")</f>
        <v>ارتفاع: {{value}}°</v>
      </c>
      <c r="AR661" s="4" t="str">
        <f>IFERROR(__xludf.DUMMYFUNCTION("GOOGLETRANSLATE(B661,""en"",""pl"")"),"Wysokość: {{value}}°")</f>
        <v>Wysokość: {{value}}°</v>
      </c>
      <c r="AS661" s="4" t="str">
        <f>IFERROR(__xludf.DUMMYFUNCTION("GOOGLETRANSLATE(B661,""en"",""sv"")"),"Höjd: {{värde}}°")</f>
        <v>Höjd: {{värde}}°</v>
      </c>
      <c r="AT661" s="4" t="str">
        <f>IFERROR(__xludf.DUMMYFUNCTION("GOOGLETRANSLATE(B661,""en"",""uk"")"),"Висота: {{value}}°")</f>
        <v>Висота: {{value}}°</v>
      </c>
      <c r="AU661" s="4" t="str">
        <f>IFERROR(__xludf.DUMMYFUNCTION("GOOGLETRANSLATE(B661,""en"",""zu"")"),"Ukuphakama: {{value}}°")</f>
        <v>Ukuphakama: {{value}}°</v>
      </c>
      <c r="AV661" s="4" t="str">
        <f>IFERROR(__xludf.DUMMYFUNCTION("GOOGLETRANSLATE(B661,""en"",""sr"")"),"Надморска висина: {{валуе}}°")</f>
        <v>Надморска висина: {{валуе}}°</v>
      </c>
    </row>
    <row r="662">
      <c r="A662" s="3" t="s">
        <v>1258</v>
      </c>
      <c r="B662" s="3" t="s">
        <v>1259</v>
      </c>
      <c r="C662" s="4" t="str">
        <f>IFERROR(__xludf.DUMMYFUNCTION("GOOGLETRANSLATE(B662,""en"",""ta"")"),"அசிமுத்: {{மதிப்பு}}°")</f>
        <v>அசிமுத்: {{மதிப்பு}}°</v>
      </c>
      <c r="D662" s="4" t="str">
        <f>IFERROR(__xludf.DUMMYFUNCTION("GOOGLETRANSLATE(B662,""en"",""hi"")"),"अज़ीमुथ: {{value}}°")</f>
        <v>अज़ीमुथ: {{value}}°</v>
      </c>
      <c r="E662" s="4" t="str">
        <f>IFERROR(__xludf.DUMMYFUNCTION("GOOGLETRANSLATE(B662,""en"",""id"")"),"Azimuth: {{nilai}}°")</f>
        <v>Azimuth: {{nilai}}°</v>
      </c>
      <c r="F662" s="4" t="str">
        <f>IFERROR(__xludf.DUMMYFUNCTION("GOOGLETRANSLATE(B662,""en"",""ms"")"),"Azimuth: {{nilai}}°")</f>
        <v>Azimuth: {{nilai}}°</v>
      </c>
      <c r="G662" s="4" t="str">
        <f>IFERROR(__xludf.DUMMYFUNCTION("GOOGLETRANSLATE(B662,""en"",""de"")"),"Azimut: {{value}}°")</f>
        <v>Azimut: {{value}}°</v>
      </c>
      <c r="H662" s="4" t="str">
        <f>IFERROR(__xludf.DUMMYFUNCTION("GOOGLETRANSLATE(B662,""en"",""es"")"),"Acimut: {{value}}°")</f>
        <v>Acimut: {{value}}°</v>
      </c>
      <c r="I662" s="4" t="str">
        <f>IFERROR(__xludf.DUMMYFUNCTION("GOOGLETRANSLATE(B662,""en"",""fr"")"),"Azimut : {{value}}°")</f>
        <v>Azimut : {{value}}°</v>
      </c>
      <c r="J662" s="4" t="str">
        <f>IFERROR(__xludf.DUMMYFUNCTION("GOOGLETRANSLATE(B662,""en"",""it"")"),"Azimut: {{value}}°")</f>
        <v>Azimut: {{value}}°</v>
      </c>
      <c r="K662" s="4" t="str">
        <f>IFERROR(__xludf.DUMMYFUNCTION("GOOGLETRANSLATE(B662,""en"",""pt"")"),"Azimute: {{valor}}°")</f>
        <v>Azimute: {{valor}}°</v>
      </c>
      <c r="L662" s="4" t="str">
        <f>IFERROR(__xludf.DUMMYFUNCTION("GOOGLETRANSLATE(B662,""en"",""ro"")"),"Azimut: {{valoare}}°")</f>
        <v>Azimut: {{valoare}}°</v>
      </c>
      <c r="M662" s="4" t="str">
        <f>IFERROR(__xludf.DUMMYFUNCTION("GOOGLETRANSLATE(B662,""en"",""vi"")"),"Phương vị: {{giá trị}}°")</f>
        <v>Phương vị: {{giá trị}}°</v>
      </c>
      <c r="N662" s="4" t="str">
        <f>IFERROR(__xludf.DUMMYFUNCTION("GOOGLETRANSLATE(B662,""en"",""ru"")"),"Азимут: {{value}}°")</f>
        <v>Азимут: {{value}}°</v>
      </c>
      <c r="O662" s="4" t="str">
        <f>IFERROR(__xludf.DUMMYFUNCTION("GOOGLETRANSLATE(B662,""en"",""tr"")"),"Azimut: {{değer}}°")</f>
        <v>Azimut: {{değer}}°</v>
      </c>
      <c r="P662" s="4" t="str">
        <f>IFERROR(__xludf.DUMMYFUNCTION("GOOGLETRANSLATE(B662,""en"",""ar"")"),"السمت: {{value}}°")</f>
        <v>السمت: {{value}}°</v>
      </c>
      <c r="Q662" s="4" t="str">
        <f>IFERROR(__xludf.DUMMYFUNCTION("GOOGLETRANSLATE(B662,""en"",""mr"")"),"अजिमथ: {{value}}°")</f>
        <v>अजिमथ: {{value}}°</v>
      </c>
      <c r="R662" s="4" t="str">
        <f>IFERROR(__xludf.DUMMYFUNCTION("GOOGLETRANSLATE(B662,""en"",""gu"")"),"અઝીમથ: {{value}}°")</f>
        <v>અઝીમથ: {{value}}°</v>
      </c>
      <c r="S662" s="4" t="str">
        <f>IFERROR(__xludf.DUMMYFUNCTION("GOOGLETRANSLATE(B662,""en"",""bn"")"),"আজিমুথ: {{value}}°")</f>
        <v>আজিমুথ: {{value}}°</v>
      </c>
      <c r="T662" s="4" t="str">
        <f>IFERROR(__xludf.DUMMYFUNCTION("GOOGLETRANSLATE(B662,""en"",""pa"")"),"ਅਜ਼ੀਮਥ: {{value}}°")</f>
        <v>ਅਜ਼ੀਮਥ: {{value}}°</v>
      </c>
      <c r="U662" s="4" t="str">
        <f>IFERROR(__xludf.DUMMYFUNCTION("GOOGLETRANSLATE(B662,""en"",""te"")"),"అజిముత్: {{value}}°")</f>
        <v>అజిముత్: {{value}}°</v>
      </c>
      <c r="V662" s="4" t="str">
        <f>IFERROR(__xludf.DUMMYFUNCTION("GOOGLETRANSLATE(B662,""en"",""kn"")"),"ಅಜಿಮುತ್: {{value}}°")</f>
        <v>ಅಜಿಮುತ್: {{value}}°</v>
      </c>
      <c r="W662" s="4" t="str">
        <f>IFERROR(__xludf.DUMMYFUNCTION("GOOGLETRANSLATE(B662,""en"",""ml"")"),"അസിമുത്ത്: {{മൂല്യം}}°")</f>
        <v>അസിമുത്ത്: {{മൂല്യം}}°</v>
      </c>
      <c r="X662" s="4" t="str">
        <f>IFERROR(__xludf.DUMMYFUNCTION("GOOGLETRANSLATE(B662,""en"",""th"")"),"ทิศเหนือ: {{ค่า}}°")</f>
        <v>ทิศเหนือ: {{ค่า}}°</v>
      </c>
      <c r="Y662" s="4" t="str">
        <f>IFERROR(__xludf.DUMMYFUNCTION("GOOGLETRANSLATE(B662,""en"",""ko"")"),"방위각: {{value}}°")</f>
        <v>방위각: {{value}}°</v>
      </c>
      <c r="Z662" s="4" t="str">
        <f>IFERROR(__xludf.DUMMYFUNCTION("GOOGLETRANSLATE(B662,""en"",""zh"")"),"方位角：{{value}}°")</f>
        <v>方位角：{{value}}°</v>
      </c>
      <c r="AA662" s="4" t="str">
        <f>IFERROR(__xludf.DUMMYFUNCTION("GOOGLETRANSLATE(B662,""en"",""zh-TW"")"),"方位角：{{value}}°")</f>
        <v>方位角：{{value}}°</v>
      </c>
      <c r="AB662" s="4" t="str">
        <f>IFERROR(__xludf.DUMMYFUNCTION("GOOGLETRANSLATE(B662,""en"",""ja"")"),"方位角: {{value}}°")</f>
        <v>方位角: {{value}}°</v>
      </c>
      <c r="AC662" s="4" t="str">
        <f>IFERROR(__xludf.DUMMYFUNCTION("GOOGLETRANSLATE(B662,""en"",""bg"")"),"Азимут: {{value}}°")</f>
        <v>Азимут: {{value}}°</v>
      </c>
      <c r="AD662" s="4" t="str">
        <f>IFERROR(__xludf.DUMMYFUNCTION("GOOGLETRANSLATE(B662,""en"",""cs"")"),"Azimut: {{value}}°")</f>
        <v>Azimut: {{value}}°</v>
      </c>
      <c r="AE662" s="4" t="str">
        <f>IFERROR(__xludf.DUMMYFUNCTION("GOOGLETRANSLATE(B662,""en"",""da"")"),"Azimuth: {{værdi}}°")</f>
        <v>Azimuth: {{værdi}}°</v>
      </c>
      <c r="AF662" s="4" t="str">
        <f>IFERROR(__xludf.DUMMYFUNCTION("GOOGLETRANSLATE(B662,""en"",""el"")"),"Αζιμούθιο: {{τιμή}}°")</f>
        <v>Αζιμούθιο: {{τιμή}}°</v>
      </c>
      <c r="AG662" s="4" t="str">
        <f>IFERROR(__xludf.DUMMYFUNCTION("GOOGLETRANSLATE(B662,""en"",""et"")"),"Asimuut: {{väärtus}}°")</f>
        <v>Asimuut: {{väärtus}}°</v>
      </c>
      <c r="AH662" s="4" t="str">
        <f>IFERROR(__xludf.DUMMYFUNCTION("GOOGLETRANSLATE(B662,""en"",""fi"")"),"Atsimuutti: {{arvo}}°")</f>
        <v>Atsimuutti: {{arvo}}°</v>
      </c>
      <c r="AI662" s="4" t="str">
        <f>IFERROR(__xludf.DUMMYFUNCTION("GOOGLETRANSLATE(B662,""en"",""hr"")"),"Azimut: {{value}}°")</f>
        <v>Azimut: {{value}}°</v>
      </c>
      <c r="AJ662" s="4" t="str">
        <f>IFERROR(__xludf.DUMMYFUNCTION("GOOGLETRANSLATE(B662,""en"",""hu"")"),"Azimut: {{érték}}°")</f>
        <v>Azimut: {{érték}}°</v>
      </c>
      <c r="AK662" s="4" t="str">
        <f>IFERROR(__xludf.DUMMYFUNCTION("GOOGLETRANSLATE(B662,""en"",""hy"")"),"Ազիմուտ՝ {{արժեք}}°")</f>
        <v>Ազիմուտ՝ {{արժեք}}°</v>
      </c>
      <c r="AL662" s="4" t="str">
        <f>IFERROR(__xludf.DUMMYFUNCTION("GOOGLETRANSLATE(B662,""en"",""ca"")"),"Azimut: {{valor}}°")</f>
        <v>Azimut: {{valor}}°</v>
      </c>
      <c r="AM662" s="4" t="str">
        <f>IFERROR(__xludf.DUMMYFUNCTION("GOOGLETRANSLATE(B662,""en"",""nl"")"),"Azimut: {{waarde}}°")</f>
        <v>Azimut: {{waarde}}°</v>
      </c>
      <c r="AN662" s="4" t="str">
        <f>IFERROR(__xludf.DUMMYFUNCTION("GOOGLETRANSLATE(B662,""en"",""he"")"),"אזימוט: {{value}}°")</f>
        <v>אזימוט: {{value}}°</v>
      </c>
      <c r="AO662" s="4" t="str">
        <f>IFERROR(__xludf.DUMMYFUNCTION("GOOGLETRANSLATE(B662,""en"",""is"")"),"Asimuth: {{gildi}}°")</f>
        <v>Asimuth: {{gildi}}°</v>
      </c>
      <c r="AP662" s="4" t="str">
        <f>IFERROR(__xludf.DUMMYFUNCTION("GOOGLETRANSLATE(B662,""en"",""no"")"),"Asimut: {{verdi}}°")</f>
        <v>Asimut: {{verdi}}°</v>
      </c>
      <c r="AQ662" s="4" t="str">
        <f>IFERROR(__xludf.DUMMYFUNCTION("GOOGLETRANSLATE(B662,""en"",""fa"")"),"آزیموت: {{value}}°")</f>
        <v>آزیموت: {{value}}°</v>
      </c>
      <c r="AR662" s="4" t="str">
        <f>IFERROR(__xludf.DUMMYFUNCTION("GOOGLETRANSLATE(B662,""en"",""pl"")"),"Azymut: {{value}}°")</f>
        <v>Azymut: {{value}}°</v>
      </c>
      <c r="AS662" s="4" t="str">
        <f>IFERROR(__xludf.DUMMYFUNCTION("GOOGLETRANSLATE(B662,""en"",""sv"")"),"Azimut: {{värde}}°")</f>
        <v>Azimut: {{värde}}°</v>
      </c>
      <c r="AT662" s="4" t="str">
        <f>IFERROR(__xludf.DUMMYFUNCTION("GOOGLETRANSLATE(B662,""en"",""uk"")"),"Азимут: {{value}}°")</f>
        <v>Азимут: {{value}}°</v>
      </c>
      <c r="AU662" s="4" t="str">
        <f>IFERROR(__xludf.DUMMYFUNCTION("GOOGLETRANSLATE(B662,""en"",""zu"")"),"I-Azimuth: {{value}}°")</f>
        <v>I-Azimuth: {{value}}°</v>
      </c>
      <c r="AV662" s="4" t="str">
        <f>IFERROR(__xludf.DUMMYFUNCTION("GOOGLETRANSLATE(B662,""en"",""sr"")"),"Азимут: {{валуе}}°")</f>
        <v>Азимут: {{валуе}}°</v>
      </c>
    </row>
    <row r="663">
      <c r="A663" s="3" t="s">
        <v>1260</v>
      </c>
      <c r="B663" s="3" t="s">
        <v>1261</v>
      </c>
      <c r="C663" s="4" t="str">
        <f>IFERROR(__xludf.DUMMYFUNCTION("GOOGLETRANSLATE(B663,""en"",""ta"")"),"பிழைத்திருத்தத்தில் பயன்படுத்தப்பட்டது: {{value}}")</f>
        <v>பிழைத்திருத்தத்தில் பயன்படுத்தப்பட்டது: {{value}}</v>
      </c>
      <c r="D663" s="4" t="str">
        <f>IFERROR(__xludf.DUMMYFUNCTION("GOOGLETRANSLATE(B663,""en"",""hi"")"),"फिक्स में उपयोग किया गया: {{value}}")</f>
        <v>फिक्स में उपयोग किया गया: {{value}}</v>
      </c>
      <c r="E663" s="4" t="str">
        <f>IFERROR(__xludf.DUMMYFUNCTION("GOOGLETRANSLATE(B663,""en"",""id"")"),"Digunakan dalam Fix: {{value}}")</f>
        <v>Digunakan dalam Fix: {{value}}</v>
      </c>
      <c r="F663" s="4" t="str">
        <f>IFERROR(__xludf.DUMMYFUNCTION("GOOGLETRANSLATE(B663,""en"",""ms"")"),"Digunakan dalam Fix: {{value}}")</f>
        <v>Digunakan dalam Fix: {{value}}</v>
      </c>
      <c r="G663" s="4" t="str">
        <f>IFERROR(__xludf.DUMMYFUNCTION("GOOGLETRANSLATE(B663,""en"",""de"")"),"Im Fix verwendet: {{value}}")</f>
        <v>Im Fix verwendet: {{value}}</v>
      </c>
      <c r="H663" s="4" t="str">
        <f>IFERROR(__xludf.DUMMYFUNCTION("GOOGLETRANSLATE(B663,""en"",""es"")"),"Usado en Fix: {{value}}")</f>
        <v>Usado en Fix: {{value}}</v>
      </c>
      <c r="I663" s="4" t="str">
        <f>IFERROR(__xludf.DUMMYFUNCTION("GOOGLETRANSLATE(B663,""en"",""fr"")"),"Utilisé dans Fix : {{value}}")</f>
        <v>Utilisé dans Fix : {{value}}</v>
      </c>
      <c r="J663" s="4" t="str">
        <f>IFERROR(__xludf.DUMMYFUNCTION("GOOGLETRANSLATE(B663,""en"",""it"")"),"Utilizzato in Fix: {{value}}")</f>
        <v>Utilizzato in Fix: {{value}}</v>
      </c>
      <c r="K663" s="4" t="str">
        <f>IFERROR(__xludf.DUMMYFUNCTION("GOOGLETRANSLATE(B663,""en"",""pt"")"),"Usado em Fix: {{value}}")</f>
        <v>Usado em Fix: {{value}}</v>
      </c>
      <c r="L663" s="4" t="str">
        <f>IFERROR(__xludf.DUMMYFUNCTION("GOOGLETRANSLATE(B663,""en"",""ro"")"),"Folosit în remediere: {{value}}")</f>
        <v>Folosit în remediere: {{value}}</v>
      </c>
      <c r="M663" s="4" t="str">
        <f>IFERROR(__xludf.DUMMYFUNCTION("GOOGLETRANSLATE(B663,""en"",""vi"")"),"Được sử dụng trong Sửa lỗi: {{value}}")</f>
        <v>Được sử dụng trong Sửa lỗi: {{value}}</v>
      </c>
      <c r="N663" s="4" t="str">
        <f>IFERROR(__xludf.DUMMYFUNCTION("GOOGLETRANSLATE(B663,""en"",""ru"")"),"Используется в исправлении: {{value}}")</f>
        <v>Используется в исправлении: {{value}}</v>
      </c>
      <c r="O663" s="4" t="str">
        <f>IFERROR(__xludf.DUMMYFUNCTION("GOOGLETRANSLATE(B663,""en"",""tr"")"),"Düzeltmede kullanıldı: {{value}}")</f>
        <v>Düzeltmede kullanıldı: {{value}}</v>
      </c>
      <c r="P663" s="4" t="str">
        <f>IFERROR(__xludf.DUMMYFUNCTION("GOOGLETRANSLATE(B663,""en"",""ar"")"),"مستخدم في الإصلاح: {{value}}")</f>
        <v>مستخدم في الإصلاح: {{value}}</v>
      </c>
      <c r="Q663" s="4" t="str">
        <f>IFERROR(__xludf.DUMMYFUNCTION("GOOGLETRANSLATE(B663,""en"",""mr"")"),"निराकरण मध्ये वापरले: {{value}}")</f>
        <v>निराकरण मध्ये वापरले: {{value}}</v>
      </c>
      <c r="R663" s="4" t="str">
        <f>IFERROR(__xludf.DUMMYFUNCTION("GOOGLETRANSLATE(B663,""en"",""gu"")"),"ફિક્સમાં વપરાયેલ: {{value}}")</f>
        <v>ફિક્સમાં વપરાયેલ: {{value}}</v>
      </c>
      <c r="S663" s="4" t="str">
        <f>IFERROR(__xludf.DUMMYFUNCTION("GOOGLETRANSLATE(B663,""en"",""bn"")"),"ফিক্সে ব্যবহার করা হয়েছে: {{value}}")</f>
        <v>ফিক্সে ব্যবহার করা হয়েছে: {{value}}</v>
      </c>
      <c r="T663" s="4" t="str">
        <f>IFERROR(__xludf.DUMMYFUNCTION("GOOGLETRANSLATE(B663,""en"",""pa"")"),"ਫਿਕਸ ਵਿੱਚ ਵਰਤਿਆ ਗਿਆ: {{value}}")</f>
        <v>ਫਿਕਸ ਵਿੱਚ ਵਰਤਿਆ ਗਿਆ: {{value}}</v>
      </c>
      <c r="U663" s="4" t="str">
        <f>IFERROR(__xludf.DUMMYFUNCTION("GOOGLETRANSLATE(B663,""en"",""te"")"),"ఫిక్స్‌లో ఉపయోగించబడింది: {{value}}")</f>
        <v>ఫిక్స్‌లో ఉపయోగించబడింది: {{value}}</v>
      </c>
      <c r="V663" s="4" t="str">
        <f>IFERROR(__xludf.DUMMYFUNCTION("GOOGLETRANSLATE(B663,""en"",""kn"")"),"ಫಿಕ್ಸ್‌ನಲ್ಲಿ ಬಳಸಲಾಗಿದೆ: {{value}}")</f>
        <v>ಫಿಕ್ಸ್‌ನಲ್ಲಿ ಬಳಸಲಾಗಿದೆ: {{value}}</v>
      </c>
      <c r="W663" s="4" t="str">
        <f>IFERROR(__xludf.DUMMYFUNCTION("GOOGLETRANSLATE(B663,""en"",""ml"")"),"ഫിക്സിൽ ഉപയോഗിച്ചു: {{value}}")</f>
        <v>ഫിക്സിൽ ഉപയോഗിച്ചു: {{value}}</v>
      </c>
      <c r="X663" s="4" t="str">
        <f>IFERROR(__xludf.DUMMYFUNCTION("GOOGLETRANSLATE(B663,""en"",""th"")"),"ใช้ใน Fix: {{value}}")</f>
        <v>ใช้ใน Fix: {{value}}</v>
      </c>
      <c r="Y663" s="4" t="str">
        <f>IFERROR(__xludf.DUMMYFUNCTION("GOOGLETRANSLATE(B663,""en"",""ko"")"),"수정에 사용됨: {{value}}")</f>
        <v>수정에 사용됨: {{value}}</v>
      </c>
      <c r="Z663" s="4" t="str">
        <f>IFERROR(__xludf.DUMMYFUNCTION("GOOGLETRANSLATE(B663,""en"",""zh"")"),"用于修复：{{value}}")</f>
        <v>用于修复：{{value}}</v>
      </c>
      <c r="AA663" s="4" t="str">
        <f>IFERROR(__xludf.DUMMYFUNCTION("GOOGLETRANSLATE(B663,""en"",""zh-TW"")"),"用於修復：{{value}}")</f>
        <v>用於修復：{{value}}</v>
      </c>
      <c r="AB663" s="4" t="str">
        <f>IFERROR(__xludf.DUMMYFUNCTION("GOOGLETRANSLATE(B663,""en"",""ja"")"),"修正に使用: {{value}}")</f>
        <v>修正に使用: {{value}}</v>
      </c>
      <c r="AC663" s="4" t="str">
        <f>IFERROR(__xludf.DUMMYFUNCTION("GOOGLETRANSLATE(B663,""en"",""bg"")"),"Използва се във Fix: {{value}}")</f>
        <v>Използва се във Fix: {{value}}</v>
      </c>
      <c r="AD663" s="4" t="str">
        <f>IFERROR(__xludf.DUMMYFUNCTION("GOOGLETRANSLATE(B663,""en"",""cs"")"),"Použito v opravě: {{value}}")</f>
        <v>Použito v opravě: {{value}}</v>
      </c>
      <c r="AE663" s="4" t="str">
        <f>IFERROR(__xludf.DUMMYFUNCTION("GOOGLETRANSLATE(B663,""en"",""da"")"),"Brugt i rettelse: {{value}}")</f>
        <v>Brugt i rettelse: {{value}}</v>
      </c>
      <c r="AF663" s="4" t="str">
        <f>IFERROR(__xludf.DUMMYFUNCTION("GOOGLETRANSLATE(B663,""en"",""el"")"),"Χρησιμοποιείται στη διόρθωση: {{value}}")</f>
        <v>Χρησιμοποιείται στη διόρθωση: {{value}}</v>
      </c>
      <c r="AG663" s="4" t="str">
        <f>IFERROR(__xludf.DUMMYFUNCTION("GOOGLETRANSLATE(B663,""en"",""et"")"),"Paranduses kasutatud: {{value}}")</f>
        <v>Paranduses kasutatud: {{value}}</v>
      </c>
      <c r="AH663" s="4" t="str">
        <f>IFERROR(__xludf.DUMMYFUNCTION("GOOGLETRANSLATE(B663,""en"",""fi"")"),"Käytetty korjauksessa: {{arvo}}")</f>
        <v>Käytetty korjauksessa: {{arvo}}</v>
      </c>
      <c r="AI663" s="4" t="str">
        <f>IFERROR(__xludf.DUMMYFUNCTION("GOOGLETRANSLATE(B663,""en"",""hr"")"),"Korišteno u popravku: {{value}}")</f>
        <v>Korišteno u popravku: {{value}}</v>
      </c>
      <c r="AJ663" s="4" t="str">
        <f>IFERROR(__xludf.DUMMYFUNCTION("GOOGLETRANSLATE(B663,""en"",""hu"")"),"A javításban használt: {{value}}")</f>
        <v>A javításban használt: {{value}}</v>
      </c>
      <c r="AK663" s="4" t="str">
        <f>IFERROR(__xludf.DUMMYFUNCTION("GOOGLETRANSLATE(B663,""en"",""hy"")"),"Օգտագործված է շտկել՝ {{value}}")</f>
        <v>Օգտագործված է շտկել՝ {{value}}</v>
      </c>
      <c r="AL663" s="4" t="str">
        <f>IFERROR(__xludf.DUMMYFUNCTION("GOOGLETRANSLATE(B663,""en"",""ca"")"),"S'utilitza a la correcció: {{valor}}")</f>
        <v>S'utilitza a la correcció: {{valor}}</v>
      </c>
      <c r="AM663" s="4" t="str">
        <f>IFERROR(__xludf.DUMMYFUNCTION("GOOGLETRANSLATE(B663,""en"",""nl"")"),"Gebruikt in Fix: {{waarde}}")</f>
        <v>Gebruikt in Fix: {{waarde}}</v>
      </c>
      <c r="AN663" s="4" t="str">
        <f>IFERROR(__xludf.DUMMYFUNCTION("GOOGLETRANSLATE(B663,""en"",""he"")"),"בשימוש בתיקון: {{value}}")</f>
        <v>בשימוש בתיקון: {{value}}</v>
      </c>
      <c r="AO663" s="4" t="str">
        <f>IFERROR(__xludf.DUMMYFUNCTION("GOOGLETRANSLATE(B663,""en"",""is"")"),"Notað í Fix: {{value}}")</f>
        <v>Notað í Fix: {{value}}</v>
      </c>
      <c r="AP663" s="4" t="str">
        <f>IFERROR(__xludf.DUMMYFUNCTION("GOOGLETRANSLATE(B663,""en"",""no"")"),"Brukt i Fix: {{value}}")</f>
        <v>Brukt i Fix: {{value}}</v>
      </c>
      <c r="AQ663" s="4" t="str">
        <f>IFERROR(__xludf.DUMMYFUNCTION("GOOGLETRANSLATE(B663,""en"",""fa"")"),"مورد استفاده در رفع: {{value}}")</f>
        <v>مورد استفاده در رفع: {{value}}</v>
      </c>
      <c r="AR663" s="4" t="str">
        <f>IFERROR(__xludf.DUMMYFUNCTION("GOOGLETRANSLATE(B663,""en"",""pl"")"),"Użyto w poprawce: {{value}}")</f>
        <v>Użyto w poprawce: {{value}}</v>
      </c>
      <c r="AS663" s="4" t="str">
        <f>IFERROR(__xludf.DUMMYFUNCTION("GOOGLETRANSLATE(B663,""en"",""sv"")"),"Används i Fix: {{value}}")</f>
        <v>Används i Fix: {{value}}</v>
      </c>
      <c r="AT663" s="4" t="str">
        <f>IFERROR(__xludf.DUMMYFUNCTION("GOOGLETRANSLATE(B663,""en"",""uk"")"),"Використовується у виправленні: {{value}}")</f>
        <v>Використовується у виправленні: {{value}}</v>
      </c>
      <c r="AU663" s="4" t="str">
        <f>IFERROR(__xludf.DUMMYFUNCTION("GOOGLETRANSLATE(B663,""en"",""zu"")"),"Isetshenziswe ku-Fix: {{value}}")</f>
        <v>Isetshenziswe ku-Fix: {{value}}</v>
      </c>
      <c r="AV663" s="4" t="str">
        <f>IFERROR(__xludf.DUMMYFUNCTION("GOOGLETRANSLATE(B663,""en"",""sr"")"),"Користи се у поправци: {{валуе}}")</f>
        <v>Користи се у поправци: {{валуе}}</v>
      </c>
    </row>
    <row r="664">
      <c r="A664" s="3" t="s">
        <v>1262</v>
      </c>
      <c r="B664" s="3" t="s">
        <v>1263</v>
      </c>
      <c r="C664" s="4" t="str">
        <f>IFERROR(__xludf.DUMMYFUNCTION("GOOGLETRANSLATE(B664,""en"",""ta"")"),"சிக்னல் இல்லை")</f>
        <v>சிக்னல் இல்லை</v>
      </c>
      <c r="D664" s="4" t="str">
        <f>IFERROR(__xludf.DUMMYFUNCTION("GOOGLETRANSLATE(B664,""en"",""hi"")"),"कोई संकेत नहीं")</f>
        <v>कोई संकेत नहीं</v>
      </c>
      <c r="E664" s="4" t="str">
        <f>IFERROR(__xludf.DUMMYFUNCTION("GOOGLETRANSLATE(B664,""en"",""id"")"),"Tidak Ada Sinyal")</f>
        <v>Tidak Ada Sinyal</v>
      </c>
      <c r="F664" s="4" t="str">
        <f>IFERROR(__xludf.DUMMYFUNCTION("GOOGLETRANSLATE(B664,""en"",""ms"")"),"Tiada Isyarat")</f>
        <v>Tiada Isyarat</v>
      </c>
      <c r="G664" s="4" t="str">
        <f>IFERROR(__xludf.DUMMYFUNCTION("GOOGLETRANSLATE(B664,""en"",""de"")"),"Kein Signal")</f>
        <v>Kein Signal</v>
      </c>
      <c r="H664" s="4" t="str">
        <f>IFERROR(__xludf.DUMMYFUNCTION("GOOGLETRANSLATE(B664,""en"",""es"")"),"Sin señal")</f>
        <v>Sin señal</v>
      </c>
      <c r="I664" s="4" t="str">
        <f>IFERROR(__xludf.DUMMYFUNCTION("GOOGLETRANSLATE(B664,""en"",""fr"")"),"Pas de signal")</f>
        <v>Pas de signal</v>
      </c>
      <c r="J664" s="4" t="str">
        <f>IFERROR(__xludf.DUMMYFUNCTION("GOOGLETRANSLATE(B664,""en"",""it"")"),"Nessun segnale")</f>
        <v>Nessun segnale</v>
      </c>
      <c r="K664" s="4" t="str">
        <f>IFERROR(__xludf.DUMMYFUNCTION("GOOGLETRANSLATE(B664,""en"",""pt"")"),"Sem sinal")</f>
        <v>Sem sinal</v>
      </c>
      <c r="L664" s="4" t="str">
        <f>IFERROR(__xludf.DUMMYFUNCTION("GOOGLETRANSLATE(B664,""en"",""ro"")"),"Fără Semnal")</f>
        <v>Fără Semnal</v>
      </c>
      <c r="M664" s="4" t="str">
        <f>IFERROR(__xludf.DUMMYFUNCTION("GOOGLETRANSLATE(B664,""en"",""vi"")"),"Không có tín hiệu")</f>
        <v>Không có tín hiệu</v>
      </c>
      <c r="N664" s="4" t="str">
        <f>IFERROR(__xludf.DUMMYFUNCTION("GOOGLETRANSLATE(B664,""en"",""ru"")"),"Нет сигнала")</f>
        <v>Нет сигнала</v>
      </c>
      <c r="O664" s="4" t="str">
        <f>IFERROR(__xludf.DUMMYFUNCTION("GOOGLETRANSLATE(B664,""en"",""tr"")"),"Sinyal Yok")</f>
        <v>Sinyal Yok</v>
      </c>
      <c r="P664" s="4" t="str">
        <f>IFERROR(__xludf.DUMMYFUNCTION("GOOGLETRANSLATE(B664,""en"",""ar"")"),"لا يوجد إشارة")</f>
        <v>لا يوجد إشارة</v>
      </c>
      <c r="Q664" s="4" t="str">
        <f>IFERROR(__xludf.DUMMYFUNCTION("GOOGLETRANSLATE(B664,""en"",""mr"")"),"सिग्नल नाही")</f>
        <v>सिग्नल नाही</v>
      </c>
      <c r="R664" s="4" t="str">
        <f>IFERROR(__xludf.DUMMYFUNCTION("GOOGLETRANSLATE(B664,""en"",""gu"")"),"સિગ્નલ નથી")</f>
        <v>સિગ્નલ નથી</v>
      </c>
      <c r="S664" s="4" t="str">
        <f>IFERROR(__xludf.DUMMYFUNCTION("GOOGLETRANSLATE(B664,""en"",""bn"")"),"কোন সংকেত নেই")</f>
        <v>কোন সংকেত নেই</v>
      </c>
      <c r="T664" s="4" t="str">
        <f>IFERROR(__xludf.DUMMYFUNCTION("GOOGLETRANSLATE(B664,""en"",""pa"")"),"ਕੋਈ ਸਿਗਨਲ ਨਹੀਂ")</f>
        <v>ਕੋਈ ਸਿਗਨਲ ਨਹੀਂ</v>
      </c>
      <c r="U664" s="4" t="str">
        <f>IFERROR(__xludf.DUMMYFUNCTION("GOOGLETRANSLATE(B664,""en"",""te"")"),"సిగ్నల్ లేదు")</f>
        <v>సిగ్నల్ లేదు</v>
      </c>
      <c r="V664" s="4" t="str">
        <f>IFERROR(__xludf.DUMMYFUNCTION("GOOGLETRANSLATE(B664,""en"",""kn"")"),"ಸಿಗ್ನಲ್ ಇಲ್ಲ")</f>
        <v>ಸಿಗ್ನಲ್ ಇಲ್ಲ</v>
      </c>
      <c r="W664" s="4" t="str">
        <f>IFERROR(__xludf.DUMMYFUNCTION("GOOGLETRANSLATE(B664,""en"",""ml"")"),"സിഗ്നൽ ഇല്ല")</f>
        <v>സിഗ്നൽ ഇല്ല</v>
      </c>
      <c r="X664" s="4" t="str">
        <f>IFERROR(__xludf.DUMMYFUNCTION("GOOGLETRANSLATE(B664,""en"",""th"")"),"ไม่มีสัญญาณ")</f>
        <v>ไม่มีสัญญาณ</v>
      </c>
      <c r="Y664" s="4" t="str">
        <f>IFERROR(__xludf.DUMMYFUNCTION("GOOGLETRANSLATE(B664,""en"",""ko"")"),"신호 없음")</f>
        <v>신호 없음</v>
      </c>
      <c r="Z664" s="4" t="str">
        <f>IFERROR(__xludf.DUMMYFUNCTION("GOOGLETRANSLATE(B664,""en"",""zh"")"),"无信号")</f>
        <v>无信号</v>
      </c>
      <c r="AA664" s="4" t="str">
        <f>IFERROR(__xludf.DUMMYFUNCTION("GOOGLETRANSLATE(B664,""en"",""zh-TW"")"),"無訊號")</f>
        <v>無訊號</v>
      </c>
      <c r="AB664" s="4" t="str">
        <f>IFERROR(__xludf.DUMMYFUNCTION("GOOGLETRANSLATE(B664,""en"",""ja"")"),"信号なし")</f>
        <v>信号なし</v>
      </c>
      <c r="AC664" s="4" t="str">
        <f>IFERROR(__xludf.DUMMYFUNCTION("GOOGLETRANSLATE(B664,""en"",""bg"")"),"Няма сигнал")</f>
        <v>Няма сигнал</v>
      </c>
      <c r="AD664" s="4" t="str">
        <f>IFERROR(__xludf.DUMMYFUNCTION("GOOGLETRANSLATE(B664,""en"",""cs"")"),"Žádný signál")</f>
        <v>Žádný signál</v>
      </c>
      <c r="AE664" s="4" t="str">
        <f>IFERROR(__xludf.DUMMYFUNCTION("GOOGLETRANSLATE(B664,""en"",""da"")"),"Intet signal")</f>
        <v>Intet signal</v>
      </c>
      <c r="AF664" s="4" t="str">
        <f>IFERROR(__xludf.DUMMYFUNCTION("GOOGLETRANSLATE(B664,""en"",""el"")"),"Χωρίς σήμα")</f>
        <v>Χωρίς σήμα</v>
      </c>
      <c r="AG664" s="4" t="str">
        <f>IFERROR(__xludf.DUMMYFUNCTION("GOOGLETRANSLATE(B664,""en"",""et"")"),"Signaali pole")</f>
        <v>Signaali pole</v>
      </c>
      <c r="AH664" s="4" t="str">
        <f>IFERROR(__xludf.DUMMYFUNCTION("GOOGLETRANSLATE(B664,""en"",""fi"")"),"Ei signaalia")</f>
        <v>Ei signaalia</v>
      </c>
      <c r="AI664" s="4" t="str">
        <f>IFERROR(__xludf.DUMMYFUNCTION("GOOGLETRANSLATE(B664,""en"",""hr"")"),"Nema signala")</f>
        <v>Nema signala</v>
      </c>
      <c r="AJ664" s="4" t="str">
        <f>IFERROR(__xludf.DUMMYFUNCTION("GOOGLETRANSLATE(B664,""en"",""hu"")"),"Nincs jel")</f>
        <v>Nincs jel</v>
      </c>
      <c r="AK664" s="4" t="str">
        <f>IFERROR(__xludf.DUMMYFUNCTION("GOOGLETRANSLATE(B664,""en"",""hy"")"),"Ոչ մի ազդանշան")</f>
        <v>Ոչ մի ազդանշան</v>
      </c>
      <c r="AL664" s="4" t="str">
        <f>IFERROR(__xludf.DUMMYFUNCTION("GOOGLETRANSLATE(B664,""en"",""ca"")"),"Sense senyal")</f>
        <v>Sense senyal</v>
      </c>
      <c r="AM664" s="4" t="str">
        <f>IFERROR(__xludf.DUMMYFUNCTION("GOOGLETRANSLATE(B664,""en"",""nl"")"),"Geen signaal")</f>
        <v>Geen signaal</v>
      </c>
      <c r="AN664" s="4" t="str">
        <f>IFERROR(__xludf.DUMMYFUNCTION("GOOGLETRANSLATE(B664,""en"",""he"")"),"אין אות")</f>
        <v>אין אות</v>
      </c>
      <c r="AO664" s="4" t="str">
        <f>IFERROR(__xludf.DUMMYFUNCTION("GOOGLETRANSLATE(B664,""en"",""is"")"),"Ekkert merki")</f>
        <v>Ekkert merki</v>
      </c>
      <c r="AP664" s="4" t="str">
        <f>IFERROR(__xludf.DUMMYFUNCTION("GOOGLETRANSLATE(B664,""en"",""no"")"),"Ingen signal")</f>
        <v>Ingen signal</v>
      </c>
      <c r="AQ664" s="4" t="str">
        <f>IFERROR(__xludf.DUMMYFUNCTION("GOOGLETRANSLATE(B664,""en"",""fa"")"),"بدون سیگنال")</f>
        <v>بدون سیگنال</v>
      </c>
      <c r="AR664" s="4" t="str">
        <f>IFERROR(__xludf.DUMMYFUNCTION("GOOGLETRANSLATE(B664,""en"",""pl"")"),"Brak sygnału")</f>
        <v>Brak sygnału</v>
      </c>
      <c r="AS664" s="4" t="str">
        <f>IFERROR(__xludf.DUMMYFUNCTION("GOOGLETRANSLATE(B664,""en"",""sv"")"),"Ingen signal")</f>
        <v>Ingen signal</v>
      </c>
      <c r="AT664" s="4" t="str">
        <f>IFERROR(__xludf.DUMMYFUNCTION("GOOGLETRANSLATE(B664,""en"",""uk"")"),"Немає сигналу")</f>
        <v>Немає сигналу</v>
      </c>
      <c r="AU664" s="4" t="str">
        <f>IFERROR(__xludf.DUMMYFUNCTION("GOOGLETRANSLATE(B664,""en"",""zu"")"),"Ayikho Isiginali")</f>
        <v>Ayikho Isiginali</v>
      </c>
      <c r="AV664" s="4" t="str">
        <f>IFERROR(__xludf.DUMMYFUNCTION("GOOGLETRANSLATE(B664,""en"",""sr"")"),"Нема сигнала")</f>
        <v>Нема сигнала</v>
      </c>
    </row>
    <row r="665">
      <c r="A665" s="3" t="s">
        <v>1264</v>
      </c>
      <c r="B665" s="3" t="s">
        <v>1265</v>
      </c>
      <c r="C665" s="4" t="str">
        <f>IFERROR(__xludf.DUMMYFUNCTION("GOOGLETRANSLATE(B665,""en"",""ta"")"),"ஏழை")</f>
        <v>ஏழை</v>
      </c>
      <c r="D665" s="4" t="str">
        <f>IFERROR(__xludf.DUMMYFUNCTION("GOOGLETRANSLATE(B665,""en"",""hi"")"),"गरीब")</f>
        <v>गरीब</v>
      </c>
      <c r="E665" s="4" t="str">
        <f>IFERROR(__xludf.DUMMYFUNCTION("GOOGLETRANSLATE(B665,""en"",""id"")"),"Miskin")</f>
        <v>Miskin</v>
      </c>
      <c r="F665" s="4" t="str">
        <f>IFERROR(__xludf.DUMMYFUNCTION("GOOGLETRANSLATE(B665,""en"",""ms"")"),"miskin")</f>
        <v>miskin</v>
      </c>
      <c r="G665" s="4" t="str">
        <f>IFERROR(__xludf.DUMMYFUNCTION("GOOGLETRANSLATE(B665,""en"",""de"")"),"Arm")</f>
        <v>Arm</v>
      </c>
      <c r="H665" s="4" t="str">
        <f>IFERROR(__xludf.DUMMYFUNCTION("GOOGLETRANSLATE(B665,""en"",""es"")"),"Pobre")</f>
        <v>Pobre</v>
      </c>
      <c r="I665" s="4" t="str">
        <f>IFERROR(__xludf.DUMMYFUNCTION("GOOGLETRANSLATE(B665,""en"",""fr"")"),"Pauvre")</f>
        <v>Pauvre</v>
      </c>
      <c r="J665" s="4" t="str">
        <f>IFERROR(__xludf.DUMMYFUNCTION("GOOGLETRANSLATE(B665,""en"",""it"")"),"Povero")</f>
        <v>Povero</v>
      </c>
      <c r="K665" s="4" t="str">
        <f>IFERROR(__xludf.DUMMYFUNCTION("GOOGLETRANSLATE(B665,""en"",""pt"")"),"Pobre")</f>
        <v>Pobre</v>
      </c>
      <c r="L665" s="4" t="str">
        <f>IFERROR(__xludf.DUMMYFUNCTION("GOOGLETRANSLATE(B665,""en"",""ro"")"),"Sărac")</f>
        <v>Sărac</v>
      </c>
      <c r="M665" s="4" t="str">
        <f>IFERROR(__xludf.DUMMYFUNCTION("GOOGLETRANSLATE(B665,""en"",""vi"")"),"Nghèo")</f>
        <v>Nghèo</v>
      </c>
      <c r="N665" s="4" t="str">
        <f>IFERROR(__xludf.DUMMYFUNCTION("GOOGLETRANSLATE(B665,""en"",""ru"")"),"Бедный")</f>
        <v>Бедный</v>
      </c>
      <c r="O665" s="4" t="str">
        <f>IFERROR(__xludf.DUMMYFUNCTION("GOOGLETRANSLATE(B665,""en"",""tr"")"),"Fakir")</f>
        <v>Fakir</v>
      </c>
      <c r="P665" s="4" t="str">
        <f>IFERROR(__xludf.DUMMYFUNCTION("GOOGLETRANSLATE(B665,""en"",""ar"")"),"فقير")</f>
        <v>فقير</v>
      </c>
      <c r="Q665" s="4" t="str">
        <f>IFERROR(__xludf.DUMMYFUNCTION("GOOGLETRANSLATE(B665,""en"",""mr"")"),"गरीब")</f>
        <v>गरीब</v>
      </c>
      <c r="R665" s="4" t="str">
        <f>IFERROR(__xludf.DUMMYFUNCTION("GOOGLETRANSLATE(B665,""en"",""gu"")"),"ગરીબ")</f>
        <v>ગરીબ</v>
      </c>
      <c r="S665" s="4" t="str">
        <f>IFERROR(__xludf.DUMMYFUNCTION("GOOGLETRANSLATE(B665,""en"",""bn"")"),"দরিদ্র")</f>
        <v>দরিদ্র</v>
      </c>
      <c r="T665" s="4" t="str">
        <f>IFERROR(__xludf.DUMMYFUNCTION("GOOGLETRANSLATE(B665,""en"",""pa"")"),"ਗਰੀਬ")</f>
        <v>ਗਰੀਬ</v>
      </c>
      <c r="U665" s="4" t="str">
        <f>IFERROR(__xludf.DUMMYFUNCTION("GOOGLETRANSLATE(B665,""en"",""te"")"),"పేద")</f>
        <v>పేద</v>
      </c>
      <c r="V665" s="4" t="str">
        <f>IFERROR(__xludf.DUMMYFUNCTION("GOOGLETRANSLATE(B665,""en"",""kn"")"),"ಬಡವ")</f>
        <v>ಬಡವ</v>
      </c>
      <c r="W665" s="4" t="str">
        <f>IFERROR(__xludf.DUMMYFUNCTION("GOOGLETRANSLATE(B665,""en"",""ml"")"),"പാവം")</f>
        <v>പാവം</v>
      </c>
      <c r="X665" s="4" t="str">
        <f>IFERROR(__xludf.DUMMYFUNCTION("GOOGLETRANSLATE(B665,""en"",""th"")"),"ยากจน")</f>
        <v>ยากจน</v>
      </c>
      <c r="Y665" s="4" t="str">
        <f>IFERROR(__xludf.DUMMYFUNCTION("GOOGLETRANSLATE(B665,""en"",""ko"")"),"가난한")</f>
        <v>가난한</v>
      </c>
      <c r="Z665" s="4" t="str">
        <f>IFERROR(__xludf.DUMMYFUNCTION("GOOGLETRANSLATE(B665,""en"",""zh"")"),"贫穷的")</f>
        <v>贫穷的</v>
      </c>
      <c r="AA665" s="4" t="str">
        <f>IFERROR(__xludf.DUMMYFUNCTION("GOOGLETRANSLATE(B665,""en"",""zh-TW"")"),"貧窮的")</f>
        <v>貧窮的</v>
      </c>
      <c r="AB665" s="4" t="str">
        <f>IFERROR(__xludf.DUMMYFUNCTION("GOOGLETRANSLATE(B665,""en"",""ja"")"),"貧しい")</f>
        <v>貧しい</v>
      </c>
      <c r="AC665" s="4" t="str">
        <f>IFERROR(__xludf.DUMMYFUNCTION("GOOGLETRANSLATE(B665,""en"",""bg"")"),"беден")</f>
        <v>беден</v>
      </c>
      <c r="AD665" s="4" t="str">
        <f>IFERROR(__xludf.DUMMYFUNCTION("GOOGLETRANSLATE(B665,""en"",""cs"")"),"Chudý")</f>
        <v>Chudý</v>
      </c>
      <c r="AE665" s="4" t="str">
        <f>IFERROR(__xludf.DUMMYFUNCTION("GOOGLETRANSLATE(B665,""en"",""da"")"),"Dårlig")</f>
        <v>Dårlig</v>
      </c>
      <c r="AF665" s="4" t="str">
        <f>IFERROR(__xludf.DUMMYFUNCTION("GOOGLETRANSLATE(B665,""en"",""el"")"),"Φτωχός")</f>
        <v>Φτωχός</v>
      </c>
      <c r="AG665" s="4" t="str">
        <f>IFERROR(__xludf.DUMMYFUNCTION("GOOGLETRANSLATE(B665,""en"",""et"")"),"Vaene")</f>
        <v>Vaene</v>
      </c>
      <c r="AH665" s="4" t="str">
        <f>IFERROR(__xludf.DUMMYFUNCTION("GOOGLETRANSLATE(B665,""en"",""fi"")"),"Huono")</f>
        <v>Huono</v>
      </c>
      <c r="AI665" s="4" t="str">
        <f>IFERROR(__xludf.DUMMYFUNCTION("GOOGLETRANSLATE(B665,""en"",""hr"")"),"Jadno")</f>
        <v>Jadno</v>
      </c>
      <c r="AJ665" s="4" t="str">
        <f>IFERROR(__xludf.DUMMYFUNCTION("GOOGLETRANSLATE(B665,""en"",""hu"")"),"Szegény")</f>
        <v>Szegény</v>
      </c>
      <c r="AK665" s="4" t="str">
        <f>IFERROR(__xludf.DUMMYFUNCTION("GOOGLETRANSLATE(B665,""en"",""hy"")"),"Խեղճ")</f>
        <v>Խեղճ</v>
      </c>
      <c r="AL665" s="4" t="str">
        <f>IFERROR(__xludf.DUMMYFUNCTION("GOOGLETRANSLATE(B665,""en"",""ca"")"),"Pobre")</f>
        <v>Pobre</v>
      </c>
      <c r="AM665" s="4" t="str">
        <f>IFERROR(__xludf.DUMMYFUNCTION("GOOGLETRANSLATE(B665,""en"",""nl"")"),"Arm")</f>
        <v>Arm</v>
      </c>
      <c r="AN665" s="4" t="str">
        <f>IFERROR(__xludf.DUMMYFUNCTION("GOOGLETRANSLATE(B665,""en"",""he"")"),"יָרוּד")</f>
        <v>יָרוּד</v>
      </c>
      <c r="AO665" s="4" t="str">
        <f>IFERROR(__xludf.DUMMYFUNCTION("GOOGLETRANSLATE(B665,""en"",""is"")"),"Aumingja")</f>
        <v>Aumingja</v>
      </c>
      <c r="AP665" s="4" t="str">
        <f>IFERROR(__xludf.DUMMYFUNCTION("GOOGLETRANSLATE(B665,""en"",""no"")"),"Fattig")</f>
        <v>Fattig</v>
      </c>
      <c r="AQ665" s="4" t="str">
        <f>IFERROR(__xludf.DUMMYFUNCTION("GOOGLETRANSLATE(B665,""en"",""fa"")"),"بیچاره")</f>
        <v>بیچاره</v>
      </c>
      <c r="AR665" s="4" t="str">
        <f>IFERROR(__xludf.DUMMYFUNCTION("GOOGLETRANSLATE(B665,""en"",""pl"")"),"Słaby")</f>
        <v>Słaby</v>
      </c>
      <c r="AS665" s="4" t="str">
        <f>IFERROR(__xludf.DUMMYFUNCTION("GOOGLETRANSLATE(B665,""en"",""sv"")"),"Dålig")</f>
        <v>Dålig</v>
      </c>
      <c r="AT665" s="4" t="str">
        <f>IFERROR(__xludf.DUMMYFUNCTION("GOOGLETRANSLATE(B665,""en"",""uk"")"),"Бідний")</f>
        <v>Бідний</v>
      </c>
      <c r="AU665" s="4" t="str">
        <f>IFERROR(__xludf.DUMMYFUNCTION("GOOGLETRANSLATE(B665,""en"",""zu"")"),"Impofu")</f>
        <v>Impofu</v>
      </c>
      <c r="AV665" s="4" t="str">
        <f>IFERROR(__xludf.DUMMYFUNCTION("GOOGLETRANSLATE(B665,""en"",""sr"")"),"Јадно")</f>
        <v>Јадно</v>
      </c>
    </row>
    <row r="666">
      <c r="A666" s="3" t="s">
        <v>1266</v>
      </c>
      <c r="B666" s="3" t="s">
        <v>1267</v>
      </c>
      <c r="C666" s="4" t="str">
        <f>IFERROR(__xludf.DUMMYFUNCTION("GOOGLETRANSLATE(B666,""en"",""ta"")"),"நியாயமான")</f>
        <v>நியாயமான</v>
      </c>
      <c r="D666" s="4" t="str">
        <f>IFERROR(__xludf.DUMMYFUNCTION("GOOGLETRANSLATE(B666,""en"",""hi"")"),"गोरा")</f>
        <v>गोरा</v>
      </c>
      <c r="E666" s="4" t="str">
        <f>IFERROR(__xludf.DUMMYFUNCTION("GOOGLETRANSLATE(B666,""en"",""id"")"),"Adil")</f>
        <v>Adil</v>
      </c>
      <c r="F666" s="4" t="str">
        <f>IFERROR(__xludf.DUMMYFUNCTION("GOOGLETRANSLATE(B666,""en"",""ms"")"),"Adil")</f>
        <v>Adil</v>
      </c>
      <c r="G666" s="4" t="str">
        <f>IFERROR(__xludf.DUMMYFUNCTION("GOOGLETRANSLATE(B666,""en"",""de"")"),"Gerecht")</f>
        <v>Gerecht</v>
      </c>
      <c r="H666" s="4" t="str">
        <f>IFERROR(__xludf.DUMMYFUNCTION("GOOGLETRANSLATE(B666,""en"",""es"")"),"Justo")</f>
        <v>Justo</v>
      </c>
      <c r="I666" s="4" t="str">
        <f>IFERROR(__xludf.DUMMYFUNCTION("GOOGLETRANSLATE(B666,""en"",""fr"")"),"Équitable")</f>
        <v>Équitable</v>
      </c>
      <c r="J666" s="4" t="str">
        <f>IFERROR(__xludf.DUMMYFUNCTION("GOOGLETRANSLATE(B666,""en"",""it"")"),"Giusto")</f>
        <v>Giusto</v>
      </c>
      <c r="K666" s="4" t="str">
        <f>IFERROR(__xludf.DUMMYFUNCTION("GOOGLETRANSLATE(B666,""en"",""pt"")"),"Justo")</f>
        <v>Justo</v>
      </c>
      <c r="L666" s="4" t="str">
        <f>IFERROR(__xludf.DUMMYFUNCTION("GOOGLETRANSLATE(B666,""en"",""ro"")"),"Corect")</f>
        <v>Corect</v>
      </c>
      <c r="M666" s="4" t="str">
        <f>IFERROR(__xludf.DUMMYFUNCTION("GOOGLETRANSLATE(B666,""en"",""vi"")"),"Hội chợ")</f>
        <v>Hội chợ</v>
      </c>
      <c r="N666" s="4" t="str">
        <f>IFERROR(__xludf.DUMMYFUNCTION("GOOGLETRANSLATE(B666,""en"",""ru"")"),"Справедливый")</f>
        <v>Справедливый</v>
      </c>
      <c r="O666" s="4" t="str">
        <f>IFERROR(__xludf.DUMMYFUNCTION("GOOGLETRANSLATE(B666,""en"",""tr"")"),"Adil")</f>
        <v>Adil</v>
      </c>
      <c r="P666" s="4" t="str">
        <f>IFERROR(__xludf.DUMMYFUNCTION("GOOGLETRANSLATE(B666,""en"",""ar"")"),"عدل")</f>
        <v>عدل</v>
      </c>
      <c r="Q666" s="4" t="str">
        <f>IFERROR(__xludf.DUMMYFUNCTION("GOOGLETRANSLATE(B666,""en"",""mr"")"),"गोरा")</f>
        <v>गोरा</v>
      </c>
      <c r="R666" s="4" t="str">
        <f>IFERROR(__xludf.DUMMYFUNCTION("GOOGLETRANSLATE(B666,""en"",""gu"")"),"ફેર")</f>
        <v>ફેર</v>
      </c>
      <c r="S666" s="4" t="str">
        <f>IFERROR(__xludf.DUMMYFUNCTION("GOOGLETRANSLATE(B666,""en"",""bn"")"),"মেলা")</f>
        <v>মেলা</v>
      </c>
      <c r="T666" s="4" t="str">
        <f>IFERROR(__xludf.DUMMYFUNCTION("GOOGLETRANSLATE(B666,""en"",""pa"")"),"ਮੇਲਾ")</f>
        <v>ਮੇਲਾ</v>
      </c>
      <c r="U666" s="4" t="str">
        <f>IFERROR(__xludf.DUMMYFUNCTION("GOOGLETRANSLATE(B666,""en"",""te"")"),"న్యాయమైన")</f>
        <v>న్యాయమైన</v>
      </c>
      <c r="V666" s="4" t="str">
        <f>IFERROR(__xludf.DUMMYFUNCTION("GOOGLETRANSLATE(B666,""en"",""kn"")"),"ನ್ಯಾಯೋಚಿತ")</f>
        <v>ನ್ಯಾಯೋಚಿತ</v>
      </c>
      <c r="W666" s="4" t="str">
        <f>IFERROR(__xludf.DUMMYFUNCTION("GOOGLETRANSLATE(B666,""en"",""ml"")"),"മേള")</f>
        <v>മേള</v>
      </c>
      <c r="X666" s="4" t="str">
        <f>IFERROR(__xludf.DUMMYFUNCTION("GOOGLETRANSLATE(B666,""en"",""th"")"),"ยุติธรรม")</f>
        <v>ยุติธรรม</v>
      </c>
      <c r="Y666" s="4" t="str">
        <f>IFERROR(__xludf.DUMMYFUNCTION("GOOGLETRANSLATE(B666,""en"",""ko"")"),"공정한")</f>
        <v>공정한</v>
      </c>
      <c r="Z666" s="4" t="str">
        <f>IFERROR(__xludf.DUMMYFUNCTION("GOOGLETRANSLATE(B666,""en"",""zh"")"),"公平的")</f>
        <v>公平的</v>
      </c>
      <c r="AA666" s="4" t="str">
        <f>IFERROR(__xludf.DUMMYFUNCTION("GOOGLETRANSLATE(B666,""en"",""zh-TW"")"),"公平的")</f>
        <v>公平的</v>
      </c>
      <c r="AB666" s="4" t="str">
        <f>IFERROR(__xludf.DUMMYFUNCTION("GOOGLETRANSLATE(B666,""en"",""ja"")"),"公平")</f>
        <v>公平</v>
      </c>
      <c r="AC666" s="4" t="str">
        <f>IFERROR(__xludf.DUMMYFUNCTION("GOOGLETRANSLATE(B666,""en"",""bg"")"),"Справедлива")</f>
        <v>Справедлива</v>
      </c>
      <c r="AD666" s="4" t="str">
        <f>IFERROR(__xludf.DUMMYFUNCTION("GOOGLETRANSLATE(B666,""en"",""cs"")"),"Veletrh")</f>
        <v>Veletrh</v>
      </c>
      <c r="AE666" s="4" t="str">
        <f>IFERROR(__xludf.DUMMYFUNCTION("GOOGLETRANSLATE(B666,""en"",""da"")"),"Retfærdig")</f>
        <v>Retfærdig</v>
      </c>
      <c r="AF666" s="4" t="str">
        <f>IFERROR(__xludf.DUMMYFUNCTION("GOOGLETRANSLATE(B666,""en"",""el"")"),"Εκθεση")</f>
        <v>Εκθεση</v>
      </c>
      <c r="AG666" s="4" t="str">
        <f>IFERROR(__xludf.DUMMYFUNCTION("GOOGLETRANSLATE(B666,""en"",""et"")"),"Õiglane")</f>
        <v>Õiglane</v>
      </c>
      <c r="AH666" s="4" t="str">
        <f>IFERROR(__xludf.DUMMYFUNCTION("GOOGLETRANSLATE(B666,""en"",""fi"")"),"Reilu")</f>
        <v>Reilu</v>
      </c>
      <c r="AI666" s="4" t="str">
        <f>IFERROR(__xludf.DUMMYFUNCTION("GOOGLETRANSLATE(B666,""en"",""hr"")"),"Fer")</f>
        <v>Fer</v>
      </c>
      <c r="AJ666" s="4" t="str">
        <f>IFERROR(__xludf.DUMMYFUNCTION("GOOGLETRANSLATE(B666,""en"",""hu"")"),"Igazságos")</f>
        <v>Igazságos</v>
      </c>
      <c r="AK666" s="4" t="str">
        <f>IFERROR(__xludf.DUMMYFUNCTION("GOOGLETRANSLATE(B666,""en"",""hy"")"),"Արդար")</f>
        <v>Արդար</v>
      </c>
      <c r="AL666" s="4" t="str">
        <f>IFERROR(__xludf.DUMMYFUNCTION("GOOGLETRANSLATE(B666,""en"",""ca"")"),"Fira")</f>
        <v>Fira</v>
      </c>
      <c r="AM666" s="4" t="str">
        <f>IFERROR(__xludf.DUMMYFUNCTION("GOOGLETRANSLATE(B666,""en"",""nl"")"),"Eerlijk")</f>
        <v>Eerlijk</v>
      </c>
      <c r="AN666" s="4" t="str">
        <f>IFERROR(__xludf.DUMMYFUNCTION("GOOGLETRANSLATE(B666,""en"",""he"")"),"הוֹגֶן")</f>
        <v>הוֹגֶן</v>
      </c>
      <c r="AO666" s="4" t="str">
        <f>IFERROR(__xludf.DUMMYFUNCTION("GOOGLETRANSLATE(B666,""en"",""is"")"),"Sanngjarnt")</f>
        <v>Sanngjarnt</v>
      </c>
      <c r="AP666" s="4" t="str">
        <f>IFERROR(__xludf.DUMMYFUNCTION("GOOGLETRANSLATE(B666,""en"",""no"")"),"Rettferdig")</f>
        <v>Rettferdig</v>
      </c>
      <c r="AQ666" s="4" t="str">
        <f>IFERROR(__xludf.DUMMYFUNCTION("GOOGLETRANSLATE(B666,""en"",""fa"")"),"منصفانه")</f>
        <v>منصفانه</v>
      </c>
      <c r="AR666" s="4" t="str">
        <f>IFERROR(__xludf.DUMMYFUNCTION("GOOGLETRANSLATE(B666,""en"",""pl"")"),"Sprawiedliwy")</f>
        <v>Sprawiedliwy</v>
      </c>
      <c r="AS666" s="4" t="str">
        <f>IFERROR(__xludf.DUMMYFUNCTION("GOOGLETRANSLATE(B666,""en"",""sv"")"),"Rättvis")</f>
        <v>Rättvis</v>
      </c>
      <c r="AT666" s="4" t="str">
        <f>IFERROR(__xludf.DUMMYFUNCTION("GOOGLETRANSLATE(B666,""en"",""uk"")"),"ярмарок")</f>
        <v>ярмарок</v>
      </c>
      <c r="AU666" s="4" t="str">
        <f>IFERROR(__xludf.DUMMYFUNCTION("GOOGLETRANSLATE(B666,""en"",""zu"")"),"Kuhle")</f>
        <v>Kuhle</v>
      </c>
      <c r="AV666" s="4" t="str">
        <f>IFERROR(__xludf.DUMMYFUNCTION("GOOGLETRANSLATE(B666,""en"",""sr"")"),"Сајам")</f>
        <v>Сајам</v>
      </c>
    </row>
    <row r="667">
      <c r="A667" s="3" t="s">
        <v>1268</v>
      </c>
      <c r="B667" s="3" t="s">
        <v>1269</v>
      </c>
      <c r="C667" s="4" t="str">
        <f>IFERROR(__xludf.DUMMYFUNCTION("GOOGLETRANSLATE(B667,""en"",""ta"")"),"நல்லது")</f>
        <v>நல்லது</v>
      </c>
      <c r="D667" s="4" t="str">
        <f>IFERROR(__xludf.DUMMYFUNCTION("GOOGLETRANSLATE(B667,""en"",""hi"")"),"अच्छा")</f>
        <v>अच्छा</v>
      </c>
      <c r="E667" s="4" t="str">
        <f>IFERROR(__xludf.DUMMYFUNCTION("GOOGLETRANSLATE(B667,""en"",""id"")"),"Bagus")</f>
        <v>Bagus</v>
      </c>
      <c r="F667" s="4" t="str">
        <f>IFERROR(__xludf.DUMMYFUNCTION("GOOGLETRANSLATE(B667,""en"",""ms"")"),"bagus")</f>
        <v>bagus</v>
      </c>
      <c r="G667" s="4" t="str">
        <f>IFERROR(__xludf.DUMMYFUNCTION("GOOGLETRANSLATE(B667,""en"",""de"")"),"Gut")</f>
        <v>Gut</v>
      </c>
      <c r="H667" s="4" t="str">
        <f>IFERROR(__xludf.DUMMYFUNCTION("GOOGLETRANSLATE(B667,""en"",""es"")"),"Bien")</f>
        <v>Bien</v>
      </c>
      <c r="I667" s="4" t="str">
        <f>IFERROR(__xludf.DUMMYFUNCTION("GOOGLETRANSLATE(B667,""en"",""fr"")"),"Bien")</f>
        <v>Bien</v>
      </c>
      <c r="J667" s="4" t="str">
        <f>IFERROR(__xludf.DUMMYFUNCTION("GOOGLETRANSLATE(B667,""en"",""it"")"),"Bene")</f>
        <v>Bene</v>
      </c>
      <c r="K667" s="4" t="str">
        <f>IFERROR(__xludf.DUMMYFUNCTION("GOOGLETRANSLATE(B667,""en"",""pt"")"),"Bom")</f>
        <v>Bom</v>
      </c>
      <c r="L667" s="4" t="str">
        <f>IFERROR(__xludf.DUMMYFUNCTION("GOOGLETRANSLATE(B667,""en"",""ro"")"),"Bun")</f>
        <v>Bun</v>
      </c>
      <c r="M667" s="4" t="str">
        <f>IFERROR(__xludf.DUMMYFUNCTION("GOOGLETRANSLATE(B667,""en"",""vi"")"),"Tốt")</f>
        <v>Tốt</v>
      </c>
      <c r="N667" s="4" t="str">
        <f>IFERROR(__xludf.DUMMYFUNCTION("GOOGLETRANSLATE(B667,""en"",""ru"")"),"Хороший")</f>
        <v>Хороший</v>
      </c>
      <c r="O667" s="4" t="str">
        <f>IFERROR(__xludf.DUMMYFUNCTION("GOOGLETRANSLATE(B667,""en"",""tr"")"),"İyi")</f>
        <v>İyi</v>
      </c>
      <c r="P667" s="4" t="str">
        <f>IFERROR(__xludf.DUMMYFUNCTION("GOOGLETRANSLATE(B667,""en"",""ar"")"),"جيد")</f>
        <v>جيد</v>
      </c>
      <c r="Q667" s="4" t="str">
        <f>IFERROR(__xludf.DUMMYFUNCTION("GOOGLETRANSLATE(B667,""en"",""mr"")"),"चांगले")</f>
        <v>चांगले</v>
      </c>
      <c r="R667" s="4" t="str">
        <f>IFERROR(__xludf.DUMMYFUNCTION("GOOGLETRANSLATE(B667,""en"",""gu"")"),"સારું")</f>
        <v>સારું</v>
      </c>
      <c r="S667" s="4" t="str">
        <f>IFERROR(__xludf.DUMMYFUNCTION("GOOGLETRANSLATE(B667,""en"",""bn"")"),"ভাল")</f>
        <v>ভাল</v>
      </c>
      <c r="T667" s="4" t="str">
        <f>IFERROR(__xludf.DUMMYFUNCTION("GOOGLETRANSLATE(B667,""en"",""pa"")"),"ਚੰਗਾ")</f>
        <v>ਚੰਗਾ</v>
      </c>
      <c r="U667" s="4" t="str">
        <f>IFERROR(__xludf.DUMMYFUNCTION("GOOGLETRANSLATE(B667,""en"",""te"")"),"బాగుంది")</f>
        <v>బాగుంది</v>
      </c>
      <c r="V667" s="4" t="str">
        <f>IFERROR(__xludf.DUMMYFUNCTION("GOOGLETRANSLATE(B667,""en"",""kn"")"),"ಒಳ್ಳೆಯದು")</f>
        <v>ಒಳ್ಳೆಯದು</v>
      </c>
      <c r="W667" s="4" t="str">
        <f>IFERROR(__xludf.DUMMYFUNCTION("GOOGLETRANSLATE(B667,""en"",""ml"")"),"നല്ലത്")</f>
        <v>നല്ലത്</v>
      </c>
      <c r="X667" s="4" t="str">
        <f>IFERROR(__xludf.DUMMYFUNCTION("GOOGLETRANSLATE(B667,""en"",""th"")"),"ดี")</f>
        <v>ดี</v>
      </c>
      <c r="Y667" s="4" t="str">
        <f>IFERROR(__xludf.DUMMYFUNCTION("GOOGLETRANSLATE(B667,""en"",""ko"")"),"좋은")</f>
        <v>좋은</v>
      </c>
      <c r="Z667" s="4" t="str">
        <f>IFERROR(__xludf.DUMMYFUNCTION("GOOGLETRANSLATE(B667,""en"",""zh"")"),"好的")</f>
        <v>好的</v>
      </c>
      <c r="AA667" s="4" t="str">
        <f>IFERROR(__xludf.DUMMYFUNCTION("GOOGLETRANSLATE(B667,""en"",""zh-TW"")"),"好的")</f>
        <v>好的</v>
      </c>
      <c r="AB667" s="4" t="str">
        <f>IFERROR(__xludf.DUMMYFUNCTION("GOOGLETRANSLATE(B667,""en"",""ja"")"),"良い")</f>
        <v>良い</v>
      </c>
      <c r="AC667" s="4" t="str">
        <f>IFERROR(__xludf.DUMMYFUNCTION("GOOGLETRANSLATE(B667,""en"",""bg"")"),"добре")</f>
        <v>добре</v>
      </c>
      <c r="AD667" s="4" t="str">
        <f>IFERROR(__xludf.DUMMYFUNCTION("GOOGLETRANSLATE(B667,""en"",""cs"")"),"Dobrý")</f>
        <v>Dobrý</v>
      </c>
      <c r="AE667" s="4" t="str">
        <f>IFERROR(__xludf.DUMMYFUNCTION("GOOGLETRANSLATE(B667,""en"",""da"")"),"God")</f>
        <v>God</v>
      </c>
      <c r="AF667" s="4" t="str">
        <f>IFERROR(__xludf.DUMMYFUNCTION("GOOGLETRANSLATE(B667,""en"",""el"")"),"Καλός")</f>
        <v>Καλός</v>
      </c>
      <c r="AG667" s="4" t="str">
        <f>IFERROR(__xludf.DUMMYFUNCTION("GOOGLETRANSLATE(B667,""en"",""et"")"),"Hea")</f>
        <v>Hea</v>
      </c>
      <c r="AH667" s="4" t="str">
        <f>IFERROR(__xludf.DUMMYFUNCTION("GOOGLETRANSLATE(B667,""en"",""fi"")"),"Hyvä")</f>
        <v>Hyvä</v>
      </c>
      <c r="AI667" s="4" t="str">
        <f>IFERROR(__xludf.DUMMYFUNCTION("GOOGLETRANSLATE(B667,""en"",""hr"")"),"Dobro")</f>
        <v>Dobro</v>
      </c>
      <c r="AJ667" s="4" t="str">
        <f>IFERROR(__xludf.DUMMYFUNCTION("GOOGLETRANSLATE(B667,""en"",""hu"")"),"Jó")</f>
        <v>Jó</v>
      </c>
      <c r="AK667" s="4" t="str">
        <f>IFERROR(__xludf.DUMMYFUNCTION("GOOGLETRANSLATE(B667,""en"",""hy"")"),"Լավ")</f>
        <v>Լավ</v>
      </c>
      <c r="AL667" s="4" t="str">
        <f>IFERROR(__xludf.DUMMYFUNCTION("GOOGLETRANSLATE(B667,""en"",""ca"")"),"Bé")</f>
        <v>Bé</v>
      </c>
      <c r="AM667" s="4" t="str">
        <f>IFERROR(__xludf.DUMMYFUNCTION("GOOGLETRANSLATE(B667,""en"",""nl"")"),"Goed")</f>
        <v>Goed</v>
      </c>
      <c r="AN667" s="4" t="str">
        <f>IFERROR(__xludf.DUMMYFUNCTION("GOOGLETRANSLATE(B667,""en"",""he"")"),"טוֹב")</f>
        <v>טוֹב</v>
      </c>
      <c r="AO667" s="4" t="str">
        <f>IFERROR(__xludf.DUMMYFUNCTION("GOOGLETRANSLATE(B667,""en"",""is"")"),"Gott")</f>
        <v>Gott</v>
      </c>
      <c r="AP667" s="4" t="str">
        <f>IFERROR(__xludf.DUMMYFUNCTION("GOOGLETRANSLATE(B667,""en"",""no"")"),"God")</f>
        <v>God</v>
      </c>
      <c r="AQ667" s="4" t="str">
        <f>IFERROR(__xludf.DUMMYFUNCTION("GOOGLETRANSLATE(B667,""en"",""fa"")"),"خوب")</f>
        <v>خوب</v>
      </c>
      <c r="AR667" s="4" t="str">
        <f>IFERROR(__xludf.DUMMYFUNCTION("GOOGLETRANSLATE(B667,""en"",""pl"")"),"Dobry")</f>
        <v>Dobry</v>
      </c>
      <c r="AS667" s="4" t="str">
        <f>IFERROR(__xludf.DUMMYFUNCTION("GOOGLETRANSLATE(B667,""en"",""sv"")"),"Bra")</f>
        <v>Bra</v>
      </c>
      <c r="AT667" s="4" t="str">
        <f>IFERROR(__xludf.DUMMYFUNCTION("GOOGLETRANSLATE(B667,""en"",""uk"")"),"добре")</f>
        <v>добре</v>
      </c>
      <c r="AU667" s="4" t="str">
        <f>IFERROR(__xludf.DUMMYFUNCTION("GOOGLETRANSLATE(B667,""en"",""zu"")"),"Kuhle")</f>
        <v>Kuhle</v>
      </c>
      <c r="AV667" s="4" t="str">
        <f>IFERROR(__xludf.DUMMYFUNCTION("GOOGLETRANSLATE(B667,""en"",""sr"")"),"Добро")</f>
        <v>Добро</v>
      </c>
    </row>
    <row r="668">
      <c r="A668" s="3" t="s">
        <v>1270</v>
      </c>
      <c r="B668" s="3" t="s">
        <v>1271</v>
      </c>
      <c r="C668" s="4" t="str">
        <f>IFERROR(__xludf.DUMMYFUNCTION("GOOGLETRANSLATE(B668,""en"",""ta"")"),"சிறப்பானது")</f>
        <v>சிறப்பானது</v>
      </c>
      <c r="D668" s="4" t="str">
        <f>IFERROR(__xludf.DUMMYFUNCTION("GOOGLETRANSLATE(B668,""en"",""hi"")"),"उत्कृष्ट")</f>
        <v>उत्कृष्ट</v>
      </c>
      <c r="E668" s="4" t="str">
        <f>IFERROR(__xludf.DUMMYFUNCTION("GOOGLETRANSLATE(B668,""en"",""id"")"),"Bagus sekali")</f>
        <v>Bagus sekali</v>
      </c>
      <c r="F668" s="4" t="str">
        <f>IFERROR(__xludf.DUMMYFUNCTION("GOOGLETRANSLATE(B668,""en"",""ms"")"),"Cemerlang")</f>
        <v>Cemerlang</v>
      </c>
      <c r="G668" s="4" t="str">
        <f>IFERROR(__xludf.DUMMYFUNCTION("GOOGLETRANSLATE(B668,""en"",""de"")"),"Exzellent")</f>
        <v>Exzellent</v>
      </c>
      <c r="H668" s="4" t="str">
        <f>IFERROR(__xludf.DUMMYFUNCTION("GOOGLETRANSLATE(B668,""en"",""es"")"),"Excelente")</f>
        <v>Excelente</v>
      </c>
      <c r="I668" s="4" t="str">
        <f>IFERROR(__xludf.DUMMYFUNCTION("GOOGLETRANSLATE(B668,""en"",""fr"")"),"Excellent")</f>
        <v>Excellent</v>
      </c>
      <c r="J668" s="4" t="str">
        <f>IFERROR(__xludf.DUMMYFUNCTION("GOOGLETRANSLATE(B668,""en"",""it"")"),"Eccellente")</f>
        <v>Eccellente</v>
      </c>
      <c r="K668" s="4" t="str">
        <f>IFERROR(__xludf.DUMMYFUNCTION("GOOGLETRANSLATE(B668,""en"",""pt"")"),"Excelente")</f>
        <v>Excelente</v>
      </c>
      <c r="L668" s="4" t="str">
        <f>IFERROR(__xludf.DUMMYFUNCTION("GOOGLETRANSLATE(B668,""en"",""ro"")"),"Excelent")</f>
        <v>Excelent</v>
      </c>
      <c r="M668" s="4" t="str">
        <f>IFERROR(__xludf.DUMMYFUNCTION("GOOGLETRANSLATE(B668,""en"",""vi"")"),"Xuất sắc")</f>
        <v>Xuất sắc</v>
      </c>
      <c r="N668" s="4" t="str">
        <f>IFERROR(__xludf.DUMMYFUNCTION("GOOGLETRANSLATE(B668,""en"",""ru"")"),"Отличный")</f>
        <v>Отличный</v>
      </c>
      <c r="O668" s="4" t="str">
        <f>IFERROR(__xludf.DUMMYFUNCTION("GOOGLETRANSLATE(B668,""en"",""tr"")"),"Harika")</f>
        <v>Harika</v>
      </c>
      <c r="P668" s="4" t="str">
        <f>IFERROR(__xludf.DUMMYFUNCTION("GOOGLETRANSLATE(B668,""en"",""ar"")"),"ممتاز")</f>
        <v>ممتاز</v>
      </c>
      <c r="Q668" s="4" t="str">
        <f>IFERROR(__xludf.DUMMYFUNCTION("GOOGLETRANSLATE(B668,""en"",""mr"")"),"उत्कृष्ट")</f>
        <v>उत्कृष्ट</v>
      </c>
      <c r="R668" s="4" t="str">
        <f>IFERROR(__xludf.DUMMYFUNCTION("GOOGLETRANSLATE(B668,""en"",""gu"")"),"ઉત્તમ")</f>
        <v>ઉત્તમ</v>
      </c>
      <c r="S668" s="4" t="str">
        <f>IFERROR(__xludf.DUMMYFUNCTION("GOOGLETRANSLATE(B668,""en"",""bn"")"),"চমৎকার")</f>
        <v>চমৎকার</v>
      </c>
      <c r="T668" s="4" t="str">
        <f>IFERROR(__xludf.DUMMYFUNCTION("GOOGLETRANSLATE(B668,""en"",""pa"")"),"ਸ਼ਾਨਦਾਰ")</f>
        <v>ਸ਼ਾਨਦਾਰ</v>
      </c>
      <c r="U668" s="4" t="str">
        <f>IFERROR(__xludf.DUMMYFUNCTION("GOOGLETRANSLATE(B668,""en"",""te"")"),"అద్భుతమైన")</f>
        <v>అద్భుతమైన</v>
      </c>
      <c r="V668" s="4" t="str">
        <f>IFERROR(__xludf.DUMMYFUNCTION("GOOGLETRANSLATE(B668,""en"",""kn"")"),"ಅತ್ಯುತ್ತಮ")</f>
        <v>ಅತ್ಯುತ್ತಮ</v>
      </c>
      <c r="W668" s="4" t="str">
        <f>IFERROR(__xludf.DUMMYFUNCTION("GOOGLETRANSLATE(B668,""en"",""ml"")"),"മികച്ചത്")</f>
        <v>മികച്ചത്</v>
      </c>
      <c r="X668" s="4" t="str">
        <f>IFERROR(__xludf.DUMMYFUNCTION("GOOGLETRANSLATE(B668,""en"",""th"")"),"ยอดเยี่ยม")</f>
        <v>ยอดเยี่ยม</v>
      </c>
      <c r="Y668" s="4" t="str">
        <f>IFERROR(__xludf.DUMMYFUNCTION("GOOGLETRANSLATE(B668,""en"",""ko"")"),"훌륭한")</f>
        <v>훌륭한</v>
      </c>
      <c r="Z668" s="4" t="str">
        <f>IFERROR(__xludf.DUMMYFUNCTION("GOOGLETRANSLATE(B668,""en"",""zh"")"),"出色的")</f>
        <v>出色的</v>
      </c>
      <c r="AA668" s="4" t="str">
        <f>IFERROR(__xludf.DUMMYFUNCTION("GOOGLETRANSLATE(B668,""en"",""zh-TW"")"),"出色的")</f>
        <v>出色的</v>
      </c>
      <c r="AB668" s="4" t="str">
        <f>IFERROR(__xludf.DUMMYFUNCTION("GOOGLETRANSLATE(B668,""en"",""ja"")"),"素晴らしい")</f>
        <v>素晴らしい</v>
      </c>
      <c r="AC668" s="4" t="str">
        <f>IFERROR(__xludf.DUMMYFUNCTION("GOOGLETRANSLATE(B668,""en"",""bg"")"),"Отлично")</f>
        <v>Отлично</v>
      </c>
      <c r="AD668" s="4" t="str">
        <f>IFERROR(__xludf.DUMMYFUNCTION("GOOGLETRANSLATE(B668,""en"",""cs"")"),"Vynikající")</f>
        <v>Vynikající</v>
      </c>
      <c r="AE668" s="4" t="str">
        <f>IFERROR(__xludf.DUMMYFUNCTION("GOOGLETRANSLATE(B668,""en"",""da"")"),"Fremragende")</f>
        <v>Fremragende</v>
      </c>
      <c r="AF668" s="4" t="str">
        <f>IFERROR(__xludf.DUMMYFUNCTION("GOOGLETRANSLATE(B668,""en"",""el"")"),"Εξοχος")</f>
        <v>Εξοχος</v>
      </c>
      <c r="AG668" s="4" t="str">
        <f>IFERROR(__xludf.DUMMYFUNCTION("GOOGLETRANSLATE(B668,""en"",""et"")"),"Suurepärane")</f>
        <v>Suurepärane</v>
      </c>
      <c r="AH668" s="4" t="str">
        <f>IFERROR(__xludf.DUMMYFUNCTION("GOOGLETRANSLATE(B668,""en"",""fi"")"),"Erinomainen")</f>
        <v>Erinomainen</v>
      </c>
      <c r="AI668" s="4" t="str">
        <f>IFERROR(__xludf.DUMMYFUNCTION("GOOGLETRANSLATE(B668,""en"",""hr"")"),"Izvrsno")</f>
        <v>Izvrsno</v>
      </c>
      <c r="AJ668" s="4" t="str">
        <f>IFERROR(__xludf.DUMMYFUNCTION("GOOGLETRANSLATE(B668,""en"",""hu"")"),"Kiváló")</f>
        <v>Kiváló</v>
      </c>
      <c r="AK668" s="4" t="str">
        <f>IFERROR(__xludf.DUMMYFUNCTION("GOOGLETRANSLATE(B668,""en"",""hy"")"),"Գերազանց")</f>
        <v>Գերազանց</v>
      </c>
      <c r="AL668" s="4" t="str">
        <f>IFERROR(__xludf.DUMMYFUNCTION("GOOGLETRANSLATE(B668,""en"",""ca"")"),"Excel·lent")</f>
        <v>Excel·lent</v>
      </c>
      <c r="AM668" s="4" t="str">
        <f>IFERROR(__xludf.DUMMYFUNCTION("GOOGLETRANSLATE(B668,""en"",""nl"")"),"Uitstekend")</f>
        <v>Uitstekend</v>
      </c>
      <c r="AN668" s="4" t="str">
        <f>IFERROR(__xludf.DUMMYFUNCTION("GOOGLETRANSLATE(B668,""en"",""he"")"),"מְעוּלֶה")</f>
        <v>מְעוּלֶה</v>
      </c>
      <c r="AO668" s="4" t="str">
        <f>IFERROR(__xludf.DUMMYFUNCTION("GOOGLETRANSLATE(B668,""en"",""is"")"),"Frábært")</f>
        <v>Frábært</v>
      </c>
      <c r="AP668" s="4" t="str">
        <f>IFERROR(__xludf.DUMMYFUNCTION("GOOGLETRANSLATE(B668,""en"",""no"")"),"Glimrende")</f>
        <v>Glimrende</v>
      </c>
      <c r="AQ668" s="4" t="str">
        <f>IFERROR(__xludf.DUMMYFUNCTION("GOOGLETRANSLATE(B668,""en"",""fa"")"),"عالی")</f>
        <v>عالی</v>
      </c>
      <c r="AR668" s="4" t="str">
        <f>IFERROR(__xludf.DUMMYFUNCTION("GOOGLETRANSLATE(B668,""en"",""pl"")"),"Doskonały")</f>
        <v>Doskonały</v>
      </c>
      <c r="AS668" s="4" t="str">
        <f>IFERROR(__xludf.DUMMYFUNCTION("GOOGLETRANSLATE(B668,""en"",""sv"")"),"Excellent")</f>
        <v>Excellent</v>
      </c>
      <c r="AT668" s="4" t="str">
        <f>IFERROR(__xludf.DUMMYFUNCTION("GOOGLETRANSLATE(B668,""en"",""uk"")"),"Чудово")</f>
        <v>Чудово</v>
      </c>
      <c r="AU668" s="4" t="str">
        <f>IFERROR(__xludf.DUMMYFUNCTION("GOOGLETRANSLATE(B668,""en"",""zu"")"),"Kuhle kakhulu")</f>
        <v>Kuhle kakhulu</v>
      </c>
      <c r="AV668" s="4" t="str">
        <f>IFERROR(__xludf.DUMMYFUNCTION("GOOGLETRANSLATE(B668,""en"",""sr"")"),"Одлично")</f>
        <v>Одлично</v>
      </c>
    </row>
    <row r="669">
      <c r="A669" s="3" t="s">
        <v>1272</v>
      </c>
      <c r="B669" s="3" t="s">
        <v>1273</v>
      </c>
      <c r="C669" s="4" t="str">
        <f>IFERROR(__xludf.DUMMYFUNCTION("GOOGLETRANSLATE(B669,""en"",""ta"")"),"ஆம்")</f>
        <v>ஆம்</v>
      </c>
      <c r="D669" s="4" t="str">
        <f>IFERROR(__xludf.DUMMYFUNCTION("GOOGLETRANSLATE(B669,""en"",""hi"")"),"हाँ")</f>
        <v>हाँ</v>
      </c>
      <c r="E669" s="4" t="str">
        <f>IFERROR(__xludf.DUMMYFUNCTION("GOOGLETRANSLATE(B669,""en"",""id"")"),"Ya")</f>
        <v>Ya</v>
      </c>
      <c r="F669" s="4" t="str">
        <f>IFERROR(__xludf.DUMMYFUNCTION("GOOGLETRANSLATE(B669,""en"",""ms"")"),"ya")</f>
        <v>ya</v>
      </c>
      <c r="G669" s="4" t="str">
        <f>IFERROR(__xludf.DUMMYFUNCTION("GOOGLETRANSLATE(B669,""en"",""de"")"),"Ja")</f>
        <v>Ja</v>
      </c>
      <c r="H669" s="4" t="str">
        <f>IFERROR(__xludf.DUMMYFUNCTION("GOOGLETRANSLATE(B669,""en"",""es"")"),"Sí")</f>
        <v>Sí</v>
      </c>
      <c r="I669" s="4" t="str">
        <f>IFERROR(__xludf.DUMMYFUNCTION("GOOGLETRANSLATE(B669,""en"",""fr"")"),"Oui")</f>
        <v>Oui</v>
      </c>
      <c r="J669" s="4" t="str">
        <f>IFERROR(__xludf.DUMMYFUNCTION("GOOGLETRANSLATE(B669,""en"",""it"")"),"SÌ")</f>
        <v>SÌ</v>
      </c>
      <c r="K669" s="4" t="str">
        <f>IFERROR(__xludf.DUMMYFUNCTION("GOOGLETRANSLATE(B669,""en"",""pt"")"),"Sim")</f>
        <v>Sim</v>
      </c>
      <c r="L669" s="4" t="str">
        <f>IFERROR(__xludf.DUMMYFUNCTION("GOOGLETRANSLATE(B669,""en"",""ro"")"),"Da")</f>
        <v>Da</v>
      </c>
      <c r="M669" s="4" t="str">
        <f>IFERROR(__xludf.DUMMYFUNCTION("GOOGLETRANSLATE(B669,""en"",""vi"")"),"Đúng")</f>
        <v>Đúng</v>
      </c>
      <c r="N669" s="4" t="str">
        <f>IFERROR(__xludf.DUMMYFUNCTION("GOOGLETRANSLATE(B669,""en"",""ru"")"),"Да")</f>
        <v>Да</v>
      </c>
      <c r="O669" s="4" t="str">
        <f>IFERROR(__xludf.DUMMYFUNCTION("GOOGLETRANSLATE(B669,""en"",""tr"")"),"Evet")</f>
        <v>Evet</v>
      </c>
      <c r="P669" s="4" t="str">
        <f>IFERROR(__xludf.DUMMYFUNCTION("GOOGLETRANSLATE(B669,""en"",""ar"")"),"نعم")</f>
        <v>نعم</v>
      </c>
      <c r="Q669" s="4" t="str">
        <f>IFERROR(__xludf.DUMMYFUNCTION("GOOGLETRANSLATE(B669,""en"",""mr"")"),"होय")</f>
        <v>होय</v>
      </c>
      <c r="R669" s="4" t="str">
        <f>IFERROR(__xludf.DUMMYFUNCTION("GOOGLETRANSLATE(B669,""en"",""gu"")"),"હા")</f>
        <v>હા</v>
      </c>
      <c r="S669" s="4" t="str">
        <f>IFERROR(__xludf.DUMMYFUNCTION("GOOGLETRANSLATE(B669,""en"",""bn"")"),"হ্যাঁ")</f>
        <v>হ্যাঁ</v>
      </c>
      <c r="T669" s="4" t="str">
        <f>IFERROR(__xludf.DUMMYFUNCTION("GOOGLETRANSLATE(B669,""en"",""pa"")"),"ਹਾਂ")</f>
        <v>ਹਾਂ</v>
      </c>
      <c r="U669" s="4" t="str">
        <f>IFERROR(__xludf.DUMMYFUNCTION("GOOGLETRANSLATE(B669,""en"",""te"")"),"అవును")</f>
        <v>అవును</v>
      </c>
      <c r="V669" s="4" t="str">
        <f>IFERROR(__xludf.DUMMYFUNCTION("GOOGLETRANSLATE(B669,""en"",""kn"")"),"ಹೌದು")</f>
        <v>ಹೌದು</v>
      </c>
      <c r="W669" s="4" t="str">
        <f>IFERROR(__xludf.DUMMYFUNCTION("GOOGLETRANSLATE(B669,""en"",""ml"")"),"അതെ")</f>
        <v>അതെ</v>
      </c>
      <c r="X669" s="4" t="str">
        <f>IFERROR(__xludf.DUMMYFUNCTION("GOOGLETRANSLATE(B669,""en"",""th"")"),"ใช่")</f>
        <v>ใช่</v>
      </c>
      <c r="Y669" s="4" t="str">
        <f>IFERROR(__xludf.DUMMYFUNCTION("GOOGLETRANSLATE(B669,""en"",""ko"")"),"예")</f>
        <v>예</v>
      </c>
      <c r="Z669" s="4" t="str">
        <f>IFERROR(__xludf.DUMMYFUNCTION("GOOGLETRANSLATE(B669,""en"",""zh"")"),"是的")</f>
        <v>是的</v>
      </c>
      <c r="AA669" s="4" t="str">
        <f>IFERROR(__xludf.DUMMYFUNCTION("GOOGLETRANSLATE(B669,""en"",""zh-TW"")"),"是的")</f>
        <v>是的</v>
      </c>
      <c r="AB669" s="4" t="str">
        <f>IFERROR(__xludf.DUMMYFUNCTION("GOOGLETRANSLATE(B669,""en"",""ja"")"),"はい")</f>
        <v>はい</v>
      </c>
      <c r="AC669" s="4" t="str">
        <f>IFERROR(__xludf.DUMMYFUNCTION("GOOGLETRANSLATE(B669,""en"",""bg"")"),"да")</f>
        <v>да</v>
      </c>
      <c r="AD669" s="4" t="str">
        <f>IFERROR(__xludf.DUMMYFUNCTION("GOOGLETRANSLATE(B669,""en"",""cs"")"),"Ano")</f>
        <v>Ano</v>
      </c>
      <c r="AE669" s="4" t="str">
        <f>IFERROR(__xludf.DUMMYFUNCTION("GOOGLETRANSLATE(B669,""en"",""da"")"),"Ja")</f>
        <v>Ja</v>
      </c>
      <c r="AF669" s="4" t="str">
        <f>IFERROR(__xludf.DUMMYFUNCTION("GOOGLETRANSLATE(B669,""en"",""el"")"),"Ναί")</f>
        <v>Ναί</v>
      </c>
      <c r="AG669" s="4" t="str">
        <f>IFERROR(__xludf.DUMMYFUNCTION("GOOGLETRANSLATE(B669,""en"",""et"")"),"Jah")</f>
        <v>Jah</v>
      </c>
      <c r="AH669" s="4" t="str">
        <f>IFERROR(__xludf.DUMMYFUNCTION("GOOGLETRANSLATE(B669,""en"",""fi"")"),"Kyllä")</f>
        <v>Kyllä</v>
      </c>
      <c r="AI669" s="4" t="str">
        <f>IFERROR(__xludf.DUMMYFUNCTION("GOOGLETRANSLATE(B669,""en"",""hr"")"),"Da")</f>
        <v>Da</v>
      </c>
      <c r="AJ669" s="4" t="str">
        <f>IFERROR(__xludf.DUMMYFUNCTION("GOOGLETRANSLATE(B669,""en"",""hu"")"),"Igen")</f>
        <v>Igen</v>
      </c>
      <c r="AK669" s="4" t="str">
        <f>IFERROR(__xludf.DUMMYFUNCTION("GOOGLETRANSLATE(B669,""en"",""hy"")"),"Այո՛")</f>
        <v>Այո՛</v>
      </c>
      <c r="AL669" s="4" t="str">
        <f>IFERROR(__xludf.DUMMYFUNCTION("GOOGLETRANSLATE(B669,""en"",""ca"")"),"Sí")</f>
        <v>Sí</v>
      </c>
      <c r="AM669" s="4" t="str">
        <f>IFERROR(__xludf.DUMMYFUNCTION("GOOGLETRANSLATE(B669,""en"",""nl"")"),"Ja")</f>
        <v>Ja</v>
      </c>
      <c r="AN669" s="4" t="str">
        <f>IFERROR(__xludf.DUMMYFUNCTION("GOOGLETRANSLATE(B669,""en"",""he"")"),"כֵּן")</f>
        <v>כֵּן</v>
      </c>
      <c r="AO669" s="4" t="str">
        <f>IFERROR(__xludf.DUMMYFUNCTION("GOOGLETRANSLATE(B669,""en"",""is"")"),"Já")</f>
        <v>Já</v>
      </c>
      <c r="AP669" s="4" t="str">
        <f>IFERROR(__xludf.DUMMYFUNCTION("GOOGLETRANSLATE(B669,""en"",""no"")"),"Ja")</f>
        <v>Ja</v>
      </c>
      <c r="AQ669" s="4" t="str">
        <f>IFERROR(__xludf.DUMMYFUNCTION("GOOGLETRANSLATE(B669,""en"",""fa"")"),"بله")</f>
        <v>بله</v>
      </c>
      <c r="AR669" s="4" t="str">
        <f>IFERROR(__xludf.DUMMYFUNCTION("GOOGLETRANSLATE(B669,""en"",""pl"")"),"Tak")</f>
        <v>Tak</v>
      </c>
      <c r="AS669" s="4" t="str">
        <f>IFERROR(__xludf.DUMMYFUNCTION("GOOGLETRANSLATE(B669,""en"",""sv"")"),"Ja")</f>
        <v>Ja</v>
      </c>
      <c r="AT669" s="4" t="str">
        <f>IFERROR(__xludf.DUMMYFUNCTION("GOOGLETRANSLATE(B669,""en"",""uk"")"),"так")</f>
        <v>так</v>
      </c>
      <c r="AU669" s="4" t="str">
        <f>IFERROR(__xludf.DUMMYFUNCTION("GOOGLETRANSLATE(B669,""en"",""zu"")"),"Yebo")</f>
        <v>Yebo</v>
      </c>
      <c r="AV669" s="4" t="str">
        <f>IFERROR(__xludf.DUMMYFUNCTION("GOOGLETRANSLATE(B669,""en"",""sr"")"),"Да")</f>
        <v>Да</v>
      </c>
    </row>
    <row r="670">
      <c r="A670" s="3" t="s">
        <v>1274</v>
      </c>
      <c r="B670" s="3" t="s">
        <v>793</v>
      </c>
      <c r="C670" s="4" t="str">
        <f>IFERROR(__xludf.DUMMYFUNCTION("GOOGLETRANSLATE(B670,""en"",""ta"")"),"இல்லை")</f>
        <v>இல்லை</v>
      </c>
      <c r="D670" s="4" t="str">
        <f>IFERROR(__xludf.DUMMYFUNCTION("GOOGLETRANSLATE(B670,""en"",""hi"")"),"नहीं")</f>
        <v>नहीं</v>
      </c>
      <c r="E670" s="4" t="str">
        <f>IFERROR(__xludf.DUMMYFUNCTION("GOOGLETRANSLATE(B670,""en"",""id"")"),"TIDAK")</f>
        <v>TIDAK</v>
      </c>
      <c r="F670" s="4" t="str">
        <f>IFERROR(__xludf.DUMMYFUNCTION("GOOGLETRANSLATE(B670,""en"",""ms"")"),"Tidak")</f>
        <v>Tidak</v>
      </c>
      <c r="G670" s="4" t="str">
        <f>IFERROR(__xludf.DUMMYFUNCTION("GOOGLETRANSLATE(B670,""en"",""de"")"),"NEIN")</f>
        <v>NEIN</v>
      </c>
      <c r="H670" s="4" t="str">
        <f>IFERROR(__xludf.DUMMYFUNCTION("GOOGLETRANSLATE(B670,""en"",""es"")"),"No")</f>
        <v>No</v>
      </c>
      <c r="I670" s="4" t="str">
        <f>IFERROR(__xludf.DUMMYFUNCTION("GOOGLETRANSLATE(B670,""en"",""fr"")"),"Non")</f>
        <v>Non</v>
      </c>
      <c r="J670" s="4" t="str">
        <f>IFERROR(__xludf.DUMMYFUNCTION("GOOGLETRANSLATE(B670,""en"",""it"")"),"NO")</f>
        <v>NO</v>
      </c>
      <c r="K670" s="4" t="str">
        <f>IFERROR(__xludf.DUMMYFUNCTION("GOOGLETRANSLATE(B670,""en"",""pt"")"),"Não")</f>
        <v>Não</v>
      </c>
      <c r="L670" s="4" t="str">
        <f>IFERROR(__xludf.DUMMYFUNCTION("GOOGLETRANSLATE(B670,""en"",""ro"")"),"Nu")</f>
        <v>Nu</v>
      </c>
      <c r="M670" s="4" t="str">
        <f>IFERROR(__xludf.DUMMYFUNCTION("GOOGLETRANSLATE(B670,""en"",""vi"")"),"KHÔNG")</f>
        <v>KHÔNG</v>
      </c>
      <c r="N670" s="4" t="str">
        <f>IFERROR(__xludf.DUMMYFUNCTION("GOOGLETRANSLATE(B670,""en"",""ru"")"),"Нет")</f>
        <v>Нет</v>
      </c>
      <c r="O670" s="4" t="str">
        <f>IFERROR(__xludf.DUMMYFUNCTION("GOOGLETRANSLATE(B670,""en"",""tr"")"),"HAYIR")</f>
        <v>HAYIR</v>
      </c>
      <c r="P670" s="4" t="str">
        <f>IFERROR(__xludf.DUMMYFUNCTION("GOOGLETRANSLATE(B670,""en"",""ar"")"),"لا")</f>
        <v>لا</v>
      </c>
      <c r="Q670" s="4" t="str">
        <f>IFERROR(__xludf.DUMMYFUNCTION("GOOGLETRANSLATE(B670,""en"",""mr"")"),"नाही")</f>
        <v>नाही</v>
      </c>
      <c r="R670" s="4" t="str">
        <f>IFERROR(__xludf.DUMMYFUNCTION("GOOGLETRANSLATE(B670,""en"",""gu"")"),"ના")</f>
        <v>ના</v>
      </c>
      <c r="S670" s="4" t="str">
        <f>IFERROR(__xludf.DUMMYFUNCTION("GOOGLETRANSLATE(B670,""en"",""bn"")"),"না")</f>
        <v>না</v>
      </c>
      <c r="T670" s="4" t="str">
        <f>IFERROR(__xludf.DUMMYFUNCTION("GOOGLETRANSLATE(B670,""en"",""pa"")"),"ਨੰ")</f>
        <v>ਨੰ</v>
      </c>
      <c r="U670" s="4" t="str">
        <f>IFERROR(__xludf.DUMMYFUNCTION("GOOGLETRANSLATE(B670,""en"",""te"")"),"నం")</f>
        <v>నం</v>
      </c>
      <c r="V670" s="4" t="str">
        <f>IFERROR(__xludf.DUMMYFUNCTION("GOOGLETRANSLATE(B670,""en"",""kn"")"),"ಸಂ")</f>
        <v>ಸಂ</v>
      </c>
      <c r="W670" s="4" t="str">
        <f>IFERROR(__xludf.DUMMYFUNCTION("GOOGLETRANSLATE(B670,""en"",""ml"")"),"ഇല്ല")</f>
        <v>ഇല്ല</v>
      </c>
      <c r="X670" s="4" t="str">
        <f>IFERROR(__xludf.DUMMYFUNCTION("GOOGLETRANSLATE(B670,""en"",""th"")"),"เลขที่")</f>
        <v>เลขที่</v>
      </c>
      <c r="Y670" s="4" t="str">
        <f>IFERROR(__xludf.DUMMYFUNCTION("GOOGLETRANSLATE(B670,""en"",""ko"")"),"아니요")</f>
        <v>아니요</v>
      </c>
      <c r="Z670" s="4" t="str">
        <f>IFERROR(__xludf.DUMMYFUNCTION("GOOGLETRANSLATE(B670,""en"",""zh"")"),"不")</f>
        <v>不</v>
      </c>
      <c r="AA670" s="4" t="str">
        <f>IFERROR(__xludf.DUMMYFUNCTION("GOOGLETRANSLATE(B670,""en"",""zh-TW"")"),"不")</f>
        <v>不</v>
      </c>
      <c r="AB670" s="4" t="str">
        <f>IFERROR(__xludf.DUMMYFUNCTION("GOOGLETRANSLATE(B670,""en"",""ja"")"),"いいえ")</f>
        <v>いいえ</v>
      </c>
      <c r="AC670" s="4" t="str">
        <f>IFERROR(__xludf.DUMMYFUNCTION("GOOGLETRANSLATE(B670,""en"",""bg"")"),"не")</f>
        <v>не</v>
      </c>
      <c r="AD670" s="4" t="str">
        <f>IFERROR(__xludf.DUMMYFUNCTION("GOOGLETRANSLATE(B670,""en"",""cs"")"),"Žádný")</f>
        <v>Žádný</v>
      </c>
      <c r="AE670" s="4" t="str">
        <f>IFERROR(__xludf.DUMMYFUNCTION("GOOGLETRANSLATE(B670,""en"",""da"")"),"Ingen")</f>
        <v>Ingen</v>
      </c>
      <c r="AF670" s="4" t="str">
        <f>IFERROR(__xludf.DUMMYFUNCTION("GOOGLETRANSLATE(B670,""en"",""el"")"),"Οχι")</f>
        <v>Οχι</v>
      </c>
      <c r="AG670" s="4" t="str">
        <f>IFERROR(__xludf.DUMMYFUNCTION("GOOGLETRANSLATE(B670,""en"",""et"")"),"Ei")</f>
        <v>Ei</v>
      </c>
      <c r="AH670" s="4" t="str">
        <f>IFERROR(__xludf.DUMMYFUNCTION("GOOGLETRANSLATE(B670,""en"",""fi"")"),"Ei")</f>
        <v>Ei</v>
      </c>
      <c r="AI670" s="4" t="str">
        <f>IFERROR(__xludf.DUMMYFUNCTION("GOOGLETRANSLATE(B670,""en"",""hr"")"),"Ne")</f>
        <v>Ne</v>
      </c>
      <c r="AJ670" s="4" t="str">
        <f>IFERROR(__xludf.DUMMYFUNCTION("GOOGLETRANSLATE(B670,""en"",""hu"")"),"Nem")</f>
        <v>Nem</v>
      </c>
      <c r="AK670" s="4" t="str">
        <f>IFERROR(__xludf.DUMMYFUNCTION("GOOGLETRANSLATE(B670,""en"",""hy"")"),"Ոչ")</f>
        <v>Ոչ</v>
      </c>
      <c r="AL670" s="4" t="str">
        <f>IFERROR(__xludf.DUMMYFUNCTION("GOOGLETRANSLATE(B670,""en"",""ca"")"),"No")</f>
        <v>No</v>
      </c>
      <c r="AM670" s="4" t="str">
        <f>IFERROR(__xludf.DUMMYFUNCTION("GOOGLETRANSLATE(B670,""en"",""nl"")"),"Nee")</f>
        <v>Nee</v>
      </c>
      <c r="AN670" s="4" t="str">
        <f>IFERROR(__xludf.DUMMYFUNCTION("GOOGLETRANSLATE(B670,""en"",""he"")"),"לֹא")</f>
        <v>לֹא</v>
      </c>
      <c r="AO670" s="4" t="str">
        <f>IFERROR(__xludf.DUMMYFUNCTION("GOOGLETRANSLATE(B670,""en"",""is"")"),"Nei")</f>
        <v>Nei</v>
      </c>
      <c r="AP670" s="4" t="str">
        <f>IFERROR(__xludf.DUMMYFUNCTION("GOOGLETRANSLATE(B670,""en"",""no"")"),"Ingen")</f>
        <v>Ingen</v>
      </c>
      <c r="AQ670" s="4" t="str">
        <f>IFERROR(__xludf.DUMMYFUNCTION("GOOGLETRANSLATE(B670,""en"",""fa"")"),"خیر")</f>
        <v>خیر</v>
      </c>
      <c r="AR670" s="4" t="str">
        <f>IFERROR(__xludf.DUMMYFUNCTION("GOOGLETRANSLATE(B670,""en"",""pl"")"),"NIE")</f>
        <v>NIE</v>
      </c>
      <c r="AS670" s="4" t="str">
        <f>IFERROR(__xludf.DUMMYFUNCTION("GOOGLETRANSLATE(B670,""en"",""sv"")"),"Inga")</f>
        <v>Inga</v>
      </c>
      <c r="AT670" s="4" t="str">
        <f>IFERROR(__xludf.DUMMYFUNCTION("GOOGLETRANSLATE(B670,""en"",""uk"")"),"немає")</f>
        <v>немає</v>
      </c>
      <c r="AU670" s="4" t="str">
        <f>IFERROR(__xludf.DUMMYFUNCTION("GOOGLETRANSLATE(B670,""en"",""zu"")"),"Cha")</f>
        <v>Cha</v>
      </c>
      <c r="AV670" s="4" t="str">
        <f>IFERROR(__xludf.DUMMYFUNCTION("GOOGLETRANSLATE(B670,""en"",""sr"")"),"бр")</f>
        <v>бр</v>
      </c>
    </row>
    <row r="671">
      <c r="A671" s="3" t="s">
        <v>1275</v>
      </c>
      <c r="B671" s="3" t="s">
        <v>1276</v>
      </c>
      <c r="C671" s="4" t="str">
        <f>IFERROR(__xludf.DUMMYFUNCTION("GOOGLETRANSLATE(B671,""en"",""ta"")"),"N/A")</f>
        <v>N/A</v>
      </c>
      <c r="D671" s="4" t="str">
        <f>IFERROR(__xludf.DUMMYFUNCTION("GOOGLETRANSLATE(B671,""en"",""hi"")"),"एन/ए")</f>
        <v>एन/ए</v>
      </c>
      <c r="E671" s="4" t="str">
        <f>IFERROR(__xludf.DUMMYFUNCTION("GOOGLETRANSLATE(B671,""en"",""id"")"),"Tidak tersedia")</f>
        <v>Tidak tersedia</v>
      </c>
      <c r="F671" s="4" t="str">
        <f>IFERROR(__xludf.DUMMYFUNCTION("GOOGLETRANSLATE(B671,""en"",""ms"")"),"T/A")</f>
        <v>T/A</v>
      </c>
      <c r="G671" s="4" t="str">
        <f>IFERROR(__xludf.DUMMYFUNCTION("GOOGLETRANSLATE(B671,""en"",""de"")"),"N / A")</f>
        <v>N / A</v>
      </c>
      <c r="H671" s="4" t="str">
        <f>IFERROR(__xludf.DUMMYFUNCTION("GOOGLETRANSLATE(B671,""en"",""es"")"),"N / A")</f>
        <v>N / A</v>
      </c>
      <c r="I671" s="4" t="str">
        <f>IFERROR(__xludf.DUMMYFUNCTION("GOOGLETRANSLATE(B671,""en"",""fr"")"),"N / A")</f>
        <v>N / A</v>
      </c>
      <c r="J671" s="4" t="str">
        <f>IFERROR(__xludf.DUMMYFUNCTION("GOOGLETRANSLATE(B671,""en"",""it"")"),"N / A")</f>
        <v>N / A</v>
      </c>
      <c r="K671" s="4" t="str">
        <f>IFERROR(__xludf.DUMMYFUNCTION("GOOGLETRANSLATE(B671,""en"",""pt"")"),"N / D")</f>
        <v>N / D</v>
      </c>
      <c r="L671" s="4" t="str">
        <f>IFERROR(__xludf.DUMMYFUNCTION("GOOGLETRANSLATE(B671,""en"",""ro"")"),"N / A")</f>
        <v>N / A</v>
      </c>
      <c r="M671" s="4" t="str">
        <f>IFERROR(__xludf.DUMMYFUNCTION("GOOGLETRANSLATE(B671,""en"",""vi"")"),"Không có")</f>
        <v>Không có</v>
      </c>
      <c r="N671" s="4" t="str">
        <f>IFERROR(__xludf.DUMMYFUNCTION("GOOGLETRANSLATE(B671,""en"",""ru"")"),"Н/Д")</f>
        <v>Н/Д</v>
      </c>
      <c r="O671" s="4" t="str">
        <f>IFERROR(__xludf.DUMMYFUNCTION("GOOGLETRANSLATE(B671,""en"",""tr"")"),"Yok")</f>
        <v>Yok</v>
      </c>
      <c r="P671" s="4" t="str">
        <f>IFERROR(__xludf.DUMMYFUNCTION("GOOGLETRANSLATE(B671,""en"",""ar"")"),"غير متوفر")</f>
        <v>غير متوفر</v>
      </c>
      <c r="Q671" s="4" t="str">
        <f>IFERROR(__xludf.DUMMYFUNCTION("GOOGLETRANSLATE(B671,""en"",""mr"")"),"N/A")</f>
        <v>N/A</v>
      </c>
      <c r="R671" s="4" t="str">
        <f>IFERROR(__xludf.DUMMYFUNCTION("GOOGLETRANSLATE(B671,""en"",""gu"")"),"N/A")</f>
        <v>N/A</v>
      </c>
      <c r="S671" s="4" t="str">
        <f>IFERROR(__xludf.DUMMYFUNCTION("GOOGLETRANSLATE(B671,""en"",""bn"")"),"N/A")</f>
        <v>N/A</v>
      </c>
      <c r="T671" s="4" t="str">
        <f>IFERROR(__xludf.DUMMYFUNCTION("GOOGLETRANSLATE(B671,""en"",""pa"")"),"N/A")</f>
        <v>N/A</v>
      </c>
      <c r="U671" s="4" t="str">
        <f>IFERROR(__xludf.DUMMYFUNCTION("GOOGLETRANSLATE(B671,""en"",""te"")"),"N/A")</f>
        <v>N/A</v>
      </c>
      <c r="V671" s="4" t="str">
        <f>IFERROR(__xludf.DUMMYFUNCTION("GOOGLETRANSLATE(B671,""en"",""kn"")"),"ಎನ್/ಎ")</f>
        <v>ಎನ್/ಎ</v>
      </c>
      <c r="W671" s="4" t="str">
        <f>IFERROR(__xludf.DUMMYFUNCTION("GOOGLETRANSLATE(B671,""en"",""ml"")"),"N/A")</f>
        <v>N/A</v>
      </c>
      <c r="X671" s="4" t="str">
        <f>IFERROR(__xludf.DUMMYFUNCTION("GOOGLETRANSLATE(B671,""en"",""th"")"),"ไม่มีข้อมูล")</f>
        <v>ไม่มีข้อมูล</v>
      </c>
      <c r="Y671" s="4" t="str">
        <f>IFERROR(__xludf.DUMMYFUNCTION("GOOGLETRANSLATE(B671,""en"",""ko"")"),"해당 없음")</f>
        <v>해당 없음</v>
      </c>
      <c r="Z671" s="4" t="str">
        <f>IFERROR(__xludf.DUMMYFUNCTION("GOOGLETRANSLATE(B671,""en"",""zh"")"),"不适用")</f>
        <v>不适用</v>
      </c>
      <c r="AA671" s="4" t="str">
        <f>IFERROR(__xludf.DUMMYFUNCTION("GOOGLETRANSLATE(B671,""en"",""zh-TW"")"),"不適用")</f>
        <v>不適用</v>
      </c>
      <c r="AB671" s="4" t="str">
        <f>IFERROR(__xludf.DUMMYFUNCTION("GOOGLETRANSLATE(B671,""en"",""ja"")"),"該当なし")</f>
        <v>該当なし</v>
      </c>
      <c r="AC671" s="4" t="str">
        <f>IFERROR(__xludf.DUMMYFUNCTION("GOOGLETRANSLATE(B671,""en"",""bg"")"),"N/A")</f>
        <v>N/A</v>
      </c>
      <c r="AD671" s="4" t="str">
        <f>IFERROR(__xludf.DUMMYFUNCTION("GOOGLETRANSLATE(B671,""en"",""cs"")"),"N/A")</f>
        <v>N/A</v>
      </c>
      <c r="AE671" s="4" t="str">
        <f>IFERROR(__xludf.DUMMYFUNCTION("GOOGLETRANSLATE(B671,""en"",""da"")"),"N/A")</f>
        <v>N/A</v>
      </c>
      <c r="AF671" s="4" t="str">
        <f>IFERROR(__xludf.DUMMYFUNCTION("GOOGLETRANSLATE(B671,""en"",""el"")"),"N/A")</f>
        <v>N/A</v>
      </c>
      <c r="AG671" s="4" t="str">
        <f>IFERROR(__xludf.DUMMYFUNCTION("GOOGLETRANSLATE(B671,""en"",""et"")"),"Ei kehti")</f>
        <v>Ei kehti</v>
      </c>
      <c r="AH671" s="4" t="str">
        <f>IFERROR(__xludf.DUMMYFUNCTION("GOOGLETRANSLATE(B671,""en"",""fi"")"),"Ei käytössä")</f>
        <v>Ei käytössä</v>
      </c>
      <c r="AI671" s="4" t="str">
        <f>IFERROR(__xludf.DUMMYFUNCTION("GOOGLETRANSLATE(B671,""en"",""hr"")"),"N/A")</f>
        <v>N/A</v>
      </c>
      <c r="AJ671" s="4" t="str">
        <f>IFERROR(__xludf.DUMMYFUNCTION("GOOGLETRANSLATE(B671,""en"",""hu"")"),"N/A")</f>
        <v>N/A</v>
      </c>
      <c r="AK671" s="4" t="str">
        <f>IFERROR(__xludf.DUMMYFUNCTION("GOOGLETRANSLATE(B671,""en"",""hy"")"),"N/A")</f>
        <v>N/A</v>
      </c>
      <c r="AL671" s="4" t="str">
        <f>IFERROR(__xludf.DUMMYFUNCTION("GOOGLETRANSLATE(B671,""en"",""ca"")"),"N/A")</f>
        <v>N/A</v>
      </c>
      <c r="AM671" s="4" t="str">
        <f>IFERROR(__xludf.DUMMYFUNCTION("GOOGLETRANSLATE(B671,""en"",""nl"")"),"N.v.t.")</f>
        <v>N.v.t.</v>
      </c>
      <c r="AN671" s="4" t="str">
        <f>IFERROR(__xludf.DUMMYFUNCTION("GOOGLETRANSLATE(B671,""en"",""he"")"),"לא")</f>
        <v>לא</v>
      </c>
      <c r="AO671" s="4" t="str">
        <f>IFERROR(__xludf.DUMMYFUNCTION("GOOGLETRANSLATE(B671,""en"",""is"")"),"N/A")</f>
        <v>N/A</v>
      </c>
      <c r="AP671" s="4" t="str">
        <f>IFERROR(__xludf.DUMMYFUNCTION("GOOGLETRANSLATE(B671,""en"",""no"")"),"N/A")</f>
        <v>N/A</v>
      </c>
      <c r="AQ671" s="4" t="str">
        <f>IFERROR(__xludf.DUMMYFUNCTION("GOOGLETRANSLATE(B671,""en"",""fa"")"),"N/A")</f>
        <v>N/A</v>
      </c>
      <c r="AR671" s="4" t="str">
        <f>IFERROR(__xludf.DUMMYFUNCTION("GOOGLETRANSLATE(B671,""en"",""pl"")"),"Brak")</f>
        <v>Brak</v>
      </c>
      <c r="AS671" s="4" t="str">
        <f>IFERROR(__xludf.DUMMYFUNCTION("GOOGLETRANSLATE(B671,""en"",""sv"")"),"N/A")</f>
        <v>N/A</v>
      </c>
      <c r="AT671" s="4" t="str">
        <f>IFERROR(__xludf.DUMMYFUNCTION("GOOGLETRANSLATE(B671,""en"",""uk"")"),"N/A")</f>
        <v>N/A</v>
      </c>
      <c r="AU671" s="4" t="str">
        <f>IFERROR(__xludf.DUMMYFUNCTION("GOOGLETRANSLATE(B671,""en"",""zu"")"),"N/A")</f>
        <v>N/A</v>
      </c>
      <c r="AV671" s="4" t="str">
        <f>IFERROR(__xludf.DUMMYFUNCTION("GOOGLETRANSLATE(B671,""en"",""sr"")"),"Н/А")</f>
        <v>Н/А</v>
      </c>
    </row>
    <row r="672">
      <c r="A672" s="3" t="s">
        <v>1277</v>
      </c>
      <c r="B672" s="3" t="s">
        <v>135</v>
      </c>
      <c r="C672" s="4" t="str">
        <f>IFERROR(__xludf.DUMMYFUNCTION("GOOGLETRANSLATE(B672,""en"",""ta"")"),"செயற்கைக்கோள் வரைபடம்")</f>
        <v>செயற்கைக்கோள் வரைபடம்</v>
      </c>
      <c r="D672" s="4" t="str">
        <f>IFERROR(__xludf.DUMMYFUNCTION("GOOGLETRANSLATE(B672,""en"",""hi"")"),"उपग्रह मानचित्र")</f>
        <v>उपग्रह मानचित्र</v>
      </c>
      <c r="E672" s="4" t="str">
        <f>IFERROR(__xludf.DUMMYFUNCTION("GOOGLETRANSLATE(B672,""en"",""id"")"),"Peta Satelit")</f>
        <v>Peta Satelit</v>
      </c>
      <c r="F672" s="4" t="str">
        <f>IFERROR(__xludf.DUMMYFUNCTION("GOOGLETRANSLATE(B672,""en"",""ms"")"),"Peta Satelit")</f>
        <v>Peta Satelit</v>
      </c>
      <c r="G672" s="4" t="str">
        <f>IFERROR(__xludf.DUMMYFUNCTION("GOOGLETRANSLATE(B672,""en"",""de"")"),"Satellitenkarte")</f>
        <v>Satellitenkarte</v>
      </c>
      <c r="H672" s="4" t="str">
        <f>IFERROR(__xludf.DUMMYFUNCTION("GOOGLETRANSLATE(B672,""en"",""es"")"),"Mapa satelital")</f>
        <v>Mapa satelital</v>
      </c>
      <c r="I672" s="4" t="str">
        <f>IFERROR(__xludf.DUMMYFUNCTION("GOOGLETRANSLATE(B672,""en"",""fr"")"),"Carte satellite")</f>
        <v>Carte satellite</v>
      </c>
      <c r="J672" s="4" t="str">
        <f>IFERROR(__xludf.DUMMYFUNCTION("GOOGLETRANSLATE(B672,""en"",""it"")"),"Mappa satellitare")</f>
        <v>Mappa satellitare</v>
      </c>
      <c r="K672" s="4" t="str">
        <f>IFERROR(__xludf.DUMMYFUNCTION("GOOGLETRANSLATE(B672,""en"",""pt"")"),"Mapa de satélite")</f>
        <v>Mapa de satélite</v>
      </c>
      <c r="L672" s="4" t="str">
        <f>IFERROR(__xludf.DUMMYFUNCTION("GOOGLETRANSLATE(B672,""en"",""ro"")"),"Harta prin satelit")</f>
        <v>Harta prin satelit</v>
      </c>
      <c r="M672" s="4" t="str">
        <f>IFERROR(__xludf.DUMMYFUNCTION("GOOGLETRANSLATE(B672,""en"",""vi"")"),"Bản đồ vệ tinh")</f>
        <v>Bản đồ vệ tinh</v>
      </c>
      <c r="N672" s="4" t="str">
        <f>IFERROR(__xludf.DUMMYFUNCTION("GOOGLETRANSLATE(B672,""en"",""ru"")"),"Спутниковая карта")</f>
        <v>Спутниковая карта</v>
      </c>
      <c r="O672" s="4" t="str">
        <f>IFERROR(__xludf.DUMMYFUNCTION("GOOGLETRANSLATE(B672,""en"",""tr"")"),"Uydu Haritası")</f>
        <v>Uydu Haritası</v>
      </c>
      <c r="P672" s="4" t="str">
        <f>IFERROR(__xludf.DUMMYFUNCTION("GOOGLETRANSLATE(B672,""en"",""ar"")"),"خريطة الأقمار الصناعية")</f>
        <v>خريطة الأقمار الصناعية</v>
      </c>
      <c r="Q672" s="4" t="str">
        <f>IFERROR(__xludf.DUMMYFUNCTION("GOOGLETRANSLATE(B672,""en"",""mr"")"),"उपग्रह नकाशा")</f>
        <v>उपग्रह नकाशा</v>
      </c>
      <c r="R672" s="4" t="str">
        <f>IFERROR(__xludf.DUMMYFUNCTION("GOOGLETRANSLATE(B672,""en"",""gu"")"),"સેટેલાઇટ નકશો")</f>
        <v>સેટેલાઇટ નકશો</v>
      </c>
      <c r="S672" s="4" t="str">
        <f>IFERROR(__xludf.DUMMYFUNCTION("GOOGLETRANSLATE(B672,""en"",""bn"")"),"স্যাটেলাইট ম্যাপ")</f>
        <v>স্যাটেলাইট ম্যাপ</v>
      </c>
      <c r="T672" s="4" t="str">
        <f>IFERROR(__xludf.DUMMYFUNCTION("GOOGLETRANSLATE(B672,""en"",""pa"")"),"ਸੈਟੇਲਾਈਟ ਦਾ ਨਕਸ਼ਾ")</f>
        <v>ਸੈਟੇਲਾਈਟ ਦਾ ਨਕਸ਼ਾ</v>
      </c>
      <c r="U672" s="4" t="str">
        <f>IFERROR(__xludf.DUMMYFUNCTION("GOOGLETRANSLATE(B672,""en"",""te"")"),"ఉపగ్రహ మ్యాప్")</f>
        <v>ఉపగ్రహ మ్యాప్</v>
      </c>
      <c r="V672" s="4" t="str">
        <f>IFERROR(__xludf.DUMMYFUNCTION("GOOGLETRANSLATE(B672,""en"",""kn"")"),"ಉಪಗ್ರಹ ನಕ್ಷೆ")</f>
        <v>ಉಪಗ್ರಹ ನಕ್ಷೆ</v>
      </c>
      <c r="W672" s="4" t="str">
        <f>IFERROR(__xludf.DUMMYFUNCTION("GOOGLETRANSLATE(B672,""en"",""ml"")"),"സാറ്റലൈറ്റ് മാപ്പ്")</f>
        <v>സാറ്റലൈറ്റ് മാപ്പ്</v>
      </c>
      <c r="X672" s="4" t="str">
        <f>IFERROR(__xludf.DUMMYFUNCTION("GOOGLETRANSLATE(B672,""en"",""th"")"),"แผนที่ดาวเทียม")</f>
        <v>แผนที่ดาวเทียม</v>
      </c>
      <c r="Y672" s="4" t="str">
        <f>IFERROR(__xludf.DUMMYFUNCTION("GOOGLETRANSLATE(B672,""en"",""ko"")"),"위성지도")</f>
        <v>위성지도</v>
      </c>
      <c r="Z672" s="4" t="str">
        <f>IFERROR(__xludf.DUMMYFUNCTION("GOOGLETRANSLATE(B672,""en"",""zh"")"),"卫星地图")</f>
        <v>卫星地图</v>
      </c>
      <c r="AA672" s="4" t="str">
        <f>IFERROR(__xludf.DUMMYFUNCTION("GOOGLETRANSLATE(B672,""en"",""zh-TW"")"),"衛星地圖")</f>
        <v>衛星地圖</v>
      </c>
      <c r="AB672" s="4" t="str">
        <f>IFERROR(__xludf.DUMMYFUNCTION("GOOGLETRANSLATE(B672,""en"",""ja"")"),"衛星地図")</f>
        <v>衛星地図</v>
      </c>
      <c r="AC672" s="4" t="str">
        <f>IFERROR(__xludf.DUMMYFUNCTION("GOOGLETRANSLATE(B672,""en"",""bg"")"),"Сателитна карта")</f>
        <v>Сателитна карта</v>
      </c>
      <c r="AD672" s="4" t="str">
        <f>IFERROR(__xludf.DUMMYFUNCTION("GOOGLETRANSLATE(B672,""en"",""cs"")"),"Satelitní mapa")</f>
        <v>Satelitní mapa</v>
      </c>
      <c r="AE672" s="4" t="str">
        <f>IFERROR(__xludf.DUMMYFUNCTION("GOOGLETRANSLATE(B672,""en"",""da"")"),"Satellit kort")</f>
        <v>Satellit kort</v>
      </c>
      <c r="AF672" s="4" t="str">
        <f>IFERROR(__xludf.DUMMYFUNCTION("GOOGLETRANSLATE(B672,""en"",""el"")"),"Δορυφορικός χάρτης")</f>
        <v>Δορυφορικός χάρτης</v>
      </c>
      <c r="AG672" s="4" t="str">
        <f>IFERROR(__xludf.DUMMYFUNCTION("GOOGLETRANSLATE(B672,""en"",""et"")"),"Satelliidi kaart")</f>
        <v>Satelliidi kaart</v>
      </c>
      <c r="AH672" s="4" t="str">
        <f>IFERROR(__xludf.DUMMYFUNCTION("GOOGLETRANSLATE(B672,""en"",""fi"")"),"Satelliitti kartta")</f>
        <v>Satelliitti kartta</v>
      </c>
      <c r="AI672" s="4" t="str">
        <f>IFERROR(__xludf.DUMMYFUNCTION("GOOGLETRANSLATE(B672,""en"",""hr"")"),"Satelitska karta")</f>
        <v>Satelitska karta</v>
      </c>
      <c r="AJ672" s="4" t="str">
        <f>IFERROR(__xludf.DUMMYFUNCTION("GOOGLETRANSLATE(B672,""en"",""hu"")"),"Műholdas térkép")</f>
        <v>Műholdas térkép</v>
      </c>
      <c r="AK672" s="4" t="str">
        <f>IFERROR(__xludf.DUMMYFUNCTION("GOOGLETRANSLATE(B672,""en"",""hy"")"),"Արբանյակային քարտեզ")</f>
        <v>Արբանյակային քարտեզ</v>
      </c>
      <c r="AL672" s="4" t="str">
        <f>IFERROR(__xludf.DUMMYFUNCTION("GOOGLETRANSLATE(B672,""en"",""ca"")"),"Mapa per satèl·lit")</f>
        <v>Mapa per satèl·lit</v>
      </c>
      <c r="AM672" s="4" t="str">
        <f>IFERROR(__xludf.DUMMYFUNCTION("GOOGLETRANSLATE(B672,""en"",""nl"")"),"Satellietkaart")</f>
        <v>Satellietkaart</v>
      </c>
      <c r="AN672" s="4" t="str">
        <f>IFERROR(__xludf.DUMMYFUNCTION("GOOGLETRANSLATE(B672,""en"",""he"")"),"מפת לווין")</f>
        <v>מפת לווין</v>
      </c>
      <c r="AO672" s="4" t="str">
        <f>IFERROR(__xludf.DUMMYFUNCTION("GOOGLETRANSLATE(B672,""en"",""is"")"),"Gervihnattakort")</f>
        <v>Gervihnattakort</v>
      </c>
      <c r="AP672" s="4" t="str">
        <f>IFERROR(__xludf.DUMMYFUNCTION("GOOGLETRANSLATE(B672,""en"",""no"")"),"Satellitt kart")</f>
        <v>Satellitt kart</v>
      </c>
      <c r="AQ672" s="4" t="str">
        <f>IFERROR(__xludf.DUMMYFUNCTION("GOOGLETRANSLATE(B672,""en"",""fa"")"),"نقشه ماهواره ای")</f>
        <v>نقشه ماهواره ای</v>
      </c>
      <c r="AR672" s="4" t="str">
        <f>IFERROR(__xludf.DUMMYFUNCTION("GOOGLETRANSLATE(B672,""en"",""pl"")"),"Mapa satelitarna")</f>
        <v>Mapa satelitarna</v>
      </c>
      <c r="AS672" s="4" t="str">
        <f>IFERROR(__xludf.DUMMYFUNCTION("GOOGLETRANSLATE(B672,""en"",""sv"")"),"Satellitkarta")</f>
        <v>Satellitkarta</v>
      </c>
      <c r="AT672" s="4" t="str">
        <f>IFERROR(__xludf.DUMMYFUNCTION("GOOGLETRANSLATE(B672,""en"",""uk"")"),"Супутникова карта")</f>
        <v>Супутникова карта</v>
      </c>
      <c r="AU672" s="4" t="str">
        <f>IFERROR(__xludf.DUMMYFUNCTION("GOOGLETRANSLATE(B672,""en"",""zu"")"),"Imephu yesathelayithi")</f>
        <v>Imephu yesathelayithi</v>
      </c>
      <c r="AV672" s="4" t="str">
        <f>IFERROR(__xludf.DUMMYFUNCTION("GOOGLETRANSLATE(B672,""en"",""sr"")"),"Сателитска карта")</f>
        <v>Сателитска карта</v>
      </c>
    </row>
    <row r="673">
      <c r="A673" s="3" t="s">
        <v>1278</v>
      </c>
      <c r="B673" s="3" t="s">
        <v>1279</v>
      </c>
      <c r="C673" s="4" t="str">
        <f>IFERROR(__xludf.DUMMYFUNCTION("GOOGLETRANSLATE(B673,""en"",""ta"")"),"ஏழை (&lt;10)")</f>
        <v>ஏழை (&lt;10)</v>
      </c>
      <c r="D673" s="4" t="str">
        <f>IFERROR(__xludf.DUMMYFUNCTION("GOOGLETRANSLATE(B673,""en"",""hi"")"),"खराब (&lt;10)")</f>
        <v>खराब (&lt;10)</v>
      </c>
      <c r="E673" s="4" t="str">
        <f>IFERROR(__xludf.DUMMYFUNCTION("GOOGLETRANSLATE(B673,""en"",""id"")"),"Buruk (&lt;10)")</f>
        <v>Buruk (&lt;10)</v>
      </c>
      <c r="F673" s="4" t="str">
        <f>IFERROR(__xludf.DUMMYFUNCTION("GOOGLETRANSLATE(B673,""en"",""ms"")"),"Lemah (&lt;10)")</f>
        <v>Lemah (&lt;10)</v>
      </c>
      <c r="G673" s="4" t="str">
        <f>IFERROR(__xludf.DUMMYFUNCTION("GOOGLETRANSLATE(B673,""en"",""de"")"),"Schlecht (&lt;10)")</f>
        <v>Schlecht (&lt;10)</v>
      </c>
      <c r="H673" s="4" t="str">
        <f>IFERROR(__xludf.DUMMYFUNCTION("GOOGLETRANSLATE(B673,""en"",""es"")"),"Pobre (&lt;10)")</f>
        <v>Pobre (&lt;10)</v>
      </c>
      <c r="I673" s="4" t="str">
        <f>IFERROR(__xludf.DUMMYFUNCTION("GOOGLETRANSLATE(B673,""en"",""fr"")"),"Pauvre (&lt;10)")</f>
        <v>Pauvre (&lt;10)</v>
      </c>
      <c r="J673" s="4" t="str">
        <f>IFERROR(__xludf.DUMMYFUNCTION("GOOGLETRANSLATE(B673,""en"",""it"")"),"Scarso (&lt;10)")</f>
        <v>Scarso (&lt;10)</v>
      </c>
      <c r="K673" s="4" t="str">
        <f>IFERROR(__xludf.DUMMYFUNCTION("GOOGLETRANSLATE(B673,""en"",""pt"")"),"Pobre (&lt;10)")</f>
        <v>Pobre (&lt;10)</v>
      </c>
      <c r="L673" s="4" t="str">
        <f>IFERROR(__xludf.DUMMYFUNCTION("GOOGLETRANSLATE(B673,""en"",""ro"")"),"Slab (&lt;10)")</f>
        <v>Slab (&lt;10)</v>
      </c>
      <c r="M673" s="4" t="str">
        <f>IFERROR(__xludf.DUMMYFUNCTION("GOOGLETRANSLATE(B673,""en"",""vi"")"),"Kém (&lt;10)")</f>
        <v>Kém (&lt;10)</v>
      </c>
      <c r="N673" s="4" t="str">
        <f>IFERROR(__xludf.DUMMYFUNCTION("GOOGLETRANSLATE(B673,""en"",""ru"")"),"Плохо (&lt;10)")</f>
        <v>Плохо (&lt;10)</v>
      </c>
      <c r="O673" s="4" t="str">
        <f>IFERROR(__xludf.DUMMYFUNCTION("GOOGLETRANSLATE(B673,""en"",""tr"")"),"Zayıf (&lt;10)")</f>
        <v>Zayıf (&lt;10)</v>
      </c>
      <c r="P673" s="4" t="str">
        <f>IFERROR(__xludf.DUMMYFUNCTION("GOOGLETRANSLATE(B673,""en"",""ar"")"),"فقير (&lt;10)")</f>
        <v>فقير (&lt;10)</v>
      </c>
      <c r="Q673" s="4" t="str">
        <f>IFERROR(__xludf.DUMMYFUNCTION("GOOGLETRANSLATE(B673,""en"",""mr"")"),"गरीब (&lt;10)")</f>
        <v>गरीब (&lt;10)</v>
      </c>
      <c r="R673" s="4" t="str">
        <f>IFERROR(__xludf.DUMMYFUNCTION("GOOGLETRANSLATE(B673,""en"",""gu"")"),"નબળી (&lt;10)")</f>
        <v>નબળી (&lt;10)</v>
      </c>
      <c r="S673" s="4" t="str">
        <f>IFERROR(__xludf.DUMMYFUNCTION("GOOGLETRANSLATE(B673,""en"",""bn"")"),"দরিদ্র (&lt;10)")</f>
        <v>দরিদ্র (&lt;10)</v>
      </c>
      <c r="T673" s="4" t="str">
        <f>IFERROR(__xludf.DUMMYFUNCTION("GOOGLETRANSLATE(B673,""en"",""pa"")"),"ਗਰੀਬ (&lt;10)")</f>
        <v>ਗਰੀਬ (&lt;10)</v>
      </c>
      <c r="U673" s="4" t="str">
        <f>IFERROR(__xludf.DUMMYFUNCTION("GOOGLETRANSLATE(B673,""en"",""te"")"),"పేద (&lt;10)")</f>
        <v>పేద (&lt;10)</v>
      </c>
      <c r="V673" s="4" t="str">
        <f>IFERROR(__xludf.DUMMYFUNCTION("GOOGLETRANSLATE(B673,""en"",""kn"")"),"ಕಳಪೆ (&lt;10)")</f>
        <v>ಕಳಪೆ (&lt;10)</v>
      </c>
      <c r="W673" s="4" t="str">
        <f>IFERROR(__xludf.DUMMYFUNCTION("GOOGLETRANSLATE(B673,""en"",""ml"")"),"പാവം (&lt;10)")</f>
        <v>പാവം (&lt;10)</v>
      </c>
      <c r="X673" s="4" t="str">
        <f>IFERROR(__xludf.DUMMYFUNCTION("GOOGLETRANSLATE(B673,""en"",""th"")"),"แย่ (&lt;10)")</f>
        <v>แย่ (&lt;10)</v>
      </c>
      <c r="Y673" s="4" t="str">
        <f>IFERROR(__xludf.DUMMYFUNCTION("GOOGLETRANSLATE(B673,""en"",""ko"")"),"나쁨(&lt;10)")</f>
        <v>나쁨(&lt;10)</v>
      </c>
      <c r="Z673" s="4" t="str">
        <f>IFERROR(__xludf.DUMMYFUNCTION("GOOGLETRANSLATE(B673,""en"",""zh"")"),"差（&lt;10）")</f>
        <v>差（&lt;10）</v>
      </c>
      <c r="AA673" s="4" t="str">
        <f>IFERROR(__xludf.DUMMYFUNCTION("GOOGLETRANSLATE(B673,""en"",""zh-TW"")"),"差（&lt;10）")</f>
        <v>差（&lt;10）</v>
      </c>
      <c r="AB673" s="4" t="str">
        <f>IFERROR(__xludf.DUMMYFUNCTION("GOOGLETRANSLATE(B673,""en"",""ja"")"),"悪い (&lt;10)")</f>
        <v>悪い (&lt;10)</v>
      </c>
      <c r="AC673" s="4" t="str">
        <f>IFERROR(__xludf.DUMMYFUNCTION("GOOGLETRANSLATE(B673,""en"",""bg"")"),"Лош (&lt;10)")</f>
        <v>Лош (&lt;10)</v>
      </c>
      <c r="AD673" s="4" t="str">
        <f>IFERROR(__xludf.DUMMYFUNCTION("GOOGLETRANSLATE(B673,""en"",""cs"")"),"Špatný (&lt;10)")</f>
        <v>Špatný (&lt;10)</v>
      </c>
      <c r="AE673" s="4" t="str">
        <f>IFERROR(__xludf.DUMMYFUNCTION("GOOGLETRANSLATE(B673,""en"",""da"")"),"Dårlig (&lt;10)")</f>
        <v>Dårlig (&lt;10)</v>
      </c>
      <c r="AF673" s="4" t="str">
        <f>IFERROR(__xludf.DUMMYFUNCTION("GOOGLETRANSLATE(B673,""en"",""el"")"),"Κακή (&lt;10)")</f>
        <v>Κακή (&lt;10)</v>
      </c>
      <c r="AG673" s="4" t="str">
        <f>IFERROR(__xludf.DUMMYFUNCTION("GOOGLETRANSLATE(B673,""en"",""et"")"),"Kehv (&lt;10)")</f>
        <v>Kehv (&lt;10)</v>
      </c>
      <c r="AH673" s="4" t="str">
        <f>IFERROR(__xludf.DUMMYFUNCTION("GOOGLETRANSLATE(B673,""en"",""fi"")"),"Huono (&lt;10)")</f>
        <v>Huono (&lt;10)</v>
      </c>
      <c r="AI673" s="4" t="str">
        <f>IFERROR(__xludf.DUMMYFUNCTION("GOOGLETRANSLATE(B673,""en"",""hr"")"),"Loše (&lt;10)")</f>
        <v>Loše (&lt;10)</v>
      </c>
      <c r="AJ673" s="4" t="str">
        <f>IFERROR(__xludf.DUMMYFUNCTION("GOOGLETRANSLATE(B673,""en"",""hu"")"),"Szegény (&lt;10)")</f>
        <v>Szegény (&lt;10)</v>
      </c>
      <c r="AK673" s="4" t="str">
        <f>IFERROR(__xludf.DUMMYFUNCTION("GOOGLETRANSLATE(B673,""en"",""hy"")"),"Վատ (&lt;10)")</f>
        <v>Վատ (&lt;10)</v>
      </c>
      <c r="AL673" s="4" t="str">
        <f>IFERROR(__xludf.DUMMYFUNCTION("GOOGLETRANSLATE(B673,""en"",""ca"")"),"Pobre (&lt;10)")</f>
        <v>Pobre (&lt;10)</v>
      </c>
      <c r="AM673" s="4" t="str">
        <f>IFERROR(__xludf.DUMMYFUNCTION("GOOGLETRANSLATE(B673,""en"",""nl"")"),"Slecht (&lt;10)")</f>
        <v>Slecht (&lt;10)</v>
      </c>
      <c r="AN673" s="4" t="str">
        <f>IFERROR(__xludf.DUMMYFUNCTION("GOOGLETRANSLATE(B673,""en"",""he"")"),"גרוע (&lt;10)")</f>
        <v>גרוע (&lt;10)</v>
      </c>
      <c r="AO673" s="4" t="str">
        <f>IFERROR(__xludf.DUMMYFUNCTION("GOOGLETRANSLATE(B673,""en"",""is"")"),"Lélegt (&lt;10)")</f>
        <v>Lélegt (&lt;10)</v>
      </c>
      <c r="AP673" s="4" t="str">
        <f>IFERROR(__xludf.DUMMYFUNCTION("GOOGLETRANSLATE(B673,""en"",""no"")"),"Dårlig (&lt;10)")</f>
        <v>Dårlig (&lt;10)</v>
      </c>
      <c r="AQ673" s="4" t="str">
        <f>IFERROR(__xludf.DUMMYFUNCTION("GOOGLETRANSLATE(B673,""en"",""fa"")"),"ضعیف (&lt;10)")</f>
        <v>ضعیف (&lt;10)</v>
      </c>
      <c r="AR673" s="4" t="str">
        <f>IFERROR(__xludf.DUMMYFUNCTION("GOOGLETRANSLATE(B673,""en"",""pl"")"),"Słaby (&lt;10)")</f>
        <v>Słaby (&lt;10)</v>
      </c>
      <c r="AS673" s="4" t="str">
        <f>IFERROR(__xludf.DUMMYFUNCTION("GOOGLETRANSLATE(B673,""en"",""sv"")"),"Dålig (&lt;10)")</f>
        <v>Dålig (&lt;10)</v>
      </c>
      <c r="AT673" s="4" t="str">
        <f>IFERROR(__xludf.DUMMYFUNCTION("GOOGLETRANSLATE(B673,""en"",""uk"")"),"Погано (&lt;10)")</f>
        <v>Погано (&lt;10)</v>
      </c>
      <c r="AU673" s="4" t="str">
        <f>IFERROR(__xludf.DUMMYFUNCTION("GOOGLETRANSLATE(B673,""en"",""zu"")"),"Kumpofu (&lt;10)")</f>
        <v>Kumpofu (&lt;10)</v>
      </c>
      <c r="AV673" s="4" t="str">
        <f>IFERROR(__xludf.DUMMYFUNCTION("GOOGLETRANSLATE(B673,""en"",""sr"")"),"Лоше (&lt;10)")</f>
        <v>Лоше (&lt;10)</v>
      </c>
    </row>
    <row r="674">
      <c r="A674" s="3" t="s">
        <v>1280</v>
      </c>
      <c r="B674" s="3" t="s">
        <v>1281</v>
      </c>
      <c r="C674" s="4" t="str">
        <f>IFERROR(__xludf.DUMMYFUNCTION("GOOGLETRANSLATE(B674,""en"",""ta"")"),"நியாயமான (10-20)")</f>
        <v>நியாயமான (10-20)</v>
      </c>
      <c r="D674" s="4" t="str">
        <f>IFERROR(__xludf.DUMMYFUNCTION("GOOGLETRANSLATE(B674,""en"",""hi"")"),"उचित (10-20)")</f>
        <v>उचित (10-20)</v>
      </c>
      <c r="E674" s="4" t="str">
        <f>IFERROR(__xludf.DUMMYFUNCTION("GOOGLETRANSLATE(B674,""en"",""id"")"),"Cukup (10-20)")</f>
        <v>Cukup (10-20)</v>
      </c>
      <c r="F674" s="4" t="str">
        <f>IFERROR(__xludf.DUMMYFUNCTION("GOOGLETRANSLATE(B674,""en"",""ms"")"),"Adil (10-20)")</f>
        <v>Adil (10-20)</v>
      </c>
      <c r="G674" s="4" t="str">
        <f>IFERROR(__xludf.DUMMYFUNCTION("GOOGLETRANSLATE(B674,""en"",""de"")"),"Mittelmäßig (10-20)")</f>
        <v>Mittelmäßig (10-20)</v>
      </c>
      <c r="H674" s="4" t="str">
        <f>IFERROR(__xludf.DUMMYFUNCTION("GOOGLETRANSLATE(B674,""en"",""es"")"),"Regular (10-20)")</f>
        <v>Regular (10-20)</v>
      </c>
      <c r="I674" s="4" t="str">
        <f>IFERROR(__xludf.DUMMYFUNCTION("GOOGLETRANSLATE(B674,""en"",""fr"")"),"Foire (10-20)")</f>
        <v>Foire (10-20)</v>
      </c>
      <c r="J674" s="4" t="str">
        <f>IFERROR(__xludf.DUMMYFUNCTION("GOOGLETRANSLATE(B674,""en"",""it"")"),"Discreto (10-20)")</f>
        <v>Discreto (10-20)</v>
      </c>
      <c r="K674" s="4" t="str">
        <f>IFERROR(__xludf.DUMMYFUNCTION("GOOGLETRANSLATE(B674,""en"",""pt"")"),"Razoável (10-20)")</f>
        <v>Razoável (10-20)</v>
      </c>
      <c r="L674" s="4" t="str">
        <f>IFERROR(__xludf.DUMMYFUNCTION("GOOGLETRANSLATE(B674,""en"",""ro"")"),"Târg (10-20)")</f>
        <v>Târg (10-20)</v>
      </c>
      <c r="M674" s="4" t="str">
        <f>IFERROR(__xludf.DUMMYFUNCTION("GOOGLETRANSLATE(B674,""en"",""vi"")"),"Công bằng (10-20)")</f>
        <v>Công bằng (10-20)</v>
      </c>
      <c r="N674" s="4" t="str">
        <f>IFERROR(__xludf.DUMMYFUNCTION("GOOGLETRANSLATE(B674,""en"",""ru"")"),"Удовлетворительно (10-20)")</f>
        <v>Удовлетворительно (10-20)</v>
      </c>
      <c r="O674" s="4" t="str">
        <f>IFERROR(__xludf.DUMMYFUNCTION("GOOGLETRANSLATE(B674,""en"",""tr"")"),"Adil (10-20)")</f>
        <v>Adil (10-20)</v>
      </c>
      <c r="P674" s="4" t="str">
        <f>IFERROR(__xludf.DUMMYFUNCTION("GOOGLETRANSLATE(B674,""en"",""ar"")"),"عادل (10-20)")</f>
        <v>عادل (10-20)</v>
      </c>
      <c r="Q674" s="4" t="str">
        <f>IFERROR(__xludf.DUMMYFUNCTION("GOOGLETRANSLATE(B674,""en"",""mr"")"),"गोरा (१०-२०)")</f>
        <v>गोरा (१०-२०)</v>
      </c>
      <c r="R674" s="4" t="str">
        <f>IFERROR(__xludf.DUMMYFUNCTION("GOOGLETRANSLATE(B674,""en"",""gu"")"),"મેળો (10-20)")</f>
        <v>મેળો (10-20)</v>
      </c>
      <c r="S674" s="4" t="str">
        <f>IFERROR(__xludf.DUMMYFUNCTION("GOOGLETRANSLATE(B674,""en"",""bn"")"),"মেলা (10-20)")</f>
        <v>মেলা (10-20)</v>
      </c>
      <c r="T674" s="4" t="str">
        <f>IFERROR(__xludf.DUMMYFUNCTION("GOOGLETRANSLATE(B674,""en"",""pa"")"),"ਮੇਲਾ (10-20)")</f>
        <v>ਮੇਲਾ (10-20)</v>
      </c>
      <c r="U674" s="4" t="str">
        <f>IFERROR(__xludf.DUMMYFUNCTION("GOOGLETRANSLATE(B674,""en"",""te"")"),"ఫెయిర్ (10-20)")</f>
        <v>ఫెయిర్ (10-20)</v>
      </c>
      <c r="V674" s="4" t="str">
        <f>IFERROR(__xludf.DUMMYFUNCTION("GOOGLETRANSLATE(B674,""en"",""kn"")"),"ಜಾತ್ರೆ (10-20)")</f>
        <v>ಜಾತ್ರೆ (10-20)</v>
      </c>
      <c r="W674" s="4" t="str">
        <f>IFERROR(__xludf.DUMMYFUNCTION("GOOGLETRANSLATE(B674,""en"",""ml"")"),"മേള (10-20)")</f>
        <v>മേള (10-20)</v>
      </c>
      <c r="X674" s="4" t="str">
        <f>IFERROR(__xludf.DUMMYFUNCTION("GOOGLETRANSLATE(B674,""en"",""th"")"),"พอใช้ (10-20)")</f>
        <v>พอใช้ (10-20)</v>
      </c>
      <c r="Y674" s="4" t="str">
        <f>IFERROR(__xludf.DUMMYFUNCTION("GOOGLETRANSLATE(B674,""en"",""ko"")"),"보통(10-20)")</f>
        <v>보통(10-20)</v>
      </c>
      <c r="Z674" s="4" t="str">
        <f>IFERROR(__xludf.DUMMYFUNCTION("GOOGLETRANSLATE(B674,""en"",""zh"")"),"一般 (10-20)")</f>
        <v>一般 (10-20)</v>
      </c>
      <c r="AA674" s="4" t="str">
        <f>IFERROR(__xludf.DUMMYFUNCTION("GOOGLETRANSLATE(B674,""en"",""zh-TW"")"),"一般 (10-20)")</f>
        <v>一般 (10-20)</v>
      </c>
      <c r="AB674" s="4" t="str">
        <f>IFERROR(__xludf.DUMMYFUNCTION("GOOGLETRANSLATE(B674,""en"",""ja"")"),"普通（10～20）")</f>
        <v>普通（10～20）</v>
      </c>
      <c r="AC674" s="4" t="str">
        <f>IFERROR(__xludf.DUMMYFUNCTION("GOOGLETRANSLATE(B674,""en"",""bg"")"),"Справедлив (10-20)")</f>
        <v>Справедлив (10-20)</v>
      </c>
      <c r="AD674" s="4" t="str">
        <f>IFERROR(__xludf.DUMMYFUNCTION("GOOGLETRANSLATE(B674,""en"",""cs"")"),"Fair (10-20)")</f>
        <v>Fair (10-20)</v>
      </c>
      <c r="AE674" s="4" t="str">
        <f>IFERROR(__xludf.DUMMYFUNCTION("GOOGLETRANSLATE(B674,""en"",""da"")"),"Fair (10-20)")</f>
        <v>Fair (10-20)</v>
      </c>
      <c r="AF674" s="4" t="str">
        <f>IFERROR(__xludf.DUMMYFUNCTION("GOOGLETRANSLATE(B674,""en"",""el"")"),"Δίκαιο (10-20)")</f>
        <v>Δίκαιο (10-20)</v>
      </c>
      <c r="AG674" s="4" t="str">
        <f>IFERROR(__xludf.DUMMYFUNCTION("GOOGLETRANSLATE(B674,""en"",""et"")"),"Õiglane (10-20)")</f>
        <v>Õiglane (10-20)</v>
      </c>
      <c r="AH674" s="4" t="str">
        <f>IFERROR(__xludf.DUMMYFUNCTION("GOOGLETRANSLATE(B674,""en"",""fi"")"),"Reilu (10-20)")</f>
        <v>Reilu (10-20)</v>
      </c>
      <c r="AI674" s="4" t="str">
        <f>IFERROR(__xludf.DUMMYFUNCTION("GOOGLETRANSLATE(B674,""en"",""hr"")"),"Sajam (10-20)")</f>
        <v>Sajam (10-20)</v>
      </c>
      <c r="AJ674" s="4" t="str">
        <f>IFERROR(__xludf.DUMMYFUNCTION("GOOGLETRANSLATE(B674,""en"",""hu"")"),"Vásár (10-20)")</f>
        <v>Vásár (10-20)</v>
      </c>
      <c r="AK674" s="4" t="str">
        <f>IFERROR(__xludf.DUMMYFUNCTION("GOOGLETRANSLATE(B674,""en"",""hy"")"),"Արդար (10-20)")</f>
        <v>Արդար (10-20)</v>
      </c>
      <c r="AL674" s="4" t="str">
        <f>IFERROR(__xludf.DUMMYFUNCTION("GOOGLETRANSLATE(B674,""en"",""ca"")"),"Fira (10-20)")</f>
        <v>Fira (10-20)</v>
      </c>
      <c r="AM674" s="4" t="str">
        <f>IFERROR(__xludf.DUMMYFUNCTION("GOOGLETRANSLATE(B674,""en"",""nl"")"),"Kermis (10-20)")</f>
        <v>Kermis (10-20)</v>
      </c>
      <c r="AN674" s="4" t="str">
        <f>IFERROR(__xludf.DUMMYFUNCTION("GOOGLETRANSLATE(B674,""en"",""he"")"),"יריד (10-20)")</f>
        <v>יריד (10-20)</v>
      </c>
      <c r="AO674" s="4" t="str">
        <f>IFERROR(__xludf.DUMMYFUNCTION("GOOGLETRANSLATE(B674,""en"",""is"")"),"Fair (10-20)")</f>
        <v>Fair (10-20)</v>
      </c>
      <c r="AP674" s="4" t="str">
        <f>IFERROR(__xludf.DUMMYFUNCTION("GOOGLETRANSLATE(B674,""en"",""no"")"),"Fair (10-20)")</f>
        <v>Fair (10-20)</v>
      </c>
      <c r="AQ674" s="4" t="str">
        <f>IFERROR(__xludf.DUMMYFUNCTION("GOOGLETRANSLATE(B674,""en"",""fa"")"),"منصفانه (10-20)")</f>
        <v>منصفانه (10-20)</v>
      </c>
      <c r="AR674" s="4" t="str">
        <f>IFERROR(__xludf.DUMMYFUNCTION("GOOGLETRANSLATE(B674,""en"",""pl"")"),"Uczciwy (10-20)")</f>
        <v>Uczciwy (10-20)</v>
      </c>
      <c r="AS674" s="4" t="str">
        <f>IFERROR(__xludf.DUMMYFUNCTION("GOOGLETRANSLATE(B674,""en"",""sv"")"),"Mässa (10-20)")</f>
        <v>Mässa (10-20)</v>
      </c>
      <c r="AT674" s="4" t="str">
        <f>IFERROR(__xludf.DUMMYFUNCTION("GOOGLETRANSLATE(B674,""en"",""uk"")"),"Ярмарок (10-20)")</f>
        <v>Ярмарок (10-20)</v>
      </c>
      <c r="AU674" s="4" t="str">
        <f>IFERROR(__xludf.DUMMYFUNCTION("GOOGLETRANSLATE(B674,""en"",""zu"")"),"Ukulunga (10-20)")</f>
        <v>Ukulunga (10-20)</v>
      </c>
      <c r="AV674" s="4" t="str">
        <f>IFERROR(__xludf.DUMMYFUNCTION("GOOGLETRANSLATE(B674,""en"",""sr"")"),"Сајам (10-20)")</f>
        <v>Сајам (10-20)</v>
      </c>
    </row>
    <row r="675">
      <c r="A675" s="3" t="s">
        <v>1282</v>
      </c>
      <c r="B675" s="3" t="s">
        <v>1283</v>
      </c>
      <c r="C675" s="4" t="str">
        <f>IFERROR(__xludf.DUMMYFUNCTION("GOOGLETRANSLATE(B675,""en"",""ta"")"),"நல்லது (20-30)")</f>
        <v>நல்லது (20-30)</v>
      </c>
      <c r="D675" s="4" t="str">
        <f>IFERROR(__xludf.DUMMYFUNCTION("GOOGLETRANSLATE(B675,""en"",""hi"")"),"अच्छा (20-30)")</f>
        <v>अच्छा (20-30)</v>
      </c>
      <c r="E675" s="4" t="str">
        <f>IFERROR(__xludf.DUMMYFUNCTION("GOOGLETRANSLATE(B675,""en"",""id"")"),"Baik (20-30)")</f>
        <v>Baik (20-30)</v>
      </c>
      <c r="F675" s="4" t="str">
        <f>IFERROR(__xludf.DUMMYFUNCTION("GOOGLETRANSLATE(B675,""en"",""ms"")"),"Baik (20-30)")</f>
        <v>Baik (20-30)</v>
      </c>
      <c r="G675" s="4" t="str">
        <f>IFERROR(__xludf.DUMMYFUNCTION("GOOGLETRANSLATE(B675,""en"",""de"")"),"Gut (20-30)")</f>
        <v>Gut (20-30)</v>
      </c>
      <c r="H675" s="4" t="str">
        <f>IFERROR(__xludf.DUMMYFUNCTION("GOOGLETRANSLATE(B675,""en"",""es"")"),"Bueno (20-30)")</f>
        <v>Bueno (20-30)</v>
      </c>
      <c r="I675" s="4" t="str">
        <f>IFERROR(__xludf.DUMMYFUNCTION("GOOGLETRANSLATE(B675,""en"",""fr"")"),"Bon (20-30)")</f>
        <v>Bon (20-30)</v>
      </c>
      <c r="J675" s="4" t="str">
        <f>IFERROR(__xludf.DUMMYFUNCTION("GOOGLETRANSLATE(B675,""en"",""it"")"),"Buono (20-30)")</f>
        <v>Buono (20-30)</v>
      </c>
      <c r="K675" s="4" t="str">
        <f>IFERROR(__xludf.DUMMYFUNCTION("GOOGLETRANSLATE(B675,""en"",""pt"")"),"Bom (20-30)")</f>
        <v>Bom (20-30)</v>
      </c>
      <c r="L675" s="4" t="str">
        <f>IFERROR(__xludf.DUMMYFUNCTION("GOOGLETRANSLATE(B675,""en"",""ro"")"),"Bun (20-30)")</f>
        <v>Bun (20-30)</v>
      </c>
      <c r="M675" s="4" t="str">
        <f>IFERROR(__xludf.DUMMYFUNCTION("GOOGLETRANSLATE(B675,""en"",""vi"")"),"Tốt (20-30)")</f>
        <v>Tốt (20-30)</v>
      </c>
      <c r="N675" s="4" t="str">
        <f>IFERROR(__xludf.DUMMYFUNCTION("GOOGLETRANSLATE(B675,""en"",""ru"")"),"Хорошо (20-30)")</f>
        <v>Хорошо (20-30)</v>
      </c>
      <c r="O675" s="4" t="str">
        <f>IFERROR(__xludf.DUMMYFUNCTION("GOOGLETRANSLATE(B675,""en"",""tr"")"),"İyi (20-30)")</f>
        <v>İyi (20-30)</v>
      </c>
      <c r="P675" s="4" t="str">
        <f>IFERROR(__xludf.DUMMYFUNCTION("GOOGLETRANSLATE(B675,""en"",""ar"")"),"جيد (20-30)")</f>
        <v>جيد (20-30)</v>
      </c>
      <c r="Q675" s="4" t="str">
        <f>IFERROR(__xludf.DUMMYFUNCTION("GOOGLETRANSLATE(B675,""en"",""mr"")"),"चांगले (२०-३०)")</f>
        <v>चांगले (२०-३०)</v>
      </c>
      <c r="R675" s="4" t="str">
        <f>IFERROR(__xludf.DUMMYFUNCTION("GOOGLETRANSLATE(B675,""en"",""gu"")"),"સારું (20-30)")</f>
        <v>સારું (20-30)</v>
      </c>
      <c r="S675" s="4" t="str">
        <f>IFERROR(__xludf.DUMMYFUNCTION("GOOGLETRANSLATE(B675,""en"",""bn"")"),"ভাল (20-30)")</f>
        <v>ভাল (20-30)</v>
      </c>
      <c r="T675" s="4" t="str">
        <f>IFERROR(__xludf.DUMMYFUNCTION("GOOGLETRANSLATE(B675,""en"",""pa"")"),"ਚੰਗਾ (20-30)")</f>
        <v>ਚੰਗਾ (20-30)</v>
      </c>
      <c r="U675" s="4" t="str">
        <f>IFERROR(__xludf.DUMMYFUNCTION("GOOGLETRANSLATE(B675,""en"",""te"")"),"బాగుంది (20-30)")</f>
        <v>బాగుంది (20-30)</v>
      </c>
      <c r="V675" s="4" t="str">
        <f>IFERROR(__xludf.DUMMYFUNCTION("GOOGLETRANSLATE(B675,""en"",""kn"")"),"ಒಳ್ಳೆಯದು (20-30)")</f>
        <v>ಒಳ್ಳೆಯದು (20-30)</v>
      </c>
      <c r="W675" s="4" t="str">
        <f>IFERROR(__xludf.DUMMYFUNCTION("GOOGLETRANSLATE(B675,""en"",""ml"")"),"നല്ലത് (20-30)")</f>
        <v>നല്ലത് (20-30)</v>
      </c>
      <c r="X675" s="4" t="str">
        <f>IFERROR(__xludf.DUMMYFUNCTION("GOOGLETRANSLATE(B675,""en"",""th"")"),"ดี (20-30)")</f>
        <v>ดี (20-30)</v>
      </c>
      <c r="Y675" s="4" t="str">
        <f>IFERROR(__xludf.DUMMYFUNCTION("GOOGLETRANSLATE(B675,""en"",""ko"")"),"좋음 (20-30)")</f>
        <v>좋음 (20-30)</v>
      </c>
      <c r="Z675" s="4" t="str">
        <f>IFERROR(__xludf.DUMMYFUNCTION("GOOGLETRANSLATE(B675,""en"",""zh"")"),"好（20-30）")</f>
        <v>好（20-30）</v>
      </c>
      <c r="AA675" s="4" t="str">
        <f>IFERROR(__xludf.DUMMYFUNCTION("GOOGLETRANSLATE(B675,""en"",""zh-TW"")"),"好（20-30）")</f>
        <v>好（20-30）</v>
      </c>
      <c r="AB675" s="4" t="str">
        <f>IFERROR(__xludf.DUMMYFUNCTION("GOOGLETRANSLATE(B675,""en"",""ja"")"),"良い（20～30）")</f>
        <v>良い（20～30）</v>
      </c>
      <c r="AC675" s="4" t="str">
        <f>IFERROR(__xludf.DUMMYFUNCTION("GOOGLETRANSLATE(B675,""en"",""bg"")"),"Добър (20-30)")</f>
        <v>Добър (20-30)</v>
      </c>
      <c r="AD675" s="4" t="str">
        <f>IFERROR(__xludf.DUMMYFUNCTION("GOOGLETRANSLATE(B675,""en"",""cs"")"),"Dobrý (20-30)")</f>
        <v>Dobrý (20-30)</v>
      </c>
      <c r="AE675" s="4" t="str">
        <f>IFERROR(__xludf.DUMMYFUNCTION("GOOGLETRANSLATE(B675,""en"",""da"")"),"Godt (20-30)")</f>
        <v>Godt (20-30)</v>
      </c>
      <c r="AF675" s="4" t="str">
        <f>IFERROR(__xludf.DUMMYFUNCTION("GOOGLETRANSLATE(B675,""en"",""el"")"),"Καλό (20-30)")</f>
        <v>Καλό (20-30)</v>
      </c>
      <c r="AG675" s="4" t="str">
        <f>IFERROR(__xludf.DUMMYFUNCTION("GOOGLETRANSLATE(B675,""en"",""et"")"),"Hea (20-30)")</f>
        <v>Hea (20-30)</v>
      </c>
      <c r="AH675" s="4" t="str">
        <f>IFERROR(__xludf.DUMMYFUNCTION("GOOGLETRANSLATE(B675,""en"",""fi"")"),"Hyvä (20-30)")</f>
        <v>Hyvä (20-30)</v>
      </c>
      <c r="AI675" s="4" t="str">
        <f>IFERROR(__xludf.DUMMYFUNCTION("GOOGLETRANSLATE(B675,""en"",""hr"")"),"Dobro (20-30)")</f>
        <v>Dobro (20-30)</v>
      </c>
      <c r="AJ675" s="4" t="str">
        <f>IFERROR(__xludf.DUMMYFUNCTION("GOOGLETRANSLATE(B675,""en"",""hu"")"),"Jó (20-30)")</f>
        <v>Jó (20-30)</v>
      </c>
      <c r="AK675" s="4" t="str">
        <f>IFERROR(__xludf.DUMMYFUNCTION("GOOGLETRANSLATE(B675,""en"",""hy"")"),"Լավ (20-30)")</f>
        <v>Լավ (20-30)</v>
      </c>
      <c r="AL675" s="4" t="str">
        <f>IFERROR(__xludf.DUMMYFUNCTION("GOOGLETRANSLATE(B675,""en"",""ca"")"),"Bé (20-30)")</f>
        <v>Bé (20-30)</v>
      </c>
      <c r="AM675" s="4" t="str">
        <f>IFERROR(__xludf.DUMMYFUNCTION("GOOGLETRANSLATE(B675,""en"",""nl"")"),"Goed (20-30)")</f>
        <v>Goed (20-30)</v>
      </c>
      <c r="AN675" s="4" t="str">
        <f>IFERROR(__xludf.DUMMYFUNCTION("GOOGLETRANSLATE(B675,""en"",""he"")"),"טוב (20-30)")</f>
        <v>טוב (20-30)</v>
      </c>
      <c r="AO675" s="4" t="str">
        <f>IFERROR(__xludf.DUMMYFUNCTION("GOOGLETRANSLATE(B675,""en"",""is"")"),"Gott (20-30)")</f>
        <v>Gott (20-30)</v>
      </c>
      <c r="AP675" s="4" t="str">
        <f>IFERROR(__xludf.DUMMYFUNCTION("GOOGLETRANSLATE(B675,""en"",""no"")"),"Bra (20-30)")</f>
        <v>Bra (20-30)</v>
      </c>
      <c r="AQ675" s="4" t="str">
        <f>IFERROR(__xludf.DUMMYFUNCTION("GOOGLETRANSLATE(B675,""en"",""fa"")"),"خوب (20-30)")</f>
        <v>خوب (20-30)</v>
      </c>
      <c r="AR675" s="4" t="str">
        <f>IFERROR(__xludf.DUMMYFUNCTION("GOOGLETRANSLATE(B675,""en"",""pl"")"),"Dobry (20-30)")</f>
        <v>Dobry (20-30)</v>
      </c>
      <c r="AS675" s="4" t="str">
        <f>IFERROR(__xludf.DUMMYFUNCTION("GOOGLETRANSLATE(B675,""en"",""sv"")"),"Bra (20-30)")</f>
        <v>Bra (20-30)</v>
      </c>
      <c r="AT675" s="4" t="str">
        <f>IFERROR(__xludf.DUMMYFUNCTION("GOOGLETRANSLATE(B675,""en"",""uk"")"),"Добре (20-30)")</f>
        <v>Добре (20-30)</v>
      </c>
      <c r="AU675" s="4" t="str">
        <f>IFERROR(__xludf.DUMMYFUNCTION("GOOGLETRANSLATE(B675,""en"",""zu"")"),"Kuhle (20-30)")</f>
        <v>Kuhle (20-30)</v>
      </c>
      <c r="AV675" s="4" t="str">
        <f>IFERROR(__xludf.DUMMYFUNCTION("GOOGLETRANSLATE(B675,""en"",""sr"")"),"Добро (20-30)")</f>
        <v>Добро (20-30)</v>
      </c>
    </row>
    <row r="676">
      <c r="A676" s="3" t="s">
        <v>1284</v>
      </c>
      <c r="B676" s="3" t="s">
        <v>1285</v>
      </c>
      <c r="C676" s="4" t="str">
        <f>IFERROR(__xludf.DUMMYFUNCTION("GOOGLETRANSLATE(B676,""en"",""ta"")"),"சிறப்பானது (&gt;30)")</f>
        <v>சிறப்பானது (&gt;30)</v>
      </c>
      <c r="D676" s="4" t="str">
        <f>IFERROR(__xludf.DUMMYFUNCTION("GOOGLETRANSLATE(B676,""en"",""hi"")"),"उत्कृष्ट (&gt;30)")</f>
        <v>उत्कृष्ट (&gt;30)</v>
      </c>
      <c r="E676" s="4" t="str">
        <f>IFERROR(__xludf.DUMMYFUNCTION("GOOGLETRANSLATE(B676,""en"",""id"")"),"Sangat baik (&gt;30)")</f>
        <v>Sangat baik (&gt;30)</v>
      </c>
      <c r="F676" s="4" t="str">
        <f>IFERROR(__xludf.DUMMYFUNCTION("GOOGLETRANSLATE(B676,""en"",""ms"")"),"Cemerlang (&gt;30)")</f>
        <v>Cemerlang (&gt;30)</v>
      </c>
      <c r="G676" s="4" t="str">
        <f>IFERROR(__xludf.DUMMYFUNCTION("GOOGLETRANSLATE(B676,""en"",""de"")"),"Ausgezeichnet (&gt;30)")</f>
        <v>Ausgezeichnet (&gt;30)</v>
      </c>
      <c r="H676" s="4" t="str">
        <f>IFERROR(__xludf.DUMMYFUNCTION("GOOGLETRANSLATE(B676,""en"",""es"")"),"Excelente (&gt;30)")</f>
        <v>Excelente (&gt;30)</v>
      </c>
      <c r="I676" s="4" t="str">
        <f>IFERROR(__xludf.DUMMYFUNCTION("GOOGLETRANSLATE(B676,""en"",""fr"")"),"Excellent (&gt;30)")</f>
        <v>Excellent (&gt;30)</v>
      </c>
      <c r="J676" s="4" t="str">
        <f>IFERROR(__xludf.DUMMYFUNCTION("GOOGLETRANSLATE(B676,""en"",""it"")"),"Eccellente (&gt;30)")</f>
        <v>Eccellente (&gt;30)</v>
      </c>
      <c r="K676" s="4" t="str">
        <f>IFERROR(__xludf.DUMMYFUNCTION("GOOGLETRANSLATE(B676,""en"",""pt"")"),"Excelente (&gt;30)")</f>
        <v>Excelente (&gt;30)</v>
      </c>
      <c r="L676" s="4" t="str">
        <f>IFERROR(__xludf.DUMMYFUNCTION("GOOGLETRANSLATE(B676,""en"",""ro"")"),"Excelent (&gt;30)")</f>
        <v>Excelent (&gt;30)</v>
      </c>
      <c r="M676" s="4" t="str">
        <f>IFERROR(__xludf.DUMMYFUNCTION("GOOGLETRANSLATE(B676,""en"",""vi"")"),"Xuất sắc (&gt;30)")</f>
        <v>Xuất sắc (&gt;30)</v>
      </c>
      <c r="N676" s="4" t="str">
        <f>IFERROR(__xludf.DUMMYFUNCTION("GOOGLETRANSLATE(B676,""en"",""ru"")"),"Отлично (&gt;30)")</f>
        <v>Отлично (&gt;30)</v>
      </c>
      <c r="O676" s="4" t="str">
        <f>IFERROR(__xludf.DUMMYFUNCTION("GOOGLETRANSLATE(B676,""en"",""tr"")"),"Mükemmel (&gt;30)")</f>
        <v>Mükemmel (&gt;30)</v>
      </c>
      <c r="P676" s="4" t="str">
        <f>IFERROR(__xludf.DUMMYFUNCTION("GOOGLETRANSLATE(B676,""en"",""ar"")"),"ممتاز (&gt;30)")</f>
        <v>ممتاز (&gt;30)</v>
      </c>
      <c r="Q676" s="4" t="str">
        <f>IFERROR(__xludf.DUMMYFUNCTION("GOOGLETRANSLATE(B676,""en"",""mr"")"),"उत्कृष्ट (&gt;३०)")</f>
        <v>उत्कृष्ट (&gt;३०)</v>
      </c>
      <c r="R676" s="4" t="str">
        <f>IFERROR(__xludf.DUMMYFUNCTION("GOOGLETRANSLATE(B676,""en"",""gu"")"),"ઉત્તમ (&gt;30)")</f>
        <v>ઉત્તમ (&gt;30)</v>
      </c>
      <c r="S676" s="4" t="str">
        <f>IFERROR(__xludf.DUMMYFUNCTION("GOOGLETRANSLATE(B676,""en"",""bn"")"),"চমৎকার (&gt;30)")</f>
        <v>চমৎকার (&gt;30)</v>
      </c>
      <c r="T676" s="4" t="str">
        <f>IFERROR(__xludf.DUMMYFUNCTION("GOOGLETRANSLATE(B676,""en"",""pa"")"),"ਸ਼ਾਨਦਾਰ (&gt;30)")</f>
        <v>ਸ਼ਾਨਦਾਰ (&gt;30)</v>
      </c>
      <c r="U676" s="4" t="str">
        <f>IFERROR(__xludf.DUMMYFUNCTION("GOOGLETRANSLATE(B676,""en"",""te"")"),"అద్భుతమైన (&gt;30)")</f>
        <v>అద్భుతమైన (&gt;30)</v>
      </c>
      <c r="V676" s="4" t="str">
        <f>IFERROR(__xludf.DUMMYFUNCTION("GOOGLETRANSLATE(B676,""en"",""kn"")"),"ಅತ್ಯುತ್ತಮ (&gt;30)")</f>
        <v>ಅತ್ಯುತ್ತಮ (&gt;30)</v>
      </c>
      <c r="W676" s="4" t="str">
        <f>IFERROR(__xludf.DUMMYFUNCTION("GOOGLETRANSLATE(B676,""en"",""ml"")"),"മികച്ചത് (&gt;30)")</f>
        <v>മികച്ചത് (&gt;30)</v>
      </c>
      <c r="X676" s="4" t="str">
        <f>IFERROR(__xludf.DUMMYFUNCTION("GOOGLETRANSLATE(B676,""en"",""th"")"),"ดีเยี่ยม (&gt;30)")</f>
        <v>ดีเยี่ยม (&gt;30)</v>
      </c>
      <c r="Y676" s="4" t="str">
        <f>IFERROR(__xludf.DUMMYFUNCTION("GOOGLETRANSLATE(B676,""en"",""ko"")"),"매우 좋음 (&gt;30)")</f>
        <v>매우 좋음 (&gt;30)</v>
      </c>
      <c r="Z676" s="4" t="str">
        <f>IFERROR(__xludf.DUMMYFUNCTION("GOOGLETRANSLATE(B676,""en"",""zh"")"),"优秀（&gt;30）")</f>
        <v>优秀（&gt;30）</v>
      </c>
      <c r="AA676" s="4" t="str">
        <f>IFERROR(__xludf.DUMMYFUNCTION("GOOGLETRANSLATE(B676,""en"",""zh-TW"")"),"優秀（&gt;30）")</f>
        <v>優秀（&gt;30）</v>
      </c>
      <c r="AB676" s="4" t="str">
        <f>IFERROR(__xludf.DUMMYFUNCTION("GOOGLETRANSLATE(B676,""en"",""ja"")"),"優秀（&gt;30）")</f>
        <v>優秀（&gt;30）</v>
      </c>
      <c r="AC676" s="4" t="str">
        <f>IFERROR(__xludf.DUMMYFUNCTION("GOOGLETRANSLATE(B676,""en"",""bg"")"),"Отличен (&gt;30)")</f>
        <v>Отличен (&gt;30)</v>
      </c>
      <c r="AD676" s="4" t="str">
        <f>IFERROR(__xludf.DUMMYFUNCTION("GOOGLETRANSLATE(B676,""en"",""cs"")"),"Vynikající (&gt;30)")</f>
        <v>Vynikající (&gt;30)</v>
      </c>
      <c r="AE676" s="4" t="str">
        <f>IFERROR(__xludf.DUMMYFUNCTION("GOOGLETRANSLATE(B676,""en"",""da"")"),"Fremragende (&gt;30)")</f>
        <v>Fremragende (&gt;30)</v>
      </c>
      <c r="AF676" s="4" t="str">
        <f>IFERROR(__xludf.DUMMYFUNCTION("GOOGLETRANSLATE(B676,""en"",""el"")"),"Εξαιρετικό (&gt;30)")</f>
        <v>Εξαιρετικό (&gt;30)</v>
      </c>
      <c r="AG676" s="4" t="str">
        <f>IFERROR(__xludf.DUMMYFUNCTION("GOOGLETRANSLATE(B676,""en"",""et"")"),"Suurepärane (&gt;30)")</f>
        <v>Suurepärane (&gt;30)</v>
      </c>
      <c r="AH676" s="4" t="str">
        <f>IFERROR(__xludf.DUMMYFUNCTION("GOOGLETRANSLATE(B676,""en"",""fi"")"),"Erinomainen (&gt;30)")</f>
        <v>Erinomainen (&gt;30)</v>
      </c>
      <c r="AI676" s="4" t="str">
        <f>IFERROR(__xludf.DUMMYFUNCTION("GOOGLETRANSLATE(B676,""en"",""hr"")"),"Izvrsno (&gt;30)")</f>
        <v>Izvrsno (&gt;30)</v>
      </c>
      <c r="AJ676" s="4" t="str">
        <f>IFERROR(__xludf.DUMMYFUNCTION("GOOGLETRANSLATE(B676,""en"",""hu"")"),"Kiváló (&gt;30)")</f>
        <v>Kiváló (&gt;30)</v>
      </c>
      <c r="AK676" s="4" t="str">
        <f>IFERROR(__xludf.DUMMYFUNCTION("GOOGLETRANSLATE(B676,""en"",""hy"")"),"Գերազանց (&gt; 30)")</f>
        <v>Գերազանց (&gt; 30)</v>
      </c>
      <c r="AL676" s="4" t="str">
        <f>IFERROR(__xludf.DUMMYFUNCTION("GOOGLETRANSLATE(B676,""en"",""ca"")"),"Excel·lent (&gt;30)")</f>
        <v>Excel·lent (&gt;30)</v>
      </c>
      <c r="AM676" s="4" t="str">
        <f>IFERROR(__xludf.DUMMYFUNCTION("GOOGLETRANSLATE(B676,""en"",""nl"")"),"Uitstekend (&gt;30)")</f>
        <v>Uitstekend (&gt;30)</v>
      </c>
      <c r="AN676" s="4" t="str">
        <f>IFERROR(__xludf.DUMMYFUNCTION("GOOGLETRANSLATE(B676,""en"",""he"")"),"מצוין (&gt;30)")</f>
        <v>מצוין (&gt;30)</v>
      </c>
      <c r="AO676" s="4" t="str">
        <f>IFERROR(__xludf.DUMMYFUNCTION("GOOGLETRANSLATE(B676,""en"",""is"")"),"Frábært (&gt;30)")</f>
        <v>Frábært (&gt;30)</v>
      </c>
      <c r="AP676" s="4" t="str">
        <f>IFERROR(__xludf.DUMMYFUNCTION("GOOGLETRANSLATE(B676,""en"",""no"")"),"Utmerket (&gt;30)")</f>
        <v>Utmerket (&gt;30)</v>
      </c>
      <c r="AQ676" s="4" t="str">
        <f>IFERROR(__xludf.DUMMYFUNCTION("GOOGLETRANSLATE(B676,""en"",""fa"")"),"عالی (بیش از 30)")</f>
        <v>عالی (بیش از 30)</v>
      </c>
      <c r="AR676" s="4" t="str">
        <f>IFERROR(__xludf.DUMMYFUNCTION("GOOGLETRANSLATE(B676,""en"",""pl"")"),"Doskonały (&gt;30)")</f>
        <v>Doskonały (&gt;30)</v>
      </c>
      <c r="AS676" s="4" t="str">
        <f>IFERROR(__xludf.DUMMYFUNCTION("GOOGLETRANSLATE(B676,""en"",""sv"")"),"Utmärkt (&gt;30)")</f>
        <v>Utmärkt (&gt;30)</v>
      </c>
      <c r="AT676" s="4" t="str">
        <f>IFERROR(__xludf.DUMMYFUNCTION("GOOGLETRANSLATE(B676,""en"",""uk"")"),"Відмінно (&gt;30)")</f>
        <v>Відмінно (&gt;30)</v>
      </c>
      <c r="AU676" s="4" t="str">
        <f>IFERROR(__xludf.DUMMYFUNCTION("GOOGLETRANSLATE(B676,""en"",""zu"")"),"Kuhle kakhulu (&gt;30)")</f>
        <v>Kuhle kakhulu (&gt;30)</v>
      </c>
      <c r="AV676" s="4" t="str">
        <f>IFERROR(__xludf.DUMMYFUNCTION("GOOGLETRANSLATE(B676,""en"",""sr"")"),"Одлично (&gt;30)")</f>
        <v>Одлично (&gt;30)</v>
      </c>
    </row>
    <row r="677">
      <c r="A677" s="3" t="s">
        <v>1286</v>
      </c>
      <c r="B677" s="3" t="s">
        <v>1287</v>
      </c>
      <c r="C677" s="4" t="str">
        <f>IFERROR(__xludf.DUMMYFUNCTION("GOOGLETRANSLATE(B677,""en"",""ta"")"),"ஏற்றுகிறது...")</f>
        <v>ஏற்றுகிறது...</v>
      </c>
      <c r="D677" s="4" t="str">
        <f>IFERROR(__xludf.DUMMYFUNCTION("GOOGLETRANSLATE(B677,""en"",""hi"")"),"लोड हो रहा है...")</f>
        <v>लोड हो रहा है...</v>
      </c>
      <c r="E677" s="4" t="str">
        <f>IFERROR(__xludf.DUMMYFUNCTION("GOOGLETRANSLATE(B677,""en"",""id"")"),"Memuat...")</f>
        <v>Memuat...</v>
      </c>
      <c r="F677" s="4" t="str">
        <f>IFERROR(__xludf.DUMMYFUNCTION("GOOGLETRANSLATE(B677,""en"",""ms"")"),"Memuatkan...")</f>
        <v>Memuatkan...</v>
      </c>
      <c r="G677" s="4" t="str">
        <f>IFERROR(__xludf.DUMMYFUNCTION("GOOGLETRANSLATE(B677,""en"",""de"")"),"Laden...")</f>
        <v>Laden...</v>
      </c>
      <c r="H677" s="4" t="str">
        <f>IFERROR(__xludf.DUMMYFUNCTION("GOOGLETRANSLATE(B677,""en"",""es"")"),"Cargando...")</f>
        <v>Cargando...</v>
      </c>
      <c r="I677" s="4" t="str">
        <f>IFERROR(__xludf.DUMMYFUNCTION("GOOGLETRANSLATE(B677,""en"",""fr"")"),"Chargement...")</f>
        <v>Chargement...</v>
      </c>
      <c r="J677" s="4" t="str">
        <f>IFERROR(__xludf.DUMMYFUNCTION("GOOGLETRANSLATE(B677,""en"",""it"")"),"Caricamento...")</f>
        <v>Caricamento...</v>
      </c>
      <c r="K677" s="4" t="str">
        <f>IFERROR(__xludf.DUMMYFUNCTION("GOOGLETRANSLATE(B677,""en"",""pt"")"),"Carregando...")</f>
        <v>Carregando...</v>
      </c>
      <c r="L677" s="4" t="str">
        <f>IFERROR(__xludf.DUMMYFUNCTION("GOOGLETRANSLATE(B677,""en"",""ro"")"),"Încărcare...")</f>
        <v>Încărcare...</v>
      </c>
      <c r="M677" s="4" t="str">
        <f>IFERROR(__xludf.DUMMYFUNCTION("GOOGLETRANSLATE(B677,""en"",""vi"")"),"Đang tải...")</f>
        <v>Đang tải...</v>
      </c>
      <c r="N677" s="4" t="str">
        <f>IFERROR(__xludf.DUMMYFUNCTION("GOOGLETRANSLATE(B677,""en"",""ru"")"),"Загрузка...")</f>
        <v>Загрузка...</v>
      </c>
      <c r="O677" s="4" t="str">
        <f>IFERROR(__xludf.DUMMYFUNCTION("GOOGLETRANSLATE(B677,""en"",""tr"")"),"Yükleniyor...")</f>
        <v>Yükleniyor...</v>
      </c>
      <c r="P677" s="4" t="str">
        <f>IFERROR(__xludf.DUMMYFUNCTION("GOOGLETRANSLATE(B677,""en"",""ar"")"),"تحميل...")</f>
        <v>تحميل...</v>
      </c>
      <c r="Q677" s="4" t="str">
        <f>IFERROR(__xludf.DUMMYFUNCTION("GOOGLETRANSLATE(B677,""en"",""mr"")"),"लोड करत आहे...")</f>
        <v>लोड करत आहे...</v>
      </c>
      <c r="R677" s="4" t="str">
        <f>IFERROR(__xludf.DUMMYFUNCTION("GOOGLETRANSLATE(B677,""en"",""gu"")"),"લોડ કરી રહ્યું છે...")</f>
        <v>લોડ કરી રહ્યું છે...</v>
      </c>
      <c r="S677" s="4" t="str">
        <f>IFERROR(__xludf.DUMMYFUNCTION("GOOGLETRANSLATE(B677,""en"",""bn"")"),"লোড হচ্ছে...")</f>
        <v>লোড হচ্ছে...</v>
      </c>
      <c r="T677" s="4" t="str">
        <f>IFERROR(__xludf.DUMMYFUNCTION("GOOGLETRANSLATE(B677,""en"",""pa"")"),"ਲੋਡ ਹੋ ਰਿਹਾ ਹੈ...")</f>
        <v>ਲੋਡ ਹੋ ਰਿਹਾ ਹੈ...</v>
      </c>
      <c r="U677" s="4" t="str">
        <f>IFERROR(__xludf.DUMMYFUNCTION("GOOGLETRANSLATE(B677,""en"",""te"")"),"లోడ్ అవుతోంది...")</f>
        <v>లోడ్ అవుతోంది...</v>
      </c>
      <c r="V677" s="4" t="str">
        <f>IFERROR(__xludf.DUMMYFUNCTION("GOOGLETRANSLATE(B677,""en"",""kn"")"),"ಲೋಡ್ ಆಗುತ್ತಿದೆ...")</f>
        <v>ಲೋಡ್ ಆಗುತ್ತಿದೆ...</v>
      </c>
      <c r="W677" s="4" t="str">
        <f>IFERROR(__xludf.DUMMYFUNCTION("GOOGLETRANSLATE(B677,""en"",""ml"")"),"ലോഡ് ചെയ്യുന്നു...")</f>
        <v>ലോഡ് ചെയ്യുന്നു...</v>
      </c>
      <c r="X677" s="4" t="str">
        <f>IFERROR(__xludf.DUMMYFUNCTION("GOOGLETRANSLATE(B677,""en"",""th"")"),"กำลังโหลด...")</f>
        <v>กำลังโหลด...</v>
      </c>
      <c r="Y677" s="4" t="str">
        <f>IFERROR(__xludf.DUMMYFUNCTION("GOOGLETRANSLATE(B677,""en"",""ko"")"),"로딩중...")</f>
        <v>로딩중...</v>
      </c>
      <c r="Z677" s="4" t="str">
        <f>IFERROR(__xludf.DUMMYFUNCTION("GOOGLETRANSLATE(B677,""en"",""zh"")"),"加载中...")</f>
        <v>加载中...</v>
      </c>
      <c r="AA677" s="4" t="str">
        <f>IFERROR(__xludf.DUMMYFUNCTION("GOOGLETRANSLATE(B677,""en"",""zh-TW"")"),"載入中...")</f>
        <v>載入中...</v>
      </c>
      <c r="AB677" s="4" t="str">
        <f>IFERROR(__xludf.DUMMYFUNCTION("GOOGLETRANSLATE(B677,""en"",""ja"")"),"読み込み中...")</f>
        <v>読み込み中...</v>
      </c>
      <c r="AC677" s="4" t="str">
        <f>IFERROR(__xludf.DUMMYFUNCTION("GOOGLETRANSLATE(B677,""en"",""bg"")"),"Зареждане...")</f>
        <v>Зареждане...</v>
      </c>
      <c r="AD677" s="4" t="str">
        <f>IFERROR(__xludf.DUMMYFUNCTION("GOOGLETRANSLATE(B677,""en"",""cs"")"),"Načítání...")</f>
        <v>Načítání...</v>
      </c>
      <c r="AE677" s="4" t="str">
        <f>IFERROR(__xludf.DUMMYFUNCTION("GOOGLETRANSLATE(B677,""en"",""da"")"),"Indlæser...")</f>
        <v>Indlæser...</v>
      </c>
      <c r="AF677" s="4" t="str">
        <f>IFERROR(__xludf.DUMMYFUNCTION("GOOGLETRANSLATE(B677,""en"",""el"")"),"Φόρτωση...")</f>
        <v>Φόρτωση...</v>
      </c>
      <c r="AG677" s="4" t="str">
        <f>IFERROR(__xludf.DUMMYFUNCTION("GOOGLETRANSLATE(B677,""en"",""et"")"),"Laadimine...")</f>
        <v>Laadimine...</v>
      </c>
      <c r="AH677" s="4" t="str">
        <f>IFERROR(__xludf.DUMMYFUNCTION("GOOGLETRANSLATE(B677,""en"",""fi"")"),"Ladataan...")</f>
        <v>Ladataan...</v>
      </c>
      <c r="AI677" s="4" t="str">
        <f>IFERROR(__xludf.DUMMYFUNCTION("GOOGLETRANSLATE(B677,""en"",""hr"")"),"Učitavanje...")</f>
        <v>Učitavanje...</v>
      </c>
      <c r="AJ677" s="4" t="str">
        <f>IFERROR(__xludf.DUMMYFUNCTION("GOOGLETRANSLATE(B677,""en"",""hu"")"),"Terhelés...")</f>
        <v>Terhelés...</v>
      </c>
      <c r="AK677" s="4" t="str">
        <f>IFERROR(__xludf.DUMMYFUNCTION("GOOGLETRANSLATE(B677,""en"",""hy"")"),"Բեռնվում է...")</f>
        <v>Բեռնվում է...</v>
      </c>
      <c r="AL677" s="4" t="str">
        <f>IFERROR(__xludf.DUMMYFUNCTION("GOOGLETRANSLATE(B677,""en"",""ca"")"),"Carregant...")</f>
        <v>Carregant...</v>
      </c>
      <c r="AM677" s="4" t="str">
        <f>IFERROR(__xludf.DUMMYFUNCTION("GOOGLETRANSLATE(B677,""en"",""nl"")"),"Bezig met laden...")</f>
        <v>Bezig met laden...</v>
      </c>
      <c r="AN677" s="4" t="str">
        <f>IFERROR(__xludf.DUMMYFUNCTION("GOOGLETRANSLATE(B677,""en"",""he"")"),"טְעִינָה...")</f>
        <v>טְעִינָה...</v>
      </c>
      <c r="AO677" s="4" t="str">
        <f>IFERROR(__xludf.DUMMYFUNCTION("GOOGLETRANSLATE(B677,""en"",""is"")"),"Hleður...")</f>
        <v>Hleður...</v>
      </c>
      <c r="AP677" s="4" t="str">
        <f>IFERROR(__xludf.DUMMYFUNCTION("GOOGLETRANSLATE(B677,""en"",""no"")"),"Laster inn...")</f>
        <v>Laster inn...</v>
      </c>
      <c r="AQ677" s="4" t="str">
        <f>IFERROR(__xludf.DUMMYFUNCTION("GOOGLETRANSLATE(B677,""en"",""fa"")"),"در حال بارگیری...")</f>
        <v>در حال بارگیری...</v>
      </c>
      <c r="AR677" s="4" t="str">
        <f>IFERROR(__xludf.DUMMYFUNCTION("GOOGLETRANSLATE(B677,""en"",""pl"")"),"Załadunek...")</f>
        <v>Załadunek...</v>
      </c>
      <c r="AS677" s="4" t="str">
        <f>IFERROR(__xludf.DUMMYFUNCTION("GOOGLETRANSLATE(B677,""en"",""sv"")"),"Belastning...")</f>
        <v>Belastning...</v>
      </c>
      <c r="AT677" s="4" t="str">
        <f>IFERROR(__xludf.DUMMYFUNCTION("GOOGLETRANSLATE(B677,""en"",""uk"")"),"Завантаження...")</f>
        <v>Завантаження...</v>
      </c>
      <c r="AU677" s="4" t="str">
        <f>IFERROR(__xludf.DUMMYFUNCTION("GOOGLETRANSLATE(B677,""en"",""zu"")"),"Iyalayisha...")</f>
        <v>Iyalayisha...</v>
      </c>
      <c r="AV677" s="4" t="str">
        <f>IFERROR(__xludf.DUMMYFUNCTION("GOOGLETRANSLATE(B677,""en"",""sr"")"),"Учитавање...")</f>
        <v>Учитавање...</v>
      </c>
    </row>
    <row r="678">
      <c r="A678" s="3" t="s">
        <v>1288</v>
      </c>
      <c r="B678" s="3" t="s">
        <v>879</v>
      </c>
      <c r="C678" s="4" t="str">
        <f>IFERROR(__xludf.DUMMYFUNCTION("GOOGLETRANSLATE(B678,""en"",""ta"")"),"துல்லியம்")</f>
        <v>துல்லியம்</v>
      </c>
      <c r="D678" s="4" t="str">
        <f>IFERROR(__xludf.DUMMYFUNCTION("GOOGLETRANSLATE(B678,""en"",""hi"")"),"शुद्धता")</f>
        <v>शुद्धता</v>
      </c>
      <c r="E678" s="4" t="str">
        <f>IFERROR(__xludf.DUMMYFUNCTION("GOOGLETRANSLATE(B678,""en"",""id"")"),"Ketepatan")</f>
        <v>Ketepatan</v>
      </c>
      <c r="F678" s="4" t="str">
        <f>IFERROR(__xludf.DUMMYFUNCTION("GOOGLETRANSLATE(B678,""en"",""ms"")"),"Ketepatan")</f>
        <v>Ketepatan</v>
      </c>
      <c r="G678" s="4" t="str">
        <f>IFERROR(__xludf.DUMMYFUNCTION("GOOGLETRANSLATE(B678,""en"",""de"")"),"Genauigkeit")</f>
        <v>Genauigkeit</v>
      </c>
      <c r="H678" s="4" t="str">
        <f>IFERROR(__xludf.DUMMYFUNCTION("GOOGLETRANSLATE(B678,""en"",""es"")"),"Exactitud")</f>
        <v>Exactitud</v>
      </c>
      <c r="I678" s="4" t="str">
        <f>IFERROR(__xludf.DUMMYFUNCTION("GOOGLETRANSLATE(B678,""en"",""fr"")"),"Précision")</f>
        <v>Précision</v>
      </c>
      <c r="J678" s="4" t="str">
        <f>IFERROR(__xludf.DUMMYFUNCTION("GOOGLETRANSLATE(B678,""en"",""it"")"),"Precisione")</f>
        <v>Precisione</v>
      </c>
      <c r="K678" s="4" t="str">
        <f>IFERROR(__xludf.DUMMYFUNCTION("GOOGLETRANSLATE(B678,""en"",""pt"")"),"Precisão")</f>
        <v>Precisão</v>
      </c>
      <c r="L678" s="4" t="str">
        <f>IFERROR(__xludf.DUMMYFUNCTION("GOOGLETRANSLATE(B678,""en"",""ro"")"),"Precizie")</f>
        <v>Precizie</v>
      </c>
      <c r="M678" s="4" t="str">
        <f>IFERROR(__xludf.DUMMYFUNCTION("GOOGLETRANSLATE(B678,""en"",""vi"")"),"Sự chính xác")</f>
        <v>Sự chính xác</v>
      </c>
      <c r="N678" s="4" t="str">
        <f>IFERROR(__xludf.DUMMYFUNCTION("GOOGLETRANSLATE(B678,""en"",""ru"")"),"Точность")</f>
        <v>Точность</v>
      </c>
      <c r="O678" s="4" t="str">
        <f>IFERROR(__xludf.DUMMYFUNCTION("GOOGLETRANSLATE(B678,""en"",""tr"")"),"Kesinlik")</f>
        <v>Kesinlik</v>
      </c>
      <c r="P678" s="4" t="str">
        <f>IFERROR(__xludf.DUMMYFUNCTION("GOOGLETRANSLATE(B678,""en"",""ar"")"),"دقة")</f>
        <v>دقة</v>
      </c>
      <c r="Q678" s="4" t="str">
        <f>IFERROR(__xludf.DUMMYFUNCTION("GOOGLETRANSLATE(B678,""en"",""mr"")"),"अचूकता")</f>
        <v>अचूकता</v>
      </c>
      <c r="R678" s="4" t="str">
        <f>IFERROR(__xludf.DUMMYFUNCTION("GOOGLETRANSLATE(B678,""en"",""gu"")"),"ચોકસાઈ")</f>
        <v>ચોકસાઈ</v>
      </c>
      <c r="S678" s="4" t="str">
        <f>IFERROR(__xludf.DUMMYFUNCTION("GOOGLETRANSLATE(B678,""en"",""bn"")"),"নির্ভুলতা")</f>
        <v>নির্ভুলতা</v>
      </c>
      <c r="T678" s="4" t="str">
        <f>IFERROR(__xludf.DUMMYFUNCTION("GOOGLETRANSLATE(B678,""en"",""pa"")"),"ਸ਼ੁੱਧਤਾ")</f>
        <v>ਸ਼ੁੱਧਤਾ</v>
      </c>
      <c r="U678" s="4" t="str">
        <f>IFERROR(__xludf.DUMMYFUNCTION("GOOGLETRANSLATE(B678,""en"",""te"")"),"ఖచ్చితత్వం")</f>
        <v>ఖచ్చితత్వం</v>
      </c>
      <c r="V678" s="4" t="str">
        <f>IFERROR(__xludf.DUMMYFUNCTION("GOOGLETRANSLATE(B678,""en"",""kn"")"),"ನಿಖರತೆ")</f>
        <v>ನಿಖರತೆ</v>
      </c>
      <c r="W678" s="4" t="str">
        <f>IFERROR(__xludf.DUMMYFUNCTION("GOOGLETRANSLATE(B678,""en"",""ml"")"),"കൃത്യത")</f>
        <v>കൃത്യത</v>
      </c>
      <c r="X678" s="4" t="str">
        <f>IFERROR(__xludf.DUMMYFUNCTION("GOOGLETRANSLATE(B678,""en"",""th"")"),"ความแม่นยำ")</f>
        <v>ความแม่นยำ</v>
      </c>
      <c r="Y678" s="4" t="str">
        <f>IFERROR(__xludf.DUMMYFUNCTION("GOOGLETRANSLATE(B678,""en"",""ko"")"),"정확성")</f>
        <v>정확성</v>
      </c>
      <c r="Z678" s="4" t="str">
        <f>IFERROR(__xludf.DUMMYFUNCTION("GOOGLETRANSLATE(B678,""en"",""zh"")"),"准确性")</f>
        <v>准确性</v>
      </c>
      <c r="AA678" s="4" t="str">
        <f>IFERROR(__xludf.DUMMYFUNCTION("GOOGLETRANSLATE(B678,""en"",""zh-TW"")"),"準確性")</f>
        <v>準確性</v>
      </c>
      <c r="AB678" s="4" t="str">
        <f>IFERROR(__xludf.DUMMYFUNCTION("GOOGLETRANSLATE(B678,""en"",""ja"")"),"正確さ")</f>
        <v>正確さ</v>
      </c>
      <c r="AC678" s="4" t="str">
        <f>IFERROR(__xludf.DUMMYFUNCTION("GOOGLETRANSLATE(B678,""en"",""bg"")"),"точност")</f>
        <v>точност</v>
      </c>
      <c r="AD678" s="4" t="str">
        <f>IFERROR(__xludf.DUMMYFUNCTION("GOOGLETRANSLATE(B678,""en"",""cs"")"),"Přesnost")</f>
        <v>Přesnost</v>
      </c>
      <c r="AE678" s="4" t="str">
        <f>IFERROR(__xludf.DUMMYFUNCTION("GOOGLETRANSLATE(B678,""en"",""da"")"),"Nøjagtighed")</f>
        <v>Nøjagtighed</v>
      </c>
      <c r="AF678" s="4" t="str">
        <f>IFERROR(__xludf.DUMMYFUNCTION("GOOGLETRANSLATE(B678,""en"",""el"")"),"Ακρίβεια")</f>
        <v>Ακρίβεια</v>
      </c>
      <c r="AG678" s="4" t="str">
        <f>IFERROR(__xludf.DUMMYFUNCTION("GOOGLETRANSLATE(B678,""en"",""et"")"),"Täpsus")</f>
        <v>Täpsus</v>
      </c>
      <c r="AH678" s="4" t="str">
        <f>IFERROR(__xludf.DUMMYFUNCTION("GOOGLETRANSLATE(B678,""en"",""fi"")"),"Tarkkuus")</f>
        <v>Tarkkuus</v>
      </c>
      <c r="AI678" s="4" t="str">
        <f>IFERROR(__xludf.DUMMYFUNCTION("GOOGLETRANSLATE(B678,""en"",""hr"")"),"Točnost")</f>
        <v>Točnost</v>
      </c>
      <c r="AJ678" s="4" t="str">
        <f>IFERROR(__xludf.DUMMYFUNCTION("GOOGLETRANSLATE(B678,""en"",""hu"")"),"Pontosság")</f>
        <v>Pontosság</v>
      </c>
      <c r="AK678" s="4" t="str">
        <f>IFERROR(__xludf.DUMMYFUNCTION("GOOGLETRANSLATE(B678,""en"",""hy"")"),"Ճշգրտություն")</f>
        <v>Ճշգրտություն</v>
      </c>
      <c r="AL678" s="4" t="str">
        <f>IFERROR(__xludf.DUMMYFUNCTION("GOOGLETRANSLATE(B678,""en"",""ca"")"),"Precisió")</f>
        <v>Precisió</v>
      </c>
      <c r="AM678" s="4" t="str">
        <f>IFERROR(__xludf.DUMMYFUNCTION("GOOGLETRANSLATE(B678,""en"",""nl"")"),"Nauwkeurigheid")</f>
        <v>Nauwkeurigheid</v>
      </c>
      <c r="AN678" s="4" t="str">
        <f>IFERROR(__xludf.DUMMYFUNCTION("GOOGLETRANSLATE(B678,""en"",""he"")"),"דִיוּק")</f>
        <v>דִיוּק</v>
      </c>
      <c r="AO678" s="4" t="str">
        <f>IFERROR(__xludf.DUMMYFUNCTION("GOOGLETRANSLATE(B678,""en"",""is"")"),"Nákvæmni")</f>
        <v>Nákvæmni</v>
      </c>
      <c r="AP678" s="4" t="str">
        <f>IFERROR(__xludf.DUMMYFUNCTION("GOOGLETRANSLATE(B678,""en"",""no"")"),"Nøyaktighet")</f>
        <v>Nøyaktighet</v>
      </c>
      <c r="AQ678" s="4" t="str">
        <f>IFERROR(__xludf.DUMMYFUNCTION("GOOGLETRANSLATE(B678,""en"",""fa"")"),"دقت")</f>
        <v>دقت</v>
      </c>
      <c r="AR678" s="4" t="str">
        <f>IFERROR(__xludf.DUMMYFUNCTION("GOOGLETRANSLATE(B678,""en"",""pl"")"),"Dokładność")</f>
        <v>Dokładność</v>
      </c>
      <c r="AS678" s="4" t="str">
        <f>IFERROR(__xludf.DUMMYFUNCTION("GOOGLETRANSLATE(B678,""en"",""sv"")"),"Noggrannhet")</f>
        <v>Noggrannhet</v>
      </c>
      <c r="AT678" s="4" t="str">
        <f>IFERROR(__xludf.DUMMYFUNCTION("GOOGLETRANSLATE(B678,""en"",""uk"")"),"Точність")</f>
        <v>Точність</v>
      </c>
      <c r="AU678" s="4" t="str">
        <f>IFERROR(__xludf.DUMMYFUNCTION("GOOGLETRANSLATE(B678,""en"",""zu"")"),"Ukunemba")</f>
        <v>Ukunemba</v>
      </c>
      <c r="AV678" s="4" t="str">
        <f>IFERROR(__xludf.DUMMYFUNCTION("GOOGLETRANSLATE(B678,""en"",""sr"")"),"Прецизност")</f>
        <v>Прецизност</v>
      </c>
    </row>
    <row r="679">
      <c r="A679" s="3" t="s">
        <v>1289</v>
      </c>
      <c r="B679" s="3" t="s">
        <v>885</v>
      </c>
      <c r="C679" s="4" t="str">
        <f>IFERROR(__xludf.DUMMYFUNCTION("GOOGLETRANSLATE(B679,""en"",""ta"")"),"உயர்")</f>
        <v>உயர்</v>
      </c>
      <c r="D679" s="4" t="str">
        <f>IFERROR(__xludf.DUMMYFUNCTION("GOOGLETRANSLATE(B679,""en"",""hi"")"),"उच्च")</f>
        <v>उच्च</v>
      </c>
      <c r="E679" s="4" t="str">
        <f>IFERROR(__xludf.DUMMYFUNCTION("GOOGLETRANSLATE(B679,""en"",""id"")"),"Tinggi")</f>
        <v>Tinggi</v>
      </c>
      <c r="F679" s="4" t="str">
        <f>IFERROR(__xludf.DUMMYFUNCTION("GOOGLETRANSLATE(B679,""en"",""ms"")"),"tinggi")</f>
        <v>tinggi</v>
      </c>
      <c r="G679" s="4" t="str">
        <f>IFERROR(__xludf.DUMMYFUNCTION("GOOGLETRANSLATE(B679,""en"",""de"")"),"Hoch")</f>
        <v>Hoch</v>
      </c>
      <c r="H679" s="4" t="str">
        <f>IFERROR(__xludf.DUMMYFUNCTION("GOOGLETRANSLATE(B679,""en"",""es"")"),"Alto")</f>
        <v>Alto</v>
      </c>
      <c r="I679" s="4" t="str">
        <f>IFERROR(__xludf.DUMMYFUNCTION("GOOGLETRANSLATE(B679,""en"",""fr"")"),"Haut")</f>
        <v>Haut</v>
      </c>
      <c r="J679" s="4" t="str">
        <f>IFERROR(__xludf.DUMMYFUNCTION("GOOGLETRANSLATE(B679,""en"",""it"")"),"Alto")</f>
        <v>Alto</v>
      </c>
      <c r="K679" s="4" t="str">
        <f>IFERROR(__xludf.DUMMYFUNCTION("GOOGLETRANSLATE(B679,""en"",""pt"")"),"Alto")</f>
        <v>Alto</v>
      </c>
      <c r="L679" s="4" t="str">
        <f>IFERROR(__xludf.DUMMYFUNCTION("GOOGLETRANSLATE(B679,""en"",""ro"")"),"Ridicat")</f>
        <v>Ridicat</v>
      </c>
      <c r="M679" s="4" t="str">
        <f>IFERROR(__xludf.DUMMYFUNCTION("GOOGLETRANSLATE(B679,""en"",""vi"")"),"Cao")</f>
        <v>Cao</v>
      </c>
      <c r="N679" s="4" t="str">
        <f>IFERROR(__xludf.DUMMYFUNCTION("GOOGLETRANSLATE(B679,""en"",""ru"")"),"Высокий")</f>
        <v>Высокий</v>
      </c>
      <c r="O679" s="4" t="str">
        <f>IFERROR(__xludf.DUMMYFUNCTION("GOOGLETRANSLATE(B679,""en"",""tr"")"),"Yüksek")</f>
        <v>Yüksek</v>
      </c>
      <c r="P679" s="4" t="str">
        <f>IFERROR(__xludf.DUMMYFUNCTION("GOOGLETRANSLATE(B679,""en"",""ar"")"),"عالي")</f>
        <v>عالي</v>
      </c>
      <c r="Q679" s="4" t="str">
        <f>IFERROR(__xludf.DUMMYFUNCTION("GOOGLETRANSLATE(B679,""en"",""mr"")"),"उच्च")</f>
        <v>उच्च</v>
      </c>
      <c r="R679" s="4" t="str">
        <f>IFERROR(__xludf.DUMMYFUNCTION("GOOGLETRANSLATE(B679,""en"",""gu"")"),"ઉચ્ચ")</f>
        <v>ઉચ્ચ</v>
      </c>
      <c r="S679" s="4" t="str">
        <f>IFERROR(__xludf.DUMMYFUNCTION("GOOGLETRANSLATE(B679,""en"",""bn"")"),"উচ্চ")</f>
        <v>উচ্চ</v>
      </c>
      <c r="T679" s="4" t="str">
        <f>IFERROR(__xludf.DUMMYFUNCTION("GOOGLETRANSLATE(B679,""en"",""pa"")"),"ਉੱਚ")</f>
        <v>ਉੱਚ</v>
      </c>
      <c r="U679" s="4" t="str">
        <f>IFERROR(__xludf.DUMMYFUNCTION("GOOGLETRANSLATE(B679,""en"",""te"")"),"అధిక")</f>
        <v>అధిక</v>
      </c>
      <c r="V679" s="4" t="str">
        <f>IFERROR(__xludf.DUMMYFUNCTION("GOOGLETRANSLATE(B679,""en"",""kn"")"),"ಹೆಚ್ಚು")</f>
        <v>ಹೆಚ್ಚು</v>
      </c>
      <c r="W679" s="4" t="str">
        <f>IFERROR(__xludf.DUMMYFUNCTION("GOOGLETRANSLATE(B679,""en"",""ml"")"),"ഉയർന്നത്")</f>
        <v>ഉയർന്നത്</v>
      </c>
      <c r="X679" s="4" t="str">
        <f>IFERROR(__xludf.DUMMYFUNCTION("GOOGLETRANSLATE(B679,""en"",""th"")"),"สูง")</f>
        <v>สูง</v>
      </c>
      <c r="Y679" s="4" t="str">
        <f>IFERROR(__xludf.DUMMYFUNCTION("GOOGLETRANSLATE(B679,""en"",""ko"")"),"높은")</f>
        <v>높은</v>
      </c>
      <c r="Z679" s="4" t="str">
        <f>IFERROR(__xludf.DUMMYFUNCTION("GOOGLETRANSLATE(B679,""en"",""zh"")"),"高的")</f>
        <v>高的</v>
      </c>
      <c r="AA679" s="4" t="str">
        <f>IFERROR(__xludf.DUMMYFUNCTION("GOOGLETRANSLATE(B679,""en"",""zh-TW"")"),"高的")</f>
        <v>高的</v>
      </c>
      <c r="AB679" s="4" t="str">
        <f>IFERROR(__xludf.DUMMYFUNCTION("GOOGLETRANSLATE(B679,""en"",""ja"")"),"高い")</f>
        <v>高い</v>
      </c>
      <c r="AC679" s="4" t="str">
        <f>IFERROR(__xludf.DUMMYFUNCTION("GOOGLETRANSLATE(B679,""en"",""bg"")"),"високо")</f>
        <v>високо</v>
      </c>
      <c r="AD679" s="4" t="str">
        <f>IFERROR(__xludf.DUMMYFUNCTION("GOOGLETRANSLATE(B679,""en"",""cs"")"),"Vysoký")</f>
        <v>Vysoký</v>
      </c>
      <c r="AE679" s="4" t="str">
        <f>IFERROR(__xludf.DUMMYFUNCTION("GOOGLETRANSLATE(B679,""en"",""da"")"),"Høj")</f>
        <v>Høj</v>
      </c>
      <c r="AF679" s="4" t="str">
        <f>IFERROR(__xludf.DUMMYFUNCTION("GOOGLETRANSLATE(B679,""en"",""el"")"),"Ψηλά")</f>
        <v>Ψηλά</v>
      </c>
      <c r="AG679" s="4" t="str">
        <f>IFERROR(__xludf.DUMMYFUNCTION("GOOGLETRANSLATE(B679,""en"",""et"")"),"Kõrge")</f>
        <v>Kõrge</v>
      </c>
      <c r="AH679" s="4" t="str">
        <f>IFERROR(__xludf.DUMMYFUNCTION("GOOGLETRANSLATE(B679,""en"",""fi"")"),"Korkea")</f>
        <v>Korkea</v>
      </c>
      <c r="AI679" s="4" t="str">
        <f>IFERROR(__xludf.DUMMYFUNCTION("GOOGLETRANSLATE(B679,""en"",""hr"")"),"visoko")</f>
        <v>visoko</v>
      </c>
      <c r="AJ679" s="4" t="str">
        <f>IFERROR(__xludf.DUMMYFUNCTION("GOOGLETRANSLATE(B679,""en"",""hu"")"),"Magas")</f>
        <v>Magas</v>
      </c>
      <c r="AK679" s="4" t="str">
        <f>IFERROR(__xludf.DUMMYFUNCTION("GOOGLETRANSLATE(B679,""en"",""hy"")"),"Բարձր")</f>
        <v>Բարձր</v>
      </c>
      <c r="AL679" s="4" t="str">
        <f>IFERROR(__xludf.DUMMYFUNCTION("GOOGLETRANSLATE(B679,""en"",""ca"")"),"Alt")</f>
        <v>Alt</v>
      </c>
      <c r="AM679" s="4" t="str">
        <f>IFERROR(__xludf.DUMMYFUNCTION("GOOGLETRANSLATE(B679,""en"",""nl"")"),"Hoog")</f>
        <v>Hoog</v>
      </c>
      <c r="AN679" s="4" t="str">
        <f>IFERROR(__xludf.DUMMYFUNCTION("GOOGLETRANSLATE(B679,""en"",""he"")"),"גָבוֹהַ")</f>
        <v>גָבוֹהַ</v>
      </c>
      <c r="AO679" s="4" t="str">
        <f>IFERROR(__xludf.DUMMYFUNCTION("GOOGLETRANSLATE(B679,""en"",""is"")"),"Hátt")</f>
        <v>Hátt</v>
      </c>
      <c r="AP679" s="4" t="str">
        <f>IFERROR(__xludf.DUMMYFUNCTION("GOOGLETRANSLATE(B679,""en"",""no"")"),"Høy")</f>
        <v>Høy</v>
      </c>
      <c r="AQ679" s="4" t="str">
        <f>IFERROR(__xludf.DUMMYFUNCTION("GOOGLETRANSLATE(B679,""en"",""fa"")"),"بالا")</f>
        <v>بالا</v>
      </c>
      <c r="AR679" s="4" t="str">
        <f>IFERROR(__xludf.DUMMYFUNCTION("GOOGLETRANSLATE(B679,""en"",""pl"")"),"Wysoki")</f>
        <v>Wysoki</v>
      </c>
      <c r="AS679" s="4" t="str">
        <f>IFERROR(__xludf.DUMMYFUNCTION("GOOGLETRANSLATE(B679,""en"",""sv"")"),"Hög")</f>
        <v>Hög</v>
      </c>
      <c r="AT679" s="4" t="str">
        <f>IFERROR(__xludf.DUMMYFUNCTION("GOOGLETRANSLATE(B679,""en"",""uk"")"),"Високий")</f>
        <v>Високий</v>
      </c>
      <c r="AU679" s="4" t="str">
        <f>IFERROR(__xludf.DUMMYFUNCTION("GOOGLETRANSLATE(B679,""en"",""zu"")"),"Phezulu")</f>
        <v>Phezulu</v>
      </c>
      <c r="AV679" s="4" t="str">
        <f>IFERROR(__xludf.DUMMYFUNCTION("GOOGLETRANSLATE(B679,""en"",""sr"")"),"Високо")</f>
        <v>Високо</v>
      </c>
    </row>
    <row r="680">
      <c r="A680" s="3" t="s">
        <v>1290</v>
      </c>
      <c r="B680" s="3" t="s">
        <v>1276</v>
      </c>
      <c r="C680" s="4" t="str">
        <f>IFERROR(__xludf.DUMMYFUNCTION("GOOGLETRANSLATE(B680,""en"",""ta"")"),"N/A")</f>
        <v>N/A</v>
      </c>
      <c r="D680" s="4" t="str">
        <f>IFERROR(__xludf.DUMMYFUNCTION("GOOGLETRANSLATE(B680,""en"",""hi"")"),"एन/ए")</f>
        <v>एन/ए</v>
      </c>
      <c r="E680" s="4" t="str">
        <f>IFERROR(__xludf.DUMMYFUNCTION("GOOGLETRANSLATE(B680,""en"",""id"")"),"Tidak tersedia")</f>
        <v>Tidak tersedia</v>
      </c>
      <c r="F680" s="4" t="str">
        <f>IFERROR(__xludf.DUMMYFUNCTION("GOOGLETRANSLATE(B680,""en"",""ms"")"),"T/A")</f>
        <v>T/A</v>
      </c>
      <c r="G680" s="4" t="str">
        <f>IFERROR(__xludf.DUMMYFUNCTION("GOOGLETRANSLATE(B680,""en"",""de"")"),"N / A")</f>
        <v>N / A</v>
      </c>
      <c r="H680" s="4" t="str">
        <f>IFERROR(__xludf.DUMMYFUNCTION("GOOGLETRANSLATE(B680,""en"",""es"")"),"N / A")</f>
        <v>N / A</v>
      </c>
      <c r="I680" s="4" t="str">
        <f>IFERROR(__xludf.DUMMYFUNCTION("GOOGLETRANSLATE(B680,""en"",""fr"")"),"N / A")</f>
        <v>N / A</v>
      </c>
      <c r="J680" s="4" t="str">
        <f>IFERROR(__xludf.DUMMYFUNCTION("GOOGLETRANSLATE(B680,""en"",""it"")"),"N / A")</f>
        <v>N / A</v>
      </c>
      <c r="K680" s="4" t="str">
        <f>IFERROR(__xludf.DUMMYFUNCTION("GOOGLETRANSLATE(B680,""en"",""pt"")"),"N / D")</f>
        <v>N / D</v>
      </c>
      <c r="L680" s="4" t="str">
        <f>IFERROR(__xludf.DUMMYFUNCTION("GOOGLETRANSLATE(B680,""en"",""ro"")"),"N / A")</f>
        <v>N / A</v>
      </c>
      <c r="M680" s="4" t="str">
        <f>IFERROR(__xludf.DUMMYFUNCTION("GOOGLETRANSLATE(B680,""en"",""vi"")"),"Không có")</f>
        <v>Không có</v>
      </c>
      <c r="N680" s="4" t="str">
        <f>IFERROR(__xludf.DUMMYFUNCTION("GOOGLETRANSLATE(B680,""en"",""ru"")"),"Н/Д")</f>
        <v>Н/Д</v>
      </c>
      <c r="O680" s="4" t="str">
        <f>IFERROR(__xludf.DUMMYFUNCTION("GOOGLETRANSLATE(B680,""en"",""tr"")"),"Yok")</f>
        <v>Yok</v>
      </c>
      <c r="P680" s="4" t="str">
        <f>IFERROR(__xludf.DUMMYFUNCTION("GOOGLETRANSLATE(B680,""en"",""ar"")"),"غير متوفر")</f>
        <v>غير متوفر</v>
      </c>
      <c r="Q680" s="4" t="str">
        <f>IFERROR(__xludf.DUMMYFUNCTION("GOOGLETRANSLATE(B680,""en"",""mr"")"),"N/A")</f>
        <v>N/A</v>
      </c>
      <c r="R680" s="4" t="str">
        <f>IFERROR(__xludf.DUMMYFUNCTION("GOOGLETRANSLATE(B680,""en"",""gu"")"),"N/A")</f>
        <v>N/A</v>
      </c>
      <c r="S680" s="4" t="str">
        <f>IFERROR(__xludf.DUMMYFUNCTION("GOOGLETRANSLATE(B680,""en"",""bn"")"),"N/A")</f>
        <v>N/A</v>
      </c>
      <c r="T680" s="4" t="str">
        <f>IFERROR(__xludf.DUMMYFUNCTION("GOOGLETRANSLATE(B680,""en"",""pa"")"),"N/A")</f>
        <v>N/A</v>
      </c>
      <c r="U680" s="4" t="str">
        <f>IFERROR(__xludf.DUMMYFUNCTION("GOOGLETRANSLATE(B680,""en"",""te"")"),"N/A")</f>
        <v>N/A</v>
      </c>
      <c r="V680" s="4" t="str">
        <f>IFERROR(__xludf.DUMMYFUNCTION("GOOGLETRANSLATE(B680,""en"",""kn"")"),"ಎನ್/ಎ")</f>
        <v>ಎನ್/ಎ</v>
      </c>
      <c r="W680" s="4" t="str">
        <f>IFERROR(__xludf.DUMMYFUNCTION("GOOGLETRANSLATE(B680,""en"",""ml"")"),"N/A")</f>
        <v>N/A</v>
      </c>
      <c r="X680" s="4" t="str">
        <f>IFERROR(__xludf.DUMMYFUNCTION("GOOGLETRANSLATE(B680,""en"",""th"")"),"ไม่มีข้อมูล")</f>
        <v>ไม่มีข้อมูล</v>
      </c>
      <c r="Y680" s="4" t="str">
        <f>IFERROR(__xludf.DUMMYFUNCTION("GOOGLETRANSLATE(B680,""en"",""ko"")"),"해당 없음")</f>
        <v>해당 없음</v>
      </c>
      <c r="Z680" s="4" t="str">
        <f>IFERROR(__xludf.DUMMYFUNCTION("GOOGLETRANSLATE(B680,""en"",""zh"")"),"不适用")</f>
        <v>不适用</v>
      </c>
      <c r="AA680" s="4" t="str">
        <f>IFERROR(__xludf.DUMMYFUNCTION("GOOGLETRANSLATE(B680,""en"",""zh-TW"")"),"不適用")</f>
        <v>不適用</v>
      </c>
      <c r="AB680" s="4" t="str">
        <f>IFERROR(__xludf.DUMMYFUNCTION("GOOGLETRANSLATE(B680,""en"",""ja"")"),"該当なし")</f>
        <v>該当なし</v>
      </c>
      <c r="AC680" s="4" t="str">
        <f>IFERROR(__xludf.DUMMYFUNCTION("GOOGLETRANSLATE(B680,""en"",""bg"")"),"N/A")</f>
        <v>N/A</v>
      </c>
      <c r="AD680" s="4" t="str">
        <f>IFERROR(__xludf.DUMMYFUNCTION("GOOGLETRANSLATE(B680,""en"",""cs"")"),"N/A")</f>
        <v>N/A</v>
      </c>
      <c r="AE680" s="4" t="str">
        <f>IFERROR(__xludf.DUMMYFUNCTION("GOOGLETRANSLATE(B680,""en"",""da"")"),"N/A")</f>
        <v>N/A</v>
      </c>
      <c r="AF680" s="4" t="str">
        <f>IFERROR(__xludf.DUMMYFUNCTION("GOOGLETRANSLATE(B680,""en"",""el"")"),"N/A")</f>
        <v>N/A</v>
      </c>
      <c r="AG680" s="4" t="str">
        <f>IFERROR(__xludf.DUMMYFUNCTION("GOOGLETRANSLATE(B680,""en"",""et"")"),"Ei kehti")</f>
        <v>Ei kehti</v>
      </c>
      <c r="AH680" s="4" t="str">
        <f>IFERROR(__xludf.DUMMYFUNCTION("GOOGLETRANSLATE(B680,""en"",""fi"")"),"Ei käytössä")</f>
        <v>Ei käytössä</v>
      </c>
      <c r="AI680" s="4" t="str">
        <f>IFERROR(__xludf.DUMMYFUNCTION("GOOGLETRANSLATE(B680,""en"",""hr"")"),"N/A")</f>
        <v>N/A</v>
      </c>
      <c r="AJ680" s="4" t="str">
        <f>IFERROR(__xludf.DUMMYFUNCTION("GOOGLETRANSLATE(B680,""en"",""hu"")"),"N/A")</f>
        <v>N/A</v>
      </c>
      <c r="AK680" s="4" t="str">
        <f>IFERROR(__xludf.DUMMYFUNCTION("GOOGLETRANSLATE(B680,""en"",""hy"")"),"N/A")</f>
        <v>N/A</v>
      </c>
      <c r="AL680" s="4" t="str">
        <f>IFERROR(__xludf.DUMMYFUNCTION("GOOGLETRANSLATE(B680,""en"",""ca"")"),"N/A")</f>
        <v>N/A</v>
      </c>
      <c r="AM680" s="4" t="str">
        <f>IFERROR(__xludf.DUMMYFUNCTION("GOOGLETRANSLATE(B680,""en"",""nl"")"),"N.v.t.")</f>
        <v>N.v.t.</v>
      </c>
      <c r="AN680" s="4" t="str">
        <f>IFERROR(__xludf.DUMMYFUNCTION("GOOGLETRANSLATE(B680,""en"",""he"")"),"לא")</f>
        <v>לא</v>
      </c>
      <c r="AO680" s="4" t="str">
        <f>IFERROR(__xludf.DUMMYFUNCTION("GOOGLETRANSLATE(B680,""en"",""is"")"),"N/A")</f>
        <v>N/A</v>
      </c>
      <c r="AP680" s="4" t="str">
        <f>IFERROR(__xludf.DUMMYFUNCTION("GOOGLETRANSLATE(B680,""en"",""no"")"),"N/A")</f>
        <v>N/A</v>
      </c>
      <c r="AQ680" s="4" t="str">
        <f>IFERROR(__xludf.DUMMYFUNCTION("GOOGLETRANSLATE(B680,""en"",""fa"")"),"N/A")</f>
        <v>N/A</v>
      </c>
      <c r="AR680" s="4" t="str">
        <f>IFERROR(__xludf.DUMMYFUNCTION("GOOGLETRANSLATE(B680,""en"",""pl"")"),"Brak")</f>
        <v>Brak</v>
      </c>
      <c r="AS680" s="4" t="str">
        <f>IFERROR(__xludf.DUMMYFUNCTION("GOOGLETRANSLATE(B680,""en"",""sv"")"),"N/A")</f>
        <v>N/A</v>
      </c>
      <c r="AT680" s="4" t="str">
        <f>IFERROR(__xludf.DUMMYFUNCTION("GOOGLETRANSLATE(B680,""en"",""uk"")"),"N/A")</f>
        <v>N/A</v>
      </c>
      <c r="AU680" s="4" t="str">
        <f>IFERROR(__xludf.DUMMYFUNCTION("GOOGLETRANSLATE(B680,""en"",""zu"")"),"N/A")</f>
        <v>N/A</v>
      </c>
      <c r="AV680" s="4" t="str">
        <f>IFERROR(__xludf.DUMMYFUNCTION("GOOGLETRANSLATE(B680,""en"",""sr"")"),"Н/А")</f>
        <v>Н/А</v>
      </c>
    </row>
    <row r="681">
      <c r="A681" s="3" t="s">
        <v>1291</v>
      </c>
      <c r="B681" s="3" t="s">
        <v>1173</v>
      </c>
      <c r="C681" s="4" t="str">
        <f>IFERROR(__xludf.DUMMYFUNCTION("GOOGLETRANSLATE(B681,""en"",""ta"")"),"பிழை")</f>
        <v>பிழை</v>
      </c>
      <c r="D681" s="4" t="str">
        <f>IFERROR(__xludf.DUMMYFUNCTION("GOOGLETRANSLATE(B681,""en"",""hi"")"),"गलती")</f>
        <v>गलती</v>
      </c>
      <c r="E681" s="4" t="str">
        <f>IFERROR(__xludf.DUMMYFUNCTION("GOOGLETRANSLATE(B681,""en"",""id"")"),"Kesalahan")</f>
        <v>Kesalahan</v>
      </c>
      <c r="F681" s="4" t="str">
        <f>IFERROR(__xludf.DUMMYFUNCTION("GOOGLETRANSLATE(B681,""en"",""ms"")"),"ralat")</f>
        <v>ralat</v>
      </c>
      <c r="G681" s="4" t="str">
        <f>IFERROR(__xludf.DUMMYFUNCTION("GOOGLETRANSLATE(B681,""en"",""de"")"),"Fehler")</f>
        <v>Fehler</v>
      </c>
      <c r="H681" s="4" t="str">
        <f>IFERROR(__xludf.DUMMYFUNCTION("GOOGLETRANSLATE(B681,""en"",""es"")"),"Error")</f>
        <v>Error</v>
      </c>
      <c r="I681" s="4" t="str">
        <f>IFERROR(__xludf.DUMMYFUNCTION("GOOGLETRANSLATE(B681,""en"",""fr"")"),"Erreur")</f>
        <v>Erreur</v>
      </c>
      <c r="J681" s="4" t="str">
        <f>IFERROR(__xludf.DUMMYFUNCTION("GOOGLETRANSLATE(B681,""en"",""it"")"),"Errore")</f>
        <v>Errore</v>
      </c>
      <c r="K681" s="4" t="str">
        <f>IFERROR(__xludf.DUMMYFUNCTION("GOOGLETRANSLATE(B681,""en"",""pt"")"),"Erro")</f>
        <v>Erro</v>
      </c>
      <c r="L681" s="4" t="str">
        <f>IFERROR(__xludf.DUMMYFUNCTION("GOOGLETRANSLATE(B681,""en"",""ro"")"),"Eroare")</f>
        <v>Eroare</v>
      </c>
      <c r="M681" s="4" t="str">
        <f>IFERROR(__xludf.DUMMYFUNCTION("GOOGLETRANSLATE(B681,""en"",""vi"")"),"Lỗi")</f>
        <v>Lỗi</v>
      </c>
      <c r="N681" s="4" t="str">
        <f>IFERROR(__xludf.DUMMYFUNCTION("GOOGLETRANSLATE(B681,""en"",""ru"")"),"Ошибка")</f>
        <v>Ошибка</v>
      </c>
      <c r="O681" s="4" t="str">
        <f>IFERROR(__xludf.DUMMYFUNCTION("GOOGLETRANSLATE(B681,""en"",""tr"")"),"Hata")</f>
        <v>Hata</v>
      </c>
      <c r="P681" s="4" t="str">
        <f>IFERROR(__xludf.DUMMYFUNCTION("GOOGLETRANSLATE(B681,""en"",""ar"")"),"خطأ")</f>
        <v>خطأ</v>
      </c>
      <c r="Q681" s="4" t="str">
        <f>IFERROR(__xludf.DUMMYFUNCTION("GOOGLETRANSLATE(B681,""en"",""mr"")"),"त्रुटी")</f>
        <v>त्रुटी</v>
      </c>
      <c r="R681" s="4" t="str">
        <f>IFERROR(__xludf.DUMMYFUNCTION("GOOGLETRANSLATE(B681,""en"",""gu"")"),"ભૂલ")</f>
        <v>ભૂલ</v>
      </c>
      <c r="S681" s="4" t="str">
        <f>IFERROR(__xludf.DUMMYFUNCTION("GOOGLETRANSLATE(B681,""en"",""bn"")"),"ত্রুটি")</f>
        <v>ত্রুটি</v>
      </c>
      <c r="T681" s="4" t="str">
        <f>IFERROR(__xludf.DUMMYFUNCTION("GOOGLETRANSLATE(B681,""en"",""pa"")"),"ਗਲਤੀ")</f>
        <v>ਗਲਤੀ</v>
      </c>
      <c r="U681" s="4" t="str">
        <f>IFERROR(__xludf.DUMMYFUNCTION("GOOGLETRANSLATE(B681,""en"",""te"")"),"లోపం")</f>
        <v>లోపం</v>
      </c>
      <c r="V681" s="4" t="str">
        <f>IFERROR(__xludf.DUMMYFUNCTION("GOOGLETRANSLATE(B681,""en"",""kn"")"),"ದೋಷ")</f>
        <v>ದೋಷ</v>
      </c>
      <c r="W681" s="4" t="str">
        <f>IFERROR(__xludf.DUMMYFUNCTION("GOOGLETRANSLATE(B681,""en"",""ml"")"),"പിശക്")</f>
        <v>പിശക്</v>
      </c>
      <c r="X681" s="4" t="str">
        <f>IFERROR(__xludf.DUMMYFUNCTION("GOOGLETRANSLATE(B681,""en"",""th"")"),"ข้อผิดพลาด")</f>
        <v>ข้อผิดพลาด</v>
      </c>
      <c r="Y681" s="4" t="str">
        <f>IFERROR(__xludf.DUMMYFUNCTION("GOOGLETRANSLATE(B681,""en"",""ko"")"),"오류")</f>
        <v>오류</v>
      </c>
      <c r="Z681" s="4" t="str">
        <f>IFERROR(__xludf.DUMMYFUNCTION("GOOGLETRANSLATE(B681,""en"",""zh"")"),"错误")</f>
        <v>错误</v>
      </c>
      <c r="AA681" s="4" t="str">
        <f>IFERROR(__xludf.DUMMYFUNCTION("GOOGLETRANSLATE(B681,""en"",""zh-TW"")"),"錯誤")</f>
        <v>錯誤</v>
      </c>
      <c r="AB681" s="4" t="str">
        <f>IFERROR(__xludf.DUMMYFUNCTION("GOOGLETRANSLATE(B681,""en"",""ja"")"),"エラー")</f>
        <v>エラー</v>
      </c>
      <c r="AC681" s="4" t="str">
        <f>IFERROR(__xludf.DUMMYFUNCTION("GOOGLETRANSLATE(B681,""en"",""bg"")"),"Грешка")</f>
        <v>Грешка</v>
      </c>
      <c r="AD681" s="4" t="str">
        <f>IFERROR(__xludf.DUMMYFUNCTION("GOOGLETRANSLATE(B681,""en"",""cs"")"),"Chyba")</f>
        <v>Chyba</v>
      </c>
      <c r="AE681" s="4" t="str">
        <f>IFERROR(__xludf.DUMMYFUNCTION("GOOGLETRANSLATE(B681,""en"",""da"")"),"Fejl")</f>
        <v>Fejl</v>
      </c>
      <c r="AF681" s="4" t="str">
        <f>IFERROR(__xludf.DUMMYFUNCTION("GOOGLETRANSLATE(B681,""en"",""el"")"),"Σφάλμα")</f>
        <v>Σφάλμα</v>
      </c>
      <c r="AG681" s="4" t="str">
        <f>IFERROR(__xludf.DUMMYFUNCTION("GOOGLETRANSLATE(B681,""en"",""et"")"),"Viga")</f>
        <v>Viga</v>
      </c>
      <c r="AH681" s="4" t="str">
        <f>IFERROR(__xludf.DUMMYFUNCTION("GOOGLETRANSLATE(B681,""en"",""fi"")"),"Virhe")</f>
        <v>Virhe</v>
      </c>
      <c r="AI681" s="4" t="str">
        <f>IFERROR(__xludf.DUMMYFUNCTION("GOOGLETRANSLATE(B681,""en"",""hr"")"),"Greška")</f>
        <v>Greška</v>
      </c>
      <c r="AJ681" s="4" t="str">
        <f>IFERROR(__xludf.DUMMYFUNCTION("GOOGLETRANSLATE(B681,""en"",""hu"")"),"Hiba")</f>
        <v>Hiba</v>
      </c>
      <c r="AK681" s="4" t="str">
        <f>IFERROR(__xludf.DUMMYFUNCTION("GOOGLETRANSLATE(B681,""en"",""hy"")"),"Սխալ")</f>
        <v>Սխալ</v>
      </c>
      <c r="AL681" s="4" t="str">
        <f>IFERROR(__xludf.DUMMYFUNCTION("GOOGLETRANSLATE(B681,""en"",""ca"")"),"Error")</f>
        <v>Error</v>
      </c>
      <c r="AM681" s="4" t="str">
        <f>IFERROR(__xludf.DUMMYFUNCTION("GOOGLETRANSLATE(B681,""en"",""nl"")"),"Fout")</f>
        <v>Fout</v>
      </c>
      <c r="AN681" s="4" t="str">
        <f>IFERROR(__xludf.DUMMYFUNCTION("GOOGLETRANSLATE(B681,""en"",""he"")"),"שְׁגִיאָה")</f>
        <v>שְׁגִיאָה</v>
      </c>
      <c r="AO681" s="4" t="str">
        <f>IFERROR(__xludf.DUMMYFUNCTION("GOOGLETRANSLATE(B681,""en"",""is"")"),"Villa")</f>
        <v>Villa</v>
      </c>
      <c r="AP681" s="4" t="str">
        <f>IFERROR(__xludf.DUMMYFUNCTION("GOOGLETRANSLATE(B681,""en"",""no"")"),"Feil")</f>
        <v>Feil</v>
      </c>
      <c r="AQ681" s="4" t="str">
        <f>IFERROR(__xludf.DUMMYFUNCTION("GOOGLETRANSLATE(B681,""en"",""fa"")"),"خطا")</f>
        <v>خطا</v>
      </c>
      <c r="AR681" s="4" t="str">
        <f>IFERROR(__xludf.DUMMYFUNCTION("GOOGLETRANSLATE(B681,""en"",""pl"")"),"Błąd")</f>
        <v>Błąd</v>
      </c>
      <c r="AS681" s="4" t="str">
        <f>IFERROR(__xludf.DUMMYFUNCTION("GOOGLETRANSLATE(B681,""en"",""sv"")"),"Fel")</f>
        <v>Fel</v>
      </c>
      <c r="AT681" s="4" t="str">
        <f>IFERROR(__xludf.DUMMYFUNCTION("GOOGLETRANSLATE(B681,""en"",""uk"")"),"Помилка")</f>
        <v>Помилка</v>
      </c>
      <c r="AU681" s="4" t="str">
        <f>IFERROR(__xludf.DUMMYFUNCTION("GOOGLETRANSLATE(B681,""en"",""zu"")"),"Iphutha")</f>
        <v>Iphutha</v>
      </c>
      <c r="AV681" s="4" t="str">
        <f>IFERROR(__xludf.DUMMYFUNCTION("GOOGLETRANSLATE(B681,""en"",""sr"")"),"Грешка")</f>
        <v>Грешка</v>
      </c>
    </row>
    <row r="682">
      <c r="A682" s="3" t="s">
        <v>1292</v>
      </c>
      <c r="B682" s="3" t="s">
        <v>1293</v>
      </c>
      <c r="C682" s="4" t="str">
        <f>IFERROR(__xludf.DUMMYFUNCTION("GOOGLETRANSLATE(B682,""en"",""ta"")"),"உயரத் தரவைப் பெறுவதில் தோல்வி")</f>
        <v>உயரத் தரவைப் பெறுவதில் தோல்வி</v>
      </c>
      <c r="D682" s="4" t="str">
        <f>IFERROR(__xludf.DUMMYFUNCTION("GOOGLETRANSLATE(B682,""en"",""hi"")"),"ऊंचाई डेटा प्राप्त करने में विफल")</f>
        <v>ऊंचाई डेटा प्राप्त करने में विफल</v>
      </c>
      <c r="E682" s="4" t="str">
        <f>IFERROR(__xludf.DUMMYFUNCTION("GOOGLETRANSLATE(B682,""en"",""id"")"),"Gagal mengambil data ketinggian")</f>
        <v>Gagal mengambil data ketinggian</v>
      </c>
      <c r="F682" s="4" t="str">
        <f>IFERROR(__xludf.DUMMYFUNCTION("GOOGLETRANSLATE(B682,""en"",""ms"")"),"Gagal mengambil data ketinggian")</f>
        <v>Gagal mengambil data ketinggian</v>
      </c>
      <c r="G682" s="4" t="str">
        <f>IFERROR(__xludf.DUMMYFUNCTION("GOOGLETRANSLATE(B682,""en"",""de"")"),"Höhendaten konnten nicht abgerufen werden")</f>
        <v>Höhendaten konnten nicht abgerufen werden</v>
      </c>
      <c r="H682" s="4" t="str">
        <f>IFERROR(__xludf.DUMMYFUNCTION("GOOGLETRANSLATE(B682,""en"",""es"")"),"No se pudieron obtener los datos de altitud")</f>
        <v>No se pudieron obtener los datos de altitud</v>
      </c>
      <c r="I682" s="4" t="str">
        <f>IFERROR(__xludf.DUMMYFUNCTION("GOOGLETRANSLATE(B682,""en"",""fr"")"),"Échec de la récupération des données d'altitude")</f>
        <v>Échec de la récupération des données d'altitude</v>
      </c>
      <c r="J682" s="4" t="str">
        <f>IFERROR(__xludf.DUMMYFUNCTION("GOOGLETRANSLATE(B682,""en"",""it"")"),"Impossibile recuperare i dati sull'altitudine")</f>
        <v>Impossibile recuperare i dati sull'altitudine</v>
      </c>
      <c r="K682" s="4" t="str">
        <f>IFERROR(__xludf.DUMMYFUNCTION("GOOGLETRANSLATE(B682,""en"",""pt"")"),"Falha ao buscar dados de altitude")</f>
        <v>Falha ao buscar dados de altitude</v>
      </c>
      <c r="L682" s="4" t="str">
        <f>IFERROR(__xludf.DUMMYFUNCTION("GOOGLETRANSLATE(B682,""en"",""ro"")"),"Nu s-au putut prelua datele de altitudine")</f>
        <v>Nu s-au putut prelua datele de altitudine</v>
      </c>
      <c r="M682" s="4" t="str">
        <f>IFERROR(__xludf.DUMMYFUNCTION("GOOGLETRANSLATE(B682,""en"",""vi"")"),"Không thể lấy dữ liệu độ cao")</f>
        <v>Không thể lấy dữ liệu độ cao</v>
      </c>
      <c r="N682" s="4" t="str">
        <f>IFERROR(__xludf.DUMMYFUNCTION("GOOGLETRANSLATE(B682,""en"",""ru"")"),"Не удалось получить данные о высоте.")</f>
        <v>Не удалось получить данные о высоте.</v>
      </c>
      <c r="O682" s="4" t="str">
        <f>IFERROR(__xludf.DUMMYFUNCTION("GOOGLETRANSLATE(B682,""en"",""tr"")"),"Yükseklik verileri alınamadı")</f>
        <v>Yükseklik verileri alınamadı</v>
      </c>
      <c r="P682" s="4" t="str">
        <f>IFERROR(__xludf.DUMMYFUNCTION("GOOGLETRANSLATE(B682,""en"",""ar"")"),"فشل في جلب بيانات الارتفاع")</f>
        <v>فشل في جلب بيانات الارتفاع</v>
      </c>
      <c r="Q682" s="4" t="str">
        <f>IFERROR(__xludf.DUMMYFUNCTION("GOOGLETRANSLATE(B682,""en"",""mr"")"),"उंची डेटा आणण्यात अयशस्वी")</f>
        <v>उंची डेटा आणण्यात अयशस्वी</v>
      </c>
      <c r="R682" s="4" t="str">
        <f>IFERROR(__xludf.DUMMYFUNCTION("GOOGLETRANSLATE(B682,""en"",""gu"")"),"ઊંચાઈનો ડેટા લાવવામાં નિષ્ફળ")</f>
        <v>ઊંચાઈનો ડેટા લાવવામાં નિષ્ફળ</v>
      </c>
      <c r="S682" s="4" t="str">
        <f>IFERROR(__xludf.DUMMYFUNCTION("GOOGLETRANSLATE(B682,""en"",""bn"")"),"উচ্চতা ডেটা আনতে ব্যর্থ হয়েছে৷")</f>
        <v>উচ্চতা ডেটা আনতে ব্যর্থ হয়েছে৷</v>
      </c>
      <c r="T682" s="4" t="str">
        <f>IFERROR(__xludf.DUMMYFUNCTION("GOOGLETRANSLATE(B682,""en"",""pa"")"),"ਉਚਾਈ ਡਾਟਾ ਪ੍ਰਾਪਤ ਕਰਨ ਵਿੱਚ ਅਸਫਲ")</f>
        <v>ਉਚਾਈ ਡਾਟਾ ਪ੍ਰਾਪਤ ਕਰਨ ਵਿੱਚ ਅਸਫਲ</v>
      </c>
      <c r="U682" s="4" t="str">
        <f>IFERROR(__xludf.DUMMYFUNCTION("GOOGLETRANSLATE(B682,""en"",""te"")"),"ఎత్తు డేటాను పొందడంలో విఫలమైంది")</f>
        <v>ఎత్తు డేటాను పొందడంలో విఫలమైంది</v>
      </c>
      <c r="V682" s="4" t="str">
        <f>IFERROR(__xludf.DUMMYFUNCTION("GOOGLETRANSLATE(B682,""en"",""kn"")"),"ಎತ್ತರದ ಡೇಟಾವನ್ನು ಪಡೆದುಕೊಳ್ಳಲು ವಿಫಲವಾಗಿದೆ")</f>
        <v>ಎತ್ತರದ ಡೇಟಾವನ್ನು ಪಡೆದುಕೊಳ್ಳಲು ವಿಫಲವಾಗಿದೆ</v>
      </c>
      <c r="W682" s="4" t="str">
        <f>IFERROR(__xludf.DUMMYFUNCTION("GOOGLETRANSLATE(B682,""en"",""ml"")"),"ഉയരത്തിലുള്ള ഡാറ്റ ലഭ്യമാക്കുന്നതിൽ പരാജയപ്പെട്ടു")</f>
        <v>ഉയരത്തിലുള്ള ഡാറ്റ ലഭ്യമാക്കുന്നതിൽ പരാജയപ്പെട്ടു</v>
      </c>
      <c r="X682" s="4" t="str">
        <f>IFERROR(__xludf.DUMMYFUNCTION("GOOGLETRANSLATE(B682,""en"",""th"")"),"ไม่สามารถดึงข้อมูลระดับความสูงได้")</f>
        <v>ไม่สามารถดึงข้อมูลระดับความสูงได้</v>
      </c>
      <c r="Y682" s="4" t="str">
        <f>IFERROR(__xludf.DUMMYFUNCTION("GOOGLETRANSLATE(B682,""en"",""ko"")"),"고도 데이터를 가져오지 못했습니다.")</f>
        <v>고도 데이터를 가져오지 못했습니다.</v>
      </c>
      <c r="Z682" s="4" t="str">
        <f>IFERROR(__xludf.DUMMYFUNCTION("GOOGLETRANSLATE(B682,""en"",""zh"")"),"无法获取海拔数据")</f>
        <v>无法获取海拔数据</v>
      </c>
      <c r="AA682" s="4" t="str">
        <f>IFERROR(__xludf.DUMMYFUNCTION("GOOGLETRANSLATE(B682,""en"",""zh-TW"")"),"無法取得海拔數據")</f>
        <v>無法取得海拔數據</v>
      </c>
      <c r="AB682" s="4" t="str">
        <f>IFERROR(__xludf.DUMMYFUNCTION("GOOGLETRANSLATE(B682,""en"",""ja"")"),"高度データの取得に失敗しました")</f>
        <v>高度データの取得に失敗しました</v>
      </c>
      <c r="AC682" s="4" t="str">
        <f>IFERROR(__xludf.DUMMYFUNCTION("GOOGLETRANSLATE(B682,""en"",""bg"")"),"Неуспешно извличане на данни за надморска височина")</f>
        <v>Неуспешно извличане на данни за надморска височина</v>
      </c>
      <c r="AD682" s="4" t="str">
        <f>IFERROR(__xludf.DUMMYFUNCTION("GOOGLETRANSLATE(B682,""en"",""cs"")"),"Nepodařilo se načíst údaje o nadmořské výšce")</f>
        <v>Nepodařilo se načíst údaje o nadmořské výšce</v>
      </c>
      <c r="AE682" s="4" t="str">
        <f>IFERROR(__xludf.DUMMYFUNCTION("GOOGLETRANSLATE(B682,""en"",""da"")"),"Kunne ikke hente højdedata")</f>
        <v>Kunne ikke hente højdedata</v>
      </c>
      <c r="AF682" s="4" t="str">
        <f>IFERROR(__xludf.DUMMYFUNCTION("GOOGLETRANSLATE(B682,""en"",""el"")"),"Απέτυχε η ανάκτηση δεδομένων υψομέτρου")</f>
        <v>Απέτυχε η ανάκτηση δεδομένων υψομέτρου</v>
      </c>
      <c r="AG682" s="4" t="str">
        <f>IFERROR(__xludf.DUMMYFUNCTION("GOOGLETRANSLATE(B682,""en"",""et"")"),"Kõrguse andmete toomine ebaõnnestus")</f>
        <v>Kõrguse andmete toomine ebaõnnestus</v>
      </c>
      <c r="AH682" s="4" t="str">
        <f>IFERROR(__xludf.DUMMYFUNCTION("GOOGLETRANSLATE(B682,""en"",""fi"")"),"Korkeustietojen nouto epäonnistui")</f>
        <v>Korkeustietojen nouto epäonnistui</v>
      </c>
      <c r="AI682" s="4" t="str">
        <f>IFERROR(__xludf.DUMMYFUNCTION("GOOGLETRANSLATE(B682,""en"",""hr"")"),"Dohvaćanje podataka o visini nije uspjelo")</f>
        <v>Dohvaćanje podataka o visini nije uspjelo</v>
      </c>
      <c r="AJ682" s="4" t="str">
        <f>IFERROR(__xludf.DUMMYFUNCTION("GOOGLETRANSLATE(B682,""en"",""hu"")"),"Nem sikerült lekérni a magassági adatokat")</f>
        <v>Nem sikerült lekérni a magassági adatokat</v>
      </c>
      <c r="AK682" s="4" t="str">
        <f>IFERROR(__xludf.DUMMYFUNCTION("GOOGLETRANSLATE(B682,""en"",""hy"")"),"Չհաջողվեց բեռնել բարձրության տվյալները")</f>
        <v>Չհաջողվեց բեռնել բարձրության տվյալները</v>
      </c>
      <c r="AL682" s="4" t="str">
        <f>IFERROR(__xludf.DUMMYFUNCTION("GOOGLETRANSLATE(B682,""en"",""ca"")"),"No s'han pogut obtenir les dades d'altitud")</f>
        <v>No s'han pogut obtenir les dades d'altitud</v>
      </c>
      <c r="AM682" s="4" t="str">
        <f>IFERROR(__xludf.DUMMYFUNCTION("GOOGLETRANSLATE(B682,""en"",""nl"")"),"Hoogtegegevens konden niet worden opgehaald")</f>
        <v>Hoogtegegevens konden niet worden opgehaald</v>
      </c>
      <c r="AN682" s="4" t="str">
        <f>IFERROR(__xludf.DUMMYFUNCTION("GOOGLETRANSLATE(B682,""en"",""he"")"),"אחזור נתוני הגובה נכשל")</f>
        <v>אחזור נתוני הגובה נכשל</v>
      </c>
      <c r="AO682" s="4" t="str">
        <f>IFERROR(__xludf.DUMMYFUNCTION("GOOGLETRANSLATE(B682,""en"",""is"")"),"Mistókst að sækja hæðargögn")</f>
        <v>Mistókst að sækja hæðargögn</v>
      </c>
      <c r="AP682" s="4" t="str">
        <f>IFERROR(__xludf.DUMMYFUNCTION("GOOGLETRANSLATE(B682,""en"",""no"")"),"Kunne ikke hente høydedata")</f>
        <v>Kunne ikke hente høydedata</v>
      </c>
      <c r="AQ682" s="4" t="str">
        <f>IFERROR(__xludf.DUMMYFUNCTION("GOOGLETRANSLATE(B682,""en"",""fa"")"),"داده های ارتفاع واکشی نشد")</f>
        <v>داده های ارتفاع واکشی نشد</v>
      </c>
      <c r="AR682" s="4" t="str">
        <f>IFERROR(__xludf.DUMMYFUNCTION("GOOGLETRANSLATE(B682,""en"",""pl"")"),"Nie udało się pobrać danych o wysokości")</f>
        <v>Nie udało się pobrać danych o wysokości</v>
      </c>
      <c r="AS682" s="4" t="str">
        <f>IFERROR(__xludf.DUMMYFUNCTION("GOOGLETRANSLATE(B682,""en"",""sv"")"),"Det gick inte att hämta höjddata")</f>
        <v>Det gick inte att hämta höjddata</v>
      </c>
      <c r="AT682" s="4" t="str">
        <f>IFERROR(__xludf.DUMMYFUNCTION("GOOGLETRANSLATE(B682,""en"",""uk"")"),"Не вдалося отримати дані про висоту")</f>
        <v>Не вдалося отримати дані про висоту</v>
      </c>
      <c r="AU682" s="4" t="str">
        <f>IFERROR(__xludf.DUMMYFUNCTION("GOOGLETRANSLATE(B682,""en"",""zu"")"),"Yehlulekile ukulanda idatha ye-altitude")</f>
        <v>Yehlulekile ukulanda idatha ye-altitude</v>
      </c>
      <c r="AV682" s="4" t="str">
        <f>IFERROR(__xludf.DUMMYFUNCTION("GOOGLETRANSLATE(B682,""en"",""sr"")"),"Преузимање података о надморској висини није успело")</f>
        <v>Преузимање података о надморској висини није успело</v>
      </c>
    </row>
    <row r="683">
      <c r="A683" s="3" t="s">
        <v>1294</v>
      </c>
      <c r="B683" s="3" t="s">
        <v>1232</v>
      </c>
      <c r="C683" s="4" t="str">
        <f>IFERROR(__xludf.DUMMYFUNCTION("GOOGLETRANSLATE(B683,""en"",""ta"")"),"சரி")</f>
        <v>சரி</v>
      </c>
      <c r="D683" s="4" t="str">
        <f>IFERROR(__xludf.DUMMYFUNCTION("GOOGLETRANSLATE(B683,""en"",""hi"")"),"ठीक है")</f>
        <v>ठीक है</v>
      </c>
      <c r="E683" s="4" t="str">
        <f>IFERROR(__xludf.DUMMYFUNCTION("GOOGLETRANSLATE(B683,""en"",""id"")"),"OKE")</f>
        <v>OKE</v>
      </c>
      <c r="F683" s="4" t="str">
        <f>IFERROR(__xludf.DUMMYFUNCTION("GOOGLETRANSLATE(B683,""en"",""ms"")"),"OK")</f>
        <v>OK</v>
      </c>
      <c r="G683" s="4" t="str">
        <f>IFERROR(__xludf.DUMMYFUNCTION("GOOGLETRANSLATE(B683,""en"",""de"")"),"OK")</f>
        <v>OK</v>
      </c>
      <c r="H683" s="4" t="str">
        <f>IFERROR(__xludf.DUMMYFUNCTION("GOOGLETRANSLATE(B683,""en"",""es"")"),"DE ACUERDO")</f>
        <v>DE ACUERDO</v>
      </c>
      <c r="I683" s="4" t="str">
        <f>IFERROR(__xludf.DUMMYFUNCTION("GOOGLETRANSLATE(B683,""en"",""fr"")"),"D'ACCORD")</f>
        <v>D'ACCORD</v>
      </c>
      <c r="J683" s="4" t="str">
        <f>IFERROR(__xludf.DUMMYFUNCTION("GOOGLETRANSLATE(B683,""en"",""it"")"),"OK")</f>
        <v>OK</v>
      </c>
      <c r="K683" s="4" t="str">
        <f>IFERROR(__xludf.DUMMYFUNCTION("GOOGLETRANSLATE(B683,""en"",""pt"")"),"OK")</f>
        <v>OK</v>
      </c>
      <c r="L683" s="4" t="str">
        <f>IFERROR(__xludf.DUMMYFUNCTION("GOOGLETRANSLATE(B683,""en"",""ro"")"),"Bine")</f>
        <v>Bine</v>
      </c>
      <c r="M683" s="4" t="str">
        <f>IFERROR(__xludf.DUMMYFUNCTION("GOOGLETRANSLATE(B683,""en"",""vi"")"),"ĐƯỢC RỒI")</f>
        <v>ĐƯỢC RỒI</v>
      </c>
      <c r="N683" s="4" t="str">
        <f>IFERROR(__xludf.DUMMYFUNCTION("GOOGLETRANSLATE(B683,""en"",""ru"")"),"ХОРОШО")</f>
        <v>ХОРОШО</v>
      </c>
      <c r="O683" s="4" t="str">
        <f>IFERROR(__xludf.DUMMYFUNCTION("GOOGLETRANSLATE(B683,""en"",""tr"")"),"TAMAM")</f>
        <v>TAMAM</v>
      </c>
      <c r="P683" s="4" t="str">
        <f>IFERROR(__xludf.DUMMYFUNCTION("GOOGLETRANSLATE(B683,""en"",""ar"")"),"نعم")</f>
        <v>نعم</v>
      </c>
      <c r="Q683" s="4" t="str">
        <f>IFERROR(__xludf.DUMMYFUNCTION("GOOGLETRANSLATE(B683,""en"",""mr"")"),"ठीक आहे")</f>
        <v>ठीक आहे</v>
      </c>
      <c r="R683" s="4" t="str">
        <f>IFERROR(__xludf.DUMMYFUNCTION("GOOGLETRANSLATE(B683,""en"",""gu"")"),"ઠીક છે")</f>
        <v>ઠીક છે</v>
      </c>
      <c r="S683" s="4" t="str">
        <f>IFERROR(__xludf.DUMMYFUNCTION("GOOGLETRANSLATE(B683,""en"",""bn"")"),"ঠিক আছে")</f>
        <v>ঠিক আছে</v>
      </c>
      <c r="T683" s="4" t="str">
        <f>IFERROR(__xludf.DUMMYFUNCTION("GOOGLETRANSLATE(B683,""en"",""pa"")"),"ਠੀਕ ਹੈ")</f>
        <v>ਠੀਕ ਹੈ</v>
      </c>
      <c r="U683" s="4" t="str">
        <f>IFERROR(__xludf.DUMMYFUNCTION("GOOGLETRANSLATE(B683,""en"",""te"")"),"సరే")</f>
        <v>సరే</v>
      </c>
      <c r="V683" s="4" t="str">
        <f>IFERROR(__xludf.DUMMYFUNCTION("GOOGLETRANSLATE(B683,""en"",""kn"")"),"ಸರಿ")</f>
        <v>ಸರಿ</v>
      </c>
      <c r="W683" s="4" t="str">
        <f>IFERROR(__xludf.DUMMYFUNCTION("GOOGLETRANSLATE(B683,""en"",""ml"")"),"ശരി")</f>
        <v>ശരി</v>
      </c>
      <c r="X683" s="4" t="str">
        <f>IFERROR(__xludf.DUMMYFUNCTION("GOOGLETRANSLATE(B683,""en"",""th"")"),"ตกลง")</f>
        <v>ตกลง</v>
      </c>
      <c r="Y683" s="4" t="str">
        <f>IFERROR(__xludf.DUMMYFUNCTION("GOOGLETRANSLATE(B683,""en"",""ko"")"),"좋아요")</f>
        <v>좋아요</v>
      </c>
      <c r="Z683" s="4" t="str">
        <f>IFERROR(__xludf.DUMMYFUNCTION("GOOGLETRANSLATE(B683,""en"",""zh"")"),"好的")</f>
        <v>好的</v>
      </c>
      <c r="AA683" s="4" t="str">
        <f>IFERROR(__xludf.DUMMYFUNCTION("GOOGLETRANSLATE(B683,""en"",""zh-TW"")"),"好的")</f>
        <v>好的</v>
      </c>
      <c r="AB683" s="4" t="str">
        <f>IFERROR(__xludf.DUMMYFUNCTION("GOOGLETRANSLATE(B683,""en"",""ja"")"),"わかりました")</f>
        <v>わかりました</v>
      </c>
      <c r="AC683" s="4" t="str">
        <f>IFERROR(__xludf.DUMMYFUNCTION("GOOGLETRANSLATE(B683,""en"",""bg"")"),"добре")</f>
        <v>добре</v>
      </c>
      <c r="AD683" s="4" t="str">
        <f>IFERROR(__xludf.DUMMYFUNCTION("GOOGLETRANSLATE(B683,""en"",""cs"")"),"OK")</f>
        <v>OK</v>
      </c>
      <c r="AE683" s="4" t="str">
        <f>IFERROR(__xludf.DUMMYFUNCTION("GOOGLETRANSLATE(B683,""en"",""da"")"),"OK")</f>
        <v>OK</v>
      </c>
      <c r="AF683" s="4" t="str">
        <f>IFERROR(__xludf.DUMMYFUNCTION("GOOGLETRANSLATE(B683,""en"",""el"")"),"ΕΝΤΑΞΕΙ")</f>
        <v>ΕΝΤΑΞΕΙ</v>
      </c>
      <c r="AG683" s="4" t="str">
        <f>IFERROR(__xludf.DUMMYFUNCTION("GOOGLETRANSLATE(B683,""en"",""et"")"),"OK")</f>
        <v>OK</v>
      </c>
      <c r="AH683" s="4" t="str">
        <f>IFERROR(__xludf.DUMMYFUNCTION("GOOGLETRANSLATE(B683,""en"",""fi"")"),"OK")</f>
        <v>OK</v>
      </c>
      <c r="AI683" s="4" t="str">
        <f>IFERROR(__xludf.DUMMYFUNCTION("GOOGLETRANSLATE(B683,""en"",""hr"")"),"U REDU")</f>
        <v>U REDU</v>
      </c>
      <c r="AJ683" s="4" t="str">
        <f>IFERROR(__xludf.DUMMYFUNCTION("GOOGLETRANSLATE(B683,""en"",""hu"")"),"RENDBEN")</f>
        <v>RENDBEN</v>
      </c>
      <c r="AK683" s="4" t="str">
        <f>IFERROR(__xludf.DUMMYFUNCTION("GOOGLETRANSLATE(B683,""en"",""hy"")"),"Լավ")</f>
        <v>Լավ</v>
      </c>
      <c r="AL683" s="4" t="str">
        <f>IFERROR(__xludf.DUMMYFUNCTION("GOOGLETRANSLATE(B683,""en"",""ca"")"),"D'acord")</f>
        <v>D'acord</v>
      </c>
      <c r="AM683" s="4" t="str">
        <f>IFERROR(__xludf.DUMMYFUNCTION("GOOGLETRANSLATE(B683,""en"",""nl"")"),"OK")</f>
        <v>OK</v>
      </c>
      <c r="AN683" s="4" t="str">
        <f>IFERROR(__xludf.DUMMYFUNCTION("GOOGLETRANSLATE(B683,""en"",""he"")"),"בְּסֵדֶר")</f>
        <v>בְּסֵדֶר</v>
      </c>
      <c r="AO683" s="4" t="str">
        <f>IFERROR(__xludf.DUMMYFUNCTION("GOOGLETRANSLATE(B683,""en"",""is"")"),"Allt í lagi")</f>
        <v>Allt í lagi</v>
      </c>
      <c r="AP683" s="4" t="str">
        <f>IFERROR(__xludf.DUMMYFUNCTION("GOOGLETRANSLATE(B683,""en"",""no"")"),"OK")</f>
        <v>OK</v>
      </c>
      <c r="AQ683" s="4" t="str">
        <f>IFERROR(__xludf.DUMMYFUNCTION("GOOGLETRANSLATE(B683,""en"",""fa"")"),"باشه")</f>
        <v>باشه</v>
      </c>
      <c r="AR683" s="4" t="str">
        <f>IFERROR(__xludf.DUMMYFUNCTION("GOOGLETRANSLATE(B683,""en"",""pl"")"),"OK")</f>
        <v>OK</v>
      </c>
      <c r="AS683" s="4" t="str">
        <f>IFERROR(__xludf.DUMMYFUNCTION("GOOGLETRANSLATE(B683,""en"",""sv"")"),"OK")</f>
        <v>OK</v>
      </c>
      <c r="AT683" s="4" t="str">
        <f>IFERROR(__xludf.DUMMYFUNCTION("GOOGLETRANSLATE(B683,""en"",""uk"")"),"добре")</f>
        <v>добре</v>
      </c>
      <c r="AU683" s="4" t="str">
        <f>IFERROR(__xludf.DUMMYFUNCTION("GOOGLETRANSLATE(B683,""en"",""zu"")"),"KULUNGILE")</f>
        <v>KULUNGILE</v>
      </c>
      <c r="AV683" s="4" t="str">
        <f>IFERROR(__xludf.DUMMYFUNCTION("GOOGLETRANSLATE(B683,""en"",""sr"")"),"ОК")</f>
        <v>ОК</v>
      </c>
    </row>
    <row r="684">
      <c r="A684" s="3" t="s">
        <v>1295</v>
      </c>
      <c r="B684" s="3" t="s">
        <v>395</v>
      </c>
      <c r="C684" s="4" t="str">
        <f>IFERROR(__xludf.DUMMYFUNCTION("GOOGLETRANSLATE(B684,""en"",""ta"")"),"மீட்டர் (மீ)")</f>
        <v>மீட்டர் (மீ)</v>
      </c>
      <c r="D684" s="4" t="str">
        <f>IFERROR(__xludf.DUMMYFUNCTION("GOOGLETRANSLATE(B684,""en"",""hi"")"),"मीटर (मी)")</f>
        <v>मीटर (मी)</v>
      </c>
      <c r="E684" s="4" t="str">
        <f>IFERROR(__xludf.DUMMYFUNCTION("GOOGLETRANSLATE(B684,""en"",""id"")"),"Meter (m)")</f>
        <v>Meter (m)</v>
      </c>
      <c r="F684" s="4" t="str">
        <f>IFERROR(__xludf.DUMMYFUNCTION("GOOGLETRANSLATE(B684,""en"",""ms"")"),"Meter (m)")</f>
        <v>Meter (m)</v>
      </c>
      <c r="G684" s="4" t="str">
        <f>IFERROR(__xludf.DUMMYFUNCTION("GOOGLETRANSLATE(B684,""en"",""de"")"),"Meter (m)")</f>
        <v>Meter (m)</v>
      </c>
      <c r="H684" s="4" t="str">
        <f>IFERROR(__xludf.DUMMYFUNCTION("GOOGLETRANSLATE(B684,""en"",""es"")"),"Metros (m)")</f>
        <v>Metros (m)</v>
      </c>
      <c r="I684" s="4" t="str">
        <f>IFERROR(__xludf.DUMMYFUNCTION("GOOGLETRANSLATE(B684,""en"",""fr"")"),"Mètres (m)")</f>
        <v>Mètres (m)</v>
      </c>
      <c r="J684" s="4" t="str">
        <f>IFERROR(__xludf.DUMMYFUNCTION("GOOGLETRANSLATE(B684,""en"",""it"")"),"Metri (m)")</f>
        <v>Metri (m)</v>
      </c>
      <c r="K684" s="4" t="str">
        <f>IFERROR(__xludf.DUMMYFUNCTION("GOOGLETRANSLATE(B684,""en"",""pt"")"),"Metros (m)")</f>
        <v>Metros (m)</v>
      </c>
      <c r="L684" s="4" t="str">
        <f>IFERROR(__xludf.DUMMYFUNCTION("GOOGLETRANSLATE(B684,""en"",""ro"")"),"metri (m)")</f>
        <v>metri (m)</v>
      </c>
      <c r="M684" s="4" t="str">
        <f>IFERROR(__xludf.DUMMYFUNCTION("GOOGLETRANSLATE(B684,""en"",""vi"")"),"Mét (m)")</f>
        <v>Mét (m)</v>
      </c>
      <c r="N684" s="4" t="str">
        <f>IFERROR(__xludf.DUMMYFUNCTION("GOOGLETRANSLATE(B684,""en"",""ru"")"),"Метры (м)")</f>
        <v>Метры (м)</v>
      </c>
      <c r="O684" s="4" t="str">
        <f>IFERROR(__xludf.DUMMYFUNCTION("GOOGLETRANSLATE(B684,""en"",""tr"")"),"Metre (m)")</f>
        <v>Metre (m)</v>
      </c>
      <c r="P684" s="4" t="str">
        <f>IFERROR(__xludf.DUMMYFUNCTION("GOOGLETRANSLATE(B684,""en"",""ar"")"),"أمتار (م)")</f>
        <v>أمتار (م)</v>
      </c>
      <c r="Q684" s="4" t="str">
        <f>IFERROR(__xludf.DUMMYFUNCTION("GOOGLETRANSLATE(B684,""en"",""mr"")"),"मीटर (मी)")</f>
        <v>मीटर (मी)</v>
      </c>
      <c r="R684" s="4" t="str">
        <f>IFERROR(__xludf.DUMMYFUNCTION("GOOGLETRANSLATE(B684,""en"",""gu"")"),"મીટર (મી)")</f>
        <v>મીટર (મી)</v>
      </c>
      <c r="S684" s="4" t="str">
        <f>IFERROR(__xludf.DUMMYFUNCTION("GOOGLETRANSLATE(B684,""en"",""bn"")"),"মিটার (মি)")</f>
        <v>মিটার (মি)</v>
      </c>
      <c r="T684" s="4" t="str">
        <f>IFERROR(__xludf.DUMMYFUNCTION("GOOGLETRANSLATE(B684,""en"",""pa"")"),"ਮੀਟਰ (m)")</f>
        <v>ਮੀਟਰ (m)</v>
      </c>
      <c r="U684" s="4" t="str">
        <f>IFERROR(__xludf.DUMMYFUNCTION("GOOGLETRANSLATE(B684,""en"",""te"")"),"మీటర్లు (మీ)")</f>
        <v>మీటర్లు (మీ)</v>
      </c>
      <c r="V684" s="4" t="str">
        <f>IFERROR(__xludf.DUMMYFUNCTION("GOOGLETRANSLATE(B684,""en"",""kn"")"),"ಮೀಟರ್ (ಮೀ)")</f>
        <v>ಮೀಟರ್ (ಮೀ)</v>
      </c>
      <c r="W684" s="4" t="str">
        <f>IFERROR(__xludf.DUMMYFUNCTION("GOOGLETRANSLATE(B684,""en"",""ml"")"),"മീറ്റർ (മീ)")</f>
        <v>മീറ്റർ (മീ)</v>
      </c>
      <c r="X684" s="4" t="str">
        <f>IFERROR(__xludf.DUMMYFUNCTION("GOOGLETRANSLATE(B684,""en"",""th"")"),"เมตร (ม.)")</f>
        <v>เมตร (ม.)</v>
      </c>
      <c r="Y684" s="4" t="str">
        <f>IFERROR(__xludf.DUMMYFUNCTION("GOOGLETRANSLATE(B684,""en"",""ko"")"),"미터(m)")</f>
        <v>미터(m)</v>
      </c>
      <c r="Z684" s="4" t="str">
        <f>IFERROR(__xludf.DUMMYFUNCTION("GOOGLETRANSLATE(B684,""en"",""zh"")"),"米（m）")</f>
        <v>米（m）</v>
      </c>
      <c r="AA684" s="4" t="str">
        <f>IFERROR(__xludf.DUMMYFUNCTION("GOOGLETRANSLATE(B684,""en"",""zh-TW"")"),"米（m）")</f>
        <v>米（m）</v>
      </c>
      <c r="AB684" s="4" t="str">
        <f>IFERROR(__xludf.DUMMYFUNCTION("GOOGLETRANSLATE(B684,""en"",""ja"")"),"メートル（m）")</f>
        <v>メートル（m）</v>
      </c>
      <c r="AC684" s="4" t="str">
        <f>IFERROR(__xludf.DUMMYFUNCTION("GOOGLETRANSLATE(B684,""en"",""bg"")"),"Метри (m)")</f>
        <v>Метри (m)</v>
      </c>
      <c r="AD684" s="4" t="str">
        <f>IFERROR(__xludf.DUMMYFUNCTION("GOOGLETRANSLATE(B684,""en"",""cs"")"),"metry (m)")</f>
        <v>metry (m)</v>
      </c>
      <c r="AE684" s="4" t="str">
        <f>IFERROR(__xludf.DUMMYFUNCTION("GOOGLETRANSLATE(B684,""en"",""da"")"),"Meter (m)")</f>
        <v>Meter (m)</v>
      </c>
      <c r="AF684" s="4" t="str">
        <f>IFERROR(__xludf.DUMMYFUNCTION("GOOGLETRANSLATE(B684,""en"",""el"")"),"Μέτρα (m)")</f>
        <v>Μέτρα (m)</v>
      </c>
      <c r="AG684" s="4" t="str">
        <f>IFERROR(__xludf.DUMMYFUNCTION("GOOGLETRANSLATE(B684,""en"",""et"")"),"Meetrid (m)")</f>
        <v>Meetrid (m)</v>
      </c>
      <c r="AH684" s="4" t="str">
        <f>IFERROR(__xludf.DUMMYFUNCTION("GOOGLETRANSLATE(B684,""en"",""fi"")"),"Metriä (m)")</f>
        <v>Metriä (m)</v>
      </c>
      <c r="AI684" s="4" t="str">
        <f>IFERROR(__xludf.DUMMYFUNCTION("GOOGLETRANSLATE(B684,""en"",""hr"")"),"Metri (m)")</f>
        <v>Metri (m)</v>
      </c>
      <c r="AJ684" s="4" t="str">
        <f>IFERROR(__xludf.DUMMYFUNCTION("GOOGLETRANSLATE(B684,""en"",""hu"")"),"Méter (m)")</f>
        <v>Méter (m)</v>
      </c>
      <c r="AK684" s="4" t="str">
        <f>IFERROR(__xludf.DUMMYFUNCTION("GOOGLETRANSLATE(B684,""en"",""hy"")"),"Մետր (մ)")</f>
        <v>Մետր (մ)</v>
      </c>
      <c r="AL684" s="4" t="str">
        <f>IFERROR(__xludf.DUMMYFUNCTION("GOOGLETRANSLATE(B684,""en"",""ca"")"),"metres (m)")</f>
        <v>metres (m)</v>
      </c>
      <c r="AM684" s="4" t="str">
        <f>IFERROR(__xludf.DUMMYFUNCTION("GOOGLETRANSLATE(B684,""en"",""nl"")"),"Meter (m)")</f>
        <v>Meter (m)</v>
      </c>
      <c r="AN684" s="4" t="str">
        <f>IFERROR(__xludf.DUMMYFUNCTION("GOOGLETRANSLATE(B684,""en"",""he"")"),"מטרים (מ')")</f>
        <v>מטרים (מ')</v>
      </c>
      <c r="AO684" s="4" t="str">
        <f>IFERROR(__xludf.DUMMYFUNCTION("GOOGLETRANSLATE(B684,""en"",""is"")"),"Metrar (m)")</f>
        <v>Metrar (m)</v>
      </c>
      <c r="AP684" s="4" t="str">
        <f>IFERROR(__xludf.DUMMYFUNCTION("GOOGLETRANSLATE(B684,""en"",""no"")"),"Meter (m)")</f>
        <v>Meter (m)</v>
      </c>
      <c r="AQ684" s="4" t="str">
        <f>IFERROR(__xludf.DUMMYFUNCTION("GOOGLETRANSLATE(B684,""en"",""fa"")"),"متر (متر)")</f>
        <v>متر (متر)</v>
      </c>
      <c r="AR684" s="4" t="str">
        <f>IFERROR(__xludf.DUMMYFUNCTION("GOOGLETRANSLATE(B684,""en"",""pl"")"),"Metry (m)")</f>
        <v>Metry (m)</v>
      </c>
      <c r="AS684" s="4" t="str">
        <f>IFERROR(__xludf.DUMMYFUNCTION("GOOGLETRANSLATE(B684,""en"",""sv"")"),"Meter (m)")</f>
        <v>Meter (m)</v>
      </c>
      <c r="AT684" s="4" t="str">
        <f>IFERROR(__xludf.DUMMYFUNCTION("GOOGLETRANSLATE(B684,""en"",""uk"")"),"Метри (м)")</f>
        <v>Метри (м)</v>
      </c>
      <c r="AU684" s="4" t="str">
        <f>IFERROR(__xludf.DUMMYFUNCTION("GOOGLETRANSLATE(B684,""en"",""zu"")"),"Amamitha (m)")</f>
        <v>Amamitha (m)</v>
      </c>
      <c r="AV684" s="4" t="str">
        <f>IFERROR(__xludf.DUMMYFUNCTION("GOOGLETRANSLATE(B684,""en"",""sr"")"),"метри (м)")</f>
        <v>метри (м)</v>
      </c>
    </row>
    <row r="685">
      <c r="A685" s="3" t="s">
        <v>1296</v>
      </c>
      <c r="B685" s="3" t="s">
        <v>1297</v>
      </c>
      <c r="C685" s="4" t="str">
        <f>IFERROR(__xludf.DUMMYFUNCTION("GOOGLETRANSLATE(B685,""en"",""ta"")"),"அடி (அடி)")</f>
        <v>அடி (அடி)</v>
      </c>
      <c r="D685" s="4" t="str">
        <f>IFERROR(__xludf.DUMMYFUNCTION("GOOGLETRANSLATE(B685,""en"",""hi"")"),"फीट (फीट)")</f>
        <v>फीट (फीट)</v>
      </c>
      <c r="E685" s="4" t="str">
        <f>IFERROR(__xludf.DUMMYFUNCTION("GOOGLETRANSLATE(B685,""en"",""id"")"),"Kaki (ft)")</f>
        <v>Kaki (ft)</v>
      </c>
      <c r="F685" s="4" t="str">
        <f>IFERROR(__xludf.DUMMYFUNCTION("GOOGLETRANSLATE(B685,""en"",""ms"")"),"Kaki (kaki)")</f>
        <v>Kaki (kaki)</v>
      </c>
      <c r="G685" s="4" t="str">
        <f>IFERROR(__xludf.DUMMYFUNCTION("GOOGLETRANSLATE(B685,""en"",""de"")"),"Fuß (ft)")</f>
        <v>Fuß (ft)</v>
      </c>
      <c r="H685" s="4" t="str">
        <f>IFERROR(__xludf.DUMMYFUNCTION("GOOGLETRANSLATE(B685,""en"",""es"")"),"Pies (ft)")</f>
        <v>Pies (ft)</v>
      </c>
      <c r="I685" s="4" t="str">
        <f>IFERROR(__xludf.DUMMYFUNCTION("GOOGLETRANSLATE(B685,""en"",""fr"")"),"Pieds (ft)")</f>
        <v>Pieds (ft)</v>
      </c>
      <c r="J685" s="4" t="str">
        <f>IFERROR(__xludf.DUMMYFUNCTION("GOOGLETRANSLATE(B685,""en"",""it"")"),"Piedi (ft)")</f>
        <v>Piedi (ft)</v>
      </c>
      <c r="K685" s="4" t="str">
        <f>IFERROR(__xludf.DUMMYFUNCTION("GOOGLETRANSLATE(B685,""en"",""pt"")"),"Pés (ft)")</f>
        <v>Pés (ft)</v>
      </c>
      <c r="L685" s="4" t="str">
        <f>IFERROR(__xludf.DUMMYFUNCTION("GOOGLETRANSLATE(B685,""en"",""ro"")"),"Picioare (ft)")</f>
        <v>Picioare (ft)</v>
      </c>
      <c r="M685" s="4" t="str">
        <f>IFERROR(__xludf.DUMMYFUNCTION("GOOGLETRANSLATE(B685,""en"",""vi"")"),"Bàn chân (ft)")</f>
        <v>Bàn chân (ft)</v>
      </c>
      <c r="N685" s="4" t="str">
        <f>IFERROR(__xludf.DUMMYFUNCTION("GOOGLETRANSLATE(B685,""en"",""ru"")"),"Футы (футы)")</f>
        <v>Футы (футы)</v>
      </c>
      <c r="O685" s="4" t="str">
        <f>IFERROR(__xludf.DUMMYFUNCTION("GOOGLETRANSLATE(B685,""en"",""tr"")"),"Ayak (ft)")</f>
        <v>Ayak (ft)</v>
      </c>
      <c r="P685" s="4" t="str">
        <f>IFERROR(__xludf.DUMMYFUNCTION("GOOGLETRANSLATE(B685,""en"",""ar"")"),"أقدام (قدم)")</f>
        <v>أقدام (قدم)</v>
      </c>
      <c r="Q685" s="4" t="str">
        <f>IFERROR(__xludf.DUMMYFUNCTION("GOOGLETRANSLATE(B685,""en"",""mr"")"),"फूट (फूट)")</f>
        <v>फूट (फूट)</v>
      </c>
      <c r="R685" s="4" t="str">
        <f>IFERROR(__xludf.DUMMYFUNCTION("GOOGLETRANSLATE(B685,""en"",""gu"")"),"ફીટ (ફૂટ)")</f>
        <v>ફીટ (ફૂટ)</v>
      </c>
      <c r="S685" s="4" t="str">
        <f>IFERROR(__xludf.DUMMYFUNCTION("GOOGLETRANSLATE(B685,""en"",""bn"")"),"ফুট (ফুট)")</f>
        <v>ফুট (ফুট)</v>
      </c>
      <c r="T685" s="4" t="str">
        <f>IFERROR(__xludf.DUMMYFUNCTION("GOOGLETRANSLATE(B685,""en"",""pa"")"),"ਪੈਰ (ਫੁੱਟ)")</f>
        <v>ਪੈਰ (ਫੁੱਟ)</v>
      </c>
      <c r="U685" s="4" t="str">
        <f>IFERROR(__xludf.DUMMYFUNCTION("GOOGLETRANSLATE(B685,""en"",""te"")"),"అడుగులు (అడుగులు)")</f>
        <v>అడుగులు (అడుగులు)</v>
      </c>
      <c r="V685" s="4" t="str">
        <f>IFERROR(__xludf.DUMMYFUNCTION("GOOGLETRANSLATE(B685,""en"",""kn"")"),"ಅಡಿ (ಅಡಿ)")</f>
        <v>ಅಡಿ (ಅಡಿ)</v>
      </c>
      <c r="W685" s="4" t="str">
        <f>IFERROR(__xludf.DUMMYFUNCTION("GOOGLETRANSLATE(B685,""en"",""ml"")"),"അടി (അടി)")</f>
        <v>അടി (അടി)</v>
      </c>
      <c r="X685" s="4" t="str">
        <f>IFERROR(__xludf.DUMMYFUNCTION("GOOGLETRANSLATE(B685,""en"",""th"")"),"ฟุต (ฟุต)")</f>
        <v>ฟุต (ฟุต)</v>
      </c>
      <c r="Y685" s="4" t="str">
        <f>IFERROR(__xludf.DUMMYFUNCTION("GOOGLETRANSLATE(B685,""en"",""ko"")"),"피트(ft)")</f>
        <v>피트(ft)</v>
      </c>
      <c r="Z685" s="4" t="str">
        <f>IFERROR(__xludf.DUMMYFUNCTION("GOOGLETRANSLATE(B685,""en"",""zh"")"),"英尺（ft）")</f>
        <v>英尺（ft）</v>
      </c>
      <c r="AA685" s="4" t="str">
        <f>IFERROR(__xludf.DUMMYFUNCTION("GOOGLETRANSLATE(B685,""en"",""zh-TW"")"),"英尺（ft）")</f>
        <v>英尺（ft）</v>
      </c>
      <c r="AB685" s="4" t="str">
        <f>IFERROR(__xludf.DUMMYFUNCTION("GOOGLETRANSLATE(B685,""en"",""ja"")"),"フィート（ft）")</f>
        <v>フィート（ft）</v>
      </c>
      <c r="AC685" s="4" t="str">
        <f>IFERROR(__xludf.DUMMYFUNCTION("GOOGLETRANSLATE(B685,""en"",""bg"")"),"футове (фута)")</f>
        <v>футове (фута)</v>
      </c>
      <c r="AD685" s="4" t="str">
        <f>IFERROR(__xludf.DUMMYFUNCTION("GOOGLETRANSLATE(B685,""en"",""cs"")"),"nohy (ft)")</f>
        <v>nohy (ft)</v>
      </c>
      <c r="AE685" s="4" t="str">
        <f>IFERROR(__xludf.DUMMYFUNCTION("GOOGLETRANSLATE(B685,""en"",""da"")"),"Fødder (ft)")</f>
        <v>Fødder (ft)</v>
      </c>
      <c r="AF685" s="4" t="str">
        <f>IFERROR(__xludf.DUMMYFUNCTION("GOOGLETRANSLATE(B685,""en"",""el"")"),"Πόδια (ft)")</f>
        <v>Πόδια (ft)</v>
      </c>
      <c r="AG685" s="4" t="str">
        <f>IFERROR(__xludf.DUMMYFUNCTION("GOOGLETRANSLATE(B685,""en"",""et"")"),"Jalad (jalad)")</f>
        <v>Jalad (jalad)</v>
      </c>
      <c r="AH685" s="4" t="str">
        <f>IFERROR(__xludf.DUMMYFUNCTION("GOOGLETRANSLATE(B685,""en"",""fi"")"),"Jalat (ft)")</f>
        <v>Jalat (ft)</v>
      </c>
      <c r="AI685" s="4" t="str">
        <f>IFERROR(__xludf.DUMMYFUNCTION("GOOGLETRANSLATE(B685,""en"",""hr"")"),"Stopala (ft)")</f>
        <v>Stopala (ft)</v>
      </c>
      <c r="AJ685" s="4" t="str">
        <f>IFERROR(__xludf.DUMMYFUNCTION("GOOGLETRANSLATE(B685,""en"",""hu"")"),"láb (ft)")</f>
        <v>láb (ft)</v>
      </c>
      <c r="AK685" s="4" t="str">
        <f>IFERROR(__xludf.DUMMYFUNCTION("GOOGLETRANSLATE(B685,""en"",""hy"")"),"Ոտքեր (ֆտ)")</f>
        <v>Ոտքեր (ֆտ)</v>
      </c>
      <c r="AL685" s="4" t="str">
        <f>IFERROR(__xludf.DUMMYFUNCTION("GOOGLETRANSLATE(B685,""en"",""ca"")"),"Peus (fts)")</f>
        <v>Peus (fts)</v>
      </c>
      <c r="AM685" s="4" t="str">
        <f>IFERROR(__xludf.DUMMYFUNCTION("GOOGLETRANSLATE(B685,""en"",""nl"")"),"Voeten (ft)")</f>
        <v>Voeten (ft)</v>
      </c>
      <c r="AN685" s="4" t="str">
        <f>IFERROR(__xludf.DUMMYFUNCTION("GOOGLETRANSLATE(B685,""en"",""he"")"),"רגליים (רגל)")</f>
        <v>רגליים (רגל)</v>
      </c>
      <c r="AO685" s="4" t="str">
        <f>IFERROR(__xludf.DUMMYFUNCTION("GOOGLETRANSLATE(B685,""en"",""is"")"),"Fætur (ft)")</f>
        <v>Fætur (ft)</v>
      </c>
      <c r="AP685" s="4" t="str">
        <f>IFERROR(__xludf.DUMMYFUNCTION("GOOGLETRANSLATE(B685,""en"",""no"")"),"Føtter (ft)")</f>
        <v>Føtter (ft)</v>
      </c>
      <c r="AQ685" s="4" t="str">
        <f>IFERROR(__xludf.DUMMYFUNCTION("GOOGLETRANSLATE(B685,""en"",""fa"")"),"پا (فوت)")</f>
        <v>پا (فوت)</v>
      </c>
      <c r="AR685" s="4" t="str">
        <f>IFERROR(__xludf.DUMMYFUNCTION("GOOGLETRANSLATE(B685,""en"",""pl"")"),"Stopy (ft)")</f>
        <v>Stopy (ft)</v>
      </c>
      <c r="AS685" s="4" t="str">
        <f>IFERROR(__xludf.DUMMYFUNCTION("GOOGLETRANSLATE(B685,""en"",""sv"")"),"Fötter (ft)")</f>
        <v>Fötter (ft)</v>
      </c>
      <c r="AT685" s="4" t="str">
        <f>IFERROR(__xludf.DUMMYFUNCTION("GOOGLETRANSLATE(B685,""en"",""uk"")"),"Фути (фути)")</f>
        <v>Фути (фути)</v>
      </c>
      <c r="AU685" s="4" t="str">
        <f>IFERROR(__xludf.DUMMYFUNCTION("GOOGLETRANSLATE(B685,""en"",""zu"")"),"Izinyawo (ft)")</f>
        <v>Izinyawo (ft)</v>
      </c>
      <c r="AV685" s="4" t="str">
        <f>IFERROR(__xludf.DUMMYFUNCTION("GOOGLETRANSLATE(B685,""en"",""sr"")"),"Стопе (фт)")</f>
        <v>Стопе (фт)</v>
      </c>
    </row>
    <row r="686">
      <c r="A686" s="3" t="s">
        <v>1298</v>
      </c>
      <c r="B686" s="3" t="s">
        <v>1299</v>
      </c>
      <c r="C686" s="4" t="str">
        <f>IFERROR(__xludf.DUMMYFUNCTION("GOOGLETRANSLATE(B686,""en"",""ta"")"),"யார்டுகள் (yd)")</f>
        <v>யார்டுகள் (yd)</v>
      </c>
      <c r="D686" s="4" t="str">
        <f>IFERROR(__xludf.DUMMYFUNCTION("GOOGLETRANSLATE(B686,""en"",""hi"")"),"गज (yd)")</f>
        <v>गज (yd)</v>
      </c>
      <c r="E686" s="4" t="str">
        <f>IFERROR(__xludf.DUMMYFUNCTION("GOOGLETRANSLATE(B686,""en"",""id"")"),"Yard (yd)")</f>
        <v>Yard (yd)</v>
      </c>
      <c r="F686" s="4" t="str">
        <f>IFERROR(__xludf.DUMMYFUNCTION("GOOGLETRANSLATE(B686,""en"",""ms"")"),"Yards (yd)")</f>
        <v>Yards (yd)</v>
      </c>
      <c r="G686" s="4" t="str">
        <f>IFERROR(__xludf.DUMMYFUNCTION("GOOGLETRANSLATE(B686,""en"",""de"")"),"Yards (yd)")</f>
        <v>Yards (yd)</v>
      </c>
      <c r="H686" s="4" t="str">
        <f>IFERROR(__xludf.DUMMYFUNCTION("GOOGLETRANSLATE(B686,""en"",""es"")"),"Yardas (yd)")</f>
        <v>Yardas (yd)</v>
      </c>
      <c r="I686" s="4" t="str">
        <f>IFERROR(__xludf.DUMMYFUNCTION("GOOGLETRANSLATE(B686,""en"",""fr"")"),"Verges (yd)")</f>
        <v>Verges (yd)</v>
      </c>
      <c r="J686" s="4" t="str">
        <f>IFERROR(__xludf.DUMMYFUNCTION("GOOGLETRANSLATE(B686,""en"",""it"")"),"Iarde (yd)")</f>
        <v>Iarde (yd)</v>
      </c>
      <c r="K686" s="4" t="str">
        <f>IFERROR(__xludf.DUMMYFUNCTION("GOOGLETRANSLATE(B686,""en"",""pt"")"),"Jardas (yd)")</f>
        <v>Jardas (yd)</v>
      </c>
      <c r="L686" s="4" t="str">
        <f>IFERROR(__xludf.DUMMYFUNCTION("GOOGLETRANSLATE(B686,""en"",""ro"")"),"Yarzi (yd)")</f>
        <v>Yarzi (yd)</v>
      </c>
      <c r="M686" s="4" t="str">
        <f>IFERROR(__xludf.DUMMYFUNCTION("GOOGLETRANSLATE(B686,""en"",""vi"")"),"Yard (yd)")</f>
        <v>Yard (yd)</v>
      </c>
      <c r="N686" s="4" t="str">
        <f>IFERROR(__xludf.DUMMYFUNCTION("GOOGLETRANSLATE(B686,""en"",""ru"")"),"Ярды (yd)")</f>
        <v>Ярды (yd)</v>
      </c>
      <c r="O686" s="4" t="str">
        <f>IFERROR(__xludf.DUMMYFUNCTION("GOOGLETRANSLATE(B686,""en"",""tr"")"),"Yard (yarda)")</f>
        <v>Yard (yarda)</v>
      </c>
      <c r="P686" s="4" t="str">
        <f>IFERROR(__xludf.DUMMYFUNCTION("GOOGLETRANSLATE(B686,""en"",""ar"")"),"ياردات (ياردة)")</f>
        <v>ياردات (ياردة)</v>
      </c>
      <c r="Q686" s="4" t="str">
        <f>IFERROR(__xludf.DUMMYFUNCTION("GOOGLETRANSLATE(B686,""en"",""mr"")"),"यार्ड (यार्ड)")</f>
        <v>यार्ड (यार्ड)</v>
      </c>
      <c r="R686" s="4" t="str">
        <f>IFERROR(__xludf.DUMMYFUNCTION("GOOGLETRANSLATE(B686,""en"",""gu"")"),"યાર્ડ્સ (યાર્ડ)")</f>
        <v>યાર્ડ્સ (યાર્ડ)</v>
      </c>
      <c r="S686" s="4" t="str">
        <f>IFERROR(__xludf.DUMMYFUNCTION("GOOGLETRANSLATE(B686,""en"",""bn"")"),"গজ (yd)")</f>
        <v>গজ (yd)</v>
      </c>
      <c r="T686" s="4" t="str">
        <f>IFERROR(__xludf.DUMMYFUNCTION("GOOGLETRANSLATE(B686,""en"",""pa"")"),"ਯਾਰਡ (yd)")</f>
        <v>ਯਾਰਡ (yd)</v>
      </c>
      <c r="U686" s="4" t="str">
        <f>IFERROR(__xludf.DUMMYFUNCTION("GOOGLETRANSLATE(B686,""en"",""te"")"),"గజాలు (yd)")</f>
        <v>గజాలు (yd)</v>
      </c>
      <c r="V686" s="4" t="str">
        <f>IFERROR(__xludf.DUMMYFUNCTION("GOOGLETRANSLATE(B686,""en"",""kn"")"),"ಗಜಗಳು (yd)")</f>
        <v>ಗಜಗಳು (yd)</v>
      </c>
      <c r="W686" s="4" t="str">
        <f>IFERROR(__xludf.DUMMYFUNCTION("GOOGLETRANSLATE(B686,""en"",""ml"")"),"യാർഡുകൾ (യാർഡ്)")</f>
        <v>യാർഡുകൾ (യാർഡ്)</v>
      </c>
      <c r="X686" s="4" t="str">
        <f>IFERROR(__xludf.DUMMYFUNCTION("GOOGLETRANSLATE(B686,""en"",""th"")"),"หลา (หลา)")</f>
        <v>หลา (หลา)</v>
      </c>
      <c r="Y686" s="4" t="str">
        <f>IFERROR(__xludf.DUMMYFUNCTION("GOOGLETRANSLATE(B686,""en"",""ko"")"),"야드(yd)")</f>
        <v>야드(yd)</v>
      </c>
      <c r="Z686" s="4" t="str">
        <f>IFERROR(__xludf.DUMMYFUNCTION("GOOGLETRANSLATE(B686,""en"",""zh"")"),"码（yd）")</f>
        <v>码（yd）</v>
      </c>
      <c r="AA686" s="4" t="str">
        <f>IFERROR(__xludf.DUMMYFUNCTION("GOOGLETRANSLATE(B686,""en"",""zh-TW"")"),"碼（yd）")</f>
        <v>碼（yd）</v>
      </c>
      <c r="AB686" s="4" t="str">
        <f>IFERROR(__xludf.DUMMYFUNCTION("GOOGLETRANSLATE(B686,""en"",""ja"")"),"ヤード（yd）")</f>
        <v>ヤード（yd）</v>
      </c>
      <c r="AC686" s="4" t="str">
        <f>IFERROR(__xludf.DUMMYFUNCTION("GOOGLETRANSLATE(B686,""en"",""bg"")"),"Ярдове (yd)")</f>
        <v>Ярдове (yd)</v>
      </c>
      <c r="AD686" s="4" t="str">
        <f>IFERROR(__xludf.DUMMYFUNCTION("GOOGLETRANSLATE(B686,""en"",""cs"")"),"yardy (yd)")</f>
        <v>yardy (yd)</v>
      </c>
      <c r="AE686" s="4" t="str">
        <f>IFERROR(__xludf.DUMMYFUNCTION("GOOGLETRANSLATE(B686,""en"",""da"")"),"Yards (yd)")</f>
        <v>Yards (yd)</v>
      </c>
      <c r="AF686" s="4" t="str">
        <f>IFERROR(__xludf.DUMMYFUNCTION("GOOGLETRANSLATE(B686,""en"",""el"")"),"Γιάρδες (Yd)")</f>
        <v>Γιάρδες (Yd)</v>
      </c>
      <c r="AG686" s="4" t="str">
        <f>IFERROR(__xludf.DUMMYFUNCTION("GOOGLETRANSLATE(B686,""en"",""et"")"),"Jardid (yd)")</f>
        <v>Jardid (yd)</v>
      </c>
      <c r="AH686" s="4" t="str">
        <f>IFERROR(__xludf.DUMMYFUNCTION("GOOGLETRANSLATE(B686,""en"",""fi"")"),"Jaardia (yd)")</f>
        <v>Jaardia (yd)</v>
      </c>
      <c r="AI686" s="4" t="str">
        <f>IFERROR(__xludf.DUMMYFUNCTION("GOOGLETRANSLATE(B686,""en"",""hr"")"),"Jardi (yd)")</f>
        <v>Jardi (yd)</v>
      </c>
      <c r="AJ686" s="4" t="str">
        <f>IFERROR(__xludf.DUMMYFUNCTION("GOOGLETRANSLATE(B686,""en"",""hu"")"),"Yard (yd)")</f>
        <v>Yard (yd)</v>
      </c>
      <c r="AK686" s="4" t="str">
        <f>IFERROR(__xludf.DUMMYFUNCTION("GOOGLETRANSLATE(B686,""en"",""hy"")"),"բակեր (yd)")</f>
        <v>բակեր (yd)</v>
      </c>
      <c r="AL686" s="4" t="str">
        <f>IFERROR(__xludf.DUMMYFUNCTION("GOOGLETRANSLATE(B686,""en"",""ca"")"),"Iardes (yardes)")</f>
        <v>Iardes (yardes)</v>
      </c>
      <c r="AM686" s="4" t="str">
        <f>IFERROR(__xludf.DUMMYFUNCTION("GOOGLETRANSLATE(B686,""en"",""nl"")"),"Yards (yd)")</f>
        <v>Yards (yd)</v>
      </c>
      <c r="AN686" s="4" t="str">
        <f>IFERROR(__xludf.DUMMYFUNCTION("GOOGLETRANSLATE(B686,""en"",""he"")"),"יארד (י""ד)")</f>
        <v>יארד (י"ד)</v>
      </c>
      <c r="AO686" s="4" t="str">
        <f>IFERROR(__xludf.DUMMYFUNCTION("GOOGLETRANSLATE(B686,""en"",""is"")"),"Metrar (yd)")</f>
        <v>Metrar (yd)</v>
      </c>
      <c r="AP686" s="4" t="str">
        <f>IFERROR(__xludf.DUMMYFUNCTION("GOOGLETRANSLATE(B686,""en"",""no"")"),"Yards (yd)")</f>
        <v>Yards (yd)</v>
      </c>
      <c r="AQ686" s="4" t="str">
        <f>IFERROR(__xludf.DUMMYFUNCTION("GOOGLETRANSLATE(B686,""en"",""fa"")"),"یارد (yd)")</f>
        <v>یارد (yd)</v>
      </c>
      <c r="AR686" s="4" t="str">
        <f>IFERROR(__xludf.DUMMYFUNCTION("GOOGLETRANSLATE(B686,""en"",""pl"")"),"Jardy (yd)")</f>
        <v>Jardy (yd)</v>
      </c>
      <c r="AS686" s="4" t="str">
        <f>IFERROR(__xludf.DUMMYFUNCTION("GOOGLETRANSLATE(B686,""en"",""sv"")"),"Yards (yd)")</f>
        <v>Yards (yd)</v>
      </c>
      <c r="AT686" s="4" t="str">
        <f>IFERROR(__xludf.DUMMYFUNCTION("GOOGLETRANSLATE(B686,""en"",""uk"")"),"Ярди (ярди)")</f>
        <v>Ярди (ярди)</v>
      </c>
      <c r="AU686" s="4" t="str">
        <f>IFERROR(__xludf.DUMMYFUNCTION("GOOGLETRANSLATE(B686,""en"",""zu"")"),"Amayadi (yd)")</f>
        <v>Amayadi (yd)</v>
      </c>
      <c r="AV686" s="4" t="str">
        <f>IFERROR(__xludf.DUMMYFUNCTION("GOOGLETRANSLATE(B686,""en"",""sr"")"),"јарди (ид)")</f>
        <v>јарди (ид)</v>
      </c>
    </row>
    <row r="687">
      <c r="A687" s="3" t="s">
        <v>1300</v>
      </c>
      <c r="B687" s="3" t="s">
        <v>1301</v>
      </c>
      <c r="C687" s="4" t="str">
        <f>IFERROR(__xludf.DUMMYFUNCTION("GOOGLETRANSLATE(B687,""en"",""ta"")"),"இருப்பிட அல்டிமீட்டர்")</f>
        <v>இருப்பிட அல்டிமீட்டர்</v>
      </c>
      <c r="D687" s="4" t="str">
        <f>IFERROR(__xludf.DUMMYFUNCTION("GOOGLETRANSLATE(B687,""en"",""hi"")"),"स्थान अल्टीमीटर")</f>
        <v>स्थान अल्टीमीटर</v>
      </c>
      <c r="E687" s="4" t="str">
        <f>IFERROR(__xludf.DUMMYFUNCTION("GOOGLETRANSLATE(B687,""en"",""id"")"),"Lokasi Altimeter")</f>
        <v>Lokasi Altimeter</v>
      </c>
      <c r="F687" s="4" t="str">
        <f>IFERROR(__xludf.DUMMYFUNCTION("GOOGLETRANSLATE(B687,""en"",""ms"")"),"Altimeter Lokasi")</f>
        <v>Altimeter Lokasi</v>
      </c>
      <c r="G687" s="4" t="str">
        <f>IFERROR(__xludf.DUMMYFUNCTION("GOOGLETRANSLATE(B687,""en"",""de"")"),"Standorthöhenmesser")</f>
        <v>Standorthöhenmesser</v>
      </c>
      <c r="H687" s="4" t="str">
        <f>IFERROR(__xludf.DUMMYFUNCTION("GOOGLETRANSLATE(B687,""en"",""es"")"),"Altímetro de ubicación")</f>
        <v>Altímetro de ubicación</v>
      </c>
      <c r="I687" s="4" t="str">
        <f>IFERROR(__xludf.DUMMYFUNCTION("GOOGLETRANSLATE(B687,""en"",""fr"")"),"Localisation Altimètre")</f>
        <v>Localisation Altimètre</v>
      </c>
      <c r="J687" s="4" t="str">
        <f>IFERROR(__xludf.DUMMYFUNCTION("GOOGLETRANSLATE(B687,""en"",""it"")"),"Altimetro di posizione")</f>
        <v>Altimetro di posizione</v>
      </c>
      <c r="K687" s="4" t="str">
        <f>IFERROR(__xludf.DUMMYFUNCTION("GOOGLETRANSLATE(B687,""en"",""pt"")"),"Altímetro de localização")</f>
        <v>Altímetro de localização</v>
      </c>
      <c r="L687" s="4" t="str">
        <f>IFERROR(__xludf.DUMMYFUNCTION("GOOGLETRANSLATE(B687,""en"",""ro"")"),"Altimetru de locație")</f>
        <v>Altimetru de locație</v>
      </c>
      <c r="M687" s="4" t="str">
        <f>IFERROR(__xludf.DUMMYFUNCTION("GOOGLETRANSLATE(B687,""en"",""vi"")"),"Vị trí Độ cao")</f>
        <v>Vị trí Độ cao</v>
      </c>
      <c r="N687" s="4" t="str">
        <f>IFERROR(__xludf.DUMMYFUNCTION("GOOGLETRANSLATE(B687,""en"",""ru"")"),"Местоположение Высотомер")</f>
        <v>Местоположение Высотомер</v>
      </c>
      <c r="O687" s="4" t="str">
        <f>IFERROR(__xludf.DUMMYFUNCTION("GOOGLETRANSLATE(B687,""en"",""tr"")"),"Konum Altimetresi")</f>
        <v>Konum Altimetresi</v>
      </c>
      <c r="P687" s="4" t="str">
        <f>IFERROR(__xludf.DUMMYFUNCTION("GOOGLETRANSLATE(B687,""en"",""ar"")"),"مقياس الارتفاع للموقع")</f>
        <v>مقياس الارتفاع للموقع</v>
      </c>
      <c r="Q687" s="4" t="str">
        <f>IFERROR(__xludf.DUMMYFUNCTION("GOOGLETRANSLATE(B687,""en"",""mr"")"),"स्थान Altimeter")</f>
        <v>स्थान Altimeter</v>
      </c>
      <c r="R687" s="4" t="str">
        <f>IFERROR(__xludf.DUMMYFUNCTION("GOOGLETRANSLATE(B687,""en"",""gu"")"),"સ્થાન અલ્ટીમીટર")</f>
        <v>સ્થાન અલ્ટીમીટર</v>
      </c>
      <c r="S687" s="4" t="str">
        <f>IFERROR(__xludf.DUMMYFUNCTION("GOOGLETRANSLATE(B687,""en"",""bn"")"),"অবস্থান Altimeter")</f>
        <v>অবস্থান Altimeter</v>
      </c>
      <c r="T687" s="4" t="str">
        <f>IFERROR(__xludf.DUMMYFUNCTION("GOOGLETRANSLATE(B687,""en"",""pa"")"),"ਟਿਕਾਣਾ ਅਲਟੀਮੀਟਰ")</f>
        <v>ਟਿਕਾਣਾ ਅਲਟੀਮੀਟਰ</v>
      </c>
      <c r="U687" s="4" t="str">
        <f>IFERROR(__xludf.DUMMYFUNCTION("GOOGLETRANSLATE(B687,""en"",""te"")"),"స్థానం ఆల్టిమీటర్")</f>
        <v>స్థానం ఆల్టిమీటర్</v>
      </c>
      <c r="V687" s="4" t="str">
        <f>IFERROR(__xludf.DUMMYFUNCTION("GOOGLETRANSLATE(B687,""en"",""kn"")"),"ಸ್ಥಳ ಆಲ್ಟಿಮೀಟರ್")</f>
        <v>ಸ್ಥಳ ಆಲ್ಟಿಮೀಟರ್</v>
      </c>
      <c r="W687" s="4" t="str">
        <f>IFERROR(__xludf.DUMMYFUNCTION("GOOGLETRANSLATE(B687,""en"",""ml"")"),"സ്ഥാനം ആൾട്ടിമീറ്റർ")</f>
        <v>സ്ഥാനം ആൾട്ടിമീറ്റർ</v>
      </c>
      <c r="X687" s="4" t="str">
        <f>IFERROR(__xludf.DUMMYFUNCTION("GOOGLETRANSLATE(B687,""en"",""th"")"),"เครื่องวัดระยะสูง")</f>
        <v>เครื่องวัดระยะสูง</v>
      </c>
      <c r="Y687" s="4" t="str">
        <f>IFERROR(__xludf.DUMMYFUNCTION("GOOGLETRANSLATE(B687,""en"",""ko"")"),"위치 고도계")</f>
        <v>위치 고도계</v>
      </c>
      <c r="Z687" s="4" t="str">
        <f>IFERROR(__xludf.DUMMYFUNCTION("GOOGLETRANSLATE(B687,""en"",""zh"")"),"位置高度计")</f>
        <v>位置高度计</v>
      </c>
      <c r="AA687" s="4" t="str">
        <f>IFERROR(__xludf.DUMMYFUNCTION("GOOGLETRANSLATE(B687,""en"",""zh-TW"")"),"位置高度計")</f>
        <v>位置高度計</v>
      </c>
      <c r="AB687" s="4" t="str">
        <f>IFERROR(__xludf.DUMMYFUNCTION("GOOGLETRANSLATE(B687,""en"",""ja"")"),"位置高度計")</f>
        <v>位置高度計</v>
      </c>
      <c r="AC687" s="4" t="str">
        <f>IFERROR(__xludf.DUMMYFUNCTION("GOOGLETRANSLATE(B687,""en"",""bg"")"),"Местоположение Алтиметър")</f>
        <v>Местоположение Алтиметър</v>
      </c>
      <c r="AD687" s="4" t="str">
        <f>IFERROR(__xludf.DUMMYFUNCTION("GOOGLETRANSLATE(B687,""en"",""cs"")"),"Umístění Výškoměr")</f>
        <v>Umístění Výškoměr</v>
      </c>
      <c r="AE687" s="4" t="str">
        <f>IFERROR(__xludf.DUMMYFUNCTION("GOOGLETRANSLATE(B687,""en"",""da"")"),"Placering Højdemåler")</f>
        <v>Placering Højdemåler</v>
      </c>
      <c r="AF687" s="4" t="str">
        <f>IFERROR(__xludf.DUMMYFUNCTION("GOOGLETRANSLATE(B687,""en"",""el"")"),"Υψόμετρο τοποθεσίας")</f>
        <v>Υψόμετρο τοποθεσίας</v>
      </c>
      <c r="AG687" s="4" t="str">
        <f>IFERROR(__xludf.DUMMYFUNCTION("GOOGLETRANSLATE(B687,""en"",""et"")"),"Asukoha kõrgusmõõtur")</f>
        <v>Asukoha kõrgusmõõtur</v>
      </c>
      <c r="AH687" s="4" t="str">
        <f>IFERROR(__xludf.DUMMYFUNCTION("GOOGLETRANSLATE(B687,""en"",""fi"")"),"Sijainti Korkeusmittari")</f>
        <v>Sijainti Korkeusmittari</v>
      </c>
      <c r="AI687" s="4" t="str">
        <f>IFERROR(__xludf.DUMMYFUNCTION("GOOGLETRANSLATE(B687,""en"",""hr"")"),"Visinomjer lokacije")</f>
        <v>Visinomjer lokacije</v>
      </c>
      <c r="AJ687" s="4" t="str">
        <f>IFERROR(__xludf.DUMMYFUNCTION("GOOGLETRANSLATE(B687,""en"",""hu"")"),"Helyszín magasságmérő")</f>
        <v>Helyszín magasságmérő</v>
      </c>
      <c r="AK687" s="4" t="str">
        <f>IFERROR(__xludf.DUMMYFUNCTION("GOOGLETRANSLATE(B687,""en"",""hy"")"),"Տեղադրության բարձրաչափ")</f>
        <v>Տեղադրության բարձրաչափ</v>
      </c>
      <c r="AL687" s="4" t="str">
        <f>IFERROR(__xludf.DUMMYFUNCTION("GOOGLETRANSLATE(B687,""en"",""ca"")"),"Altímetre de localització")</f>
        <v>Altímetre de localització</v>
      </c>
      <c r="AM687" s="4" t="str">
        <f>IFERROR(__xludf.DUMMYFUNCTION("GOOGLETRANSLATE(B687,""en"",""nl"")"),"Locatie Hoogtemeter")</f>
        <v>Locatie Hoogtemeter</v>
      </c>
      <c r="AN687" s="4" t="str">
        <f>IFERROR(__xludf.DUMMYFUNCTION("GOOGLETRANSLATE(B687,""en"",""he"")"),"מיקום מד גובה")</f>
        <v>מיקום מד גובה</v>
      </c>
      <c r="AO687" s="4" t="str">
        <f>IFERROR(__xludf.DUMMYFUNCTION("GOOGLETRANSLATE(B687,""en"",""is"")"),"Staðsetning hæðarmælir")</f>
        <v>Staðsetning hæðarmælir</v>
      </c>
      <c r="AP687" s="4" t="str">
        <f>IFERROR(__xludf.DUMMYFUNCTION("GOOGLETRANSLATE(B687,""en"",""no"")"),"Plassering Høydemåler")</f>
        <v>Plassering Høydemåler</v>
      </c>
      <c r="AQ687" s="4" t="str">
        <f>IFERROR(__xludf.DUMMYFUNCTION("GOOGLETRANSLATE(B687,""en"",""fa"")"),"ارتفاع سنج مکان")</f>
        <v>ارتفاع سنج مکان</v>
      </c>
      <c r="AR687" s="4" t="str">
        <f>IFERROR(__xludf.DUMMYFUNCTION("GOOGLETRANSLATE(B687,""en"",""pl"")"),"Lokalizacja Wysokościomierz")</f>
        <v>Lokalizacja Wysokościomierz</v>
      </c>
      <c r="AS687" s="4" t="str">
        <f>IFERROR(__xludf.DUMMYFUNCTION("GOOGLETRANSLATE(B687,""en"",""sv"")"),"Plats Höjdmätare")</f>
        <v>Plats Höjdmätare</v>
      </c>
      <c r="AT687" s="4" t="str">
        <f>IFERROR(__xludf.DUMMYFUNCTION("GOOGLETRANSLATE(B687,""en"",""uk"")"),"Альтиметр розташування")</f>
        <v>Альтиметр розташування</v>
      </c>
      <c r="AU687" s="4" t="str">
        <f>IFERROR(__xludf.DUMMYFUNCTION("GOOGLETRANSLATE(B687,""en"",""zu"")"),"Indawo Altimeter")</f>
        <v>Indawo Altimeter</v>
      </c>
      <c r="AV687" s="4" t="str">
        <f>IFERROR(__xludf.DUMMYFUNCTION("GOOGLETRANSLATE(B687,""en"",""sr"")"),"Лоцатион Алтиметер")</f>
        <v>Лоцатион Алтиметер</v>
      </c>
    </row>
    <row r="688">
      <c r="A688" s="3" t="s">
        <v>1302</v>
      </c>
      <c r="B688" s="3" t="s">
        <v>1303</v>
      </c>
      <c r="C688" s="4" t="str">
        <f>IFERROR(__xludf.DUMMYFUNCTION("GOOGLETRANSLATE(B688,""en"",""ta"")"),"ஜிபிஎஸ் அல்டிமீட்டர்")</f>
        <v>ஜிபிஎஸ் அல்டிமீட்டர்</v>
      </c>
      <c r="D688" s="4" t="str">
        <f>IFERROR(__xludf.DUMMYFUNCTION("GOOGLETRANSLATE(B688,""en"",""hi"")"),"जीपीएस अल्टीमीटर")</f>
        <v>जीपीएस अल्टीमीटर</v>
      </c>
      <c r="E688" s="4" t="str">
        <f>IFERROR(__xludf.DUMMYFUNCTION("GOOGLETRANSLATE(B688,""en"",""id"")"),"Alat Pengukur Ketinggian GPS")</f>
        <v>Alat Pengukur Ketinggian GPS</v>
      </c>
      <c r="F688" s="4" t="str">
        <f>IFERROR(__xludf.DUMMYFUNCTION("GOOGLETRANSLATE(B688,""en"",""ms"")"),"GPS Altimeter")</f>
        <v>GPS Altimeter</v>
      </c>
      <c r="G688" s="4" t="str">
        <f>IFERROR(__xludf.DUMMYFUNCTION("GOOGLETRANSLATE(B688,""en"",""de"")"),"GPS-Höhenmesser")</f>
        <v>GPS-Höhenmesser</v>
      </c>
      <c r="H688" s="4" t="str">
        <f>IFERROR(__xludf.DUMMYFUNCTION("GOOGLETRANSLATE(B688,""en"",""es"")"),"Altímetro GPS")</f>
        <v>Altímetro GPS</v>
      </c>
      <c r="I688" s="4" t="str">
        <f>IFERROR(__xludf.DUMMYFUNCTION("GOOGLETRANSLATE(B688,""en"",""fr"")"),"Altimètre GPS")</f>
        <v>Altimètre GPS</v>
      </c>
      <c r="J688" s="4" t="str">
        <f>IFERROR(__xludf.DUMMYFUNCTION("GOOGLETRANSLATE(B688,""en"",""it"")"),"Altimetro GPS")</f>
        <v>Altimetro GPS</v>
      </c>
      <c r="K688" s="4" t="str">
        <f>IFERROR(__xludf.DUMMYFUNCTION("GOOGLETRANSLATE(B688,""en"",""pt"")"),"Altímetro GPS")</f>
        <v>Altímetro GPS</v>
      </c>
      <c r="L688" s="4" t="str">
        <f>IFERROR(__xludf.DUMMYFUNCTION("GOOGLETRANSLATE(B688,""en"",""ro"")"),"Altimetru GPS")</f>
        <v>Altimetru GPS</v>
      </c>
      <c r="M688" s="4" t="str">
        <f>IFERROR(__xludf.DUMMYFUNCTION("GOOGLETRANSLATE(B688,""en"",""vi"")"),"Máy đo độ cao GPS")</f>
        <v>Máy đo độ cao GPS</v>
      </c>
      <c r="N688" s="4" t="str">
        <f>IFERROR(__xludf.DUMMYFUNCTION("GOOGLETRANSLATE(B688,""en"",""ru"")"),"GPS-альтиметр")</f>
        <v>GPS-альтиметр</v>
      </c>
      <c r="O688" s="4" t="str">
        <f>IFERROR(__xludf.DUMMYFUNCTION("GOOGLETRANSLATE(B688,""en"",""tr"")"),"GPS Altimetre")</f>
        <v>GPS Altimetre</v>
      </c>
      <c r="P688" s="4" t="str">
        <f>IFERROR(__xludf.DUMMYFUNCTION("GOOGLETRANSLATE(B688,""en"",""ar"")"),"مقياس الارتفاع GPS")</f>
        <v>مقياس الارتفاع GPS</v>
      </c>
      <c r="Q688" s="4" t="str">
        <f>IFERROR(__xludf.DUMMYFUNCTION("GOOGLETRANSLATE(B688,""en"",""mr"")"),"जीपीएस अल्टिमीटर")</f>
        <v>जीपीएस अल्टिमीटर</v>
      </c>
      <c r="R688" s="4" t="str">
        <f>IFERROR(__xludf.DUMMYFUNCTION("GOOGLETRANSLATE(B688,""en"",""gu"")"),"જીપીએસ અલ્ટીમીટર")</f>
        <v>જીપીએસ અલ્ટીમીટર</v>
      </c>
      <c r="S688" s="4" t="str">
        <f>IFERROR(__xludf.DUMMYFUNCTION("GOOGLETRANSLATE(B688,""en"",""bn"")"),"জিপিএস অল্টিমিটার")</f>
        <v>জিপিএস অল্টিমিটার</v>
      </c>
      <c r="T688" s="4" t="str">
        <f>IFERROR(__xludf.DUMMYFUNCTION("GOOGLETRANSLATE(B688,""en"",""pa"")"),"GPS ਅਲਟੀਮੀਟਰ")</f>
        <v>GPS ਅਲਟੀਮੀਟਰ</v>
      </c>
      <c r="U688" s="4" t="str">
        <f>IFERROR(__xludf.DUMMYFUNCTION("GOOGLETRANSLATE(B688,""en"",""te"")"),"GPS ఆల్టిమీటర్")</f>
        <v>GPS ఆల్టిమీటర్</v>
      </c>
      <c r="V688" s="4" t="str">
        <f>IFERROR(__xludf.DUMMYFUNCTION("GOOGLETRANSLATE(B688,""en"",""kn"")"),"ಜಿಪಿಎಸ್ ಆಲ್ಟಿಮೀಟರ್")</f>
        <v>ಜಿಪಿಎಸ್ ಆಲ್ಟಿಮೀಟರ್</v>
      </c>
      <c r="W688" s="4" t="str">
        <f>IFERROR(__xludf.DUMMYFUNCTION("GOOGLETRANSLATE(B688,""en"",""ml"")"),"ജിപിഎസ് ആൾട്ടിമീറ്റർ")</f>
        <v>ജിപിഎസ് ആൾട്ടിമീറ്റർ</v>
      </c>
      <c r="X688" s="4" t="str">
        <f>IFERROR(__xludf.DUMMYFUNCTION("GOOGLETRANSLATE(B688,""en"",""th"")"),"เครื่องวัดระยะสูง GPS")</f>
        <v>เครื่องวัดระยะสูง GPS</v>
      </c>
      <c r="Y688" s="4" t="str">
        <f>IFERROR(__xludf.DUMMYFUNCTION("GOOGLETRANSLATE(B688,""en"",""ko"")"),"GPS 고도계")</f>
        <v>GPS 고도계</v>
      </c>
      <c r="Z688" s="4" t="str">
        <f>IFERROR(__xludf.DUMMYFUNCTION("GOOGLETRANSLATE(B688,""en"",""zh"")"),"GPS高度计")</f>
        <v>GPS高度计</v>
      </c>
      <c r="AA688" s="4" t="str">
        <f>IFERROR(__xludf.DUMMYFUNCTION("GOOGLETRANSLATE(B688,""en"",""zh-TW"")"),"GPS高度計")</f>
        <v>GPS高度計</v>
      </c>
      <c r="AB688" s="4" t="str">
        <f>IFERROR(__xludf.DUMMYFUNCTION("GOOGLETRANSLATE(B688,""en"",""ja"")"),"GPS高度計")</f>
        <v>GPS高度計</v>
      </c>
      <c r="AC688" s="4" t="str">
        <f>IFERROR(__xludf.DUMMYFUNCTION("GOOGLETRANSLATE(B688,""en"",""bg"")"),"GPS алтиметър")</f>
        <v>GPS алтиметър</v>
      </c>
      <c r="AD688" s="4" t="str">
        <f>IFERROR(__xludf.DUMMYFUNCTION("GOOGLETRANSLATE(B688,""en"",""cs"")"),"GPS výškoměr")</f>
        <v>GPS výškoměr</v>
      </c>
      <c r="AE688" s="4" t="str">
        <f>IFERROR(__xludf.DUMMYFUNCTION("GOOGLETRANSLATE(B688,""en"",""da"")"),"GPS højdemåler")</f>
        <v>GPS højdemåler</v>
      </c>
      <c r="AF688" s="4" t="str">
        <f>IFERROR(__xludf.DUMMYFUNCTION("GOOGLETRANSLATE(B688,""en"",""el"")"),"Υψόμετρο GPS")</f>
        <v>Υψόμετρο GPS</v>
      </c>
      <c r="AG688" s="4" t="str">
        <f>IFERROR(__xludf.DUMMYFUNCTION("GOOGLETRANSLATE(B688,""en"",""et"")"),"GPS kõrgusmõõtur")</f>
        <v>GPS kõrgusmõõtur</v>
      </c>
      <c r="AH688" s="4" t="str">
        <f>IFERROR(__xludf.DUMMYFUNCTION("GOOGLETRANSLATE(B688,""en"",""fi"")"),"GPS korkeusmittari")</f>
        <v>GPS korkeusmittari</v>
      </c>
      <c r="AI688" s="4" t="str">
        <f>IFERROR(__xludf.DUMMYFUNCTION("GOOGLETRANSLATE(B688,""en"",""hr"")"),"GPS visinomjer")</f>
        <v>GPS visinomjer</v>
      </c>
      <c r="AJ688" s="4" t="str">
        <f>IFERROR(__xludf.DUMMYFUNCTION("GOOGLETRANSLATE(B688,""en"",""hu"")"),"GPS magasságmérő")</f>
        <v>GPS magasságmérő</v>
      </c>
      <c r="AK688" s="4" t="str">
        <f>IFERROR(__xludf.DUMMYFUNCTION("GOOGLETRANSLATE(B688,""en"",""hy"")"),"GPS բարձրաչափ")</f>
        <v>GPS բարձրաչափ</v>
      </c>
      <c r="AL688" s="4" t="str">
        <f>IFERROR(__xludf.DUMMYFUNCTION("GOOGLETRANSLATE(B688,""en"",""ca"")"),"Altímetre GPS")</f>
        <v>Altímetre GPS</v>
      </c>
      <c r="AM688" s="4" t="str">
        <f>IFERROR(__xludf.DUMMYFUNCTION("GOOGLETRANSLATE(B688,""en"",""nl"")"),"GPS-hoogtemeter")</f>
        <v>GPS-hoogtemeter</v>
      </c>
      <c r="AN688" s="4" t="str">
        <f>IFERROR(__xludf.DUMMYFUNCTION("GOOGLETRANSLATE(B688,""en"",""he"")"),"מד גובה GPS")</f>
        <v>מד גובה GPS</v>
      </c>
      <c r="AO688" s="4" t="str">
        <f>IFERROR(__xludf.DUMMYFUNCTION("GOOGLETRANSLATE(B688,""en"",""is"")"),"GPS hæðarmælir")</f>
        <v>GPS hæðarmælir</v>
      </c>
      <c r="AP688" s="4" t="str">
        <f>IFERROR(__xludf.DUMMYFUNCTION("GOOGLETRANSLATE(B688,""en"",""no"")"),"GPS høydemåler")</f>
        <v>GPS høydemåler</v>
      </c>
      <c r="AQ688" s="4" t="str">
        <f>IFERROR(__xludf.DUMMYFUNCTION("GOOGLETRANSLATE(B688,""en"",""fa"")"),"ارتفاع سنج GPS")</f>
        <v>ارتفاع سنج GPS</v>
      </c>
      <c r="AR688" s="4" t="str">
        <f>IFERROR(__xludf.DUMMYFUNCTION("GOOGLETRANSLATE(B688,""en"",""pl"")"),"Wysokościomierz GPS")</f>
        <v>Wysokościomierz GPS</v>
      </c>
      <c r="AS688" s="4" t="str">
        <f>IFERROR(__xludf.DUMMYFUNCTION("GOOGLETRANSLATE(B688,""en"",""sv"")"),"GPS höjdmätare")</f>
        <v>GPS höjdmätare</v>
      </c>
      <c r="AT688" s="4" t="str">
        <f>IFERROR(__xludf.DUMMYFUNCTION("GOOGLETRANSLATE(B688,""en"",""uk"")"),"GPS висотомір")</f>
        <v>GPS висотомір</v>
      </c>
      <c r="AU688" s="4" t="str">
        <f>IFERROR(__xludf.DUMMYFUNCTION("GOOGLETRANSLATE(B688,""en"",""zu"")"),"GPS Altimeter")</f>
        <v>GPS Altimeter</v>
      </c>
      <c r="AV688" s="4" t="str">
        <f>IFERROR(__xludf.DUMMYFUNCTION("GOOGLETRANSLATE(B688,""en"",""sr"")"),"ГПС Алтиметер")</f>
        <v>ГПС Алтиметер</v>
      </c>
    </row>
    <row r="689">
      <c r="A689" s="3" t="s">
        <v>1304</v>
      </c>
      <c r="B689" s="3" t="s">
        <v>1305</v>
      </c>
      <c r="C689" s="4" t="str">
        <f>IFERROR(__xludf.DUMMYFUNCTION("GOOGLETRANSLATE(B689,""en"",""ta"")"),"சிறந்த சிகரங்களைக் காண்க")</f>
        <v>சிறந்த சிகரங்களைக் காண்க</v>
      </c>
      <c r="D689" s="4" t="str">
        <f>IFERROR(__xludf.DUMMYFUNCTION("GOOGLETRANSLATE(B689,""en"",""hi"")"),"शीर्ष चोटियाँ देखें")</f>
        <v>शीर्ष चोटियाँ देखें</v>
      </c>
      <c r="E689" s="4" t="str">
        <f>IFERROR(__xludf.DUMMYFUNCTION("GOOGLETRANSLATE(B689,""en"",""id"")"),"Lihat Puncak-puncak Teratas")</f>
        <v>Lihat Puncak-puncak Teratas</v>
      </c>
      <c r="F689" s="4" t="str">
        <f>IFERROR(__xludf.DUMMYFUNCTION("GOOGLETRANSLATE(B689,""en"",""ms"")"),"Lihat Puncak Teratas")</f>
        <v>Lihat Puncak Teratas</v>
      </c>
      <c r="G689" s="4" t="str">
        <f>IFERROR(__xludf.DUMMYFUNCTION("GOOGLETRANSLATE(B689,""en"",""de"")"),"Top-Gipfel anzeigen")</f>
        <v>Top-Gipfel anzeigen</v>
      </c>
      <c r="H689" s="4" t="str">
        <f>IFERROR(__xludf.DUMMYFUNCTION("GOOGLETRANSLATE(B689,""en"",""es"")"),"Ver los picos más altos")</f>
        <v>Ver los picos más altos</v>
      </c>
      <c r="I689" s="4" t="str">
        <f>IFERROR(__xludf.DUMMYFUNCTION("GOOGLETRANSLATE(B689,""en"",""fr"")"),"Voir les sommets")</f>
        <v>Voir les sommets</v>
      </c>
      <c r="J689" s="4" t="str">
        <f>IFERROR(__xludf.DUMMYFUNCTION("GOOGLETRANSLATE(B689,""en"",""it"")"),"Visualizza le vette più alte")</f>
        <v>Visualizza le vette più alte</v>
      </c>
      <c r="K689" s="4" t="str">
        <f>IFERROR(__xludf.DUMMYFUNCTION("GOOGLETRANSLATE(B689,""en"",""pt"")"),"Ver os principais picos")</f>
        <v>Ver os principais picos</v>
      </c>
      <c r="L689" s="4" t="str">
        <f>IFERROR(__xludf.DUMMYFUNCTION("GOOGLETRANSLATE(B689,""en"",""ro"")"),"Vedeți vârfurile de top")</f>
        <v>Vedeți vârfurile de top</v>
      </c>
      <c r="M689" s="4" t="str">
        <f>IFERROR(__xludf.DUMMYFUNCTION("GOOGLETRANSLATE(B689,""en"",""vi"")"),"Xem Đỉnh Cao Nhất")</f>
        <v>Xem Đỉnh Cao Nhất</v>
      </c>
      <c r="N689" s="4" t="str">
        <f>IFERROR(__xludf.DUMMYFUNCTION("GOOGLETRANSLATE(B689,""en"",""ru"")"),"Посмотреть главные вершины")</f>
        <v>Посмотреть главные вершины</v>
      </c>
      <c r="O689" s="4" t="str">
        <f>IFERROR(__xludf.DUMMYFUNCTION("GOOGLETRANSLATE(B689,""en"",""tr"")"),"En İyi Zirveleri Görüntüle")</f>
        <v>En İyi Zirveleri Görüntüle</v>
      </c>
      <c r="P689" s="4" t="str">
        <f>IFERROR(__xludf.DUMMYFUNCTION("GOOGLETRANSLATE(B689,""en"",""ar"")"),"عرض القمم العليا")</f>
        <v>عرض القمم العليا</v>
      </c>
      <c r="Q689" s="4" t="str">
        <f>IFERROR(__xludf.DUMMYFUNCTION("GOOGLETRANSLATE(B689,""en"",""mr"")"),"शीर्ष शिखरे पहा")</f>
        <v>शीर्ष शिखरे पहा</v>
      </c>
      <c r="R689" s="4" t="str">
        <f>IFERROR(__xludf.DUMMYFUNCTION("GOOGLETRANSLATE(B689,""en"",""gu"")"),"ટોચના શિખરો જુઓ")</f>
        <v>ટોચના શિખરો જુઓ</v>
      </c>
      <c r="S689" s="4" t="str">
        <f>IFERROR(__xludf.DUMMYFUNCTION("GOOGLETRANSLATE(B689,""en"",""bn"")"),"শীর্ষ শিখর দেখুন")</f>
        <v>শীর্ষ শিখর দেখুন</v>
      </c>
      <c r="T689" s="4" t="str">
        <f>IFERROR(__xludf.DUMMYFUNCTION("GOOGLETRANSLATE(B689,""en"",""pa"")"),"ਸਿਖਰ ਦੀਆਂ ਚੋਟੀਆਂ ਦੇਖੋ")</f>
        <v>ਸਿਖਰ ਦੀਆਂ ਚੋਟੀਆਂ ਦੇਖੋ</v>
      </c>
      <c r="U689" s="4" t="str">
        <f>IFERROR(__xludf.DUMMYFUNCTION("GOOGLETRANSLATE(B689,""en"",""te"")"),"అగ్ర శిఖరాలను వీక్షించండి")</f>
        <v>అగ్ర శిఖరాలను వీక్షించండి</v>
      </c>
      <c r="V689" s="4" t="str">
        <f>IFERROR(__xludf.DUMMYFUNCTION("GOOGLETRANSLATE(B689,""en"",""kn"")"),"ಉನ್ನತ ಶಿಖರಗಳನ್ನು ವೀಕ್ಷಿಸಿ")</f>
        <v>ಉನ್ನತ ಶಿಖರಗಳನ್ನು ವೀಕ್ಷಿಸಿ</v>
      </c>
      <c r="W689" s="4" t="str">
        <f>IFERROR(__xludf.DUMMYFUNCTION("GOOGLETRANSLATE(B689,""en"",""ml"")"),"മുകളിലെ കൊടുമുടികൾ കാണുക")</f>
        <v>മുകളിലെ കൊടുമുടികൾ കാണുക</v>
      </c>
      <c r="X689" s="4" t="str">
        <f>IFERROR(__xludf.DUMMYFUNCTION("GOOGLETRANSLATE(B689,""en"",""th"")"),"ดูยอดเขาสูงสุด")</f>
        <v>ดูยอดเขาสูงสุด</v>
      </c>
      <c r="Y689" s="4" t="str">
        <f>IFERROR(__xludf.DUMMYFUNCTION("GOOGLETRANSLATE(B689,""en"",""ko"")"),"최고봉 보기")</f>
        <v>최고봉 보기</v>
      </c>
      <c r="Z689" s="4" t="str">
        <f>IFERROR(__xludf.DUMMYFUNCTION("GOOGLETRANSLATE(B689,""en"",""zh"")"),"查看最高峰")</f>
        <v>查看最高峰</v>
      </c>
      <c r="AA689" s="4" t="str">
        <f>IFERROR(__xludf.DUMMYFUNCTION("GOOGLETRANSLATE(B689,""en"",""zh-TW"")"),"看最高峰")</f>
        <v>看最高峰</v>
      </c>
      <c r="AB689" s="4" t="str">
        <f>IFERROR(__xludf.DUMMYFUNCTION("GOOGLETRANSLATE(B689,""en"",""ja"")"),"トップピークを見る")</f>
        <v>トップピークを見る</v>
      </c>
      <c r="AC689" s="4" t="str">
        <f>IFERROR(__xludf.DUMMYFUNCTION("GOOGLETRANSLATE(B689,""en"",""bg"")"),"Вижте Топ върхове")</f>
        <v>Вижте Топ върхове</v>
      </c>
      <c r="AD689" s="4" t="str">
        <f>IFERROR(__xludf.DUMMYFUNCTION("GOOGLETRANSLATE(B689,""en"",""cs"")"),"Zobrazit Top Peaks")</f>
        <v>Zobrazit Top Peaks</v>
      </c>
      <c r="AE689" s="4" t="str">
        <f>IFERROR(__xludf.DUMMYFUNCTION("GOOGLETRANSLATE(B689,""en"",""da"")"),"Se Top Peaks")</f>
        <v>Se Top Peaks</v>
      </c>
      <c r="AF689" s="4" t="str">
        <f>IFERROR(__xludf.DUMMYFUNCTION("GOOGLETRANSLATE(B689,""en"",""el"")"),"Προβολή Κορυφαίων Κορυφών")</f>
        <v>Προβολή Κορυφαίων Κορυφών</v>
      </c>
      <c r="AG689" s="4" t="str">
        <f>IFERROR(__xludf.DUMMYFUNCTION("GOOGLETRANSLATE(B689,""en"",""et"")"),"Vaata ülemisi tippe")</f>
        <v>Vaata ülemisi tippe</v>
      </c>
      <c r="AH689" s="4" t="str">
        <f>IFERROR(__xludf.DUMMYFUNCTION("GOOGLETRANSLATE(B689,""en"",""fi"")"),"Näytä Top Peaks")</f>
        <v>Näytä Top Peaks</v>
      </c>
      <c r="AI689" s="4" t="str">
        <f>IFERROR(__xludf.DUMMYFUNCTION("GOOGLETRANSLATE(B689,""en"",""hr"")"),"Pogledajte vrhunske vrhove")</f>
        <v>Pogledajte vrhunske vrhove</v>
      </c>
      <c r="AJ689" s="4" t="str">
        <f>IFERROR(__xludf.DUMMYFUNCTION("GOOGLETRANSLATE(B689,""en"",""hu"")"),"Top csúcsok megtekintése")</f>
        <v>Top csúcsok megtekintése</v>
      </c>
      <c r="AK689" s="4" t="str">
        <f>IFERROR(__xludf.DUMMYFUNCTION("GOOGLETRANSLATE(B689,""en"",""hy"")"),"Դիտեք լավագույն գագաթները")</f>
        <v>Դիտեք լավագույն գագաթները</v>
      </c>
      <c r="AL689" s="4" t="str">
        <f>IFERROR(__xludf.DUMMYFUNCTION("GOOGLETRANSLATE(B689,""en"",""ca"")"),"Veure cims superiors")</f>
        <v>Veure cims superiors</v>
      </c>
      <c r="AM689" s="4" t="str">
        <f>IFERROR(__xludf.DUMMYFUNCTION("GOOGLETRANSLATE(B689,""en"",""nl"")"),"Bekijk toppieken")</f>
        <v>Bekijk toppieken</v>
      </c>
      <c r="AN689" s="4" t="str">
        <f>IFERROR(__xludf.DUMMYFUNCTION("GOOGLETRANSLATE(B689,""en"",""he"")"),"צפה ב-Top Peaks")</f>
        <v>צפה ב-Top Peaks</v>
      </c>
      <c r="AO689" s="4" t="str">
        <f>IFERROR(__xludf.DUMMYFUNCTION("GOOGLETRANSLATE(B689,""en"",""is"")"),"Skoða Top Peaks")</f>
        <v>Skoða Top Peaks</v>
      </c>
      <c r="AP689" s="4" t="str">
        <f>IFERROR(__xludf.DUMMYFUNCTION("GOOGLETRANSLATE(B689,""en"",""no"")"),"Se Top Peaks")</f>
        <v>Se Top Peaks</v>
      </c>
      <c r="AQ689" s="4" t="str">
        <f>IFERROR(__xludf.DUMMYFUNCTION("GOOGLETRANSLATE(B689,""en"",""fa"")"),"مشاهده قله های برتر")</f>
        <v>مشاهده قله های برتر</v>
      </c>
      <c r="AR689" s="4" t="str">
        <f>IFERROR(__xludf.DUMMYFUNCTION("GOOGLETRANSLATE(B689,""en"",""pl"")"),"Zobacz szczyty")</f>
        <v>Zobacz szczyty</v>
      </c>
      <c r="AS689" s="4" t="str">
        <f>IFERROR(__xludf.DUMMYFUNCTION("GOOGLETRANSLATE(B689,""en"",""sv"")"),"Se Top Peaks")</f>
        <v>Se Top Peaks</v>
      </c>
      <c r="AT689" s="4" t="str">
        <f>IFERROR(__xludf.DUMMYFUNCTION("GOOGLETRANSLATE(B689,""en"",""uk"")"),"Переглянути Верхні вершини")</f>
        <v>Переглянути Верхні вершини</v>
      </c>
      <c r="AU689" s="4" t="str">
        <f>IFERROR(__xludf.DUMMYFUNCTION("GOOGLETRANSLATE(B689,""en"",""zu"")"),"Buka Iziqongo Eziphezulu")</f>
        <v>Buka Iziqongo Eziphezulu</v>
      </c>
      <c r="AV689" s="4" t="str">
        <f>IFERROR(__xludf.DUMMYFUNCTION("GOOGLETRANSLATE(B689,""en"",""sr"")"),"Погледајте Топ Пеакс")</f>
        <v>Погледајте Топ Пеакс</v>
      </c>
    </row>
    <row r="690">
      <c r="A690" s="3" t="s">
        <v>1306</v>
      </c>
      <c r="B690" s="3" t="s">
        <v>141</v>
      </c>
      <c r="C690" s="4" t="str">
        <f>IFERROR(__xludf.DUMMYFUNCTION("GOOGLETRANSLATE(B690,""en"",""ta"")"),"GPX இறக்குமதியாளர்/ஏற்றுமதியாளர்")</f>
        <v>GPX இறக்குமதியாளர்/ஏற்றுமதியாளர்</v>
      </c>
      <c r="D690" s="4" t="str">
        <f>IFERROR(__xludf.DUMMYFUNCTION("GOOGLETRANSLATE(B690,""en"",""hi"")"),"जीपीएक्स आयातक/निर्यातक")</f>
        <v>जीपीएक्स आयातक/निर्यातक</v>
      </c>
      <c r="E690" s="4" t="str">
        <f>IFERROR(__xludf.DUMMYFUNCTION("GOOGLETRANSLATE(B690,""en"",""id"")"),"Importir/Eksportir GPX")</f>
        <v>Importir/Eksportir GPX</v>
      </c>
      <c r="F690" s="4" t="str">
        <f>IFERROR(__xludf.DUMMYFUNCTION("GOOGLETRANSLATE(B690,""en"",""ms"")"),"Pengimport/Pengeksport GPX")</f>
        <v>Pengimport/Pengeksport GPX</v>
      </c>
      <c r="G690" s="4" t="str">
        <f>IFERROR(__xludf.DUMMYFUNCTION("GOOGLETRANSLATE(B690,""en"",""de"")"),"GPX-Importeur/Exporteur")</f>
        <v>GPX-Importeur/Exporteur</v>
      </c>
      <c r="H690" s="4" t="str">
        <f>IFERROR(__xludf.DUMMYFUNCTION("GOOGLETRANSLATE(B690,""en"",""es"")"),"Importador/Exportador GPX")</f>
        <v>Importador/Exportador GPX</v>
      </c>
      <c r="I690" s="4" t="str">
        <f>IFERROR(__xludf.DUMMYFUNCTION("GOOGLETRANSLATE(B690,""en"",""fr"")"),"Importateur/Exportateur GPX")</f>
        <v>Importateur/Exportateur GPX</v>
      </c>
      <c r="J690" s="4" t="str">
        <f>IFERROR(__xludf.DUMMYFUNCTION("GOOGLETRANSLATE(B690,""en"",""it"")"),"Importatore/esportatore GPX")</f>
        <v>Importatore/esportatore GPX</v>
      </c>
      <c r="K690" s="4" t="str">
        <f>IFERROR(__xludf.DUMMYFUNCTION("GOOGLETRANSLATE(B690,""en"",""pt"")"),"Importador/Exportador GPX")</f>
        <v>Importador/Exportador GPX</v>
      </c>
      <c r="L690" s="4" t="str">
        <f>IFERROR(__xludf.DUMMYFUNCTION("GOOGLETRANSLATE(B690,""en"",""ro"")"),"Importator/Exportator GPX")</f>
        <v>Importator/Exportator GPX</v>
      </c>
      <c r="M690" s="4" t="str">
        <f>IFERROR(__xludf.DUMMYFUNCTION("GOOGLETRANSLATE(B690,""en"",""vi"")"),"Nhà nhập khẩu/xuất khẩu GPX")</f>
        <v>Nhà nhập khẩu/xuất khẩu GPX</v>
      </c>
      <c r="N690" s="4" t="str">
        <f>IFERROR(__xludf.DUMMYFUNCTION("GOOGLETRANSLATE(B690,""en"",""ru"")"),"Импортер/экспортёр GPX")</f>
        <v>Импортер/экспортёр GPX</v>
      </c>
      <c r="O690" s="4" t="str">
        <f>IFERROR(__xludf.DUMMYFUNCTION("GOOGLETRANSLATE(B690,""en"",""tr"")"),"GPX İthalatçısı/İhracatçısı")</f>
        <v>GPX İthalatçısı/İhracatçısı</v>
      </c>
      <c r="P690" s="4" t="str">
        <f>IFERROR(__xludf.DUMMYFUNCTION("GOOGLETRANSLATE(B690,""en"",""ar"")"),"مستورد/مصدر GPX")</f>
        <v>مستورد/مصدر GPX</v>
      </c>
      <c r="Q690" s="4" t="str">
        <f>IFERROR(__xludf.DUMMYFUNCTION("GOOGLETRANSLATE(B690,""en"",""mr"")"),"GPX आयातक/निर्यातकर्ता")</f>
        <v>GPX आयातक/निर्यातकर्ता</v>
      </c>
      <c r="R690" s="4" t="str">
        <f>IFERROR(__xludf.DUMMYFUNCTION("GOOGLETRANSLATE(B690,""en"",""gu"")"),"GPX આયાતકાર/નિકાસકાર")</f>
        <v>GPX આયાતકાર/નિકાસકાર</v>
      </c>
      <c r="S690" s="4" t="str">
        <f>IFERROR(__xludf.DUMMYFUNCTION("GOOGLETRANSLATE(B690,""en"",""bn"")"),"জিপিএক্স আমদানিকারক/রপ্তানিকারক")</f>
        <v>জিপিএক্স আমদানিকারক/রপ্তানিকারক</v>
      </c>
      <c r="T690" s="4" t="str">
        <f>IFERROR(__xludf.DUMMYFUNCTION("GOOGLETRANSLATE(B690,""en"",""pa"")"),"GPX ਆਯਾਤਕ/ਨਿਰਯਾਤਕ")</f>
        <v>GPX ਆਯਾਤਕ/ਨਿਰਯਾਤਕ</v>
      </c>
      <c r="U690" s="4" t="str">
        <f>IFERROR(__xludf.DUMMYFUNCTION("GOOGLETRANSLATE(B690,""en"",""te"")"),"GPX దిగుమతిదారు/ఎగుమతిదారు")</f>
        <v>GPX దిగుమతిదారు/ఎగుమతిదారు</v>
      </c>
      <c r="V690" s="4" t="str">
        <f>IFERROR(__xludf.DUMMYFUNCTION("GOOGLETRANSLATE(B690,""en"",""kn"")"),"GPX ಆಮದುದಾರ/ರಫ್ತುದಾರ")</f>
        <v>GPX ಆಮದುದಾರ/ರಫ್ತುದಾರ</v>
      </c>
      <c r="W690" s="4" t="str">
        <f>IFERROR(__xludf.DUMMYFUNCTION("GOOGLETRANSLATE(B690,""en"",""ml"")"),"GPX ഇറക്കുമതിക്കാരൻ/കയറ്റുമതിക്കാരൻ")</f>
        <v>GPX ഇറക്കുമതിക്കാരൻ/കയറ്റുമതിക്കാരൻ</v>
      </c>
      <c r="X690" s="4" t="str">
        <f>IFERROR(__xludf.DUMMYFUNCTION("GOOGLETRANSLATE(B690,""en"",""th"")"),"ผู้นำเข้า/ส่งออก GPX")</f>
        <v>ผู้นำเข้า/ส่งออก GPX</v>
      </c>
      <c r="Y690" s="4" t="str">
        <f>IFERROR(__xludf.DUMMYFUNCTION("GOOGLETRANSLATE(B690,""en"",""ko"")"),"GPX 가져오기/내보내기")</f>
        <v>GPX 가져오기/내보내기</v>
      </c>
      <c r="Z690" s="4" t="str">
        <f>IFERROR(__xludf.DUMMYFUNCTION("GOOGLETRANSLATE(B690,""en"",""zh"")"),"GPX导入器/导出器")</f>
        <v>GPX导入器/导出器</v>
      </c>
      <c r="AA690" s="4" t="str">
        <f>IFERROR(__xludf.DUMMYFUNCTION("GOOGLETRANSLATE(B690,""en"",""zh-TW"")"),"GPX導入器/匯出器")</f>
        <v>GPX導入器/匯出器</v>
      </c>
      <c r="AB690" s="4" t="str">
        <f>IFERROR(__xludf.DUMMYFUNCTION("GOOGLETRANSLATE(B690,""en"",""ja"")"),"GPX インポーター/エクスポーター")</f>
        <v>GPX インポーター/エクスポーター</v>
      </c>
      <c r="AC690" s="4" t="str">
        <f>IFERROR(__xludf.DUMMYFUNCTION("GOOGLETRANSLATE(B690,""en"",""bg"")"),"GPX вносител/износител")</f>
        <v>GPX вносител/износител</v>
      </c>
      <c r="AD690" s="4" t="str">
        <f>IFERROR(__xludf.DUMMYFUNCTION("GOOGLETRANSLATE(B690,""en"",""cs"")"),"Dovozce/vývozce GPX")</f>
        <v>Dovozce/vývozce GPX</v>
      </c>
      <c r="AE690" s="4" t="str">
        <f>IFERROR(__xludf.DUMMYFUNCTION("GOOGLETRANSLATE(B690,""en"",""da"")"),"GPX importør/eksportør")</f>
        <v>GPX importør/eksportør</v>
      </c>
      <c r="AF690" s="4" t="str">
        <f>IFERROR(__xludf.DUMMYFUNCTION("GOOGLETRANSLATE(B690,""en"",""el"")"),"Εισαγωγέας/Εξαγωγέας GPX")</f>
        <v>Εισαγωγέας/Εξαγωγέας GPX</v>
      </c>
      <c r="AG690" s="4" t="str">
        <f>IFERROR(__xludf.DUMMYFUNCTION("GOOGLETRANSLATE(B690,""en"",""et"")"),"GPX importija/eksportija")</f>
        <v>GPX importija/eksportija</v>
      </c>
      <c r="AH690" s="4" t="str">
        <f>IFERROR(__xludf.DUMMYFUNCTION("GOOGLETRANSLATE(B690,""en"",""fi"")"),"GPX tuoja/viejä")</f>
        <v>GPX tuoja/viejä</v>
      </c>
      <c r="AI690" s="4" t="str">
        <f>IFERROR(__xludf.DUMMYFUNCTION("GOOGLETRANSLATE(B690,""en"",""hr"")"),"GPX uvoznik/izvoznik")</f>
        <v>GPX uvoznik/izvoznik</v>
      </c>
      <c r="AJ690" s="4" t="str">
        <f>IFERROR(__xludf.DUMMYFUNCTION("GOOGLETRANSLATE(B690,""en"",""hu"")"),"GPX importőr/exportőr")</f>
        <v>GPX importőr/exportőr</v>
      </c>
      <c r="AK690" s="4" t="str">
        <f>IFERROR(__xludf.DUMMYFUNCTION("GOOGLETRANSLATE(B690,""en"",""hy"")"),"GPX ներմուծող/արտահանող")</f>
        <v>GPX ներմուծող/արտահանող</v>
      </c>
      <c r="AL690" s="4" t="str">
        <f>IFERROR(__xludf.DUMMYFUNCTION("GOOGLETRANSLATE(B690,""en"",""ca"")"),"Importador/Exportador GPX")</f>
        <v>Importador/Exportador GPX</v>
      </c>
      <c r="AM690" s="4" t="str">
        <f>IFERROR(__xludf.DUMMYFUNCTION("GOOGLETRANSLATE(B690,""en"",""nl"")"),"GPX-importeur/-exporteur")</f>
        <v>GPX-importeur/-exporteur</v>
      </c>
      <c r="AN690" s="4" t="str">
        <f>IFERROR(__xludf.DUMMYFUNCTION("GOOGLETRANSLATE(B690,""en"",""he"")"),"יבואן/יצואן GPX")</f>
        <v>יבואן/יצואן GPX</v>
      </c>
      <c r="AO690" s="4" t="str">
        <f>IFERROR(__xludf.DUMMYFUNCTION("GOOGLETRANSLATE(B690,""en"",""is"")"),"GPX innflytjandi/útflytjandi")</f>
        <v>GPX innflytjandi/útflytjandi</v>
      </c>
      <c r="AP690" s="4" t="str">
        <f>IFERROR(__xludf.DUMMYFUNCTION("GOOGLETRANSLATE(B690,""en"",""no"")"),"GPX importør/eksportør")</f>
        <v>GPX importør/eksportør</v>
      </c>
      <c r="AQ690" s="4" t="str">
        <f>IFERROR(__xludf.DUMMYFUNCTION("GOOGLETRANSLATE(B690,""en"",""fa"")"),"وارد کننده/صادر کننده GPX")</f>
        <v>وارد کننده/صادر کننده GPX</v>
      </c>
      <c r="AR690" s="4" t="str">
        <f>IFERROR(__xludf.DUMMYFUNCTION("GOOGLETRANSLATE(B690,""en"",""pl"")"),"Importer/eksporter GPX")</f>
        <v>Importer/eksporter GPX</v>
      </c>
      <c r="AS690" s="4" t="str">
        <f>IFERROR(__xludf.DUMMYFUNCTION("GOOGLETRANSLATE(B690,""en"",""sv"")"),"GPX importör/exportör")</f>
        <v>GPX importör/exportör</v>
      </c>
      <c r="AT690" s="4" t="str">
        <f>IFERROR(__xludf.DUMMYFUNCTION("GOOGLETRANSLATE(B690,""en"",""uk"")"),"Імпортер/експортер GPX")</f>
        <v>Імпортер/експортер GPX</v>
      </c>
      <c r="AU690" s="4" t="str">
        <f>IFERROR(__xludf.DUMMYFUNCTION("GOOGLETRANSLATE(B690,""en"",""zu"")"),"I-GPX Ingenisa/Umthumeli")</f>
        <v>I-GPX Ingenisa/Umthumeli</v>
      </c>
      <c r="AV690" s="4" t="str">
        <f>IFERROR(__xludf.DUMMYFUNCTION("GOOGLETRANSLATE(B690,""en"",""sr"")"),"ГПКС увозник/извозник")</f>
        <v>ГПКС увозник/извозник</v>
      </c>
    </row>
    <row r="691">
      <c r="A691" s="3" t="s">
        <v>1307</v>
      </c>
      <c r="B691" s="3" t="s">
        <v>1308</v>
      </c>
      <c r="C691" s="4" t="str">
        <f>IFERROR(__xludf.DUMMYFUNCTION("GOOGLETRANSLATE(B691,""en"",""ta"")"),"அனைத்து GPX கோப்புகள்")</f>
        <v>அனைத்து GPX கோப்புகள்</v>
      </c>
      <c r="D691" s="4" t="str">
        <f>IFERROR(__xludf.DUMMYFUNCTION("GOOGLETRANSLATE(B691,""en"",""hi"")"),"सभी GPX फ़ाइलें")</f>
        <v>सभी GPX फ़ाइलें</v>
      </c>
      <c r="E691" s="4" t="str">
        <f>IFERROR(__xludf.DUMMYFUNCTION("GOOGLETRANSLATE(B691,""en"",""id"")"),"Semua File GPX")</f>
        <v>Semua File GPX</v>
      </c>
      <c r="F691" s="4" t="str">
        <f>IFERROR(__xludf.DUMMYFUNCTION("GOOGLETRANSLATE(B691,""en"",""ms"")"),"Semua Fail GPX")</f>
        <v>Semua Fail GPX</v>
      </c>
      <c r="G691" s="4" t="str">
        <f>IFERROR(__xludf.DUMMYFUNCTION("GOOGLETRANSLATE(B691,""en"",""de"")"),"Alle GPX-Dateien")</f>
        <v>Alle GPX-Dateien</v>
      </c>
      <c r="H691" s="4" t="str">
        <f>IFERROR(__xludf.DUMMYFUNCTION("GOOGLETRANSLATE(B691,""en"",""es"")"),"Todos los archivos GPX")</f>
        <v>Todos los archivos GPX</v>
      </c>
      <c r="I691" s="4" t="str">
        <f>IFERROR(__xludf.DUMMYFUNCTION("GOOGLETRANSLATE(B691,""en"",""fr"")"),"Tous les fichiers GPX")</f>
        <v>Tous les fichiers GPX</v>
      </c>
      <c r="J691" s="4" t="str">
        <f>IFERROR(__xludf.DUMMYFUNCTION("GOOGLETRANSLATE(B691,""en"",""it"")"),"Tutti i file GPX")</f>
        <v>Tutti i file GPX</v>
      </c>
      <c r="K691" s="4" t="str">
        <f>IFERROR(__xludf.DUMMYFUNCTION("GOOGLETRANSLATE(B691,""en"",""pt"")"),"Todos os arquivos GPX")</f>
        <v>Todos os arquivos GPX</v>
      </c>
      <c r="L691" s="4" t="str">
        <f>IFERROR(__xludf.DUMMYFUNCTION("GOOGLETRANSLATE(B691,""en"",""ro"")"),"Toate fișierele GPX")</f>
        <v>Toate fișierele GPX</v>
      </c>
      <c r="M691" s="4" t="str">
        <f>IFERROR(__xludf.DUMMYFUNCTION("GOOGLETRANSLATE(B691,""en"",""vi"")"),"Tất cả các tập tin GPX")</f>
        <v>Tất cả các tập tin GPX</v>
      </c>
      <c r="N691" s="4" t="str">
        <f>IFERROR(__xludf.DUMMYFUNCTION("GOOGLETRANSLATE(B691,""en"",""ru"")"),"Все файлы GPX")</f>
        <v>Все файлы GPX</v>
      </c>
      <c r="O691" s="4" t="str">
        <f>IFERROR(__xludf.DUMMYFUNCTION("GOOGLETRANSLATE(B691,""en"",""tr"")"),"Tüm GPX Dosyaları")</f>
        <v>Tüm GPX Dosyaları</v>
      </c>
      <c r="P691" s="4" t="str">
        <f>IFERROR(__xludf.DUMMYFUNCTION("GOOGLETRANSLATE(B691,""en"",""ar"")"),"جميع ملفات GPX")</f>
        <v>جميع ملفات GPX</v>
      </c>
      <c r="Q691" s="4" t="str">
        <f>IFERROR(__xludf.DUMMYFUNCTION("GOOGLETRANSLATE(B691,""en"",""mr"")"),"सर्व GPX फायली")</f>
        <v>सर्व GPX फायली</v>
      </c>
      <c r="R691" s="4" t="str">
        <f>IFERROR(__xludf.DUMMYFUNCTION("GOOGLETRANSLATE(B691,""en"",""gu"")"),"બધી GPX ફાઇલો")</f>
        <v>બધી GPX ફાઇલો</v>
      </c>
      <c r="S691" s="4" t="str">
        <f>IFERROR(__xludf.DUMMYFUNCTION("GOOGLETRANSLATE(B691,""en"",""bn"")"),"সমস্ত GPX ফাইল")</f>
        <v>সমস্ত GPX ফাইল</v>
      </c>
      <c r="T691" s="4" t="str">
        <f>IFERROR(__xludf.DUMMYFUNCTION("GOOGLETRANSLATE(B691,""en"",""pa"")"),"ਸਾਰੀਆਂ GPX ਫਾਈਲਾਂ")</f>
        <v>ਸਾਰੀਆਂ GPX ਫਾਈਲਾਂ</v>
      </c>
      <c r="U691" s="4" t="str">
        <f>IFERROR(__xludf.DUMMYFUNCTION("GOOGLETRANSLATE(B691,""en"",""te"")"),"అన్ని GPX ఫైల్‌లు")</f>
        <v>అన్ని GPX ఫైల్‌లు</v>
      </c>
      <c r="V691" s="4" t="str">
        <f>IFERROR(__xludf.DUMMYFUNCTION("GOOGLETRANSLATE(B691,""en"",""kn"")"),"ಎಲ್ಲಾ GPX ಫೈಲ್‌ಗಳು")</f>
        <v>ಎಲ್ಲಾ GPX ಫೈಲ್‌ಗಳು</v>
      </c>
      <c r="W691" s="4" t="str">
        <f>IFERROR(__xludf.DUMMYFUNCTION("GOOGLETRANSLATE(B691,""en"",""ml"")"),"എല്ലാ GPX ഫയലുകളും")</f>
        <v>എല്ലാ GPX ഫയലുകളും</v>
      </c>
      <c r="X691" s="4" t="str">
        <f>IFERROR(__xludf.DUMMYFUNCTION("GOOGLETRANSLATE(B691,""en"",""th"")"),"ไฟล์ GPX ทั้งหมด")</f>
        <v>ไฟล์ GPX ทั้งหมด</v>
      </c>
      <c r="Y691" s="4" t="str">
        <f>IFERROR(__xludf.DUMMYFUNCTION("GOOGLETRANSLATE(B691,""en"",""ko"")"),"모든 GPX 파일")</f>
        <v>모든 GPX 파일</v>
      </c>
      <c r="Z691" s="4" t="str">
        <f>IFERROR(__xludf.DUMMYFUNCTION("GOOGLETRANSLATE(B691,""en"",""zh"")"),"所有GPX文件")</f>
        <v>所有GPX文件</v>
      </c>
      <c r="AA691" s="4" t="str">
        <f>IFERROR(__xludf.DUMMYFUNCTION("GOOGLETRANSLATE(B691,""en"",""zh-TW"")"),"所有GPX文件")</f>
        <v>所有GPX文件</v>
      </c>
      <c r="AB691" s="4" t="str">
        <f>IFERROR(__xludf.DUMMYFUNCTION("GOOGLETRANSLATE(B691,""en"",""ja"")"),"すべてのGPXファイル")</f>
        <v>すべてのGPXファイル</v>
      </c>
      <c r="AC691" s="4" t="str">
        <f>IFERROR(__xludf.DUMMYFUNCTION("GOOGLETRANSLATE(B691,""en"",""bg"")"),"Всички GPX файлове")</f>
        <v>Всички GPX файлове</v>
      </c>
      <c r="AD691" s="4" t="str">
        <f>IFERROR(__xludf.DUMMYFUNCTION("GOOGLETRANSLATE(B691,""en"",""cs"")"),"Všechny soubory GPX")</f>
        <v>Všechny soubory GPX</v>
      </c>
      <c r="AE691" s="4" t="str">
        <f>IFERROR(__xludf.DUMMYFUNCTION("GOOGLETRANSLATE(B691,""en"",""da"")"),"Alle GPX-filer")</f>
        <v>Alle GPX-filer</v>
      </c>
      <c r="AF691" s="4" t="str">
        <f>IFERROR(__xludf.DUMMYFUNCTION("GOOGLETRANSLATE(B691,""en"",""el"")"),"Όλα τα αρχεία GPX")</f>
        <v>Όλα τα αρχεία GPX</v>
      </c>
      <c r="AG691" s="4" t="str">
        <f>IFERROR(__xludf.DUMMYFUNCTION("GOOGLETRANSLATE(B691,""en"",""et"")"),"Kõik GPX-failid")</f>
        <v>Kõik GPX-failid</v>
      </c>
      <c r="AH691" s="4" t="str">
        <f>IFERROR(__xludf.DUMMYFUNCTION("GOOGLETRANSLATE(B691,""en"",""fi"")"),"Kaikki GPX-tiedostot")</f>
        <v>Kaikki GPX-tiedostot</v>
      </c>
      <c r="AI691" s="4" t="str">
        <f>IFERROR(__xludf.DUMMYFUNCTION("GOOGLETRANSLATE(B691,""en"",""hr"")"),"Sve GPX datoteke")</f>
        <v>Sve GPX datoteke</v>
      </c>
      <c r="AJ691" s="4" t="str">
        <f>IFERROR(__xludf.DUMMYFUNCTION("GOOGLETRANSLATE(B691,""en"",""hu"")"),"Minden GPX fájl")</f>
        <v>Minden GPX fájl</v>
      </c>
      <c r="AK691" s="4" t="str">
        <f>IFERROR(__xludf.DUMMYFUNCTION("GOOGLETRANSLATE(B691,""en"",""hy"")"),"Բոլոր GPX ֆայլերը")</f>
        <v>Բոլոր GPX ֆայլերը</v>
      </c>
      <c r="AL691" s="4" t="str">
        <f>IFERROR(__xludf.DUMMYFUNCTION("GOOGLETRANSLATE(B691,""en"",""ca"")"),"Tots els fitxers GPX")</f>
        <v>Tots els fitxers GPX</v>
      </c>
      <c r="AM691" s="4" t="str">
        <f>IFERROR(__xludf.DUMMYFUNCTION("GOOGLETRANSLATE(B691,""en"",""nl"")"),"Alle GPX-bestanden")</f>
        <v>Alle GPX-bestanden</v>
      </c>
      <c r="AN691" s="4" t="str">
        <f>IFERROR(__xludf.DUMMYFUNCTION("GOOGLETRANSLATE(B691,""en"",""he"")"),"כל קבצי GPX")</f>
        <v>כל קבצי GPX</v>
      </c>
      <c r="AO691" s="4" t="str">
        <f>IFERROR(__xludf.DUMMYFUNCTION("GOOGLETRANSLATE(B691,""en"",""is"")"),"Allar GPX skrár")</f>
        <v>Allar GPX skrár</v>
      </c>
      <c r="AP691" s="4" t="str">
        <f>IFERROR(__xludf.DUMMYFUNCTION("GOOGLETRANSLATE(B691,""en"",""no"")"),"Alle GPX-filer")</f>
        <v>Alle GPX-filer</v>
      </c>
      <c r="AQ691" s="4" t="str">
        <f>IFERROR(__xludf.DUMMYFUNCTION("GOOGLETRANSLATE(B691,""en"",""fa"")"),"همه فایل های GPX")</f>
        <v>همه فایل های GPX</v>
      </c>
      <c r="AR691" s="4" t="str">
        <f>IFERROR(__xludf.DUMMYFUNCTION("GOOGLETRANSLATE(B691,""en"",""pl"")"),"Wszystkie pliki GPX")</f>
        <v>Wszystkie pliki GPX</v>
      </c>
      <c r="AS691" s="4" t="str">
        <f>IFERROR(__xludf.DUMMYFUNCTION("GOOGLETRANSLATE(B691,""en"",""sv"")"),"Alla GPX-filer")</f>
        <v>Alla GPX-filer</v>
      </c>
      <c r="AT691" s="4" t="str">
        <f>IFERROR(__xludf.DUMMYFUNCTION("GOOGLETRANSLATE(B691,""en"",""uk"")"),"Усі файли GPX")</f>
        <v>Усі файли GPX</v>
      </c>
      <c r="AU691" s="4" t="str">
        <f>IFERROR(__xludf.DUMMYFUNCTION("GOOGLETRANSLATE(B691,""en"",""zu"")"),"Wonke Amafayela e-GPX")</f>
        <v>Wonke Amafayela e-GPX</v>
      </c>
      <c r="AV691" s="4" t="str">
        <f>IFERROR(__xludf.DUMMYFUNCTION("GOOGLETRANSLATE(B691,""en"",""sr"")"),"Све ГПКС датотеке")</f>
        <v>Све ГПКС датотеке</v>
      </c>
    </row>
    <row r="692">
      <c r="A692" s="3" t="s">
        <v>1309</v>
      </c>
      <c r="B692" s="3" t="s">
        <v>1310</v>
      </c>
      <c r="C692" s="4" t="str">
        <f>IFERROR(__xludf.DUMMYFUNCTION("GOOGLETRANSLATE(B692,""en"",""ta"")"),"எனது கோப்பு")</f>
        <v>எனது கோப்பு</v>
      </c>
      <c r="D692" s="4" t="str">
        <f>IFERROR(__xludf.DUMMYFUNCTION("GOOGLETRANSLATE(B692,""en"",""hi"")"),"मेरी फ़ाइल")</f>
        <v>मेरी फ़ाइल</v>
      </c>
      <c r="E692" s="4" t="str">
        <f>IFERROR(__xludf.DUMMYFUNCTION("GOOGLETRANSLATE(B692,""en"",""id"")"),"File saya")</f>
        <v>File saya</v>
      </c>
      <c r="F692" s="4" t="str">
        <f>IFERROR(__xludf.DUMMYFUNCTION("GOOGLETRANSLATE(B692,""en"",""ms"")"),"Fail Saya")</f>
        <v>Fail Saya</v>
      </c>
      <c r="G692" s="4" t="str">
        <f>IFERROR(__xludf.DUMMYFUNCTION("GOOGLETRANSLATE(B692,""en"",""de"")"),"Meine Datei")</f>
        <v>Meine Datei</v>
      </c>
      <c r="H692" s="4" t="str">
        <f>IFERROR(__xludf.DUMMYFUNCTION("GOOGLETRANSLATE(B692,""en"",""es"")"),"Mi archivo")</f>
        <v>Mi archivo</v>
      </c>
      <c r="I692" s="4" t="str">
        <f>IFERROR(__xludf.DUMMYFUNCTION("GOOGLETRANSLATE(B692,""en"",""fr"")"),"Mon dossier")</f>
        <v>Mon dossier</v>
      </c>
      <c r="J692" s="4" t="str">
        <f>IFERROR(__xludf.DUMMYFUNCTION("GOOGLETRANSLATE(B692,""en"",""it"")"),"Il mio file")</f>
        <v>Il mio file</v>
      </c>
      <c r="K692" s="4" t="str">
        <f>IFERROR(__xludf.DUMMYFUNCTION("GOOGLETRANSLATE(B692,""en"",""pt"")"),"Meu arquivo")</f>
        <v>Meu arquivo</v>
      </c>
      <c r="L692" s="4" t="str">
        <f>IFERROR(__xludf.DUMMYFUNCTION("GOOGLETRANSLATE(B692,""en"",""ro"")"),"Fișierul meu")</f>
        <v>Fișierul meu</v>
      </c>
      <c r="M692" s="4" t="str">
        <f>IFERROR(__xludf.DUMMYFUNCTION("GOOGLETRANSLATE(B692,""en"",""vi"")"),"Tập tin của tôi")</f>
        <v>Tập tin của tôi</v>
      </c>
      <c r="N692" s="4" t="str">
        <f>IFERROR(__xludf.DUMMYFUNCTION("GOOGLETRANSLATE(B692,""en"",""ru"")"),"Мой файл")</f>
        <v>Мой файл</v>
      </c>
      <c r="O692" s="4" t="str">
        <f>IFERROR(__xludf.DUMMYFUNCTION("GOOGLETRANSLATE(B692,""en"",""tr"")"),"Benim Dosyam")</f>
        <v>Benim Dosyam</v>
      </c>
      <c r="P692" s="4" t="str">
        <f>IFERROR(__xludf.DUMMYFUNCTION("GOOGLETRANSLATE(B692,""en"",""ar"")"),"ملفي")</f>
        <v>ملفي</v>
      </c>
      <c r="Q692" s="4" t="str">
        <f>IFERROR(__xludf.DUMMYFUNCTION("GOOGLETRANSLATE(B692,""en"",""mr"")"),"माझी फाइल")</f>
        <v>माझी फाइल</v>
      </c>
      <c r="R692" s="4" t="str">
        <f>IFERROR(__xludf.DUMMYFUNCTION("GOOGLETRANSLATE(B692,""en"",""gu"")"),"મારી ફાઇલ")</f>
        <v>મારી ફાઇલ</v>
      </c>
      <c r="S692" s="4" t="str">
        <f>IFERROR(__xludf.DUMMYFUNCTION("GOOGLETRANSLATE(B692,""en"",""bn"")"),"আমার ফাইল")</f>
        <v>আমার ফাইল</v>
      </c>
      <c r="T692" s="4" t="str">
        <f>IFERROR(__xludf.DUMMYFUNCTION("GOOGLETRANSLATE(B692,""en"",""pa"")"),"ਮੇਰੀ ਫਾਈਲ")</f>
        <v>ਮੇਰੀ ਫਾਈਲ</v>
      </c>
      <c r="U692" s="4" t="str">
        <f>IFERROR(__xludf.DUMMYFUNCTION("GOOGLETRANSLATE(B692,""en"",""te"")"),"నా ఫైల్")</f>
        <v>నా ఫైల్</v>
      </c>
      <c r="V692" s="4" t="str">
        <f>IFERROR(__xludf.DUMMYFUNCTION("GOOGLETRANSLATE(B692,""en"",""kn"")"),"ನನ್ನ ಫೈಲ್")</f>
        <v>ನನ್ನ ಫೈಲ್</v>
      </c>
      <c r="W692" s="4" t="str">
        <f>IFERROR(__xludf.DUMMYFUNCTION("GOOGLETRANSLATE(B692,""en"",""ml"")"),"എൻ്റെ ഫയൽ")</f>
        <v>എൻ്റെ ഫയൽ</v>
      </c>
      <c r="X692" s="4" t="str">
        <f>IFERROR(__xludf.DUMMYFUNCTION("GOOGLETRANSLATE(B692,""en"",""th"")"),"ไฟล์ของฉัน")</f>
        <v>ไฟล์ของฉัน</v>
      </c>
      <c r="Y692" s="4" t="str">
        <f>IFERROR(__xludf.DUMMYFUNCTION("GOOGLETRANSLATE(B692,""en"",""ko"")"),"내 파일")</f>
        <v>내 파일</v>
      </c>
      <c r="Z692" s="4" t="str">
        <f>IFERROR(__xludf.DUMMYFUNCTION("GOOGLETRANSLATE(B692,""en"",""zh"")"),"我的文件")</f>
        <v>我的文件</v>
      </c>
      <c r="AA692" s="4" t="str">
        <f>IFERROR(__xludf.DUMMYFUNCTION("GOOGLETRANSLATE(B692,""en"",""zh-TW"")"),"我的文件")</f>
        <v>我的文件</v>
      </c>
      <c r="AB692" s="4" t="str">
        <f>IFERROR(__xludf.DUMMYFUNCTION("GOOGLETRANSLATE(B692,""en"",""ja"")"),"マイファイル")</f>
        <v>マイファイル</v>
      </c>
      <c r="AC692" s="4" t="str">
        <f>IFERROR(__xludf.DUMMYFUNCTION("GOOGLETRANSLATE(B692,""en"",""bg"")"),"Моят файл")</f>
        <v>Моят файл</v>
      </c>
      <c r="AD692" s="4" t="str">
        <f>IFERROR(__xludf.DUMMYFUNCTION("GOOGLETRANSLATE(B692,""en"",""cs"")"),"Můj soubor")</f>
        <v>Můj soubor</v>
      </c>
      <c r="AE692" s="4" t="str">
        <f>IFERROR(__xludf.DUMMYFUNCTION("GOOGLETRANSLATE(B692,""en"",""da"")"),"Min fil")</f>
        <v>Min fil</v>
      </c>
      <c r="AF692" s="4" t="str">
        <f>IFERROR(__xludf.DUMMYFUNCTION("GOOGLETRANSLATE(B692,""en"",""el"")"),"Το αρχείο μου")</f>
        <v>Το αρχείο μου</v>
      </c>
      <c r="AG692" s="4" t="str">
        <f>IFERROR(__xludf.DUMMYFUNCTION("GOOGLETRANSLATE(B692,""en"",""et"")"),"Minu fail")</f>
        <v>Minu fail</v>
      </c>
      <c r="AH692" s="4" t="str">
        <f>IFERROR(__xludf.DUMMYFUNCTION("GOOGLETRANSLATE(B692,""en"",""fi"")"),"Oma tiedosto")</f>
        <v>Oma tiedosto</v>
      </c>
      <c r="AI692" s="4" t="str">
        <f>IFERROR(__xludf.DUMMYFUNCTION("GOOGLETRANSLATE(B692,""en"",""hr"")"),"Moja datoteka")</f>
        <v>Moja datoteka</v>
      </c>
      <c r="AJ692" s="4" t="str">
        <f>IFERROR(__xludf.DUMMYFUNCTION("GOOGLETRANSLATE(B692,""en"",""hu"")"),"Saját fájl")</f>
        <v>Saját fájl</v>
      </c>
      <c r="AK692" s="4" t="str">
        <f>IFERROR(__xludf.DUMMYFUNCTION("GOOGLETRANSLATE(B692,""en"",""hy"")"),"Իմ Ֆայլը")</f>
        <v>Իմ Ֆայլը</v>
      </c>
      <c r="AL692" s="4" t="str">
        <f>IFERROR(__xludf.DUMMYFUNCTION("GOOGLETRANSLATE(B692,""en"",""ca"")"),"El meu fitxer")</f>
        <v>El meu fitxer</v>
      </c>
      <c r="AM692" s="4" t="str">
        <f>IFERROR(__xludf.DUMMYFUNCTION("GOOGLETRANSLATE(B692,""en"",""nl"")"),"Mijn bestand")</f>
        <v>Mijn bestand</v>
      </c>
      <c r="AN692" s="4" t="str">
        <f>IFERROR(__xludf.DUMMYFUNCTION("GOOGLETRANSLATE(B692,""en"",""he"")"),"הקובץ שלי")</f>
        <v>הקובץ שלי</v>
      </c>
      <c r="AO692" s="4" t="str">
        <f>IFERROR(__xludf.DUMMYFUNCTION("GOOGLETRANSLATE(B692,""en"",""is"")"),"Skráin mín")</f>
        <v>Skráin mín</v>
      </c>
      <c r="AP692" s="4" t="str">
        <f>IFERROR(__xludf.DUMMYFUNCTION("GOOGLETRANSLATE(B692,""en"",""no"")"),"Min fil")</f>
        <v>Min fil</v>
      </c>
      <c r="AQ692" s="4" t="str">
        <f>IFERROR(__xludf.DUMMYFUNCTION("GOOGLETRANSLATE(B692,""en"",""fa"")"),"فایل من")</f>
        <v>فایل من</v>
      </c>
      <c r="AR692" s="4" t="str">
        <f>IFERROR(__xludf.DUMMYFUNCTION("GOOGLETRANSLATE(B692,""en"",""pl"")"),"Mój plik")</f>
        <v>Mój plik</v>
      </c>
      <c r="AS692" s="4" t="str">
        <f>IFERROR(__xludf.DUMMYFUNCTION("GOOGLETRANSLATE(B692,""en"",""sv"")"),"Min fil")</f>
        <v>Min fil</v>
      </c>
      <c r="AT692" s="4" t="str">
        <f>IFERROR(__xludf.DUMMYFUNCTION("GOOGLETRANSLATE(B692,""en"",""uk"")"),"Мій файл")</f>
        <v>Мій файл</v>
      </c>
      <c r="AU692" s="4" t="str">
        <f>IFERROR(__xludf.DUMMYFUNCTION("GOOGLETRANSLATE(B692,""en"",""zu"")"),"Ifayela Lami")</f>
        <v>Ifayela Lami</v>
      </c>
      <c r="AV692" s="4" t="str">
        <f>IFERROR(__xludf.DUMMYFUNCTION("GOOGLETRANSLATE(B692,""en"",""sr"")"),"Ми Филе")</f>
        <v>Ми Филе</v>
      </c>
    </row>
    <row r="693">
      <c r="A693" s="3" t="s">
        <v>1311</v>
      </c>
      <c r="B693" s="3" t="s">
        <v>1312</v>
      </c>
      <c r="C693" s="4" t="str">
        <f>IFERROR(__xludf.DUMMYFUNCTION("GOOGLETRANSLATE(B693,""en"",""ta"")"),"GPX கோப்பை ஏற்றுகிறது...")</f>
        <v>GPX கோப்பை ஏற்றுகிறது...</v>
      </c>
      <c r="D693" s="4" t="str">
        <f>IFERROR(__xludf.DUMMYFUNCTION("GOOGLETRANSLATE(B693,""en"",""hi"")"),"GPX फ़ाइल लोड हो रही है...")</f>
        <v>GPX फ़ाइल लोड हो रही है...</v>
      </c>
      <c r="E693" s="4" t="str">
        <f>IFERROR(__xludf.DUMMYFUNCTION("GOOGLETRANSLATE(B693,""en"",""id"")"),"Memuat berkas GPX...")</f>
        <v>Memuat berkas GPX...</v>
      </c>
      <c r="F693" s="4" t="str">
        <f>IFERROR(__xludf.DUMMYFUNCTION("GOOGLETRANSLATE(B693,""en"",""ms"")"),"Memuatkan fail GPX...")</f>
        <v>Memuatkan fail GPX...</v>
      </c>
      <c r="G693" s="4" t="str">
        <f>IFERROR(__xludf.DUMMYFUNCTION("GOOGLETRANSLATE(B693,""en"",""de"")"),"GPX-Datei wird geladen …")</f>
        <v>GPX-Datei wird geladen …</v>
      </c>
      <c r="H693" s="4" t="str">
        <f>IFERROR(__xludf.DUMMYFUNCTION("GOOGLETRANSLATE(B693,""en"",""es"")"),"Cargando archivo GPX...")</f>
        <v>Cargando archivo GPX...</v>
      </c>
      <c r="I693" s="4" t="str">
        <f>IFERROR(__xludf.DUMMYFUNCTION("GOOGLETRANSLATE(B693,""en"",""fr"")"),"Chargement du fichier GPX...")</f>
        <v>Chargement du fichier GPX...</v>
      </c>
      <c r="J693" s="4" t="str">
        <f>IFERROR(__xludf.DUMMYFUNCTION("GOOGLETRANSLATE(B693,""en"",""it"")"),"Caricamento file GPX...")</f>
        <v>Caricamento file GPX...</v>
      </c>
      <c r="K693" s="4" t="str">
        <f>IFERROR(__xludf.DUMMYFUNCTION("GOOGLETRANSLATE(B693,""en"",""pt"")"),"Carregando arquivo GPX...")</f>
        <v>Carregando arquivo GPX...</v>
      </c>
      <c r="L693" s="4" t="str">
        <f>IFERROR(__xludf.DUMMYFUNCTION("GOOGLETRANSLATE(B693,""en"",""ro"")"),"Se încarcă fișierul GPX...")</f>
        <v>Se încarcă fișierul GPX...</v>
      </c>
      <c r="M693" s="4" t="str">
        <f>IFERROR(__xludf.DUMMYFUNCTION("GOOGLETRANSLATE(B693,""en"",""vi"")"),"Đang tải tệp GPX...")</f>
        <v>Đang tải tệp GPX...</v>
      </c>
      <c r="N693" s="4" t="str">
        <f>IFERROR(__xludf.DUMMYFUNCTION("GOOGLETRANSLATE(B693,""en"",""ru"")"),"Загрузка файла GPX...")</f>
        <v>Загрузка файла GPX...</v>
      </c>
      <c r="O693" s="4" t="str">
        <f>IFERROR(__xludf.DUMMYFUNCTION("GOOGLETRANSLATE(B693,""en"",""tr"")"),"GPX dosyası yükleniyor...")</f>
        <v>GPX dosyası yükleniyor...</v>
      </c>
      <c r="P693" s="4" t="str">
        <f>IFERROR(__xludf.DUMMYFUNCTION("GOOGLETRANSLATE(B693,""en"",""ar"")"),"جاري تحميل ملف GPX...")</f>
        <v>جاري تحميل ملف GPX...</v>
      </c>
      <c r="Q693" s="4" t="str">
        <f>IFERROR(__xludf.DUMMYFUNCTION("GOOGLETRANSLATE(B693,""en"",""mr"")"),"GPX फाइल लोड करत आहे...")</f>
        <v>GPX फाइल लोड करत आहे...</v>
      </c>
      <c r="R693" s="4" t="str">
        <f>IFERROR(__xludf.DUMMYFUNCTION("GOOGLETRANSLATE(B693,""en"",""gu"")"),"GPX ફાઇલ લોડ કરી રહ્યું છે...")</f>
        <v>GPX ફાઇલ લોડ કરી રહ્યું છે...</v>
      </c>
      <c r="S693" s="4" t="str">
        <f>IFERROR(__xludf.DUMMYFUNCTION("GOOGLETRANSLATE(B693,""en"",""bn"")"),"GPX ফাইল লোড হচ্ছে...")</f>
        <v>GPX ফাইল লোড হচ্ছে...</v>
      </c>
      <c r="T693" s="4" t="str">
        <f>IFERROR(__xludf.DUMMYFUNCTION("GOOGLETRANSLATE(B693,""en"",""pa"")"),"GPX ਫ਼ਾਈਲ ਲੋਡ ਕੀਤੀ ਜਾ ਰਹੀ ਹੈ...")</f>
        <v>GPX ਫ਼ਾਈਲ ਲੋਡ ਕੀਤੀ ਜਾ ਰਹੀ ਹੈ...</v>
      </c>
      <c r="U693" s="4" t="str">
        <f>IFERROR(__xludf.DUMMYFUNCTION("GOOGLETRANSLATE(B693,""en"",""te"")"),"GPX ఫైల్ లోడ్ అవుతోంది...")</f>
        <v>GPX ఫైల్ లోడ్ అవుతోంది...</v>
      </c>
      <c r="V693" s="4" t="str">
        <f>IFERROR(__xludf.DUMMYFUNCTION("GOOGLETRANSLATE(B693,""en"",""kn"")"),"GPX ಫೈಲ್ ಅನ್ನು ಲೋಡ್ ಮಾಡಲಾಗುತ್ತಿದೆ...")</f>
        <v>GPX ಫೈಲ್ ಅನ್ನು ಲೋಡ್ ಮಾಡಲಾಗುತ್ತಿದೆ...</v>
      </c>
      <c r="W693" s="4" t="str">
        <f>IFERROR(__xludf.DUMMYFUNCTION("GOOGLETRANSLATE(B693,""en"",""ml"")"),"GPX ഫയൽ ലോഡ് ചെയ്യുന്നു...")</f>
        <v>GPX ഫയൽ ലോഡ് ചെയ്യുന്നു...</v>
      </c>
      <c r="X693" s="4" t="str">
        <f>IFERROR(__xludf.DUMMYFUNCTION("GOOGLETRANSLATE(B693,""en"",""th"")"),"กำลังโหลดไฟล์ GPX...")</f>
        <v>กำลังโหลดไฟล์ GPX...</v>
      </c>
      <c r="Y693" s="4" t="str">
        <f>IFERROR(__xludf.DUMMYFUNCTION("GOOGLETRANSLATE(B693,""en"",""ko"")"),"GPX 파일을 로딩 중입니다...")</f>
        <v>GPX 파일을 로딩 중입니다...</v>
      </c>
      <c r="Z693" s="4" t="str">
        <f>IFERROR(__xludf.DUMMYFUNCTION("GOOGLETRANSLATE(B693,""en"",""zh"")"),"正在加载 GPX 文件...")</f>
        <v>正在加载 GPX 文件...</v>
      </c>
      <c r="AA693" s="4" t="str">
        <f>IFERROR(__xludf.DUMMYFUNCTION("GOOGLETRANSLATE(B693,""en"",""zh-TW"")"),"正在載入 GPX 檔案...")</f>
        <v>正在載入 GPX 檔案...</v>
      </c>
      <c r="AB693" s="4" t="str">
        <f>IFERROR(__xludf.DUMMYFUNCTION("GOOGLETRANSLATE(B693,""en"",""ja"")"),"GPX ファイルを読み込んでいます...")</f>
        <v>GPX ファイルを読み込んでいます...</v>
      </c>
      <c r="AC693" s="4" t="str">
        <f>IFERROR(__xludf.DUMMYFUNCTION("GOOGLETRANSLATE(B693,""en"",""bg"")"),"GPX файлът се зарежда...")</f>
        <v>GPX файлът се зарежда...</v>
      </c>
      <c r="AD693" s="4" t="str">
        <f>IFERROR(__xludf.DUMMYFUNCTION("GOOGLETRANSLATE(B693,""en"",""cs"")"),"Načítání souboru GPX...")</f>
        <v>Načítání souboru GPX...</v>
      </c>
      <c r="AE693" s="4" t="str">
        <f>IFERROR(__xludf.DUMMYFUNCTION("GOOGLETRANSLATE(B693,""en"",""da"")"),"Indlæser GPX-fil...")</f>
        <v>Indlæser GPX-fil...</v>
      </c>
      <c r="AF693" s="4" t="str">
        <f>IFERROR(__xludf.DUMMYFUNCTION("GOOGLETRANSLATE(B693,""en"",""el"")"),"Φόρτωση αρχείου GPX...")</f>
        <v>Φόρτωση αρχείου GPX...</v>
      </c>
      <c r="AG693" s="4" t="str">
        <f>IFERROR(__xludf.DUMMYFUNCTION("GOOGLETRANSLATE(B693,""en"",""et"")"),"GPX-faili laadimine...")</f>
        <v>GPX-faili laadimine...</v>
      </c>
      <c r="AH693" s="4" t="str">
        <f>IFERROR(__xludf.DUMMYFUNCTION("GOOGLETRANSLATE(B693,""en"",""fi"")"),"Ladataan GPX-tiedostoa...")</f>
        <v>Ladataan GPX-tiedostoa...</v>
      </c>
      <c r="AI693" s="4" t="str">
        <f>IFERROR(__xludf.DUMMYFUNCTION("GOOGLETRANSLATE(B693,""en"",""hr"")"),"Učitavanje GPX datoteke...")</f>
        <v>Učitavanje GPX datoteke...</v>
      </c>
      <c r="AJ693" s="4" t="str">
        <f>IFERROR(__xludf.DUMMYFUNCTION("GOOGLETRANSLATE(B693,""en"",""hu"")"),"GPX fájl betöltése...")</f>
        <v>GPX fájl betöltése...</v>
      </c>
      <c r="AK693" s="4" t="str">
        <f>IFERROR(__xludf.DUMMYFUNCTION("GOOGLETRANSLATE(B693,""en"",""hy"")"),"GPX ֆայլը բեռնվում է...")</f>
        <v>GPX ֆայլը բեռնվում է...</v>
      </c>
      <c r="AL693" s="4" t="str">
        <f>IFERROR(__xludf.DUMMYFUNCTION("GOOGLETRANSLATE(B693,""en"",""ca"")"),"S'està carregant el fitxer GPX...")</f>
        <v>S'està carregant el fitxer GPX...</v>
      </c>
      <c r="AM693" s="4" t="str">
        <f>IFERROR(__xludf.DUMMYFUNCTION("GOOGLETRANSLATE(B693,""en"",""nl"")"),"GPX-bestand laden...")</f>
        <v>GPX-bestand laden...</v>
      </c>
      <c r="AN693" s="4" t="str">
        <f>IFERROR(__xludf.DUMMYFUNCTION("GOOGLETRANSLATE(B693,""en"",""he"")"),"טוען קובץ GPX...")</f>
        <v>טוען קובץ GPX...</v>
      </c>
      <c r="AO693" s="4" t="str">
        <f>IFERROR(__xludf.DUMMYFUNCTION("GOOGLETRANSLATE(B693,""en"",""is"")"),"Hleður GPX skrá...")</f>
        <v>Hleður GPX skrá...</v>
      </c>
      <c r="AP693" s="4" t="str">
        <f>IFERROR(__xludf.DUMMYFUNCTION("GOOGLETRANSLATE(B693,""en"",""no"")"),"Laster GPX-fil ...")</f>
        <v>Laster GPX-fil ...</v>
      </c>
      <c r="AQ693" s="4" t="str">
        <f>IFERROR(__xludf.DUMMYFUNCTION("GOOGLETRANSLATE(B693,""en"",""fa"")"),"در حال بارگیری فایل GPX...")</f>
        <v>در حال بارگیری فایل GPX...</v>
      </c>
      <c r="AR693" s="4" t="str">
        <f>IFERROR(__xludf.DUMMYFUNCTION("GOOGLETRANSLATE(B693,""en"",""pl"")"),"Ładowanie pliku GPX...")</f>
        <v>Ładowanie pliku GPX...</v>
      </c>
      <c r="AS693" s="4" t="str">
        <f>IFERROR(__xludf.DUMMYFUNCTION("GOOGLETRANSLATE(B693,""en"",""sv"")"),"Laddar GPX-fil...")</f>
        <v>Laddar GPX-fil...</v>
      </c>
      <c r="AT693" s="4" t="str">
        <f>IFERROR(__xludf.DUMMYFUNCTION("GOOGLETRANSLATE(B693,""en"",""uk"")"),"Завантаження файлу GPX...")</f>
        <v>Завантаження файлу GPX...</v>
      </c>
      <c r="AU693" s="4" t="str">
        <f>IFERROR(__xludf.DUMMYFUNCTION("GOOGLETRANSLATE(B693,""en"",""zu"")"),"Ilayisha ifayela le-GPX...")</f>
        <v>Ilayisha ifayela le-GPX...</v>
      </c>
      <c r="AV693" s="4" t="str">
        <f>IFERROR(__xludf.DUMMYFUNCTION("GOOGLETRANSLATE(B693,""en"",""sr"")"),"Учитавање ГПКС датотеке...")</f>
        <v>Учитавање ГПКС датотеке...</v>
      </c>
    </row>
    <row r="694">
      <c r="A694" s="3" t="s">
        <v>1313</v>
      </c>
      <c r="B694" s="3" t="s">
        <v>1314</v>
      </c>
      <c r="C694" s="4" t="str">
        <f>IFERROR(__xludf.DUMMYFUNCTION("GOOGLETRANSLATE(B694,""en"",""ta"")"),"{{title}} GPX கோப்பைச் சேமிக்க விரும்புகிறீர்களா?")</f>
        <v>{{title}} GPX கோப்பைச் சேமிக்க விரும்புகிறீர்களா?</v>
      </c>
      <c r="D694" s="4" t="str">
        <f>IFERROR(__xludf.DUMMYFUNCTION("GOOGLETRANSLATE(B694,""en"",""hi"")"),"क्या आप वाकई {{title}} GPX फ़ाइल को सहेजना चाहते हैं?")</f>
        <v>क्या आप वाकई {{title}} GPX फ़ाइल को सहेजना चाहते हैं?</v>
      </c>
      <c r="E694" s="4" t="str">
        <f>IFERROR(__xludf.DUMMYFUNCTION("GOOGLETRANSLATE(B694,""en"",""id"")"),"Apakah Anda yakin ingin menyimpan berkas GPX {{title}}?")</f>
        <v>Apakah Anda yakin ingin menyimpan berkas GPX {{title}}?</v>
      </c>
      <c r="F694" s="4" t="str">
        <f>IFERROR(__xludf.DUMMYFUNCTION("GOOGLETRANSLATE(B694,""en"",""ms"")"),"Adakah anda pasti mahu menyimpan fail GPX {{title}} ?")</f>
        <v>Adakah anda pasti mahu menyimpan fail GPX {{title}} ?</v>
      </c>
      <c r="G694" s="4" t="str">
        <f>IFERROR(__xludf.DUMMYFUNCTION("GOOGLETRANSLATE(B694,""en"",""de"")"),"Möchten Sie die GPX-Datei {{title}} wirklich speichern?")</f>
        <v>Möchten Sie die GPX-Datei {{title}} wirklich speichern?</v>
      </c>
      <c r="H694" s="4" t="str">
        <f>IFERROR(__xludf.DUMMYFUNCTION("GOOGLETRANSLATE(B694,""en"",""es"")"),"¿Estás seguro de que deseas guardar el archivo GPX {{title}}?")</f>
        <v>¿Estás seguro de que deseas guardar el archivo GPX {{title}}?</v>
      </c>
      <c r="I694" s="4" t="str">
        <f>IFERROR(__xludf.DUMMYFUNCTION("GOOGLETRANSLATE(B694,""en"",""fr"")"),"Êtes-vous sûr de vouloir enregistrer le fichier GPX {{title}} ?")</f>
        <v>Êtes-vous sûr de vouloir enregistrer le fichier GPX {{title}} ?</v>
      </c>
      <c r="J694" s="4" t="str">
        <f>IFERROR(__xludf.DUMMYFUNCTION("GOOGLETRANSLATE(B694,""en"",""it"")"),"Sei sicuro di voler salvare il file GPX {{title}}?")</f>
        <v>Sei sicuro di voler salvare il file GPX {{title}}?</v>
      </c>
      <c r="K694" s="4" t="str">
        <f>IFERROR(__xludf.DUMMYFUNCTION("GOOGLETRANSLATE(B694,""en"",""pt"")"),"Tem certeza de que deseja salvar o arquivo GPX {{title}}?")</f>
        <v>Tem certeza de que deseja salvar o arquivo GPX {{title}}?</v>
      </c>
      <c r="L694" s="4" t="str">
        <f>IFERROR(__xludf.DUMMYFUNCTION("GOOGLETRANSLATE(B694,""en"",""ro"")"),"Sigur doriți să salvați fișierul GPX {{title}}?")</f>
        <v>Sigur doriți să salvați fișierul GPX {{title}}?</v>
      </c>
      <c r="M694" s="4" t="str">
        <f>IFERROR(__xludf.DUMMYFUNCTION("GOOGLETRANSLATE(B694,""en"",""vi"")"),"Bạn có chắc chắn muốn lưu tệp GPX {{title}} không?")</f>
        <v>Bạn có chắc chắn muốn lưu tệp GPX {{title}} không?</v>
      </c>
      <c r="N694" s="4" t="str">
        <f>IFERROR(__xludf.DUMMYFUNCTION("GOOGLETRANSLATE(B694,""en"",""ru"")"),"Вы уверены, что хотите сохранить файл GPX {{title}}?")</f>
        <v>Вы уверены, что хотите сохранить файл GPX {{title}}?</v>
      </c>
      <c r="O694" s="4" t="str">
        <f>IFERROR(__xludf.DUMMYFUNCTION("GOOGLETRANSLATE(B694,""en"",""tr"")"),"{{title}} GPX dosyasını kaydetmek istediğinizden emin misiniz?")</f>
        <v>{{title}} GPX dosyasını kaydetmek istediğinizden emin misiniz?</v>
      </c>
      <c r="P694" s="4" t="str">
        <f>IFERROR(__xludf.DUMMYFUNCTION("GOOGLETRANSLATE(B694,""en"",""ar"")"),"هل أنت متأكد أنك تريد حفظ ملف {{title}} GPX؟")</f>
        <v>هل أنت متأكد أنك تريد حفظ ملف {{title}} GPX؟</v>
      </c>
      <c r="Q694" s="4" t="str">
        <f>IFERROR(__xludf.DUMMYFUNCTION("GOOGLETRANSLATE(B694,""en"",""mr"")"),"तुम्हाला खात्री आहे की तुम्ही {{title}} GPX फाइल सेव्ह करू इच्छिता?")</f>
        <v>तुम्हाला खात्री आहे की तुम्ही {{title}} GPX फाइल सेव्ह करू इच्छिता?</v>
      </c>
      <c r="R694" s="4" t="str">
        <f>IFERROR(__xludf.DUMMYFUNCTION("GOOGLETRANSLATE(B694,""en"",""gu"")"),"શું તમે ખરેખર {{title}} GPX ફાઇલ સાચવવા માંગો છો?")</f>
        <v>શું તમે ખરેખર {{title}} GPX ફાઇલ સાચવવા માંગો છો?</v>
      </c>
      <c r="S694" s="4" t="str">
        <f>IFERROR(__xludf.DUMMYFUNCTION("GOOGLETRANSLATE(B694,""en"",""bn"")"),"আপনি কি {{title}} GPX ফাইল সংরক্ষণ করার বিষয়ে নিশ্চিত?")</f>
        <v>আপনি কি {{title}} GPX ফাইল সংরক্ষণ করার বিষয়ে নিশ্চিত?</v>
      </c>
      <c r="T694" s="4" t="str">
        <f>IFERROR(__xludf.DUMMYFUNCTION("GOOGLETRANSLATE(B694,""en"",""pa"")"),"ਕੀ ਤੁਸੀਂ ਯਕੀਨੀ ਤੌਰ 'ਤੇ {{title}} GPX ਫਾਈਲ ਨੂੰ ਸੁਰੱਖਿਅਤ ਕਰਨਾ ਚਾਹੁੰਦੇ ਹੋ?")</f>
        <v>ਕੀ ਤੁਸੀਂ ਯਕੀਨੀ ਤੌਰ 'ਤੇ {{title}} GPX ਫਾਈਲ ਨੂੰ ਸੁਰੱਖਿਅਤ ਕਰਨਾ ਚਾਹੁੰਦੇ ਹੋ?</v>
      </c>
      <c r="U694" s="4" t="str">
        <f>IFERROR(__xludf.DUMMYFUNCTION("GOOGLETRANSLATE(B694,""en"",""te"")"),"మీరు ఖచ్చితంగా {{title}} GPX ఫైల్‌ని సేవ్ చేయాలనుకుంటున్నారా ?")</f>
        <v>మీరు ఖచ్చితంగా {{title}} GPX ఫైల్‌ని సేవ్ చేయాలనుకుంటున్నారా ?</v>
      </c>
      <c r="V694" s="4" t="str">
        <f>IFERROR(__xludf.DUMMYFUNCTION("GOOGLETRANSLATE(B694,""en"",""kn"")"),"ನೀವು {{title}} GPX ಫೈಲ್ ಅನ್ನು ಉಳಿಸಲು ಖಚಿತವಾಗಿ ಬಯಸುವಿರಾ?")</f>
        <v>ನೀವು {{title}} GPX ಫೈಲ್ ಅನ್ನು ಉಳಿಸಲು ಖಚಿತವಾಗಿ ಬಯಸುವಿರಾ?</v>
      </c>
      <c r="W694" s="4" t="str">
        <f>IFERROR(__xludf.DUMMYFUNCTION("GOOGLETRANSLATE(B694,""en"",""ml"")"),"{{title}} GPX ഫയൽ സംരക്ഷിക്കണമെന്ന് തീർച്ചയാണോ ?")</f>
        <v>{{title}} GPX ഫയൽ സംരക്ഷിക്കണമെന്ന് തീർച്ചയാണോ ?</v>
      </c>
      <c r="X694" s="4" t="str">
        <f>IFERROR(__xludf.DUMMYFUNCTION("GOOGLETRANSLATE(B694,""en"",""th"")"),"คุณแน่ใจหรือไม่ว่าต้องการบันทึกไฟล์ {{title}} GPX?")</f>
        <v>คุณแน่ใจหรือไม่ว่าต้องการบันทึกไฟล์ {{title}} GPX?</v>
      </c>
      <c r="Y694" s="4" t="str">
        <f>IFERROR(__xludf.DUMMYFUNCTION("GOOGLETRANSLATE(B694,""en"",""ko"")"),"{{title}} GPX 파일을 저장하시겠습니까?")</f>
        <v>{{title}} GPX 파일을 저장하시겠습니까?</v>
      </c>
      <c r="Z694" s="4" t="str">
        <f>IFERROR(__xludf.DUMMYFUNCTION("GOOGLETRANSLATE(B694,""en"",""zh"")"),"您确定要保存 {{title}} GPX 文件吗？")</f>
        <v>您确定要保存 {{title}} GPX 文件吗？</v>
      </c>
      <c r="AA694" s="4" t="str">
        <f>IFERROR(__xludf.DUMMYFUNCTION("GOOGLETRANSLATE(B694,""en"",""zh-TW"")"),"您確定要儲存 {{title}} GPX 檔案嗎？")</f>
        <v>您確定要儲存 {{title}} GPX 檔案嗎？</v>
      </c>
      <c r="AB694" s="4" t="str">
        <f>IFERROR(__xludf.DUMMYFUNCTION("GOOGLETRANSLATE(B694,""en"",""ja"")"),"{{title}} GPX ファイルを保存してもよろしいですか?")</f>
        <v>{{title}} GPX ファイルを保存してもよろしいですか?</v>
      </c>
      <c r="AC694" s="4" t="str">
        <f>IFERROR(__xludf.DUMMYFUNCTION("GOOGLETRANSLATE(B694,""en"",""bg"")"),"Сигурни ли сте, че искате да запазите GPX файла {{title}}?")</f>
        <v>Сигурни ли сте, че искате да запазите GPX файла {{title}}?</v>
      </c>
      <c r="AD694" s="4" t="str">
        <f>IFERROR(__xludf.DUMMYFUNCTION("GOOGLETRANSLATE(B694,""en"",""cs"")"),"Opravdu chcete uložit soubor GPX {{title}}?")</f>
        <v>Opravdu chcete uložit soubor GPX {{title}}?</v>
      </c>
      <c r="AE694" s="4" t="str">
        <f>IFERROR(__xludf.DUMMYFUNCTION("GOOGLETRANSLATE(B694,""en"",""da"")"),"Er du sikker på, at du vil gemme GPX-filen {{title}}?")</f>
        <v>Er du sikker på, at du vil gemme GPX-filen {{title}}?</v>
      </c>
      <c r="AF694" s="4" t="str">
        <f>IFERROR(__xludf.DUMMYFUNCTION("GOOGLETRANSLATE(B694,""en"",""el"")"),"Είστε βέβαιοι ότι θέλετε να αποθηκεύσετε το αρχείο GPX {{title}};")</f>
        <v>Είστε βέβαιοι ότι θέλετε να αποθηκεύσετε το αρχείο GPX {{title}};</v>
      </c>
      <c r="AG694" s="4" t="str">
        <f>IFERROR(__xludf.DUMMYFUNCTION("GOOGLETRANSLATE(B694,""en"",""et"")"),"Kas olete kindel, et soovite salvestada GPX-faili {{title}}?")</f>
        <v>Kas olete kindel, et soovite salvestada GPX-faili {{title}}?</v>
      </c>
      <c r="AH694" s="4" t="str">
        <f>IFERROR(__xludf.DUMMYFUNCTION("GOOGLETRANSLATE(B694,""en"",""fi"")"),"Haluatko varmasti tallentaa {{title}} GPX-tiedoston?")</f>
        <v>Haluatko varmasti tallentaa {{title}} GPX-tiedoston?</v>
      </c>
      <c r="AI694" s="4" t="str">
        <f>IFERROR(__xludf.DUMMYFUNCTION("GOOGLETRANSLATE(B694,""en"",""hr"")"),"Jeste li sigurni da želite spremiti {{title}} GPX datoteku?")</f>
        <v>Jeste li sigurni da želite spremiti {{title}} GPX datoteku?</v>
      </c>
      <c r="AJ694" s="4" t="str">
        <f>IFERROR(__xludf.DUMMYFUNCTION("GOOGLETRANSLATE(B694,""en"",""hu"")"),"Biztosan menti a {{title}} GPX-fájlt?")</f>
        <v>Biztosan menti a {{title}} GPX-fájlt?</v>
      </c>
      <c r="AK694" s="4" t="str">
        <f>IFERROR(__xludf.DUMMYFUNCTION("GOOGLETRANSLATE(B694,""en"",""hy"")"),"Իսկապե՞ս ուզում եք պահպանել {{title}} GPX ֆայլը:")</f>
        <v>Իսկապե՞ս ուզում եք պահպանել {{title}} GPX ֆայլը:</v>
      </c>
      <c r="AL694" s="4" t="str">
        <f>IFERROR(__xludf.DUMMYFUNCTION("GOOGLETRANSLATE(B694,""en"",""ca"")"),"Esteu segur que voleu desar el fitxer GPX {{title}}?")</f>
        <v>Esteu segur que voleu desar el fitxer GPX {{title}}?</v>
      </c>
      <c r="AM694" s="4" t="str">
        <f>IFERROR(__xludf.DUMMYFUNCTION("GOOGLETRANSLATE(B694,""en"",""nl"")"),"Weet u zeker dat u het GPX-bestand {{title}} wilt opslaan?")</f>
        <v>Weet u zeker dat u het GPX-bestand {{title}} wilt opslaan?</v>
      </c>
      <c r="AN694" s="4" t="str">
        <f>IFERROR(__xludf.DUMMYFUNCTION("GOOGLETRANSLATE(B694,""en"",""he"")"),"האם אתה בטוח שברצונך לשמור את קובץ ה-GPX {{title}}?")</f>
        <v>האם אתה בטוח שברצונך לשמור את קובץ ה-GPX {{title}}?</v>
      </c>
      <c r="AO694" s="4" t="str">
        <f>IFERROR(__xludf.DUMMYFUNCTION("GOOGLETRANSLATE(B694,""en"",""is"")"),"Ertu viss um að þú viljir vista {{title}} GPX skrána?")</f>
        <v>Ertu viss um að þú viljir vista {{title}} GPX skrána?</v>
      </c>
      <c r="AP694" s="4" t="str">
        <f>IFERROR(__xludf.DUMMYFUNCTION("GOOGLETRANSLATE(B694,""en"",""no"")"),"Er du sikker på at du vil lagre GPX-filen {{title}}?")</f>
        <v>Er du sikker på at du vil lagre GPX-filen {{title}}?</v>
      </c>
      <c r="AQ694" s="4" t="str">
        <f>IFERROR(__xludf.DUMMYFUNCTION("GOOGLETRANSLATE(B694,""en"",""fa"")"),"آیا مطمئن هستید که می خواهید فایل GPX {{title}} را ذخیره کنید؟")</f>
        <v>آیا مطمئن هستید که می خواهید فایل GPX {{title}} را ذخیره کنید؟</v>
      </c>
      <c r="AR694" s="4" t="str">
        <f>IFERROR(__xludf.DUMMYFUNCTION("GOOGLETRANSLATE(B694,""en"",""pl"")"),"Czy na pewno chcesz zapisać plik GPX {{title}}?")</f>
        <v>Czy na pewno chcesz zapisać plik GPX {{title}}?</v>
      </c>
      <c r="AS694" s="4" t="str">
        <f>IFERROR(__xludf.DUMMYFUNCTION("GOOGLETRANSLATE(B694,""en"",""sv"")"),"Är du säker på att du vill spara GPX-filen {{title}}?")</f>
        <v>Är du säker på att du vill spara GPX-filen {{title}}?</v>
      </c>
      <c r="AT694" s="4" t="str">
        <f>IFERROR(__xludf.DUMMYFUNCTION("GOOGLETRANSLATE(B694,""en"",""uk"")"),"Ви впевнені, що хочете зберегти файл GPX {{title}}?")</f>
        <v>Ви впевнені, що хочете зберегти файл GPX {{title}}?</v>
      </c>
      <c r="AU694" s="4" t="str">
        <f>IFERROR(__xludf.DUMMYFUNCTION("GOOGLETRANSLATE(B694,""en"",""zu"")"),"Uqinisekile ukuthi ufuna ukulondoloza {{title}} ifayela le-GPX ?")</f>
        <v>Uqinisekile ukuthi ufuna ukulondoloza {{title}} ifayela le-GPX ?</v>
      </c>
      <c r="AV694" s="4" t="str">
        <f>IFERROR(__xludf.DUMMYFUNCTION("GOOGLETRANSLATE(B694,""en"",""sr"")"),"Да ли сте сигурни да желите да сачувате {{титле}} ГПКС датотеку?")</f>
        <v>Да ли сте сигурни да желите да сачувате {{титле}} ГПКС датотеку?</v>
      </c>
    </row>
    <row r="695">
      <c r="A695" s="3" t="s">
        <v>1315</v>
      </c>
      <c r="B695" s="3" t="s">
        <v>357</v>
      </c>
      <c r="C695" s="4" t="str">
        <f>IFERROR(__xludf.DUMMYFUNCTION("GOOGLETRANSLATE(B695,""en"",""ta"")"),"ரத்து செய்")</f>
        <v>ரத்து செய்</v>
      </c>
      <c r="D695" s="4" t="str">
        <f>IFERROR(__xludf.DUMMYFUNCTION("GOOGLETRANSLATE(B695,""en"",""hi"")"),"रद्द करना")</f>
        <v>रद्द करना</v>
      </c>
      <c r="E695" s="4" t="str">
        <f>IFERROR(__xludf.DUMMYFUNCTION("GOOGLETRANSLATE(B695,""en"",""id"")"),"Membatalkan")</f>
        <v>Membatalkan</v>
      </c>
      <c r="F695" s="4" t="str">
        <f>IFERROR(__xludf.DUMMYFUNCTION("GOOGLETRANSLATE(B695,""en"",""ms"")"),"Batal")</f>
        <v>Batal</v>
      </c>
      <c r="G695" s="4" t="str">
        <f>IFERROR(__xludf.DUMMYFUNCTION("GOOGLETRANSLATE(B695,""en"",""de"")"),"Stornieren")</f>
        <v>Stornieren</v>
      </c>
      <c r="H695" s="4" t="str">
        <f>IFERROR(__xludf.DUMMYFUNCTION("GOOGLETRANSLATE(B695,""en"",""es"")"),"Cancelar")</f>
        <v>Cancelar</v>
      </c>
      <c r="I695" s="4" t="str">
        <f>IFERROR(__xludf.DUMMYFUNCTION("GOOGLETRANSLATE(B695,""en"",""fr"")"),"Annuler")</f>
        <v>Annuler</v>
      </c>
      <c r="J695" s="4" t="str">
        <f>IFERROR(__xludf.DUMMYFUNCTION("GOOGLETRANSLATE(B695,""en"",""it"")"),"Cancellare")</f>
        <v>Cancellare</v>
      </c>
      <c r="K695" s="4" t="str">
        <f>IFERROR(__xludf.DUMMYFUNCTION("GOOGLETRANSLATE(B695,""en"",""pt"")"),"Cancelar")</f>
        <v>Cancelar</v>
      </c>
      <c r="L695" s="4" t="str">
        <f>IFERROR(__xludf.DUMMYFUNCTION("GOOGLETRANSLATE(B695,""en"",""ro"")"),"Anula")</f>
        <v>Anula</v>
      </c>
      <c r="M695" s="4" t="str">
        <f>IFERROR(__xludf.DUMMYFUNCTION("GOOGLETRANSLATE(B695,""en"",""vi"")"),"Hủy bỏ")</f>
        <v>Hủy bỏ</v>
      </c>
      <c r="N695" s="4" t="str">
        <f>IFERROR(__xludf.DUMMYFUNCTION("GOOGLETRANSLATE(B695,""en"",""ru"")"),"Отмена")</f>
        <v>Отмена</v>
      </c>
      <c r="O695" s="4" t="str">
        <f>IFERROR(__xludf.DUMMYFUNCTION("GOOGLETRANSLATE(B695,""en"",""tr"")"),"İptal etmek")</f>
        <v>İptal etmek</v>
      </c>
      <c r="P695" s="4" t="str">
        <f>IFERROR(__xludf.DUMMYFUNCTION("GOOGLETRANSLATE(B695,""en"",""ar"")"),"يلغي")</f>
        <v>يلغي</v>
      </c>
      <c r="Q695" s="4" t="str">
        <f>IFERROR(__xludf.DUMMYFUNCTION("GOOGLETRANSLATE(B695,""en"",""mr"")"),"रद्द करा")</f>
        <v>रद्द करा</v>
      </c>
      <c r="R695" s="4" t="str">
        <f>IFERROR(__xludf.DUMMYFUNCTION("GOOGLETRANSLATE(B695,""en"",""gu"")"),"રદ કરો")</f>
        <v>રદ કરો</v>
      </c>
      <c r="S695" s="4" t="str">
        <f>IFERROR(__xludf.DUMMYFUNCTION("GOOGLETRANSLATE(B695,""en"",""bn"")"),"বাতিল করুন")</f>
        <v>বাতিল করুন</v>
      </c>
      <c r="T695" s="4" t="str">
        <f>IFERROR(__xludf.DUMMYFUNCTION("GOOGLETRANSLATE(B695,""en"",""pa"")"),"ਰੱਦ ਕਰੋ")</f>
        <v>ਰੱਦ ਕਰੋ</v>
      </c>
      <c r="U695" s="4" t="str">
        <f>IFERROR(__xludf.DUMMYFUNCTION("GOOGLETRANSLATE(B695,""en"",""te"")"),"రద్దు చేయి")</f>
        <v>రద్దు చేయి</v>
      </c>
      <c r="V695" s="4" t="str">
        <f>IFERROR(__xludf.DUMMYFUNCTION("GOOGLETRANSLATE(B695,""en"",""kn"")"),"ರದ್ದುಮಾಡು")</f>
        <v>ರದ್ದುಮಾಡು</v>
      </c>
      <c r="W695" s="4" t="str">
        <f>IFERROR(__xludf.DUMMYFUNCTION("GOOGLETRANSLATE(B695,""en"",""ml"")"),"റദ്ദാക്കുക")</f>
        <v>റദ്ദാക്കുക</v>
      </c>
      <c r="X695" s="4" t="str">
        <f>IFERROR(__xludf.DUMMYFUNCTION("GOOGLETRANSLATE(B695,""en"",""th"")"),"ยกเลิก")</f>
        <v>ยกเลิก</v>
      </c>
      <c r="Y695" s="4" t="str">
        <f>IFERROR(__xludf.DUMMYFUNCTION("GOOGLETRANSLATE(B695,""en"",""ko"")"),"취소")</f>
        <v>취소</v>
      </c>
      <c r="Z695" s="4" t="str">
        <f>IFERROR(__xludf.DUMMYFUNCTION("GOOGLETRANSLATE(B695,""en"",""zh"")"),"取消")</f>
        <v>取消</v>
      </c>
      <c r="AA695" s="4" t="str">
        <f>IFERROR(__xludf.DUMMYFUNCTION("GOOGLETRANSLATE(B695,""en"",""zh-TW"")"),"取消")</f>
        <v>取消</v>
      </c>
      <c r="AB695" s="4" t="str">
        <f>IFERROR(__xludf.DUMMYFUNCTION("GOOGLETRANSLATE(B695,""en"",""ja"")"),"キャンセル")</f>
        <v>キャンセル</v>
      </c>
      <c r="AC695" s="4" t="str">
        <f>IFERROR(__xludf.DUMMYFUNCTION("GOOGLETRANSLATE(B695,""en"",""bg"")"),"Отказ")</f>
        <v>Отказ</v>
      </c>
      <c r="AD695" s="4" t="str">
        <f>IFERROR(__xludf.DUMMYFUNCTION("GOOGLETRANSLATE(B695,""en"",""cs"")"),"Zrušit")</f>
        <v>Zrušit</v>
      </c>
      <c r="AE695" s="4" t="str">
        <f>IFERROR(__xludf.DUMMYFUNCTION("GOOGLETRANSLATE(B695,""en"",""da"")"),"Ophæve")</f>
        <v>Ophæve</v>
      </c>
      <c r="AF695" s="4" t="str">
        <f>IFERROR(__xludf.DUMMYFUNCTION("GOOGLETRANSLATE(B695,""en"",""el"")"),"Ματαίωση")</f>
        <v>Ματαίωση</v>
      </c>
      <c r="AG695" s="4" t="str">
        <f>IFERROR(__xludf.DUMMYFUNCTION("GOOGLETRANSLATE(B695,""en"",""et"")"),"Tühista")</f>
        <v>Tühista</v>
      </c>
      <c r="AH695" s="4" t="str">
        <f>IFERROR(__xludf.DUMMYFUNCTION("GOOGLETRANSLATE(B695,""en"",""fi"")"),"Peruuttaa")</f>
        <v>Peruuttaa</v>
      </c>
      <c r="AI695" s="4" t="str">
        <f>IFERROR(__xludf.DUMMYFUNCTION("GOOGLETRANSLATE(B695,""en"",""hr"")"),"Otkazati")</f>
        <v>Otkazati</v>
      </c>
      <c r="AJ695" s="4" t="str">
        <f>IFERROR(__xludf.DUMMYFUNCTION("GOOGLETRANSLATE(B695,""en"",""hu"")"),"Mégsem")</f>
        <v>Mégsem</v>
      </c>
      <c r="AK695" s="4" t="str">
        <f>IFERROR(__xludf.DUMMYFUNCTION("GOOGLETRANSLATE(B695,""en"",""hy"")"),"Չեղարկել")</f>
        <v>Չեղարկել</v>
      </c>
      <c r="AL695" s="4" t="str">
        <f>IFERROR(__xludf.DUMMYFUNCTION("GOOGLETRANSLATE(B695,""en"",""ca"")"),"Cancel·la")</f>
        <v>Cancel·la</v>
      </c>
      <c r="AM695" s="4" t="str">
        <f>IFERROR(__xludf.DUMMYFUNCTION("GOOGLETRANSLATE(B695,""en"",""nl"")"),"Annuleren")</f>
        <v>Annuleren</v>
      </c>
      <c r="AN695" s="4" t="str">
        <f>IFERROR(__xludf.DUMMYFUNCTION("GOOGLETRANSLATE(B695,""en"",""he"")"),"לְבַטֵל")</f>
        <v>לְבַטֵל</v>
      </c>
      <c r="AO695" s="4" t="str">
        <f>IFERROR(__xludf.DUMMYFUNCTION("GOOGLETRANSLATE(B695,""en"",""is"")"),"Hætta við")</f>
        <v>Hætta við</v>
      </c>
      <c r="AP695" s="4" t="str">
        <f>IFERROR(__xludf.DUMMYFUNCTION("GOOGLETRANSLATE(B695,""en"",""no"")"),"Kansellere")</f>
        <v>Kansellere</v>
      </c>
      <c r="AQ695" s="4" t="str">
        <f>IFERROR(__xludf.DUMMYFUNCTION("GOOGLETRANSLATE(B695,""en"",""fa"")"),"لغو کنید")</f>
        <v>لغو کنید</v>
      </c>
      <c r="AR695" s="4" t="str">
        <f>IFERROR(__xludf.DUMMYFUNCTION("GOOGLETRANSLATE(B695,""en"",""pl"")"),"Anulować")</f>
        <v>Anulować</v>
      </c>
      <c r="AS695" s="4" t="str">
        <f>IFERROR(__xludf.DUMMYFUNCTION("GOOGLETRANSLATE(B695,""en"",""sv"")"),"Avboka")</f>
        <v>Avboka</v>
      </c>
      <c r="AT695" s="4" t="str">
        <f>IFERROR(__xludf.DUMMYFUNCTION("GOOGLETRANSLATE(B695,""en"",""uk"")"),"Скасувати")</f>
        <v>Скасувати</v>
      </c>
      <c r="AU695" s="4" t="str">
        <f>IFERROR(__xludf.DUMMYFUNCTION("GOOGLETRANSLATE(B695,""en"",""zu"")"),"Khansela")</f>
        <v>Khansela</v>
      </c>
      <c r="AV695" s="4" t="str">
        <f>IFERROR(__xludf.DUMMYFUNCTION("GOOGLETRANSLATE(B695,""en"",""sr"")"),"Откажи")</f>
        <v>Откажи</v>
      </c>
    </row>
    <row r="696">
      <c r="A696" s="3" t="s">
        <v>1316</v>
      </c>
      <c r="B696" s="3" t="s">
        <v>79</v>
      </c>
      <c r="C696" s="4" t="str">
        <f>IFERROR(__xludf.DUMMYFUNCTION("GOOGLETRANSLATE(B696,""en"",""ta"")"),"சேமிக்கவும்")</f>
        <v>சேமிக்கவும்</v>
      </c>
      <c r="D696" s="4" t="str">
        <f>IFERROR(__xludf.DUMMYFUNCTION("GOOGLETRANSLATE(B696,""en"",""hi"")"),"बचाना")</f>
        <v>बचाना</v>
      </c>
      <c r="E696" s="4" t="str">
        <f>IFERROR(__xludf.DUMMYFUNCTION("GOOGLETRANSLATE(B696,""en"",""id"")"),"Menyimpan")</f>
        <v>Menyimpan</v>
      </c>
      <c r="F696" s="4" t="str">
        <f>IFERROR(__xludf.DUMMYFUNCTION("GOOGLETRANSLATE(B696,""en"",""ms"")"),"Jimat")</f>
        <v>Jimat</v>
      </c>
      <c r="G696" s="4" t="str">
        <f>IFERROR(__xludf.DUMMYFUNCTION("GOOGLETRANSLATE(B696,""en"",""de"")"),"Speichern")</f>
        <v>Speichern</v>
      </c>
      <c r="H696" s="4" t="str">
        <f>IFERROR(__xludf.DUMMYFUNCTION("GOOGLETRANSLATE(B696,""en"",""es"")"),"Ahorrar")</f>
        <v>Ahorrar</v>
      </c>
      <c r="I696" s="4" t="str">
        <f>IFERROR(__xludf.DUMMYFUNCTION("GOOGLETRANSLATE(B696,""en"",""fr"")"),"Sauvegarder")</f>
        <v>Sauvegarder</v>
      </c>
      <c r="J696" s="4" t="str">
        <f>IFERROR(__xludf.DUMMYFUNCTION("GOOGLETRANSLATE(B696,""en"",""it"")"),"Salva")</f>
        <v>Salva</v>
      </c>
      <c r="K696" s="4" t="str">
        <f>IFERROR(__xludf.DUMMYFUNCTION("GOOGLETRANSLATE(B696,""en"",""pt"")"),"Salvar")</f>
        <v>Salvar</v>
      </c>
      <c r="L696" s="4" t="str">
        <f>IFERROR(__xludf.DUMMYFUNCTION("GOOGLETRANSLATE(B696,""en"",""ro"")"),"Salva")</f>
        <v>Salva</v>
      </c>
      <c r="M696" s="4" t="str">
        <f>IFERROR(__xludf.DUMMYFUNCTION("GOOGLETRANSLATE(B696,""en"",""vi"")"),"Cứu")</f>
        <v>Cứu</v>
      </c>
      <c r="N696" s="4" t="str">
        <f>IFERROR(__xludf.DUMMYFUNCTION("GOOGLETRANSLATE(B696,""en"",""ru"")"),"Сохранять")</f>
        <v>Сохранять</v>
      </c>
      <c r="O696" s="4" t="str">
        <f>IFERROR(__xludf.DUMMYFUNCTION("GOOGLETRANSLATE(B696,""en"",""tr"")"),"Kaydetmek")</f>
        <v>Kaydetmek</v>
      </c>
      <c r="P696" s="4" t="str">
        <f>IFERROR(__xludf.DUMMYFUNCTION("GOOGLETRANSLATE(B696,""en"",""ar"")"),"يحفظ")</f>
        <v>يحفظ</v>
      </c>
      <c r="Q696" s="4" t="str">
        <f>IFERROR(__xludf.DUMMYFUNCTION("GOOGLETRANSLATE(B696,""en"",""mr"")"),"जतन करा")</f>
        <v>जतन करा</v>
      </c>
      <c r="R696" s="4" t="str">
        <f>IFERROR(__xludf.DUMMYFUNCTION("GOOGLETRANSLATE(B696,""en"",""gu"")"),"સાચવો")</f>
        <v>સાચવો</v>
      </c>
      <c r="S696" s="4" t="str">
        <f>IFERROR(__xludf.DUMMYFUNCTION("GOOGLETRANSLATE(B696,""en"",""bn"")"),"সংরক্ষণ করুন")</f>
        <v>সংরক্ষণ করুন</v>
      </c>
      <c r="T696" s="4" t="str">
        <f>IFERROR(__xludf.DUMMYFUNCTION("GOOGLETRANSLATE(B696,""en"",""pa"")"),"ਸੇਵ ਕਰੋ")</f>
        <v>ਸੇਵ ਕਰੋ</v>
      </c>
      <c r="U696" s="4" t="str">
        <f>IFERROR(__xludf.DUMMYFUNCTION("GOOGLETRANSLATE(B696,""en"",""te"")"),"సేవ్ చేయండి")</f>
        <v>సేవ్ చేయండి</v>
      </c>
      <c r="V696" s="4" t="str">
        <f>IFERROR(__xludf.DUMMYFUNCTION("GOOGLETRANSLATE(B696,""en"",""kn"")"),"ಉಳಿಸಿ")</f>
        <v>ಉಳಿಸಿ</v>
      </c>
      <c r="W696" s="4" t="str">
        <f>IFERROR(__xludf.DUMMYFUNCTION("GOOGLETRANSLATE(B696,""en"",""ml"")"),"സംരക്ഷിക്കുക")</f>
        <v>സംരക്ഷിക്കുക</v>
      </c>
      <c r="X696" s="4" t="str">
        <f>IFERROR(__xludf.DUMMYFUNCTION("GOOGLETRANSLATE(B696,""en"",""th"")"),"บันทึก")</f>
        <v>บันทึก</v>
      </c>
      <c r="Y696" s="4" t="str">
        <f>IFERROR(__xludf.DUMMYFUNCTION("GOOGLETRANSLATE(B696,""en"",""ko"")"),"구하다")</f>
        <v>구하다</v>
      </c>
      <c r="Z696" s="4" t="str">
        <f>IFERROR(__xludf.DUMMYFUNCTION("GOOGLETRANSLATE(B696,""en"",""zh"")"),"节省")</f>
        <v>节省</v>
      </c>
      <c r="AA696" s="4" t="str">
        <f>IFERROR(__xludf.DUMMYFUNCTION("GOOGLETRANSLATE(B696,""en"",""zh-TW"")"),"節省")</f>
        <v>節省</v>
      </c>
      <c r="AB696" s="4" t="str">
        <f>IFERROR(__xludf.DUMMYFUNCTION("GOOGLETRANSLATE(B696,""en"",""ja"")"),"保存")</f>
        <v>保存</v>
      </c>
      <c r="AC696" s="4" t="str">
        <f>IFERROR(__xludf.DUMMYFUNCTION("GOOGLETRANSLATE(B696,""en"",""bg"")"),"Запазване")</f>
        <v>Запазване</v>
      </c>
      <c r="AD696" s="4" t="str">
        <f>IFERROR(__xludf.DUMMYFUNCTION("GOOGLETRANSLATE(B696,""en"",""cs"")"),"Uložit")</f>
        <v>Uložit</v>
      </c>
      <c r="AE696" s="4" t="str">
        <f>IFERROR(__xludf.DUMMYFUNCTION("GOOGLETRANSLATE(B696,""en"",""da"")"),"Spare")</f>
        <v>Spare</v>
      </c>
      <c r="AF696" s="4" t="str">
        <f>IFERROR(__xludf.DUMMYFUNCTION("GOOGLETRANSLATE(B696,""en"",""el"")"),"Εκτός")</f>
        <v>Εκτός</v>
      </c>
      <c r="AG696" s="4" t="str">
        <f>IFERROR(__xludf.DUMMYFUNCTION("GOOGLETRANSLATE(B696,""en"",""et"")"),"Salvesta")</f>
        <v>Salvesta</v>
      </c>
      <c r="AH696" s="4" t="str">
        <f>IFERROR(__xludf.DUMMYFUNCTION("GOOGLETRANSLATE(B696,""en"",""fi"")"),"Tallentaa")</f>
        <v>Tallentaa</v>
      </c>
      <c r="AI696" s="4" t="str">
        <f>IFERROR(__xludf.DUMMYFUNCTION("GOOGLETRANSLATE(B696,""en"",""hr"")"),"Uštedjeti")</f>
        <v>Uštedjeti</v>
      </c>
      <c r="AJ696" s="4" t="str">
        <f>IFERROR(__xludf.DUMMYFUNCTION("GOOGLETRANSLATE(B696,""en"",""hu"")"),"Megtakarítás")</f>
        <v>Megtakarítás</v>
      </c>
      <c r="AK696" s="4" t="str">
        <f>IFERROR(__xludf.DUMMYFUNCTION("GOOGLETRANSLATE(B696,""en"",""hy"")"),"Պահպանել")</f>
        <v>Պահպանել</v>
      </c>
      <c r="AL696" s="4" t="str">
        <f>IFERROR(__xludf.DUMMYFUNCTION("GOOGLETRANSLATE(B696,""en"",""ca"")"),"Desa")</f>
        <v>Desa</v>
      </c>
      <c r="AM696" s="4" t="str">
        <f>IFERROR(__xludf.DUMMYFUNCTION("GOOGLETRANSLATE(B696,""en"",""nl"")"),"Redden")</f>
        <v>Redden</v>
      </c>
      <c r="AN696" s="4" t="str">
        <f>IFERROR(__xludf.DUMMYFUNCTION("GOOGLETRANSLATE(B696,""en"",""he"")"),"לְהַצִיל")</f>
        <v>לְהַצִיל</v>
      </c>
      <c r="AO696" s="4" t="str">
        <f>IFERROR(__xludf.DUMMYFUNCTION("GOOGLETRANSLATE(B696,""en"",""is"")"),"Vista")</f>
        <v>Vista</v>
      </c>
      <c r="AP696" s="4" t="str">
        <f>IFERROR(__xludf.DUMMYFUNCTION("GOOGLETRANSLATE(B696,""en"",""no"")"),"Spare")</f>
        <v>Spare</v>
      </c>
      <c r="AQ696" s="4" t="str">
        <f>IFERROR(__xludf.DUMMYFUNCTION("GOOGLETRANSLATE(B696,""en"",""fa"")"),"ذخیره کنید")</f>
        <v>ذخیره کنید</v>
      </c>
      <c r="AR696" s="4" t="str">
        <f>IFERROR(__xludf.DUMMYFUNCTION("GOOGLETRANSLATE(B696,""en"",""pl"")"),"Ratować")</f>
        <v>Ratować</v>
      </c>
      <c r="AS696" s="4" t="str">
        <f>IFERROR(__xludf.DUMMYFUNCTION("GOOGLETRANSLATE(B696,""en"",""sv"")"),"Spara")</f>
        <v>Spara</v>
      </c>
      <c r="AT696" s="4" t="str">
        <f>IFERROR(__xludf.DUMMYFUNCTION("GOOGLETRANSLATE(B696,""en"",""uk"")"),"зберегти")</f>
        <v>зберегти</v>
      </c>
      <c r="AU696" s="4" t="str">
        <f>IFERROR(__xludf.DUMMYFUNCTION("GOOGLETRANSLATE(B696,""en"",""zu"")"),"Londoloza")</f>
        <v>Londoloza</v>
      </c>
      <c r="AV696" s="4" t="str">
        <f>IFERROR(__xludf.DUMMYFUNCTION("GOOGLETRANSLATE(B696,""en"",""sr"")"),"Сачувај")</f>
        <v>Сачувај</v>
      </c>
    </row>
    <row r="697">
      <c r="A697" s="3" t="s">
        <v>1317</v>
      </c>
      <c r="B697" s="3" t="s">
        <v>1318</v>
      </c>
      <c r="C697" s="4" t="str">
        <f>IFERROR(__xludf.DUMMYFUNCTION("GOOGLETRANSLATE(B697,""en"",""ta"")"),"கோப்பு வெற்றிகரமாக சேமிக்கப்பட்டது")</f>
        <v>கோப்பு வெற்றிகரமாக சேமிக்கப்பட்டது</v>
      </c>
      <c r="D697" s="4" t="str">
        <f>IFERROR(__xludf.DUMMYFUNCTION("GOOGLETRANSLATE(B697,""en"",""hi"")"),"फ़ाइल सफलतापूर्वक सहेजी गई")</f>
        <v>फ़ाइल सफलतापूर्वक सहेजी गई</v>
      </c>
      <c r="E697" s="4" t="str">
        <f>IFERROR(__xludf.DUMMYFUNCTION("GOOGLETRANSLATE(B697,""en"",""id"")"),"File berhasil disimpan")</f>
        <v>File berhasil disimpan</v>
      </c>
      <c r="F697" s="4" t="str">
        <f>IFERROR(__xludf.DUMMYFUNCTION("GOOGLETRANSLATE(B697,""en"",""ms"")"),"Fail berjaya disimpan")</f>
        <v>Fail berjaya disimpan</v>
      </c>
      <c r="G697" s="4" t="str">
        <f>IFERROR(__xludf.DUMMYFUNCTION("GOOGLETRANSLATE(B697,""en"",""de"")"),"Datei erfolgreich gespeichert")</f>
        <v>Datei erfolgreich gespeichert</v>
      </c>
      <c r="H697" s="4" t="str">
        <f>IFERROR(__xludf.DUMMYFUNCTION("GOOGLETRANSLATE(B697,""en"",""es"")"),"Archivo guardado exitosamente")</f>
        <v>Archivo guardado exitosamente</v>
      </c>
      <c r="I697" s="4" t="str">
        <f>IFERROR(__xludf.DUMMYFUNCTION("GOOGLETRANSLATE(B697,""en"",""fr"")"),"Fichier enregistré avec succès")</f>
        <v>Fichier enregistré avec succès</v>
      </c>
      <c r="J697" s="4" t="str">
        <f>IFERROR(__xludf.DUMMYFUNCTION("GOOGLETRANSLATE(B697,""en"",""it"")"),"File salvato correttamente")</f>
        <v>File salvato correttamente</v>
      </c>
      <c r="K697" s="4" t="str">
        <f>IFERROR(__xludf.DUMMYFUNCTION("GOOGLETRANSLATE(B697,""en"",""pt"")"),"Arquivo salvo com sucesso")</f>
        <v>Arquivo salvo com sucesso</v>
      </c>
      <c r="L697" s="4" t="str">
        <f>IFERROR(__xludf.DUMMYFUNCTION("GOOGLETRANSLATE(B697,""en"",""ro"")"),"Fișierul a fost salvat cu succes")</f>
        <v>Fișierul a fost salvat cu succes</v>
      </c>
      <c r="M697" s="4" t="str">
        <f>IFERROR(__xludf.DUMMYFUNCTION("GOOGLETRANSLATE(B697,""en"",""vi"")"),"Tệp đã được lưu thành công")</f>
        <v>Tệp đã được lưu thành công</v>
      </c>
      <c r="N697" s="4" t="str">
        <f>IFERROR(__xludf.DUMMYFUNCTION("GOOGLETRANSLATE(B697,""en"",""ru"")"),"Файл успешно сохранен")</f>
        <v>Файл успешно сохранен</v>
      </c>
      <c r="O697" s="4" t="str">
        <f>IFERROR(__xludf.DUMMYFUNCTION("GOOGLETRANSLATE(B697,""en"",""tr"")"),"Dosya başarıyla kaydedildi")</f>
        <v>Dosya başarıyla kaydedildi</v>
      </c>
      <c r="P697" s="4" t="str">
        <f>IFERROR(__xludf.DUMMYFUNCTION("GOOGLETRANSLATE(B697,""en"",""ar"")"),"تم حفظ الملف بنجاح")</f>
        <v>تم حفظ الملف بنجاح</v>
      </c>
      <c r="Q697" s="4" t="str">
        <f>IFERROR(__xludf.DUMMYFUNCTION("GOOGLETRANSLATE(B697,""en"",""mr"")"),"फाइल यशस्वीरित्या जतन केली")</f>
        <v>फाइल यशस्वीरित्या जतन केली</v>
      </c>
      <c r="R697" s="4" t="str">
        <f>IFERROR(__xludf.DUMMYFUNCTION("GOOGLETRANSLATE(B697,""en"",""gu"")"),"ફાઇલ સફળતાપૂર્વક સાચવી")</f>
        <v>ફાઇલ સફળતાપૂર્વક સાચવી</v>
      </c>
      <c r="S697" s="4" t="str">
        <f>IFERROR(__xludf.DUMMYFUNCTION("GOOGLETRANSLATE(B697,""en"",""bn"")"),"ফাইল সফলভাবে সংরক্ষণ করা হয়েছে")</f>
        <v>ফাইল সফলভাবে সংরক্ষণ করা হয়েছে</v>
      </c>
      <c r="T697" s="4" t="str">
        <f>IFERROR(__xludf.DUMMYFUNCTION("GOOGLETRANSLATE(B697,""en"",""pa"")"),"ਫਾਈਲ ਸਫਲਤਾਪੂਰਵਕ ਸੁਰੱਖਿਅਤ ਕੀਤੀ ਗਈ")</f>
        <v>ਫਾਈਲ ਸਫਲਤਾਪੂਰਵਕ ਸੁਰੱਖਿਅਤ ਕੀਤੀ ਗਈ</v>
      </c>
      <c r="U697" s="4" t="str">
        <f>IFERROR(__xludf.DUMMYFUNCTION("GOOGLETRANSLATE(B697,""en"",""te"")"),"ఫైల్ విజయవంతంగా సేవ్ చేయబడింది")</f>
        <v>ఫైల్ విజయవంతంగా సేవ్ చేయబడింది</v>
      </c>
      <c r="V697" s="4" t="str">
        <f>IFERROR(__xludf.DUMMYFUNCTION("GOOGLETRANSLATE(B697,""en"",""kn"")"),"ಫೈಲ್ ಅನ್ನು ಯಶಸ್ವಿಯಾಗಿ ಉಳಿಸಲಾಗಿದೆ")</f>
        <v>ಫೈಲ್ ಅನ್ನು ಯಶಸ್ವಿಯಾಗಿ ಉಳಿಸಲಾಗಿದೆ</v>
      </c>
      <c r="W697" s="4" t="str">
        <f>IFERROR(__xludf.DUMMYFUNCTION("GOOGLETRANSLATE(B697,""en"",""ml"")"),"ഫയൽ സംരക്ഷിച്ചു")</f>
        <v>ഫയൽ സംരക്ഷിച്ചു</v>
      </c>
      <c r="X697" s="4" t="str">
        <f>IFERROR(__xludf.DUMMYFUNCTION("GOOGLETRANSLATE(B697,""en"",""th"")"),"บันทึกไฟล์สำเร็จแล้ว")</f>
        <v>บันทึกไฟล์สำเร็จแล้ว</v>
      </c>
      <c r="Y697" s="4" t="str">
        <f>IFERROR(__xludf.DUMMYFUNCTION("GOOGLETRANSLATE(B697,""en"",""ko"")"),"파일이 성공적으로 저장되었습니다")</f>
        <v>파일이 성공적으로 저장되었습니다</v>
      </c>
      <c r="Z697" s="4" t="str">
        <f>IFERROR(__xludf.DUMMYFUNCTION("GOOGLETRANSLATE(B697,""en"",""zh"")"),"文件保存成功")</f>
        <v>文件保存成功</v>
      </c>
      <c r="AA697" s="4" t="str">
        <f>IFERROR(__xludf.DUMMYFUNCTION("GOOGLETRANSLATE(B697,""en"",""zh-TW"")"),"文件保存成功")</f>
        <v>文件保存成功</v>
      </c>
      <c r="AB697" s="4" t="str">
        <f>IFERROR(__xludf.DUMMYFUNCTION("GOOGLETRANSLATE(B697,""en"",""ja"")"),"ファイルが正常に保存されました")</f>
        <v>ファイルが正常に保存されました</v>
      </c>
      <c r="AC697" s="4" t="str">
        <f>IFERROR(__xludf.DUMMYFUNCTION("GOOGLETRANSLATE(B697,""en"",""bg"")"),"Файлът е запазен успешно")</f>
        <v>Файлът е запазен успешно</v>
      </c>
      <c r="AD697" s="4" t="str">
        <f>IFERROR(__xludf.DUMMYFUNCTION("GOOGLETRANSLATE(B697,""en"",""cs"")"),"Soubor byl úspěšně uložen")</f>
        <v>Soubor byl úspěšně uložen</v>
      </c>
      <c r="AE697" s="4" t="str">
        <f>IFERROR(__xludf.DUMMYFUNCTION("GOOGLETRANSLATE(B697,""en"",""da"")"),"Filen blev gemt")</f>
        <v>Filen blev gemt</v>
      </c>
      <c r="AF697" s="4" t="str">
        <f>IFERROR(__xludf.DUMMYFUNCTION("GOOGLETRANSLATE(B697,""en"",""el"")"),"Το αρχείο αποθηκεύτηκε με επιτυχία")</f>
        <v>Το αρχείο αποθηκεύτηκε με επιτυχία</v>
      </c>
      <c r="AG697" s="4" t="str">
        <f>IFERROR(__xludf.DUMMYFUNCTION("GOOGLETRANSLATE(B697,""en"",""et"")"),"Fail salvestati edukalt")</f>
        <v>Fail salvestati edukalt</v>
      </c>
      <c r="AH697" s="4" t="str">
        <f>IFERROR(__xludf.DUMMYFUNCTION("GOOGLETRANSLATE(B697,""en"",""fi"")"),"Tiedoston tallennus onnistui")</f>
        <v>Tiedoston tallennus onnistui</v>
      </c>
      <c r="AI697" s="4" t="str">
        <f>IFERROR(__xludf.DUMMYFUNCTION("GOOGLETRANSLATE(B697,""en"",""hr"")"),"Datoteka je uspješno spremljena")</f>
        <v>Datoteka je uspješno spremljena</v>
      </c>
      <c r="AJ697" s="4" t="str">
        <f>IFERROR(__xludf.DUMMYFUNCTION("GOOGLETRANSLATE(B697,""en"",""hu"")"),"A fájl sikeresen mentve")</f>
        <v>A fájl sikeresen mentve</v>
      </c>
      <c r="AK697" s="4" t="str">
        <f>IFERROR(__xludf.DUMMYFUNCTION("GOOGLETRANSLATE(B697,""en"",""hy"")"),"Ֆայլը հաջողությամբ պահպանվեց")</f>
        <v>Ֆայլը հաջողությամբ պահպանվեց</v>
      </c>
      <c r="AL697" s="4" t="str">
        <f>IFERROR(__xludf.DUMMYFUNCTION("GOOGLETRANSLATE(B697,""en"",""ca"")"),"Fitxer desat correctament")</f>
        <v>Fitxer desat correctament</v>
      </c>
      <c r="AM697" s="4" t="str">
        <f>IFERROR(__xludf.DUMMYFUNCTION("GOOGLETRANSLATE(B697,""en"",""nl"")"),"Bestand succesvol opgeslagen")</f>
        <v>Bestand succesvol opgeslagen</v>
      </c>
      <c r="AN697" s="4" t="str">
        <f>IFERROR(__xludf.DUMMYFUNCTION("GOOGLETRANSLATE(B697,""en"",""he"")"),"הקובץ נשמר בהצלחה")</f>
        <v>הקובץ נשמר בהצלחה</v>
      </c>
      <c r="AO697" s="4" t="str">
        <f>IFERROR(__xludf.DUMMYFUNCTION("GOOGLETRANSLATE(B697,""en"",""is"")"),"Skráin var vistuð")</f>
        <v>Skráin var vistuð</v>
      </c>
      <c r="AP697" s="4" t="str">
        <f>IFERROR(__xludf.DUMMYFUNCTION("GOOGLETRANSLATE(B697,""en"",""no"")"),"Filen ble lagret")</f>
        <v>Filen ble lagret</v>
      </c>
      <c r="AQ697" s="4" t="str">
        <f>IFERROR(__xludf.DUMMYFUNCTION("GOOGLETRANSLATE(B697,""en"",""fa"")"),"فایل با موفقیت ذخیره شد")</f>
        <v>فایل با موفقیت ذخیره شد</v>
      </c>
      <c r="AR697" s="4" t="str">
        <f>IFERROR(__xludf.DUMMYFUNCTION("GOOGLETRANSLATE(B697,""en"",""pl"")"),"Plik zapisany pomyślnie")</f>
        <v>Plik zapisany pomyślnie</v>
      </c>
      <c r="AS697" s="4" t="str">
        <f>IFERROR(__xludf.DUMMYFUNCTION("GOOGLETRANSLATE(B697,""en"",""sv"")"),"Filen har sparats")</f>
        <v>Filen har sparats</v>
      </c>
      <c r="AT697" s="4" t="str">
        <f>IFERROR(__xludf.DUMMYFUNCTION("GOOGLETRANSLATE(B697,""en"",""uk"")"),"Файл успішно збережено")</f>
        <v>Файл успішно збережено</v>
      </c>
      <c r="AU697" s="4" t="str">
        <f>IFERROR(__xludf.DUMMYFUNCTION("GOOGLETRANSLATE(B697,""en"",""zu"")"),"Ifayela lilondolozwe ngempumelelo")</f>
        <v>Ifayela lilondolozwe ngempumelelo</v>
      </c>
      <c r="AV697" s="4" t="str">
        <f>IFERROR(__xludf.DUMMYFUNCTION("GOOGLETRANSLATE(B697,""en"",""sr"")"),"Датотека је успешно сачувана")</f>
        <v>Датотека је успешно сачувана</v>
      </c>
    </row>
    <row r="698">
      <c r="A698" s="3" t="s">
        <v>1319</v>
      </c>
      <c r="B698" s="3" t="s">
        <v>1320</v>
      </c>
      <c r="C698" s="4" t="str">
        <f>IFERROR(__xludf.DUMMYFUNCTION("GOOGLETRANSLATE(B698,""en"",""ta"")"),"கோப்பு வெற்றிகரமாக சேமிக்கப்பட்டது")</f>
        <v>கோப்பு வெற்றிகரமாக சேமிக்கப்பட்டது</v>
      </c>
      <c r="D698" s="4" t="str">
        <f>IFERROR(__xludf.DUMMYFUNCTION("GOOGLETRANSLATE(B698,""en"",""hi"")"),"फ़ाइल सफलतापूर्वक सहेज ली गई है")</f>
        <v>फ़ाइल सफलतापूर्वक सहेज ली गई है</v>
      </c>
      <c r="E698" s="4" t="str">
        <f>IFERROR(__xludf.DUMMYFUNCTION("GOOGLETRANSLATE(B698,""en"",""id"")"),"File telah berhasil disimpan")</f>
        <v>File telah berhasil disimpan</v>
      </c>
      <c r="F698" s="4" t="str">
        <f>IFERROR(__xludf.DUMMYFUNCTION("GOOGLETRANSLATE(B698,""en"",""ms"")"),"Fail telah berjaya disimpan")</f>
        <v>Fail telah berjaya disimpan</v>
      </c>
      <c r="G698" s="4" t="str">
        <f>IFERROR(__xludf.DUMMYFUNCTION("GOOGLETRANSLATE(B698,""en"",""de"")"),"Datei wurde erfolgreich gespeichert")</f>
        <v>Datei wurde erfolgreich gespeichert</v>
      </c>
      <c r="H698" s="4" t="str">
        <f>IFERROR(__xludf.DUMMYFUNCTION("GOOGLETRANSLATE(B698,""en"",""es"")"),"El archivo se ha guardado correctamente")</f>
        <v>El archivo se ha guardado correctamente</v>
      </c>
      <c r="I698" s="4" t="str">
        <f>IFERROR(__xludf.DUMMYFUNCTION("GOOGLETRANSLATE(B698,""en"",""fr"")"),"Le fichier a été enregistré avec succès")</f>
        <v>Le fichier a été enregistré avec succès</v>
      </c>
      <c r="J698" s="4" t="str">
        <f>IFERROR(__xludf.DUMMYFUNCTION("GOOGLETRANSLATE(B698,""en"",""it"")"),"Il file è stato salvato correttamente")</f>
        <v>Il file è stato salvato correttamente</v>
      </c>
      <c r="K698" s="4" t="str">
        <f>IFERROR(__xludf.DUMMYFUNCTION("GOOGLETRANSLATE(B698,""en"",""pt"")"),"O arquivo foi salvo com sucesso")</f>
        <v>O arquivo foi salvo com sucesso</v>
      </c>
      <c r="L698" s="4" t="str">
        <f>IFERROR(__xludf.DUMMYFUNCTION("GOOGLETRANSLATE(B698,""en"",""ro"")"),"Fișierul a fost salvat cu succes")</f>
        <v>Fișierul a fost salvat cu succes</v>
      </c>
      <c r="M698" s="4" t="str">
        <f>IFERROR(__xludf.DUMMYFUNCTION("GOOGLETRANSLATE(B698,""en"",""vi"")"),"Tập tin đã được lưu thành công")</f>
        <v>Tập tin đã được lưu thành công</v>
      </c>
      <c r="N698" s="4" t="str">
        <f>IFERROR(__xludf.DUMMYFUNCTION("GOOGLETRANSLATE(B698,""en"",""ru"")"),"Файл успешно сохранен")</f>
        <v>Файл успешно сохранен</v>
      </c>
      <c r="O698" s="4" t="str">
        <f>IFERROR(__xludf.DUMMYFUNCTION("GOOGLETRANSLATE(B698,""en"",""tr"")"),"Dosya başarıyla kaydedildi")</f>
        <v>Dosya başarıyla kaydedildi</v>
      </c>
      <c r="P698" s="4" t="str">
        <f>IFERROR(__xludf.DUMMYFUNCTION("GOOGLETRANSLATE(B698,""en"",""ar"")"),"تم حفظ الملف بنجاح")</f>
        <v>تم حفظ الملف بنجاح</v>
      </c>
      <c r="Q698" s="4" t="str">
        <f>IFERROR(__xludf.DUMMYFUNCTION("GOOGLETRANSLATE(B698,""en"",""mr"")"),"फाइल यशस्वीरित्या जतन केली गेली आहे")</f>
        <v>फाइल यशस्वीरित्या जतन केली गेली आहे</v>
      </c>
      <c r="R698" s="4" t="str">
        <f>IFERROR(__xludf.DUMMYFUNCTION("GOOGLETRANSLATE(B698,""en"",""gu"")"),"ફાઇલ સફળતાપૂર્વક સાચવવામાં આવી છે")</f>
        <v>ફાઇલ સફળતાપૂર્વક સાચવવામાં આવી છે</v>
      </c>
      <c r="S698" s="4" t="str">
        <f>IFERROR(__xludf.DUMMYFUNCTION("GOOGLETRANSLATE(B698,""en"",""bn"")"),"ফাইল সফলভাবে সংরক্ষণ করা হয়েছে")</f>
        <v>ফাইল সফলভাবে সংরক্ষণ করা হয়েছে</v>
      </c>
      <c r="T698" s="4" t="str">
        <f>IFERROR(__xludf.DUMMYFUNCTION("GOOGLETRANSLATE(B698,""en"",""pa"")"),"ਫਾਈਲ ਸਫਲਤਾਪੂਰਵਕ ਸੁਰੱਖਿਅਤ ਕੀਤੀ ਗਈ ਹੈ")</f>
        <v>ਫਾਈਲ ਸਫਲਤਾਪੂਰਵਕ ਸੁਰੱਖਿਅਤ ਕੀਤੀ ਗਈ ਹੈ</v>
      </c>
      <c r="U698" s="4" t="str">
        <f>IFERROR(__xludf.DUMMYFUNCTION("GOOGLETRANSLATE(B698,""en"",""te"")"),"ఫైల్ విజయవంతంగా సేవ్ చేయబడింది")</f>
        <v>ఫైల్ విజయవంతంగా సేవ్ చేయబడింది</v>
      </c>
      <c r="V698" s="4" t="str">
        <f>IFERROR(__xludf.DUMMYFUNCTION("GOOGLETRANSLATE(B698,""en"",""kn"")"),"ಫೈಲ್ ಅನ್ನು ಯಶಸ್ವಿಯಾಗಿ ಉಳಿಸಲಾಗಿದೆ")</f>
        <v>ಫೈಲ್ ಅನ್ನು ಯಶಸ್ವಿಯಾಗಿ ಉಳಿಸಲಾಗಿದೆ</v>
      </c>
      <c r="W698" s="4" t="str">
        <f>IFERROR(__xludf.DUMMYFUNCTION("GOOGLETRANSLATE(B698,""en"",""ml"")"),"ഫയൽ വിജയകരമായി സംരക്ഷിച്ചു")</f>
        <v>ഫയൽ വിജയകരമായി സംരക്ഷിച്ചു</v>
      </c>
      <c r="X698" s="4" t="str">
        <f>IFERROR(__xludf.DUMMYFUNCTION("GOOGLETRANSLATE(B698,""en"",""th"")"),"ไฟล์ได้รับการบันทึกเรียบร้อยแล้ว")</f>
        <v>ไฟล์ได้รับการบันทึกเรียบร้อยแล้ว</v>
      </c>
      <c r="Y698" s="4" t="str">
        <f>IFERROR(__xludf.DUMMYFUNCTION("GOOGLETRANSLATE(B698,""en"",""ko"")"),"파일이 성공적으로 저장되었습니다")</f>
        <v>파일이 성공적으로 저장되었습니다</v>
      </c>
      <c r="Z698" s="4" t="str">
        <f>IFERROR(__xludf.DUMMYFUNCTION("GOOGLETRANSLATE(B698,""en"",""zh"")"),"文件已成功保存")</f>
        <v>文件已成功保存</v>
      </c>
      <c r="AA698" s="4" t="str">
        <f>IFERROR(__xludf.DUMMYFUNCTION("GOOGLETRANSLATE(B698,""en"",""zh-TW"")"),"文件已成功儲存")</f>
        <v>文件已成功儲存</v>
      </c>
      <c r="AB698" s="4" t="str">
        <f>IFERROR(__xludf.DUMMYFUNCTION("GOOGLETRANSLATE(B698,""en"",""ja"")"),"ファイルが正常に保存されました")</f>
        <v>ファイルが正常に保存されました</v>
      </c>
      <c r="AC698" s="4" t="str">
        <f>IFERROR(__xludf.DUMMYFUNCTION("GOOGLETRANSLATE(B698,""en"",""bg"")"),"Файлът е запазен успешно")</f>
        <v>Файлът е запазен успешно</v>
      </c>
      <c r="AD698" s="4" t="str">
        <f>IFERROR(__xludf.DUMMYFUNCTION("GOOGLETRANSLATE(B698,""en"",""cs"")"),"Soubor byl úspěšně uložen")</f>
        <v>Soubor byl úspěšně uložen</v>
      </c>
      <c r="AE698" s="4" t="str">
        <f>IFERROR(__xludf.DUMMYFUNCTION("GOOGLETRANSLATE(B698,""en"",""da"")"),"Filen er blevet gemt")</f>
        <v>Filen er blevet gemt</v>
      </c>
      <c r="AF698" s="4" t="str">
        <f>IFERROR(__xludf.DUMMYFUNCTION("GOOGLETRANSLATE(B698,""en"",""el"")"),"Το αρχείο αποθηκεύτηκε με επιτυχία")</f>
        <v>Το αρχείο αποθηκεύτηκε με επιτυχία</v>
      </c>
      <c r="AG698" s="4" t="str">
        <f>IFERROR(__xludf.DUMMYFUNCTION("GOOGLETRANSLATE(B698,""en"",""et"")"),"Fail on edukalt salvestatud")</f>
        <v>Fail on edukalt salvestatud</v>
      </c>
      <c r="AH698" s="4" t="str">
        <f>IFERROR(__xludf.DUMMYFUNCTION("GOOGLETRANSLATE(B698,""en"",""fi"")"),"Tiedosto on tallennettu onnistuneesti")</f>
        <v>Tiedosto on tallennettu onnistuneesti</v>
      </c>
      <c r="AI698" s="4" t="str">
        <f>IFERROR(__xludf.DUMMYFUNCTION("GOOGLETRANSLATE(B698,""en"",""hr"")"),"Datoteka je uspješno spremljena")</f>
        <v>Datoteka je uspješno spremljena</v>
      </c>
      <c r="AJ698" s="4" t="str">
        <f>IFERROR(__xludf.DUMMYFUNCTION("GOOGLETRANSLATE(B698,""en"",""hu"")"),"A fájl mentése sikeres volt")</f>
        <v>A fájl mentése sikeres volt</v>
      </c>
      <c r="AK698" s="4" t="str">
        <f>IFERROR(__xludf.DUMMYFUNCTION("GOOGLETRANSLATE(B698,""en"",""hy"")"),"Ֆայլը հաջողությամբ պահպանվել է")</f>
        <v>Ֆայլը հաջողությամբ պահպանվել է</v>
      </c>
      <c r="AL698" s="4" t="str">
        <f>IFERROR(__xludf.DUMMYFUNCTION("GOOGLETRANSLATE(B698,""en"",""ca"")"),"El fitxer s'ha desat correctament")</f>
        <v>El fitxer s'ha desat correctament</v>
      </c>
      <c r="AM698" s="4" t="str">
        <f>IFERROR(__xludf.DUMMYFUNCTION("GOOGLETRANSLATE(B698,""en"",""nl"")"),"Bestand is succesvol opgeslagen")</f>
        <v>Bestand is succesvol opgeslagen</v>
      </c>
      <c r="AN698" s="4" t="str">
        <f>IFERROR(__xludf.DUMMYFUNCTION("GOOGLETRANSLATE(B698,""en"",""he"")"),"הקובץ נשמר בהצלחה")</f>
        <v>הקובץ נשמר בהצלחה</v>
      </c>
      <c r="AO698" s="4" t="str">
        <f>IFERROR(__xludf.DUMMYFUNCTION("GOOGLETRANSLATE(B698,""en"",""is"")"),"Skrá hefur verið vistuð")</f>
        <v>Skrá hefur verið vistuð</v>
      </c>
      <c r="AP698" s="4" t="str">
        <f>IFERROR(__xludf.DUMMYFUNCTION("GOOGLETRANSLATE(B698,""en"",""no"")"),"Filen har blitt lagret")</f>
        <v>Filen har blitt lagret</v>
      </c>
      <c r="AQ698" s="4" t="str">
        <f>IFERROR(__xludf.DUMMYFUNCTION("GOOGLETRANSLATE(B698,""en"",""fa"")"),"فایل با موفقیت ذخیره شد")</f>
        <v>فایل با موفقیت ذخیره شد</v>
      </c>
      <c r="AR698" s="4" t="str">
        <f>IFERROR(__xludf.DUMMYFUNCTION("GOOGLETRANSLATE(B698,""en"",""pl"")"),"Plik został pomyślnie zapisany")</f>
        <v>Plik został pomyślnie zapisany</v>
      </c>
      <c r="AS698" s="4" t="str">
        <f>IFERROR(__xludf.DUMMYFUNCTION("GOOGLETRANSLATE(B698,""en"",""sv"")"),"Filen har sparats")</f>
        <v>Filen har sparats</v>
      </c>
      <c r="AT698" s="4" t="str">
        <f>IFERROR(__xludf.DUMMYFUNCTION("GOOGLETRANSLATE(B698,""en"",""uk"")"),"Файл успішно збережено")</f>
        <v>Файл успішно збережено</v>
      </c>
      <c r="AU698" s="4" t="str">
        <f>IFERROR(__xludf.DUMMYFUNCTION("GOOGLETRANSLATE(B698,""en"",""zu"")"),"Ifayela lilondolozwe ngempumelelo")</f>
        <v>Ifayela lilondolozwe ngempumelelo</v>
      </c>
      <c r="AV698" s="4" t="str">
        <f>IFERROR(__xludf.DUMMYFUNCTION("GOOGLETRANSLATE(B698,""en"",""sr"")"),"Датотека је успешно сачувана")</f>
        <v>Датотека је успешно сачувана</v>
      </c>
    </row>
    <row r="699">
      <c r="A699" s="3" t="s">
        <v>1321</v>
      </c>
      <c r="B699" s="3" t="s">
        <v>1322</v>
      </c>
      <c r="C699" s="4" t="str">
        <f>IFERROR(__xludf.DUMMYFUNCTION("GOOGLETRANSLATE(B699,""en"",""ta"")"),"GPX கோப்பை சேமிப்பதில் பிழை")</f>
        <v>GPX கோப்பை சேமிப்பதில் பிழை</v>
      </c>
      <c r="D699" s="4" t="str">
        <f>IFERROR(__xludf.DUMMYFUNCTION("GOOGLETRANSLATE(B699,""en"",""hi"")"),"GPX फ़ाइल सहेजने में त्रुटि")</f>
        <v>GPX फ़ाइल सहेजने में त्रुटि</v>
      </c>
      <c r="E699" s="4" t="str">
        <f>IFERROR(__xludf.DUMMYFUNCTION("GOOGLETRANSLATE(B699,""en"",""id"")"),"Terjadi kesalahan saat menyimpan file GPX")</f>
        <v>Terjadi kesalahan saat menyimpan file GPX</v>
      </c>
      <c r="F699" s="4" t="str">
        <f>IFERROR(__xludf.DUMMYFUNCTION("GOOGLETRANSLATE(B699,""en"",""ms"")"),"Ralat menyimpan fail GPX")</f>
        <v>Ralat menyimpan fail GPX</v>
      </c>
      <c r="G699" s="4" t="str">
        <f>IFERROR(__xludf.DUMMYFUNCTION("GOOGLETRANSLATE(B699,""en"",""de"")"),"Fehler beim Speichern der GPX-Datei")</f>
        <v>Fehler beim Speichern der GPX-Datei</v>
      </c>
      <c r="H699" s="4" t="str">
        <f>IFERROR(__xludf.DUMMYFUNCTION("GOOGLETRANSLATE(B699,""en"",""es"")"),"Error al guardar el archivo GPX")</f>
        <v>Error al guardar el archivo GPX</v>
      </c>
      <c r="I699" s="4" t="str">
        <f>IFERROR(__xludf.DUMMYFUNCTION("GOOGLETRANSLATE(B699,""en"",""fr"")"),"Erreur lors de l'enregistrement du fichier GPX")</f>
        <v>Erreur lors de l'enregistrement du fichier GPX</v>
      </c>
      <c r="J699" s="4" t="str">
        <f>IFERROR(__xludf.DUMMYFUNCTION("GOOGLETRANSLATE(B699,""en"",""it"")"),"Errore durante il salvataggio del file GPX")</f>
        <v>Errore durante il salvataggio del file GPX</v>
      </c>
      <c r="K699" s="4" t="str">
        <f>IFERROR(__xludf.DUMMYFUNCTION("GOOGLETRANSLATE(B699,""en"",""pt"")"),"Erro ao salvar arquivo GPX")</f>
        <v>Erro ao salvar arquivo GPX</v>
      </c>
      <c r="L699" s="4" t="str">
        <f>IFERROR(__xludf.DUMMYFUNCTION("GOOGLETRANSLATE(B699,""en"",""ro"")"),"Eroare la salvarea fișierului GPX")</f>
        <v>Eroare la salvarea fișierului GPX</v>
      </c>
      <c r="M699" s="4" t="str">
        <f>IFERROR(__xludf.DUMMYFUNCTION("GOOGLETRANSLATE(B699,""en"",""vi"")"),"Lỗi khi lưu tệp GPX")</f>
        <v>Lỗi khi lưu tệp GPX</v>
      </c>
      <c r="N699" s="4" t="str">
        <f>IFERROR(__xludf.DUMMYFUNCTION("GOOGLETRANSLATE(B699,""en"",""ru"")"),"Ошибка сохранения файла GPX")</f>
        <v>Ошибка сохранения файла GPX</v>
      </c>
      <c r="O699" s="4" t="str">
        <f>IFERROR(__xludf.DUMMYFUNCTION("GOOGLETRANSLATE(B699,""en"",""tr"")"),"GPX dosyası kaydedilirken hata oluştu")</f>
        <v>GPX dosyası kaydedilirken hata oluştu</v>
      </c>
      <c r="P699" s="4" t="str">
        <f>IFERROR(__xludf.DUMMYFUNCTION("GOOGLETRANSLATE(B699,""en"",""ar"")"),"خطأ في حفظ ملف GPX")</f>
        <v>خطأ في حفظ ملف GPX</v>
      </c>
      <c r="Q699" s="4" t="str">
        <f>IFERROR(__xludf.DUMMYFUNCTION("GOOGLETRANSLATE(B699,""en"",""mr"")"),"GPX फाइल जतन करताना त्रुटी")</f>
        <v>GPX फाइल जतन करताना त्रुटी</v>
      </c>
      <c r="R699" s="4" t="str">
        <f>IFERROR(__xludf.DUMMYFUNCTION("GOOGLETRANSLATE(B699,""en"",""gu"")"),"GPX ફાઇલ સાચવવામાં ભૂલ")</f>
        <v>GPX ફાઇલ સાચવવામાં ભૂલ</v>
      </c>
      <c r="S699" s="4" t="str">
        <f>IFERROR(__xludf.DUMMYFUNCTION("GOOGLETRANSLATE(B699,""en"",""bn"")"),"GPX ফাইল সংরক্ষণে ত্রুটি৷")</f>
        <v>GPX ফাইল সংরক্ষণে ত্রুটি৷</v>
      </c>
      <c r="T699" s="4" t="str">
        <f>IFERROR(__xludf.DUMMYFUNCTION("GOOGLETRANSLATE(B699,""en"",""pa"")"),"GPX ਫਾਈਲ ਨੂੰ ਸੁਰੱਖਿਅਤ ਕਰਨ ਵਿੱਚ ਤਰੁੱਟੀ")</f>
        <v>GPX ਫਾਈਲ ਨੂੰ ਸੁਰੱਖਿਅਤ ਕਰਨ ਵਿੱਚ ਤਰੁੱਟੀ</v>
      </c>
      <c r="U699" s="4" t="str">
        <f>IFERROR(__xludf.DUMMYFUNCTION("GOOGLETRANSLATE(B699,""en"",""te"")"),"GPX ఫైల్‌ను సేవ్ చేయడంలో లోపం")</f>
        <v>GPX ఫైల్‌ను సేవ్ చేయడంలో లోపం</v>
      </c>
      <c r="V699" s="4" t="str">
        <f>IFERROR(__xludf.DUMMYFUNCTION("GOOGLETRANSLATE(B699,""en"",""kn"")"),"GPX ಫೈಲ್ ಉಳಿಸುವಲ್ಲಿ ದೋಷ")</f>
        <v>GPX ಫೈಲ್ ಉಳಿಸುವಲ್ಲಿ ದೋಷ</v>
      </c>
      <c r="W699" s="4" t="str">
        <f>IFERROR(__xludf.DUMMYFUNCTION("GOOGLETRANSLATE(B699,""en"",""ml"")"),"GPX ഫയൽ സംരക്ഷിക്കുന്നതിൽ പിശക്")</f>
        <v>GPX ഫയൽ സംരക്ഷിക്കുന്നതിൽ പിശക്</v>
      </c>
      <c r="X699" s="4" t="str">
        <f>IFERROR(__xludf.DUMMYFUNCTION("GOOGLETRANSLATE(B699,""en"",""th"")"),"เกิดข้อผิดพลาดในการบันทึกไฟล์ GPX")</f>
        <v>เกิดข้อผิดพลาดในการบันทึกไฟล์ GPX</v>
      </c>
      <c r="Y699" s="4" t="str">
        <f>IFERROR(__xludf.DUMMYFUNCTION("GOOGLETRANSLATE(B699,""en"",""ko"")"),"GPX 파일을 저장하는 중 오류가 발생했습니다.")</f>
        <v>GPX 파일을 저장하는 중 오류가 발생했습니다.</v>
      </c>
      <c r="Z699" s="4" t="str">
        <f>IFERROR(__xludf.DUMMYFUNCTION("GOOGLETRANSLATE(B699,""en"",""zh"")"),"保存 GPX 文件时出错")</f>
        <v>保存 GPX 文件时出错</v>
      </c>
      <c r="AA699" s="4" t="str">
        <f>IFERROR(__xludf.DUMMYFUNCTION("GOOGLETRANSLATE(B699,""en"",""zh-TW"")"),"保存 GPX 檔案時出錯")</f>
        <v>保存 GPX 檔案時出錯</v>
      </c>
      <c r="AB699" s="4" t="str">
        <f>IFERROR(__xludf.DUMMYFUNCTION("GOOGLETRANSLATE(B699,""en"",""ja"")"),"GPXファイルの保存中にエラーが発生しました")</f>
        <v>GPXファイルの保存中にエラーが発生しました</v>
      </c>
      <c r="AC699" s="4" t="str">
        <f>IFERROR(__xludf.DUMMYFUNCTION("GOOGLETRANSLATE(B699,""en"",""bg"")"),"Грешка при запазване на GPX файл")</f>
        <v>Грешка при запазване на GPX файл</v>
      </c>
      <c r="AD699" s="4" t="str">
        <f>IFERROR(__xludf.DUMMYFUNCTION("GOOGLETRANSLATE(B699,""en"",""cs"")"),"Při ukládání souboru GPX došlo k chybě")</f>
        <v>Při ukládání souboru GPX došlo k chybě</v>
      </c>
      <c r="AE699" s="4" t="str">
        <f>IFERROR(__xludf.DUMMYFUNCTION("GOOGLETRANSLATE(B699,""en"",""da"")"),"Fejl ved lagring af GPX-fil")</f>
        <v>Fejl ved lagring af GPX-fil</v>
      </c>
      <c r="AF699" s="4" t="str">
        <f>IFERROR(__xludf.DUMMYFUNCTION("GOOGLETRANSLATE(B699,""en"",""el"")"),"Σφάλμα κατά την αποθήκευση του αρχείου GPX")</f>
        <v>Σφάλμα κατά την αποθήκευση του αρχείου GPX</v>
      </c>
      <c r="AG699" s="4" t="str">
        <f>IFERROR(__xludf.DUMMYFUNCTION("GOOGLETRANSLATE(B699,""en"",""et"")"),"Viga GPX-faili salvestamisel")</f>
        <v>Viga GPX-faili salvestamisel</v>
      </c>
      <c r="AH699" s="4" t="str">
        <f>IFERROR(__xludf.DUMMYFUNCTION("GOOGLETRANSLATE(B699,""en"",""fi"")"),"Virhe tallennettaessa GPX-tiedostoa")</f>
        <v>Virhe tallennettaessa GPX-tiedostoa</v>
      </c>
      <c r="AI699" s="4" t="str">
        <f>IFERROR(__xludf.DUMMYFUNCTION("GOOGLETRANSLATE(B699,""en"",""hr"")"),"Pogreška prilikom spremanja GPX datoteke")</f>
        <v>Pogreška prilikom spremanja GPX datoteke</v>
      </c>
      <c r="AJ699" s="4" t="str">
        <f>IFERROR(__xludf.DUMMYFUNCTION("GOOGLETRANSLATE(B699,""en"",""hu"")"),"Hiba a GPX-fájl mentésekor")</f>
        <v>Hiba a GPX-fájl mentésekor</v>
      </c>
      <c r="AK699" s="4" t="str">
        <f>IFERROR(__xludf.DUMMYFUNCTION("GOOGLETRANSLATE(B699,""en"",""hy"")"),"GPX ֆայլը պահելիս սխալ առաջացավ")</f>
        <v>GPX ֆայլը պահելիս սխալ առաջացավ</v>
      </c>
      <c r="AL699" s="4" t="str">
        <f>IFERROR(__xludf.DUMMYFUNCTION("GOOGLETRANSLATE(B699,""en"",""ca"")"),"S'ha produït un error en desar el fitxer GPX")</f>
        <v>S'ha produït un error en desar el fitxer GPX</v>
      </c>
      <c r="AM699" s="4" t="str">
        <f>IFERROR(__xludf.DUMMYFUNCTION("GOOGLETRANSLATE(B699,""en"",""nl"")"),"Fout bij het opslaan van GPX-bestand")</f>
        <v>Fout bij het opslaan van GPX-bestand</v>
      </c>
      <c r="AN699" s="4" t="str">
        <f>IFERROR(__xludf.DUMMYFUNCTION("GOOGLETRANSLATE(B699,""en"",""he"")"),"שגיאה בשמירת קובץ GPX")</f>
        <v>שגיאה בשמירת קובץ GPX</v>
      </c>
      <c r="AO699" s="4" t="str">
        <f>IFERROR(__xludf.DUMMYFUNCTION("GOOGLETRANSLATE(B699,""en"",""is"")"),"Villa við að vista GPX skrá")</f>
        <v>Villa við að vista GPX skrá</v>
      </c>
      <c r="AP699" s="4" t="str">
        <f>IFERROR(__xludf.DUMMYFUNCTION("GOOGLETRANSLATE(B699,""en"",""no"")"),"Feil under lagring av GPX-fil")</f>
        <v>Feil under lagring av GPX-fil</v>
      </c>
      <c r="AQ699" s="4" t="str">
        <f>IFERROR(__xludf.DUMMYFUNCTION("GOOGLETRANSLATE(B699,""en"",""fa"")"),"خطا در ذخیره فایل GPX")</f>
        <v>خطا در ذخیره فایل GPX</v>
      </c>
      <c r="AR699" s="4" t="str">
        <f>IFERROR(__xludf.DUMMYFUNCTION("GOOGLETRANSLATE(B699,""en"",""pl"")"),"Błąd podczas zapisywania pliku GPX")</f>
        <v>Błąd podczas zapisywania pliku GPX</v>
      </c>
      <c r="AS699" s="4" t="str">
        <f>IFERROR(__xludf.DUMMYFUNCTION("GOOGLETRANSLATE(B699,""en"",""sv"")"),"Det gick inte att spara GPX-filen")</f>
        <v>Det gick inte att spara GPX-filen</v>
      </c>
      <c r="AT699" s="4" t="str">
        <f>IFERROR(__xludf.DUMMYFUNCTION("GOOGLETRANSLATE(B699,""en"",""uk"")"),"Помилка збереження файлу GPX")</f>
        <v>Помилка збереження файлу GPX</v>
      </c>
      <c r="AU699" s="4" t="str">
        <f>IFERROR(__xludf.DUMMYFUNCTION("GOOGLETRANSLATE(B699,""en"",""zu"")"),"Iphutha ekulondolozeni ifayela le-GPX")</f>
        <v>Iphutha ekulondolozeni ifayela le-GPX</v>
      </c>
      <c r="AV699" s="4" t="str">
        <f>IFERROR(__xludf.DUMMYFUNCTION("GOOGLETRANSLATE(B699,""en"",""sr"")"),"Грешка при чувању ГПКС датотеке")</f>
        <v>Грешка при чувању ГПКС датотеке</v>
      </c>
    </row>
    <row r="700">
      <c r="A700" s="3" t="s">
        <v>1323</v>
      </c>
      <c r="B700" s="3" t="s">
        <v>1324</v>
      </c>
      <c r="C700" s="4" t="str">
        <f>IFERROR(__xludf.DUMMYFUNCTION("GOOGLETRANSLATE(B700,""en"",""ta"")"),"GPX கோப்பு எதுவும் இல்லை")</f>
        <v>GPX கோப்பு எதுவும் இல்லை</v>
      </c>
      <c r="D700" s="4" t="str">
        <f>IFERROR(__xludf.DUMMYFUNCTION("GOOGLETRANSLATE(B700,""en"",""hi"")"),"कोई GPX फ़ाइल नहीं मिली")</f>
        <v>कोई GPX फ़ाइल नहीं मिली</v>
      </c>
      <c r="E700" s="4" t="str">
        <f>IFERROR(__xludf.DUMMYFUNCTION("GOOGLETRANSLATE(B700,""en"",""id"")"),"Tidak ditemukan berkas GPX")</f>
        <v>Tidak ditemukan berkas GPX</v>
      </c>
      <c r="F700" s="4" t="str">
        <f>IFERROR(__xludf.DUMMYFUNCTION("GOOGLETRANSLATE(B700,""en"",""ms"")"),"Tiada fail GPX ditemui")</f>
        <v>Tiada fail GPX ditemui</v>
      </c>
      <c r="G700" s="4" t="str">
        <f>IFERROR(__xludf.DUMMYFUNCTION("GOOGLETRANSLATE(B700,""en"",""de"")"),"Keine GPX-Datei gefunden")</f>
        <v>Keine GPX-Datei gefunden</v>
      </c>
      <c r="H700" s="4" t="str">
        <f>IFERROR(__xludf.DUMMYFUNCTION("GOOGLETRANSLATE(B700,""en"",""es"")"),"No se encontró ningún archivo GPX")</f>
        <v>No se encontró ningún archivo GPX</v>
      </c>
      <c r="I700" s="4" t="str">
        <f>IFERROR(__xludf.DUMMYFUNCTION("GOOGLETRANSLATE(B700,""en"",""fr"")"),"Aucun fichier GPX trouvé")</f>
        <v>Aucun fichier GPX trouvé</v>
      </c>
      <c r="J700" s="4" t="str">
        <f>IFERROR(__xludf.DUMMYFUNCTION("GOOGLETRANSLATE(B700,""en"",""it"")"),"Nessun file GPX trovato")</f>
        <v>Nessun file GPX trovato</v>
      </c>
      <c r="K700" s="4" t="str">
        <f>IFERROR(__xludf.DUMMYFUNCTION("GOOGLETRANSLATE(B700,""en"",""pt"")"),"Nenhum arquivo GPX encontrado")</f>
        <v>Nenhum arquivo GPX encontrado</v>
      </c>
      <c r="L700" s="4" t="str">
        <f>IFERROR(__xludf.DUMMYFUNCTION("GOOGLETRANSLATE(B700,""en"",""ro"")"),"Nu a fost găsit niciun fișier GPX")</f>
        <v>Nu a fost găsit niciun fișier GPX</v>
      </c>
      <c r="M700" s="4" t="str">
        <f>IFERROR(__xludf.DUMMYFUNCTION("GOOGLETRANSLATE(B700,""en"",""vi"")"),"Không tìm thấy tệp GPX")</f>
        <v>Không tìm thấy tệp GPX</v>
      </c>
      <c r="N700" s="4" t="str">
        <f>IFERROR(__xludf.DUMMYFUNCTION("GOOGLETRANSLATE(B700,""en"",""ru"")"),"Файл GPX не найден")</f>
        <v>Файл GPX не найден</v>
      </c>
      <c r="O700" s="4" t="str">
        <f>IFERROR(__xludf.DUMMYFUNCTION("GOOGLETRANSLATE(B700,""en"",""tr"")"),"GPX dosyası bulunamadı")</f>
        <v>GPX dosyası bulunamadı</v>
      </c>
      <c r="P700" s="4" t="str">
        <f>IFERROR(__xludf.DUMMYFUNCTION("GOOGLETRANSLATE(B700,""en"",""ar"")"),"لم يتم العثور على ملف GPX")</f>
        <v>لم يتم العثور على ملف GPX</v>
      </c>
      <c r="Q700" s="4" t="str">
        <f>IFERROR(__xludf.DUMMYFUNCTION("GOOGLETRANSLATE(B700,""en"",""mr"")"),"कोणतीही GPX फाइल आढळली नाही")</f>
        <v>कोणतीही GPX फाइल आढळली नाही</v>
      </c>
      <c r="R700" s="4" t="str">
        <f>IFERROR(__xludf.DUMMYFUNCTION("GOOGLETRANSLATE(B700,""en"",""gu"")"),"કોઈ GPX ફાઇલ મળી નથી")</f>
        <v>કોઈ GPX ફાઇલ મળી નથી</v>
      </c>
      <c r="S700" s="4" t="str">
        <f>IFERROR(__xludf.DUMMYFUNCTION("GOOGLETRANSLATE(B700,""en"",""bn"")"),"কোনো GPX ফাইল পাওয়া যায়নি")</f>
        <v>কোনো GPX ফাইল পাওয়া যায়নি</v>
      </c>
      <c r="T700" s="4" t="str">
        <f>IFERROR(__xludf.DUMMYFUNCTION("GOOGLETRANSLATE(B700,""en"",""pa"")"),"ਕੋਈ GPX ਫਾਈਲ ਨਹੀਂ ਮਿਲੀ")</f>
        <v>ਕੋਈ GPX ਫਾਈਲ ਨਹੀਂ ਮਿਲੀ</v>
      </c>
      <c r="U700" s="4" t="str">
        <f>IFERROR(__xludf.DUMMYFUNCTION("GOOGLETRANSLATE(B700,""en"",""te"")"),"GPX ఫైల్ ఏదీ కనుగొనబడలేదు")</f>
        <v>GPX ఫైల్ ఏదీ కనుగొనబడలేదు</v>
      </c>
      <c r="V700" s="4" t="str">
        <f>IFERROR(__xludf.DUMMYFUNCTION("GOOGLETRANSLATE(B700,""en"",""kn"")"),"ಯಾವುದೇ GPX ಫೈಲ್ ಕಂಡುಬಂದಿಲ್ಲ")</f>
        <v>ಯಾವುದೇ GPX ಫೈಲ್ ಕಂಡುಬಂದಿಲ್ಲ</v>
      </c>
      <c r="W700" s="4" t="str">
        <f>IFERROR(__xludf.DUMMYFUNCTION("GOOGLETRANSLATE(B700,""en"",""ml"")"),"GPX ഫയലൊന്നും കണ്ടെത്തിയില്ല")</f>
        <v>GPX ഫയലൊന്നും കണ്ടെത്തിയില്ല</v>
      </c>
      <c r="X700" s="4" t="str">
        <f>IFERROR(__xludf.DUMMYFUNCTION("GOOGLETRANSLATE(B700,""en"",""th"")"),"ไม่พบไฟล์ GPX")</f>
        <v>ไม่พบไฟล์ GPX</v>
      </c>
      <c r="Y700" s="4" t="str">
        <f>IFERROR(__xludf.DUMMYFUNCTION("GOOGLETRANSLATE(B700,""en"",""ko"")"),"GPX 파일을 찾을 수 없습니다")</f>
        <v>GPX 파일을 찾을 수 없습니다</v>
      </c>
      <c r="Z700" s="4" t="str">
        <f>IFERROR(__xludf.DUMMYFUNCTION("GOOGLETRANSLATE(B700,""en"",""zh"")"),"未找到 GPX 文件")</f>
        <v>未找到 GPX 文件</v>
      </c>
      <c r="AA700" s="4" t="str">
        <f>IFERROR(__xludf.DUMMYFUNCTION("GOOGLETRANSLATE(B700,""en"",""zh-TW"")"),"未找到 GPX 文件")</f>
        <v>未找到 GPX 文件</v>
      </c>
      <c r="AB700" s="4" t="str">
        <f>IFERROR(__xludf.DUMMYFUNCTION("GOOGLETRANSLATE(B700,""en"",""ja"")"),"GPXファイルが見つかりません")</f>
        <v>GPXファイルが見つかりません</v>
      </c>
      <c r="AC700" s="4" t="str">
        <f>IFERROR(__xludf.DUMMYFUNCTION("GOOGLETRANSLATE(B700,""en"",""bg"")"),"Няма намерен GPX файл")</f>
        <v>Няма намерен GPX файл</v>
      </c>
      <c r="AD700" s="4" t="str">
        <f>IFERROR(__xludf.DUMMYFUNCTION("GOOGLETRANSLATE(B700,""en"",""cs"")"),"Nebyl nalezen žádný soubor GPX")</f>
        <v>Nebyl nalezen žádný soubor GPX</v>
      </c>
      <c r="AE700" s="4" t="str">
        <f>IFERROR(__xludf.DUMMYFUNCTION("GOOGLETRANSLATE(B700,""en"",""da"")"),"Ingen GPX-fil fundet")</f>
        <v>Ingen GPX-fil fundet</v>
      </c>
      <c r="AF700" s="4" t="str">
        <f>IFERROR(__xludf.DUMMYFUNCTION("GOOGLETRANSLATE(B700,""en"",""el"")"),"Δεν βρέθηκε αρχείο GPX")</f>
        <v>Δεν βρέθηκε αρχείο GPX</v>
      </c>
      <c r="AG700" s="4" t="str">
        <f>IFERROR(__xludf.DUMMYFUNCTION("GOOGLETRANSLATE(B700,""en"",""et"")"),"GPX-faili ei leitud")</f>
        <v>GPX-faili ei leitud</v>
      </c>
      <c r="AH700" s="4" t="str">
        <f>IFERROR(__xludf.DUMMYFUNCTION("GOOGLETRANSLATE(B700,""en"",""fi"")"),"GPX-tiedostoa ei löytynyt")</f>
        <v>GPX-tiedostoa ei löytynyt</v>
      </c>
      <c r="AI700" s="4" t="str">
        <f>IFERROR(__xludf.DUMMYFUNCTION("GOOGLETRANSLATE(B700,""en"",""hr"")"),"Nije pronađena GPX datoteka")</f>
        <v>Nije pronađena GPX datoteka</v>
      </c>
      <c r="AJ700" s="4" t="str">
        <f>IFERROR(__xludf.DUMMYFUNCTION("GOOGLETRANSLATE(B700,""en"",""hu"")"),"Nem található GPX fájl")</f>
        <v>Nem található GPX fájl</v>
      </c>
      <c r="AK700" s="4" t="str">
        <f>IFERROR(__xludf.DUMMYFUNCTION("GOOGLETRANSLATE(B700,""en"",""hy"")"),"GPX ֆայլ չի գտնվել")</f>
        <v>GPX ֆայլ չի գտնվել</v>
      </c>
      <c r="AL700" s="4" t="str">
        <f>IFERROR(__xludf.DUMMYFUNCTION("GOOGLETRANSLATE(B700,""en"",""ca"")"),"No s'ha trobat cap fitxer GPX")</f>
        <v>No s'ha trobat cap fitxer GPX</v>
      </c>
      <c r="AM700" s="4" t="str">
        <f>IFERROR(__xludf.DUMMYFUNCTION("GOOGLETRANSLATE(B700,""en"",""nl"")"),"Geen GPX-bestand gevonden")</f>
        <v>Geen GPX-bestand gevonden</v>
      </c>
      <c r="AN700" s="4" t="str">
        <f>IFERROR(__xludf.DUMMYFUNCTION("GOOGLETRANSLATE(B700,""en"",""he"")"),"לא נמצא קובץ GPX")</f>
        <v>לא נמצא קובץ GPX</v>
      </c>
      <c r="AO700" s="4" t="str">
        <f>IFERROR(__xludf.DUMMYFUNCTION("GOOGLETRANSLATE(B700,""en"",""is"")"),"Engin GPX skrá fannst")</f>
        <v>Engin GPX skrá fannst</v>
      </c>
      <c r="AP700" s="4" t="str">
        <f>IFERROR(__xludf.DUMMYFUNCTION("GOOGLETRANSLATE(B700,""en"",""no"")"),"Ingen GPX-fil funnet")</f>
        <v>Ingen GPX-fil funnet</v>
      </c>
      <c r="AQ700" s="4" t="str">
        <f>IFERROR(__xludf.DUMMYFUNCTION("GOOGLETRANSLATE(B700,""en"",""fa"")"),"هیچ فایل GPX یافت نشد")</f>
        <v>هیچ فایل GPX یافت نشد</v>
      </c>
      <c r="AR700" s="4" t="str">
        <f>IFERROR(__xludf.DUMMYFUNCTION("GOOGLETRANSLATE(B700,""en"",""pl"")"),"Nie znaleziono pliku GPX")</f>
        <v>Nie znaleziono pliku GPX</v>
      </c>
      <c r="AS700" s="4" t="str">
        <f>IFERROR(__xludf.DUMMYFUNCTION("GOOGLETRANSLATE(B700,""en"",""sv"")"),"Ingen GPX-fil hittades")</f>
        <v>Ingen GPX-fil hittades</v>
      </c>
      <c r="AT700" s="4" t="str">
        <f>IFERROR(__xludf.DUMMYFUNCTION("GOOGLETRANSLATE(B700,""en"",""uk"")"),"Файл GPX не знайдено")</f>
        <v>Файл GPX не знайдено</v>
      </c>
      <c r="AU700" s="4" t="str">
        <f>IFERROR(__xludf.DUMMYFUNCTION("GOOGLETRANSLATE(B700,""en"",""zu"")"),"Alikho ifayela le-GPX elitholiwe")</f>
        <v>Alikho ifayela le-GPX elitholiwe</v>
      </c>
      <c r="AV700" s="4" t="str">
        <f>IFERROR(__xludf.DUMMYFUNCTION("GOOGLETRANSLATE(B700,""en"",""sr"")"),"Није пронађена ГПКС датотека")</f>
        <v>Није пронађена ГПКС датотека</v>
      </c>
    </row>
    <row r="701">
      <c r="A701" s="3" t="s">
        <v>1325</v>
      </c>
      <c r="B701" s="3" t="s">
        <v>1326</v>
      </c>
      <c r="C701" s="4" t="str">
        <f>IFERROR(__xludf.DUMMYFUNCTION("GOOGLETRANSLATE(B701,""en"",""ta"")"),"கோப்பை கையாள்வதில் பிழை")</f>
        <v>கோப்பை கையாள்வதில் பிழை</v>
      </c>
      <c r="D701" s="4" t="str">
        <f>IFERROR(__xludf.DUMMYFUNCTION("GOOGLETRANSLATE(B701,""en"",""hi"")"),"फ़ाइल हैंडलिंग में त्रुटि")</f>
        <v>फ़ाइल हैंडलिंग में त्रुटि</v>
      </c>
      <c r="E701" s="4" t="str">
        <f>IFERROR(__xludf.DUMMYFUNCTION("GOOGLETRANSLATE(B701,""en"",""id"")"),"Penanganan kesalahan file")</f>
        <v>Penanganan kesalahan file</v>
      </c>
      <c r="F701" s="4" t="str">
        <f>IFERROR(__xludf.DUMMYFUNCTION("GOOGLETRANSLATE(B701,""en"",""ms"")"),"Ralat mengendalikan fail")</f>
        <v>Ralat mengendalikan fail</v>
      </c>
      <c r="G701" s="4" t="str">
        <f>IFERROR(__xludf.DUMMYFUNCTION("GOOGLETRANSLATE(B701,""en"",""de"")"),"Fehlerbehandlungsdatei")</f>
        <v>Fehlerbehandlungsdatei</v>
      </c>
      <c r="H701" s="4" t="str">
        <f>IFERROR(__xludf.DUMMYFUNCTION("GOOGLETRANSLATE(B701,""en"",""es"")"),"Archivo de manejo de errores")</f>
        <v>Archivo de manejo de errores</v>
      </c>
      <c r="I701" s="4" t="str">
        <f>IFERROR(__xludf.DUMMYFUNCTION("GOOGLETRANSLATE(B701,""en"",""fr"")"),"Fichier de gestion des erreurs")</f>
        <v>Fichier de gestion des erreurs</v>
      </c>
      <c r="J701" s="4" t="str">
        <f>IFERROR(__xludf.DUMMYFUNCTION("GOOGLETRANSLATE(B701,""en"",""it"")"),"File di gestione degli errori")</f>
        <v>File di gestione degli errori</v>
      </c>
      <c r="K701" s="4" t="str">
        <f>IFERROR(__xludf.DUMMYFUNCTION("GOOGLETRANSLATE(B701,""en"",""pt"")"),"Arquivo de tratamento de erros")</f>
        <v>Arquivo de tratamento de erros</v>
      </c>
      <c r="L701" s="4" t="str">
        <f>IFERROR(__xludf.DUMMYFUNCTION("GOOGLETRANSLATE(B701,""en"",""ro"")"),"Eroare la gestionarea fișierului")</f>
        <v>Eroare la gestionarea fișierului</v>
      </c>
      <c r="M701" s="4" t="str">
        <f>IFERROR(__xludf.DUMMYFUNCTION("GOOGLETRANSLATE(B701,""en"",""vi"")"),"Xử lý lỗi tập tin")</f>
        <v>Xử lý lỗi tập tin</v>
      </c>
      <c r="N701" s="4" t="str">
        <f>IFERROR(__xludf.DUMMYFUNCTION("GOOGLETRANSLATE(B701,""en"",""ru"")"),"Ошибка обработки файла")</f>
        <v>Ошибка обработки файла</v>
      </c>
      <c r="O701" s="4" t="str">
        <f>IFERROR(__xludf.DUMMYFUNCTION("GOOGLETRANSLATE(B701,""en"",""tr"")"),"Dosya işleme hatası")</f>
        <v>Dosya işleme hatası</v>
      </c>
      <c r="P701" s="4" t="str">
        <f>IFERROR(__xludf.DUMMYFUNCTION("GOOGLETRANSLATE(B701,""en"",""ar"")"),"ملف معالجة الأخطاء")</f>
        <v>ملف معالجة الأخطاء</v>
      </c>
      <c r="Q701" s="4" t="str">
        <f>IFERROR(__xludf.DUMMYFUNCTION("GOOGLETRANSLATE(B701,""en"",""mr"")"),"फाइल हाताळताना त्रुटी")</f>
        <v>फाइल हाताळताना त्रुटी</v>
      </c>
      <c r="R701" s="4" t="str">
        <f>IFERROR(__xludf.DUMMYFUNCTION("GOOGLETRANSLATE(B701,""en"",""gu"")"),"ફાઇલ હેન્ડલ કરવામાં ભૂલ")</f>
        <v>ફાઇલ હેન્ડલ કરવામાં ભૂલ</v>
      </c>
      <c r="S701" s="4" t="str">
        <f>IFERROR(__xludf.DUMMYFUNCTION("GOOGLETRANSLATE(B701,""en"",""bn"")"),"ফাইল পরিচালনায় ত্রুটি৷")</f>
        <v>ফাইল পরিচালনায় ত্রুটি৷</v>
      </c>
      <c r="T701" s="4" t="str">
        <f>IFERROR(__xludf.DUMMYFUNCTION("GOOGLETRANSLATE(B701,""en"",""pa"")"),"ਫ਼ਾਈਲ ਨੂੰ ਸੰਭਾਲਣ ਵਿੱਚ ਗੜਬੜ ਹੋਈ")</f>
        <v>ਫ਼ਾਈਲ ਨੂੰ ਸੰਭਾਲਣ ਵਿੱਚ ਗੜਬੜ ਹੋਈ</v>
      </c>
      <c r="U701" s="4" t="str">
        <f>IFERROR(__xludf.DUMMYFUNCTION("GOOGLETRANSLATE(B701,""en"",""te"")"),"ఫైల్ నిర్వహణలో లోపం")</f>
        <v>ఫైల్ నిర్వహణలో లోపం</v>
      </c>
      <c r="V701" s="4" t="str">
        <f>IFERROR(__xludf.DUMMYFUNCTION("GOOGLETRANSLATE(B701,""en"",""kn"")"),"ಫೈಲ್ ನಿರ್ವಹಣೆ ದೋಷ")</f>
        <v>ಫೈಲ್ ನಿರ್ವಹಣೆ ದೋಷ</v>
      </c>
      <c r="W701" s="4" t="str">
        <f>IFERROR(__xludf.DUMMYFUNCTION("GOOGLETRANSLATE(B701,""en"",""ml"")"),"ഫയൽ കൈകാര്യം ചെയ്യുന്നതിൽ പിശക്")</f>
        <v>ഫയൽ കൈകാര്യം ചെയ്യുന്നതിൽ പിശക്</v>
      </c>
      <c r="X701" s="4" t="str">
        <f>IFERROR(__xludf.DUMMYFUNCTION("GOOGLETRANSLATE(B701,""en"",""th"")"),"ข้อผิดพลาดในการจัดการไฟล์")</f>
        <v>ข้อผิดพลาดในการจัดการไฟล์</v>
      </c>
      <c r="Y701" s="4" t="str">
        <f>IFERROR(__xludf.DUMMYFUNCTION("GOOGLETRANSLATE(B701,""en"",""ko"")"),"오류 처리 파일")</f>
        <v>오류 처리 파일</v>
      </c>
      <c r="Z701" s="4" t="str">
        <f>IFERROR(__xludf.DUMMYFUNCTION("GOOGLETRANSLATE(B701,""en"",""zh"")"),"错误处理文件")</f>
        <v>错误处理文件</v>
      </c>
      <c r="AA701" s="4" t="str">
        <f>IFERROR(__xludf.DUMMYFUNCTION("GOOGLETRANSLATE(B701,""en"",""zh-TW"")"),"錯誤處理文件")</f>
        <v>錯誤處理文件</v>
      </c>
      <c r="AB701" s="4" t="str">
        <f>IFERROR(__xludf.DUMMYFUNCTION("GOOGLETRANSLATE(B701,""en"",""ja"")"),"エラー処理ファイル")</f>
        <v>エラー処理ファイル</v>
      </c>
      <c r="AC701" s="4" t="str">
        <f>IFERROR(__xludf.DUMMYFUNCTION("GOOGLETRANSLATE(B701,""en"",""bg"")"),"Грешка при обработка на файла")</f>
        <v>Грешка при обработка на файла</v>
      </c>
      <c r="AD701" s="4" t="str">
        <f>IFERROR(__xludf.DUMMYFUNCTION("GOOGLETRANSLATE(B701,""en"",""cs"")"),"Chyba při zpracování souboru")</f>
        <v>Chyba při zpracování souboru</v>
      </c>
      <c r="AE701" s="4" t="str">
        <f>IFERROR(__xludf.DUMMYFUNCTION("GOOGLETRANSLATE(B701,""en"",""da"")"),"Fejl ved håndtering af fil")</f>
        <v>Fejl ved håndtering af fil</v>
      </c>
      <c r="AF701" s="4" t="str">
        <f>IFERROR(__xludf.DUMMYFUNCTION("GOOGLETRANSLATE(B701,""en"",""el"")"),"Σφάλμα χειρισμού αρχείου")</f>
        <v>Σφάλμα χειρισμού αρχείου</v>
      </c>
      <c r="AG701" s="4" t="str">
        <f>IFERROR(__xludf.DUMMYFUNCTION("GOOGLETRANSLATE(B701,""en"",""et"")"),"Viga faili käsitlemisel")</f>
        <v>Viga faili käsitlemisel</v>
      </c>
      <c r="AH701" s="4" t="str">
        <f>IFERROR(__xludf.DUMMYFUNCTION("GOOGLETRANSLATE(B701,""en"",""fi"")"),"Virhe tiedoston käsittelyssä")</f>
        <v>Virhe tiedoston käsittelyssä</v>
      </c>
      <c r="AI701" s="4" t="str">
        <f>IFERROR(__xludf.DUMMYFUNCTION("GOOGLETRANSLATE(B701,""en"",""hr"")"),"Pogreška obrade datoteke")</f>
        <v>Pogreška obrade datoteke</v>
      </c>
      <c r="AJ701" s="4" t="str">
        <f>IFERROR(__xludf.DUMMYFUNCTION("GOOGLETRANSLATE(B701,""en"",""hu"")"),"Hiba a fájl kezelése során")</f>
        <v>Hiba a fájl kezelése során</v>
      </c>
      <c r="AK701" s="4" t="str">
        <f>IFERROR(__xludf.DUMMYFUNCTION("GOOGLETRANSLATE(B701,""en"",""hy"")"),"Ֆայլի մշակման սխալ")</f>
        <v>Ֆայլի մշակման սխալ</v>
      </c>
      <c r="AL701" s="4" t="str">
        <f>IFERROR(__xludf.DUMMYFUNCTION("GOOGLETRANSLATE(B701,""en"",""ca"")"),"Error en gestionar el fitxer")</f>
        <v>Error en gestionar el fitxer</v>
      </c>
      <c r="AM701" s="4" t="str">
        <f>IFERROR(__xludf.DUMMYFUNCTION("GOOGLETRANSLATE(B701,""en"",""nl"")"),"Fout bij het verwerken van het bestand")</f>
        <v>Fout bij het verwerken van het bestand</v>
      </c>
      <c r="AN701" s="4" t="str">
        <f>IFERROR(__xludf.DUMMYFUNCTION("GOOGLETRANSLATE(B701,""en"",""he"")"),"שגיאה בטיפול בקובץ")</f>
        <v>שגיאה בטיפול בקובץ</v>
      </c>
      <c r="AO701" s="4" t="str">
        <f>IFERROR(__xludf.DUMMYFUNCTION("GOOGLETRANSLATE(B701,""en"",""is"")"),"Villa við meðhöndlun skráar")</f>
        <v>Villa við meðhöndlun skráar</v>
      </c>
      <c r="AP701" s="4" t="str">
        <f>IFERROR(__xludf.DUMMYFUNCTION("GOOGLETRANSLATE(B701,""en"",""no"")"),"Feil ved håndtering av fil")</f>
        <v>Feil ved håndtering av fil</v>
      </c>
      <c r="AQ701" s="4" t="str">
        <f>IFERROR(__xludf.DUMMYFUNCTION("GOOGLETRANSLATE(B701,""en"",""fa"")"),"خطا در رسیدگی به فایل")</f>
        <v>خطا در رسیدگی به فایل</v>
      </c>
      <c r="AR701" s="4" t="str">
        <f>IFERROR(__xludf.DUMMYFUNCTION("GOOGLETRANSLATE(B701,""en"",""pl"")"),"Błąd obsługi pliku")</f>
        <v>Błąd obsługi pliku</v>
      </c>
      <c r="AS701" s="4" t="str">
        <f>IFERROR(__xludf.DUMMYFUNCTION("GOOGLETRANSLATE(B701,""en"",""sv"")"),"Fel vid hantering av filen")</f>
        <v>Fel vid hantering av filen</v>
      </c>
      <c r="AT701" s="4" t="str">
        <f>IFERROR(__xludf.DUMMYFUNCTION("GOOGLETRANSLATE(B701,""en"",""uk"")"),"Помилка обробки файлу")</f>
        <v>Помилка обробки файлу</v>
      </c>
      <c r="AU701" s="4" t="str">
        <f>IFERROR(__xludf.DUMMYFUNCTION("GOOGLETRANSLATE(B701,""en"",""zu"")"),"Iphutha ekuphatheni ifayela")</f>
        <v>Iphutha ekuphatheni ifayela</v>
      </c>
      <c r="AV701" s="4" t="str">
        <f>IFERROR(__xludf.DUMMYFUNCTION("GOOGLETRANSLATE(B701,""en"",""sr"")"),"Грешка при руковању датотеком")</f>
        <v>Грешка при руковању датотеком</v>
      </c>
    </row>
    <row r="702">
      <c r="A702" s="3" t="s">
        <v>1327</v>
      </c>
      <c r="B702" s="3" t="s">
        <v>1328</v>
      </c>
      <c r="C702" s="4" t="str">
        <f>IFERROR(__xludf.DUMMYFUNCTION("GOOGLETRANSLATE(B702,""en"",""ta"")"),"GPX கோப்பு சேமிக்கப்பட்டது")</f>
        <v>GPX கோப்பு சேமிக்கப்பட்டது</v>
      </c>
      <c r="D702" s="4" t="str">
        <f>IFERROR(__xludf.DUMMYFUNCTION("GOOGLETRANSLATE(B702,""en"",""hi"")"),"GPX फ़ाइल सहेजी गई")</f>
        <v>GPX फ़ाइल सहेजी गई</v>
      </c>
      <c r="E702" s="4" t="str">
        <f>IFERROR(__xludf.DUMMYFUNCTION("GOOGLETRANSLATE(B702,""en"",""id"")"),"File GPX Tersimpan")</f>
        <v>File GPX Tersimpan</v>
      </c>
      <c r="F702" s="4" t="str">
        <f>IFERROR(__xludf.DUMMYFUNCTION("GOOGLETRANSLATE(B702,""en"",""ms"")"),"Fail GPX Disimpan")</f>
        <v>Fail GPX Disimpan</v>
      </c>
      <c r="G702" s="4" t="str">
        <f>IFERROR(__xludf.DUMMYFUNCTION("GOOGLETRANSLATE(B702,""en"",""de"")"),"GPX-Datei gespeichert")</f>
        <v>GPX-Datei gespeichert</v>
      </c>
      <c r="H702" s="4" t="str">
        <f>IFERROR(__xludf.DUMMYFUNCTION("GOOGLETRANSLATE(B702,""en"",""es"")"),"Archivo GPX guardado")</f>
        <v>Archivo GPX guardado</v>
      </c>
      <c r="I702" s="4" t="str">
        <f>IFERROR(__xludf.DUMMYFUNCTION("GOOGLETRANSLATE(B702,""en"",""fr"")"),"Fichier GPX enregistré")</f>
        <v>Fichier GPX enregistré</v>
      </c>
      <c r="J702" s="4" t="str">
        <f>IFERROR(__xludf.DUMMYFUNCTION("GOOGLETRANSLATE(B702,""en"",""it"")"),"File GPX salvato")</f>
        <v>File GPX salvato</v>
      </c>
      <c r="K702" s="4" t="str">
        <f>IFERROR(__xludf.DUMMYFUNCTION("GOOGLETRANSLATE(B702,""en"",""pt"")"),"Arquivo GPX salvo")</f>
        <v>Arquivo GPX salvo</v>
      </c>
      <c r="L702" s="4" t="str">
        <f>IFERROR(__xludf.DUMMYFUNCTION("GOOGLETRANSLATE(B702,""en"",""ro"")"),"Fișier GPX salvat")</f>
        <v>Fișier GPX salvat</v>
      </c>
      <c r="M702" s="4" t="str">
        <f>IFERROR(__xludf.DUMMYFUNCTION("GOOGLETRANSLATE(B702,""en"",""vi"")"),"Tệp GPX đã lưu")</f>
        <v>Tệp GPX đã lưu</v>
      </c>
      <c r="N702" s="4" t="str">
        <f>IFERROR(__xludf.DUMMYFUNCTION("GOOGLETRANSLATE(B702,""en"",""ru"")"),"Файл GPX сохранен")</f>
        <v>Файл GPX сохранен</v>
      </c>
      <c r="O702" s="4" t="str">
        <f>IFERROR(__xludf.DUMMYFUNCTION("GOOGLETRANSLATE(B702,""en"",""tr"")"),"GPX dosyası kaydedildi")</f>
        <v>GPX dosyası kaydedildi</v>
      </c>
      <c r="P702" s="4" t="str">
        <f>IFERROR(__xludf.DUMMYFUNCTION("GOOGLETRANSLATE(B702,""en"",""ar"")"),"تم حفظ ملف GPX")</f>
        <v>تم حفظ ملف GPX</v>
      </c>
      <c r="Q702" s="4" t="str">
        <f>IFERROR(__xludf.DUMMYFUNCTION("GOOGLETRANSLATE(B702,""en"",""mr"")"),"GPX फाइल सेव्ह केली")</f>
        <v>GPX फाइल सेव्ह केली</v>
      </c>
      <c r="R702" s="4" t="str">
        <f>IFERROR(__xludf.DUMMYFUNCTION("GOOGLETRANSLATE(B702,""en"",""gu"")"),"GPX ફાઇલ સાચવેલ")</f>
        <v>GPX ફાઇલ સાચવેલ</v>
      </c>
      <c r="S702" s="4" t="str">
        <f>IFERROR(__xludf.DUMMYFUNCTION("GOOGLETRANSLATE(B702,""en"",""bn"")"),"GPX ফাইল সংরক্ষিত")</f>
        <v>GPX ফাইল সংরক্ষিত</v>
      </c>
      <c r="T702" s="4" t="str">
        <f>IFERROR(__xludf.DUMMYFUNCTION("GOOGLETRANSLATE(B702,""en"",""pa"")"),"GPX ਫਾਈਲ ਸੁਰੱਖਿਅਤ ਕੀਤੀ ਗਈ")</f>
        <v>GPX ਫਾਈਲ ਸੁਰੱਖਿਅਤ ਕੀਤੀ ਗਈ</v>
      </c>
      <c r="U702" s="4" t="str">
        <f>IFERROR(__xludf.DUMMYFUNCTION("GOOGLETRANSLATE(B702,""en"",""te"")"),"GPX ఫైల్ సేవ్ చేయబడింది")</f>
        <v>GPX ఫైల్ సేవ్ చేయబడింది</v>
      </c>
      <c r="V702" s="4" t="str">
        <f>IFERROR(__xludf.DUMMYFUNCTION("GOOGLETRANSLATE(B702,""en"",""kn"")"),"GPX ಫೈಲ್ ಉಳಿಸಲಾಗಿದೆ")</f>
        <v>GPX ಫೈಲ್ ಉಳಿಸಲಾಗಿದೆ</v>
      </c>
      <c r="W702" s="4" t="str">
        <f>IFERROR(__xludf.DUMMYFUNCTION("GOOGLETRANSLATE(B702,""en"",""ml"")"),"GPX ഫയൽ സംരക്ഷിച്ചു")</f>
        <v>GPX ഫയൽ സംരക്ഷിച്ചു</v>
      </c>
      <c r="X702" s="4" t="str">
        <f>IFERROR(__xludf.DUMMYFUNCTION("GOOGLETRANSLATE(B702,""en"",""th"")"),"ไฟล์ GPX ถูกบันทึกไว้")</f>
        <v>ไฟล์ GPX ถูกบันทึกไว้</v>
      </c>
      <c r="Y702" s="4" t="str">
        <f>IFERROR(__xludf.DUMMYFUNCTION("GOOGLETRANSLATE(B702,""en"",""ko"")"),"GPX 파일이 저장되었습니다")</f>
        <v>GPX 파일이 저장되었습니다</v>
      </c>
      <c r="Z702" s="4" t="str">
        <f>IFERROR(__xludf.DUMMYFUNCTION("GOOGLETRANSLATE(B702,""en"",""zh"")"),"GPX 文件已保存")</f>
        <v>GPX 文件已保存</v>
      </c>
      <c r="AA702" s="4" t="str">
        <f>IFERROR(__xludf.DUMMYFUNCTION("GOOGLETRANSLATE(B702,""en"",""zh-TW"")"),"GPX 檔案已儲存")</f>
        <v>GPX 檔案已儲存</v>
      </c>
      <c r="AB702" s="4" t="str">
        <f>IFERROR(__xludf.DUMMYFUNCTION("GOOGLETRANSLATE(B702,""en"",""ja"")"),"GPXファイルが保存されました")</f>
        <v>GPXファイルが保存されました</v>
      </c>
      <c r="AC702" s="4" t="str">
        <f>IFERROR(__xludf.DUMMYFUNCTION("GOOGLETRANSLATE(B702,""en"",""bg"")"),"GPX файлът е запазен")</f>
        <v>GPX файлът е запазен</v>
      </c>
      <c r="AD702" s="4" t="str">
        <f>IFERROR(__xludf.DUMMYFUNCTION("GOOGLETRANSLATE(B702,""en"",""cs"")"),"Soubor GPX uložen")</f>
        <v>Soubor GPX uložen</v>
      </c>
      <c r="AE702" s="4" t="str">
        <f>IFERROR(__xludf.DUMMYFUNCTION("GOOGLETRANSLATE(B702,""en"",""da"")"),"GPX-fil gemt")</f>
        <v>GPX-fil gemt</v>
      </c>
      <c r="AF702" s="4" t="str">
        <f>IFERROR(__xludf.DUMMYFUNCTION("GOOGLETRANSLATE(B702,""en"",""el"")"),"Το αρχείο GPX αποθηκεύτηκε")</f>
        <v>Το αρχείο GPX αποθηκεύτηκε</v>
      </c>
      <c r="AG702" s="4" t="str">
        <f>IFERROR(__xludf.DUMMYFUNCTION("GOOGLETRANSLATE(B702,""en"",""et"")"),"GPX-fail on salvestatud")</f>
        <v>GPX-fail on salvestatud</v>
      </c>
      <c r="AH702" s="4" t="str">
        <f>IFERROR(__xludf.DUMMYFUNCTION("GOOGLETRANSLATE(B702,""en"",""fi"")"),"GPX-tiedosto tallennettu")</f>
        <v>GPX-tiedosto tallennettu</v>
      </c>
      <c r="AI702" s="4" t="str">
        <f>IFERROR(__xludf.DUMMYFUNCTION("GOOGLETRANSLATE(B702,""en"",""hr"")"),"GPX datoteka spremljena")</f>
        <v>GPX datoteka spremljena</v>
      </c>
      <c r="AJ702" s="4" t="str">
        <f>IFERROR(__xludf.DUMMYFUNCTION("GOOGLETRANSLATE(B702,""en"",""hu"")"),"GPX fájl elmentve")</f>
        <v>GPX fájl elmentve</v>
      </c>
      <c r="AK702" s="4" t="str">
        <f>IFERROR(__xludf.DUMMYFUNCTION("GOOGLETRANSLATE(B702,""en"",""hy"")"),"GPX ֆայլը պահպանված է")</f>
        <v>GPX ֆայլը պահպանված է</v>
      </c>
      <c r="AL702" s="4" t="str">
        <f>IFERROR(__xludf.DUMMYFUNCTION("GOOGLETRANSLATE(B702,""en"",""ca"")"),"Fitxer GPX desat")</f>
        <v>Fitxer GPX desat</v>
      </c>
      <c r="AM702" s="4" t="str">
        <f>IFERROR(__xludf.DUMMYFUNCTION("GOOGLETRANSLATE(B702,""en"",""nl"")"),"GPX-bestand opgeslagen")</f>
        <v>GPX-bestand opgeslagen</v>
      </c>
      <c r="AN702" s="4" t="str">
        <f>IFERROR(__xludf.DUMMYFUNCTION("GOOGLETRANSLATE(B702,""en"",""he"")"),"קובץ GPX נשמר")</f>
        <v>קובץ GPX נשמר</v>
      </c>
      <c r="AO702" s="4" t="str">
        <f>IFERROR(__xludf.DUMMYFUNCTION("GOOGLETRANSLATE(B702,""en"",""is"")"),"GPX skrá vistuð")</f>
        <v>GPX skrá vistuð</v>
      </c>
      <c r="AP702" s="4" t="str">
        <f>IFERROR(__xludf.DUMMYFUNCTION("GOOGLETRANSLATE(B702,""en"",""no"")"),"GPX-fil lagret")</f>
        <v>GPX-fil lagret</v>
      </c>
      <c r="AQ702" s="4" t="str">
        <f>IFERROR(__xludf.DUMMYFUNCTION("GOOGLETRANSLATE(B702,""en"",""fa"")"),"فایل GPX ذخیره شد")</f>
        <v>فایل GPX ذخیره شد</v>
      </c>
      <c r="AR702" s="4" t="str">
        <f>IFERROR(__xludf.DUMMYFUNCTION("GOOGLETRANSLATE(B702,""en"",""pl"")"),"Plik GPX zapisany")</f>
        <v>Plik GPX zapisany</v>
      </c>
      <c r="AS702" s="4" t="str">
        <f>IFERROR(__xludf.DUMMYFUNCTION("GOOGLETRANSLATE(B702,""en"",""sv"")"),"GPX-fil sparad")</f>
        <v>GPX-fil sparad</v>
      </c>
      <c r="AT702" s="4" t="str">
        <f>IFERROR(__xludf.DUMMYFUNCTION("GOOGLETRANSLATE(B702,""en"",""uk"")"),"Файл GPX збережено")</f>
        <v>Файл GPX збережено</v>
      </c>
      <c r="AU702" s="4" t="str">
        <f>IFERROR(__xludf.DUMMYFUNCTION("GOOGLETRANSLATE(B702,""en"",""zu"")"),"Ifayela le-GPX Lilondoloziwe")</f>
        <v>Ifayela le-GPX Lilondoloziwe</v>
      </c>
      <c r="AV702" s="4" t="str">
        <f>IFERROR(__xludf.DUMMYFUNCTION("GOOGLETRANSLATE(B702,""en"",""sr"")"),"ГПКС датотека је сачувана")</f>
        <v>ГПКС датотека је сачувана</v>
      </c>
    </row>
    <row r="703">
      <c r="A703" s="3" t="s">
        <v>1329</v>
      </c>
      <c r="B703" s="3" t="s">
        <v>1330</v>
      </c>
      <c r="C703" s="4" t="str">
        <f>IFERROR(__xludf.DUMMYFUNCTION("GOOGLETRANSLATE(B703,""en"",""ta"")"),"GPX கோப்பை பொதுவில் பகிரவும்")</f>
        <v>GPX கோப்பை பொதுவில் பகிரவும்</v>
      </c>
      <c r="D703" s="4" t="str">
        <f>IFERROR(__xludf.DUMMYFUNCTION("GOOGLETRANSLATE(B703,""en"",""hi"")"),"GPX फ़ाइल को सार्वजनिक रूप से साझा करें")</f>
        <v>GPX फ़ाइल को सार्वजनिक रूप से साझा करें</v>
      </c>
      <c r="E703" s="4" t="str">
        <f>IFERROR(__xludf.DUMMYFUNCTION("GOOGLETRANSLATE(B703,""en"",""id"")"),"Bagikan file GPX secara Publik")</f>
        <v>Bagikan file GPX secara Publik</v>
      </c>
      <c r="F703" s="4" t="str">
        <f>IFERROR(__xludf.DUMMYFUNCTION("GOOGLETRANSLATE(B703,""en"",""ms"")"),"Kongsi fail GPX Secara Umum")</f>
        <v>Kongsi fail GPX Secara Umum</v>
      </c>
      <c r="G703" s="4" t="str">
        <f>IFERROR(__xludf.DUMMYFUNCTION("GOOGLETRANSLATE(B703,""en"",""de"")"),"GPX-Datei öffentlich teilen")</f>
        <v>GPX-Datei öffentlich teilen</v>
      </c>
      <c r="H703" s="4" t="str">
        <f>IFERROR(__xludf.DUMMYFUNCTION("GOOGLETRANSLATE(B703,""en"",""es"")"),"Compartir archivo GPX públicamente")</f>
        <v>Compartir archivo GPX públicamente</v>
      </c>
      <c r="I703" s="4" t="str">
        <f>IFERROR(__xludf.DUMMYFUNCTION("GOOGLETRANSLATE(B703,""en"",""fr"")"),"Partager le fichier GPX publiquement")</f>
        <v>Partager le fichier GPX publiquement</v>
      </c>
      <c r="J703" s="4" t="str">
        <f>IFERROR(__xludf.DUMMYFUNCTION("GOOGLETRANSLATE(B703,""en"",""it"")"),"Condividi pubblicamente il file GPX")</f>
        <v>Condividi pubblicamente il file GPX</v>
      </c>
      <c r="K703" s="4" t="str">
        <f>IFERROR(__xludf.DUMMYFUNCTION("GOOGLETRANSLATE(B703,""en"",""pt"")"),"Compartilhar arquivo GPX publicamente")</f>
        <v>Compartilhar arquivo GPX publicamente</v>
      </c>
      <c r="L703" s="4" t="str">
        <f>IFERROR(__xludf.DUMMYFUNCTION("GOOGLETRANSLATE(B703,""en"",""ro"")"),"Partajați fișierul GPX în mod public")</f>
        <v>Partajați fișierul GPX în mod public</v>
      </c>
      <c r="M703" s="4" t="str">
        <f>IFERROR(__xludf.DUMMYFUNCTION("GOOGLETRANSLATE(B703,""en"",""vi"")"),"Chia sẻ tệp GPX công khai")</f>
        <v>Chia sẻ tệp GPX công khai</v>
      </c>
      <c r="N703" s="4" t="str">
        <f>IFERROR(__xludf.DUMMYFUNCTION("GOOGLETRANSLATE(B703,""en"",""ru"")"),"Поделиться файлом GPX публично")</f>
        <v>Поделиться файлом GPX публично</v>
      </c>
      <c r="O703" s="4" t="str">
        <f>IFERROR(__xludf.DUMMYFUNCTION("GOOGLETRANSLATE(B703,""en"",""tr"")"),"GPX dosyasını herkese açık olarak paylaş")</f>
        <v>GPX dosyasını herkese açık olarak paylaş</v>
      </c>
      <c r="P703" s="4" t="str">
        <f>IFERROR(__xludf.DUMMYFUNCTION("GOOGLETRANSLATE(B703,""en"",""ar"")"),"مشاركة ملف GPX علنًا")</f>
        <v>مشاركة ملف GPX علنًا</v>
      </c>
      <c r="Q703" s="4" t="str">
        <f>IFERROR(__xludf.DUMMYFUNCTION("GOOGLETRANSLATE(B703,""en"",""mr"")"),"GPX फाईल सार्वजनिकरित्या सामायिक करा")</f>
        <v>GPX फाईल सार्वजनिकरित्या सामायिक करा</v>
      </c>
      <c r="R703" s="4" t="str">
        <f>IFERROR(__xludf.DUMMYFUNCTION("GOOGLETRANSLATE(B703,""en"",""gu"")"),"GPX ફાઇલ સાર્વજનિક રૂપે શેર કરો")</f>
        <v>GPX ફાઇલ સાર્વજનિક રૂપે શેર કરો</v>
      </c>
      <c r="S703" s="4" t="str">
        <f>IFERROR(__xludf.DUMMYFUNCTION("GOOGLETRANSLATE(B703,""en"",""bn"")"),"GPX ফাইল সর্বজনীনভাবে শেয়ার করুন")</f>
        <v>GPX ফাইল সর্বজনীনভাবে শেয়ার করুন</v>
      </c>
      <c r="T703" s="4" t="str">
        <f>IFERROR(__xludf.DUMMYFUNCTION("GOOGLETRANSLATE(B703,""en"",""pa"")"),"GPX ਫਾਈਲ ਨੂੰ ਜਨਤਕ ਤੌਰ 'ਤੇ ਸਾਂਝਾ ਕਰੋ")</f>
        <v>GPX ਫਾਈਲ ਨੂੰ ਜਨਤਕ ਤੌਰ 'ਤੇ ਸਾਂਝਾ ਕਰੋ</v>
      </c>
      <c r="U703" s="4" t="str">
        <f>IFERROR(__xludf.DUMMYFUNCTION("GOOGLETRANSLATE(B703,""en"",""te"")"),"GPX ఫైల్‌ని పబ్లిక్‌గా షేర్ చేయండి")</f>
        <v>GPX ఫైల్‌ని పబ్లిక్‌గా షేర్ చేయండి</v>
      </c>
      <c r="V703" s="4" t="str">
        <f>IFERROR(__xludf.DUMMYFUNCTION("GOOGLETRANSLATE(B703,""en"",""kn"")"),"GPX ಫೈಲ್ ಅನ್ನು ಸಾರ್ವಜನಿಕವಾಗಿ ಹಂಚಿಕೊಳ್ಳಿ")</f>
        <v>GPX ಫೈಲ್ ಅನ್ನು ಸಾರ್ವಜನಿಕವಾಗಿ ಹಂಚಿಕೊಳ್ಳಿ</v>
      </c>
      <c r="W703" s="4" t="str">
        <f>IFERROR(__xludf.DUMMYFUNCTION("GOOGLETRANSLATE(B703,""en"",""ml"")"),"GPX ഫയൽ പൊതുവായി പങ്കിടുക")</f>
        <v>GPX ഫയൽ പൊതുവായി പങ്കിടുക</v>
      </c>
      <c r="X703" s="4" t="str">
        <f>IFERROR(__xludf.DUMMYFUNCTION("GOOGLETRANSLATE(B703,""en"",""th"")"),"แชร์ไฟล์ GPX สู่สาธารณะ")</f>
        <v>แชร์ไฟล์ GPX สู่สาธารณะ</v>
      </c>
      <c r="Y703" s="4" t="str">
        <f>IFERROR(__xludf.DUMMYFUNCTION("GOOGLETRANSLATE(B703,""en"",""ko"")"),"GPX 파일을 공개적으로 공유")</f>
        <v>GPX 파일을 공개적으로 공유</v>
      </c>
      <c r="Z703" s="4" t="str">
        <f>IFERROR(__xludf.DUMMYFUNCTION("GOOGLETRANSLATE(B703,""en"",""zh"")"),"公开分享 GPX 文件")</f>
        <v>公开分享 GPX 文件</v>
      </c>
      <c r="AA703" s="4" t="str">
        <f>IFERROR(__xludf.DUMMYFUNCTION("GOOGLETRANSLATE(B703,""en"",""zh-TW"")"),"公開分享 GPX 文件")</f>
        <v>公開分享 GPX 文件</v>
      </c>
      <c r="AB703" s="4" t="str">
        <f>IFERROR(__xludf.DUMMYFUNCTION("GOOGLETRANSLATE(B703,""en"",""ja"")"),"GPXファイルを公開共有する")</f>
        <v>GPXファイルを公開共有する</v>
      </c>
      <c r="AC703" s="4" t="str">
        <f>IFERROR(__xludf.DUMMYFUNCTION("GOOGLETRANSLATE(B703,""en"",""bg"")"),"Споделете публично GPX файл")</f>
        <v>Споделете публично GPX файл</v>
      </c>
      <c r="AD703" s="4" t="str">
        <f>IFERROR(__xludf.DUMMYFUNCTION("GOOGLETRANSLATE(B703,""en"",""cs"")"),"Sdílejte soubor GPX veřejně")</f>
        <v>Sdílejte soubor GPX veřejně</v>
      </c>
      <c r="AE703" s="4" t="str">
        <f>IFERROR(__xludf.DUMMYFUNCTION("GOOGLETRANSLATE(B703,""en"",""da"")"),"Del GPX-fil offentligt")</f>
        <v>Del GPX-fil offentligt</v>
      </c>
      <c r="AF703" s="4" t="str">
        <f>IFERROR(__xludf.DUMMYFUNCTION("GOOGLETRANSLATE(B703,""en"",""el"")"),"Κοινή χρήση αρχείου GPX δημόσια")</f>
        <v>Κοινή χρήση αρχείου GPX δημόσια</v>
      </c>
      <c r="AG703" s="4" t="str">
        <f>IFERROR(__xludf.DUMMYFUNCTION("GOOGLETRANSLATE(B703,""en"",""et"")"),"Jagage GPX-faili avalikult")</f>
        <v>Jagage GPX-faili avalikult</v>
      </c>
      <c r="AH703" s="4" t="str">
        <f>IFERROR(__xludf.DUMMYFUNCTION("GOOGLETRANSLATE(B703,""en"",""fi"")"),"Jaa GPX-tiedosto julkisesti")</f>
        <v>Jaa GPX-tiedosto julkisesti</v>
      </c>
      <c r="AI703" s="4" t="str">
        <f>IFERROR(__xludf.DUMMYFUNCTION("GOOGLETRANSLATE(B703,""en"",""hr"")"),"Podijelite GPX datoteku javno")</f>
        <v>Podijelite GPX datoteku javno</v>
      </c>
      <c r="AJ703" s="4" t="str">
        <f>IFERROR(__xludf.DUMMYFUNCTION("GOOGLETRANSLATE(B703,""en"",""hu"")"),"GPX-fájl nyilvános megosztása")</f>
        <v>GPX-fájl nyilvános megosztása</v>
      </c>
      <c r="AK703" s="4" t="str">
        <f>IFERROR(__xludf.DUMMYFUNCTION("GOOGLETRANSLATE(B703,""en"",""hy"")"),"Համօգտագործեք GPX ֆայլը հրապարակայնորեն")</f>
        <v>Համօգտագործեք GPX ֆայլը հրապարակայնորեն</v>
      </c>
      <c r="AL703" s="4" t="str">
        <f>IFERROR(__xludf.DUMMYFUNCTION("GOOGLETRANSLATE(B703,""en"",""ca"")"),"Comparteix el fitxer GPX públicament")</f>
        <v>Comparteix el fitxer GPX públicament</v>
      </c>
      <c r="AM703" s="4" t="str">
        <f>IFERROR(__xludf.DUMMYFUNCTION("GOOGLETRANSLATE(B703,""en"",""nl"")"),"GPX-bestand openbaar delen")</f>
        <v>GPX-bestand openbaar delen</v>
      </c>
      <c r="AN703" s="4" t="str">
        <f>IFERROR(__xludf.DUMMYFUNCTION("GOOGLETRANSLATE(B703,""en"",""he"")"),"שתף קובץ GPX באופן ציבורי")</f>
        <v>שתף קובץ GPX באופן ציבורי</v>
      </c>
      <c r="AO703" s="4" t="str">
        <f>IFERROR(__xludf.DUMMYFUNCTION("GOOGLETRANSLATE(B703,""en"",""is"")"),"Deildu GPX skrá opinberlega")</f>
        <v>Deildu GPX skrá opinberlega</v>
      </c>
      <c r="AP703" s="4" t="str">
        <f>IFERROR(__xludf.DUMMYFUNCTION("GOOGLETRANSLATE(B703,""en"",""no"")"),"Del GPX-fil offentlig")</f>
        <v>Del GPX-fil offentlig</v>
      </c>
      <c r="AQ703" s="4" t="str">
        <f>IFERROR(__xludf.DUMMYFUNCTION("GOOGLETRANSLATE(B703,""en"",""fa"")"),"فایل GPX را به صورت عمومی به اشتراک بگذارید")</f>
        <v>فایل GPX را به صورت عمومی به اشتراک بگذارید</v>
      </c>
      <c r="AR703" s="4" t="str">
        <f>IFERROR(__xludf.DUMMYFUNCTION("GOOGLETRANSLATE(B703,""en"",""pl"")"),"Udostępnij plik GPX publicznie")</f>
        <v>Udostępnij plik GPX publicznie</v>
      </c>
      <c r="AS703" s="4" t="str">
        <f>IFERROR(__xludf.DUMMYFUNCTION("GOOGLETRANSLATE(B703,""en"",""sv"")"),"Dela GPX-fil offentligt")</f>
        <v>Dela GPX-fil offentligt</v>
      </c>
      <c r="AT703" s="4" t="str">
        <f>IFERROR(__xludf.DUMMYFUNCTION("GOOGLETRANSLATE(B703,""en"",""uk"")"),"Публічно поділіться файлом GPX")</f>
        <v>Публічно поділіться файлом GPX</v>
      </c>
      <c r="AU703" s="4" t="str">
        <f>IFERROR(__xludf.DUMMYFUNCTION("GOOGLETRANSLATE(B703,""en"",""zu"")"),"Yabelana ngefayela le-GPX esidlangalaleni")</f>
        <v>Yabelana ngefayela le-GPX esidlangalaleni</v>
      </c>
      <c r="AV703" s="4" t="str">
        <f>IFERROR(__xludf.DUMMYFUNCTION("GOOGLETRANSLATE(B703,""en"",""sr"")"),"Јавно делите ГПКС датотеку")</f>
        <v>Јавно делите ГПКС датотеку</v>
      </c>
    </row>
    <row r="704">
      <c r="A704" s="3" t="s">
        <v>1331</v>
      </c>
      <c r="B704" s="3" t="s">
        <v>1332</v>
      </c>
      <c r="C704" s="4" t="str">
        <f>IFERROR(__xludf.DUMMYFUNCTION("GOOGLETRANSLATE(B704,""en"",""ta"")"),"தலைப்பு")</f>
        <v>தலைப்பு</v>
      </c>
      <c r="D704" s="4" t="str">
        <f>IFERROR(__xludf.DUMMYFUNCTION("GOOGLETRANSLATE(B704,""en"",""hi"")"),"शीर्षक")</f>
        <v>शीर्षक</v>
      </c>
      <c r="E704" s="4" t="str">
        <f>IFERROR(__xludf.DUMMYFUNCTION("GOOGLETRANSLATE(B704,""en"",""id"")"),"Judul")</f>
        <v>Judul</v>
      </c>
      <c r="F704" s="4" t="str">
        <f>IFERROR(__xludf.DUMMYFUNCTION("GOOGLETRANSLATE(B704,""en"",""ms"")"),"Tajuk")</f>
        <v>Tajuk</v>
      </c>
      <c r="G704" s="4" t="str">
        <f>IFERROR(__xludf.DUMMYFUNCTION("GOOGLETRANSLATE(B704,""en"",""de"")"),"Titel")</f>
        <v>Titel</v>
      </c>
      <c r="H704" s="4" t="str">
        <f>IFERROR(__xludf.DUMMYFUNCTION("GOOGLETRANSLATE(B704,""en"",""es"")"),"Título")</f>
        <v>Título</v>
      </c>
      <c r="I704" s="4" t="str">
        <f>IFERROR(__xludf.DUMMYFUNCTION("GOOGLETRANSLATE(B704,""en"",""fr"")"),"Titre")</f>
        <v>Titre</v>
      </c>
      <c r="J704" s="4" t="str">
        <f>IFERROR(__xludf.DUMMYFUNCTION("GOOGLETRANSLATE(B704,""en"",""it"")"),"Titolo")</f>
        <v>Titolo</v>
      </c>
      <c r="K704" s="4" t="str">
        <f>IFERROR(__xludf.DUMMYFUNCTION("GOOGLETRANSLATE(B704,""en"",""pt"")"),"Título")</f>
        <v>Título</v>
      </c>
      <c r="L704" s="4" t="str">
        <f>IFERROR(__xludf.DUMMYFUNCTION("GOOGLETRANSLATE(B704,""en"",""ro"")"),"Titlu")</f>
        <v>Titlu</v>
      </c>
      <c r="M704" s="4" t="str">
        <f>IFERROR(__xludf.DUMMYFUNCTION("GOOGLETRANSLATE(B704,""en"",""vi"")"),"Tiêu đề")</f>
        <v>Tiêu đề</v>
      </c>
      <c r="N704" s="4" t="str">
        <f>IFERROR(__xludf.DUMMYFUNCTION("GOOGLETRANSLATE(B704,""en"",""ru"")"),"Заголовок")</f>
        <v>Заголовок</v>
      </c>
      <c r="O704" s="4" t="str">
        <f>IFERROR(__xludf.DUMMYFUNCTION("GOOGLETRANSLATE(B704,""en"",""tr"")"),"Başlık")</f>
        <v>Başlık</v>
      </c>
      <c r="P704" s="4" t="str">
        <f>IFERROR(__xludf.DUMMYFUNCTION("GOOGLETRANSLATE(B704,""en"",""ar"")"),"عنوان")</f>
        <v>عنوان</v>
      </c>
      <c r="Q704" s="4" t="str">
        <f>IFERROR(__xludf.DUMMYFUNCTION("GOOGLETRANSLATE(B704,""en"",""mr"")"),"शीर्षक")</f>
        <v>शीर्षक</v>
      </c>
      <c r="R704" s="4" t="str">
        <f>IFERROR(__xludf.DUMMYFUNCTION("GOOGLETRANSLATE(B704,""en"",""gu"")"),"શીર્ષક")</f>
        <v>શીર્ષક</v>
      </c>
      <c r="S704" s="4" t="str">
        <f>IFERROR(__xludf.DUMMYFUNCTION("GOOGLETRANSLATE(B704,""en"",""bn"")"),"শিরোনাম")</f>
        <v>শিরোনাম</v>
      </c>
      <c r="T704" s="4" t="str">
        <f>IFERROR(__xludf.DUMMYFUNCTION("GOOGLETRANSLATE(B704,""en"",""pa"")"),"ਸਿਰਲੇਖ")</f>
        <v>ਸਿਰਲੇਖ</v>
      </c>
      <c r="U704" s="4" t="str">
        <f>IFERROR(__xludf.DUMMYFUNCTION("GOOGLETRANSLATE(B704,""en"",""te"")"),"శీర్షిక")</f>
        <v>శీర్షిక</v>
      </c>
      <c r="V704" s="4" t="str">
        <f>IFERROR(__xludf.DUMMYFUNCTION("GOOGLETRANSLATE(B704,""en"",""kn"")"),"ಶೀರ್ಷಿಕೆ")</f>
        <v>ಶೀರ್ಷಿಕೆ</v>
      </c>
      <c r="W704" s="4" t="str">
        <f>IFERROR(__xludf.DUMMYFUNCTION("GOOGLETRANSLATE(B704,""en"",""ml"")"),"തലക്കെട്ട്")</f>
        <v>തലക്കെട്ട്</v>
      </c>
      <c r="X704" s="4" t="str">
        <f>IFERROR(__xludf.DUMMYFUNCTION("GOOGLETRANSLATE(B704,""en"",""th"")"),"ชื่อ")</f>
        <v>ชื่อ</v>
      </c>
      <c r="Y704" s="4" t="str">
        <f>IFERROR(__xludf.DUMMYFUNCTION("GOOGLETRANSLATE(B704,""en"",""ko"")"),"제목")</f>
        <v>제목</v>
      </c>
      <c r="Z704" s="4" t="str">
        <f>IFERROR(__xludf.DUMMYFUNCTION("GOOGLETRANSLATE(B704,""en"",""zh"")"),"标题")</f>
        <v>标题</v>
      </c>
      <c r="AA704" s="4" t="str">
        <f>IFERROR(__xludf.DUMMYFUNCTION("GOOGLETRANSLATE(B704,""en"",""zh-TW"")"),"標題")</f>
        <v>標題</v>
      </c>
      <c r="AB704" s="4" t="str">
        <f>IFERROR(__xludf.DUMMYFUNCTION("GOOGLETRANSLATE(B704,""en"",""ja"")"),"タイトル")</f>
        <v>タイトル</v>
      </c>
      <c r="AC704" s="4" t="str">
        <f>IFERROR(__xludf.DUMMYFUNCTION("GOOGLETRANSLATE(B704,""en"",""bg"")"),"Заглавие")</f>
        <v>Заглавие</v>
      </c>
      <c r="AD704" s="4" t="str">
        <f>IFERROR(__xludf.DUMMYFUNCTION("GOOGLETRANSLATE(B704,""en"",""cs"")"),"Titul")</f>
        <v>Titul</v>
      </c>
      <c r="AE704" s="4" t="str">
        <f>IFERROR(__xludf.DUMMYFUNCTION("GOOGLETRANSLATE(B704,""en"",""da"")"),"Titel")</f>
        <v>Titel</v>
      </c>
      <c r="AF704" s="4" t="str">
        <f>IFERROR(__xludf.DUMMYFUNCTION("GOOGLETRANSLATE(B704,""en"",""el"")"),"Τίτλος")</f>
        <v>Τίτλος</v>
      </c>
      <c r="AG704" s="4" t="str">
        <f>IFERROR(__xludf.DUMMYFUNCTION("GOOGLETRANSLATE(B704,""en"",""et"")"),"Pealkiri")</f>
        <v>Pealkiri</v>
      </c>
      <c r="AH704" s="4" t="str">
        <f>IFERROR(__xludf.DUMMYFUNCTION("GOOGLETRANSLATE(B704,""en"",""fi"")"),"Otsikko")</f>
        <v>Otsikko</v>
      </c>
      <c r="AI704" s="4" t="str">
        <f>IFERROR(__xludf.DUMMYFUNCTION("GOOGLETRANSLATE(B704,""en"",""hr"")"),"Titula")</f>
        <v>Titula</v>
      </c>
      <c r="AJ704" s="4" t="str">
        <f>IFERROR(__xludf.DUMMYFUNCTION("GOOGLETRANSLATE(B704,""en"",""hu"")"),"Cím")</f>
        <v>Cím</v>
      </c>
      <c r="AK704" s="4" t="str">
        <f>IFERROR(__xludf.DUMMYFUNCTION("GOOGLETRANSLATE(B704,""en"",""hy"")"),"Վերնագիր")</f>
        <v>Վերնագիր</v>
      </c>
      <c r="AL704" s="4" t="str">
        <f>IFERROR(__xludf.DUMMYFUNCTION("GOOGLETRANSLATE(B704,""en"",""ca"")"),"Títol")</f>
        <v>Títol</v>
      </c>
      <c r="AM704" s="4" t="str">
        <f>IFERROR(__xludf.DUMMYFUNCTION("GOOGLETRANSLATE(B704,""en"",""nl"")"),"Titel")</f>
        <v>Titel</v>
      </c>
      <c r="AN704" s="4" t="str">
        <f>IFERROR(__xludf.DUMMYFUNCTION("GOOGLETRANSLATE(B704,""en"",""he"")"),"כּוֹתֶרֶת")</f>
        <v>כּוֹתֶרֶת</v>
      </c>
      <c r="AO704" s="4" t="str">
        <f>IFERROR(__xludf.DUMMYFUNCTION("GOOGLETRANSLATE(B704,""en"",""is"")"),"Titill")</f>
        <v>Titill</v>
      </c>
      <c r="AP704" s="4" t="str">
        <f>IFERROR(__xludf.DUMMYFUNCTION("GOOGLETRANSLATE(B704,""en"",""no"")"),"Tittel")</f>
        <v>Tittel</v>
      </c>
      <c r="AQ704" s="4" t="str">
        <f>IFERROR(__xludf.DUMMYFUNCTION("GOOGLETRANSLATE(B704,""en"",""fa"")"),"عنوان")</f>
        <v>عنوان</v>
      </c>
      <c r="AR704" s="4" t="str">
        <f>IFERROR(__xludf.DUMMYFUNCTION("GOOGLETRANSLATE(B704,""en"",""pl"")"),"Tytuł")</f>
        <v>Tytuł</v>
      </c>
      <c r="AS704" s="4" t="str">
        <f>IFERROR(__xludf.DUMMYFUNCTION("GOOGLETRANSLATE(B704,""en"",""sv"")"),"Titel")</f>
        <v>Titel</v>
      </c>
      <c r="AT704" s="4" t="str">
        <f>IFERROR(__xludf.DUMMYFUNCTION("GOOGLETRANSLATE(B704,""en"",""uk"")"),"Назва")</f>
        <v>Назва</v>
      </c>
      <c r="AU704" s="4" t="str">
        <f>IFERROR(__xludf.DUMMYFUNCTION("GOOGLETRANSLATE(B704,""en"",""zu"")"),"Isihloko")</f>
        <v>Isihloko</v>
      </c>
      <c r="AV704" s="4" t="str">
        <f>IFERROR(__xludf.DUMMYFUNCTION("GOOGLETRANSLATE(B704,""en"",""sr"")"),"Наслов")</f>
        <v>Наслов</v>
      </c>
    </row>
    <row r="705">
      <c r="A705" s="3" t="s">
        <v>1333</v>
      </c>
      <c r="B705" s="3" t="s">
        <v>1334</v>
      </c>
      <c r="C705" s="4" t="str">
        <f>IFERROR(__xludf.DUMMYFUNCTION("GOOGLETRANSLATE(B705,""en"",""ta"")"),"விளக்கம்")</f>
        <v>விளக்கம்</v>
      </c>
      <c r="D705" s="4" t="str">
        <f>IFERROR(__xludf.DUMMYFUNCTION("GOOGLETRANSLATE(B705,""en"",""hi"")"),"विवरण")</f>
        <v>विवरण</v>
      </c>
      <c r="E705" s="4" t="str">
        <f>IFERROR(__xludf.DUMMYFUNCTION("GOOGLETRANSLATE(B705,""en"",""id"")"),"Keterangan")</f>
        <v>Keterangan</v>
      </c>
      <c r="F705" s="4" t="str">
        <f>IFERROR(__xludf.DUMMYFUNCTION("GOOGLETRANSLATE(B705,""en"",""ms"")"),"Penerangan")</f>
        <v>Penerangan</v>
      </c>
      <c r="G705" s="4" t="str">
        <f>IFERROR(__xludf.DUMMYFUNCTION("GOOGLETRANSLATE(B705,""en"",""de"")"),"Beschreibung")</f>
        <v>Beschreibung</v>
      </c>
      <c r="H705" s="4" t="str">
        <f>IFERROR(__xludf.DUMMYFUNCTION("GOOGLETRANSLATE(B705,""en"",""es"")"),"Descripción")</f>
        <v>Descripción</v>
      </c>
      <c r="I705" s="4" t="str">
        <f>IFERROR(__xludf.DUMMYFUNCTION("GOOGLETRANSLATE(B705,""en"",""fr"")"),"Description")</f>
        <v>Description</v>
      </c>
      <c r="J705" s="4" t="str">
        <f>IFERROR(__xludf.DUMMYFUNCTION("GOOGLETRANSLATE(B705,""en"",""it"")"),"Descrizione")</f>
        <v>Descrizione</v>
      </c>
      <c r="K705" s="4" t="str">
        <f>IFERROR(__xludf.DUMMYFUNCTION("GOOGLETRANSLATE(B705,""en"",""pt"")"),"Descrição")</f>
        <v>Descrição</v>
      </c>
      <c r="L705" s="4" t="str">
        <f>IFERROR(__xludf.DUMMYFUNCTION("GOOGLETRANSLATE(B705,""en"",""ro"")"),"Descriere")</f>
        <v>Descriere</v>
      </c>
      <c r="M705" s="4" t="str">
        <f>IFERROR(__xludf.DUMMYFUNCTION("GOOGLETRANSLATE(B705,""en"",""vi"")"),"Sự miêu tả")</f>
        <v>Sự miêu tả</v>
      </c>
      <c r="N705" s="4" t="str">
        <f>IFERROR(__xludf.DUMMYFUNCTION("GOOGLETRANSLATE(B705,""en"",""ru"")"),"Описание")</f>
        <v>Описание</v>
      </c>
      <c r="O705" s="4" t="str">
        <f>IFERROR(__xludf.DUMMYFUNCTION("GOOGLETRANSLATE(B705,""en"",""tr"")"),"Tanım")</f>
        <v>Tanım</v>
      </c>
      <c r="P705" s="4" t="str">
        <f>IFERROR(__xludf.DUMMYFUNCTION("GOOGLETRANSLATE(B705,""en"",""ar"")"),"وصف")</f>
        <v>وصف</v>
      </c>
      <c r="Q705" s="4" t="str">
        <f>IFERROR(__xludf.DUMMYFUNCTION("GOOGLETRANSLATE(B705,""en"",""mr"")"),"वर्णन")</f>
        <v>वर्णन</v>
      </c>
      <c r="R705" s="4" t="str">
        <f>IFERROR(__xludf.DUMMYFUNCTION("GOOGLETRANSLATE(B705,""en"",""gu"")"),"વર્ણન")</f>
        <v>વર્ણન</v>
      </c>
      <c r="S705" s="4" t="str">
        <f>IFERROR(__xludf.DUMMYFUNCTION("GOOGLETRANSLATE(B705,""en"",""bn"")"),"বর্ণনা")</f>
        <v>বর্ণনা</v>
      </c>
      <c r="T705" s="4" t="str">
        <f>IFERROR(__xludf.DUMMYFUNCTION("GOOGLETRANSLATE(B705,""en"",""pa"")"),"ਵਰਣਨ")</f>
        <v>ਵਰਣਨ</v>
      </c>
      <c r="U705" s="4" t="str">
        <f>IFERROR(__xludf.DUMMYFUNCTION("GOOGLETRANSLATE(B705,""en"",""te"")"),"వివరణ")</f>
        <v>వివరణ</v>
      </c>
      <c r="V705" s="4" t="str">
        <f>IFERROR(__xludf.DUMMYFUNCTION("GOOGLETRANSLATE(B705,""en"",""kn"")"),"ವಿವರಣೆ")</f>
        <v>ವಿವರಣೆ</v>
      </c>
      <c r="W705" s="4" t="str">
        <f>IFERROR(__xludf.DUMMYFUNCTION("GOOGLETRANSLATE(B705,""en"",""ml"")"),"വിവരണം")</f>
        <v>വിവരണം</v>
      </c>
      <c r="X705" s="4" t="str">
        <f>IFERROR(__xludf.DUMMYFUNCTION("GOOGLETRANSLATE(B705,""en"",""th"")"),"คำอธิบาย")</f>
        <v>คำอธิบาย</v>
      </c>
      <c r="Y705" s="4" t="str">
        <f>IFERROR(__xludf.DUMMYFUNCTION("GOOGLETRANSLATE(B705,""en"",""ko"")"),"설명")</f>
        <v>설명</v>
      </c>
      <c r="Z705" s="4" t="str">
        <f>IFERROR(__xludf.DUMMYFUNCTION("GOOGLETRANSLATE(B705,""en"",""zh"")"),"描述")</f>
        <v>描述</v>
      </c>
      <c r="AA705" s="4" t="str">
        <f>IFERROR(__xludf.DUMMYFUNCTION("GOOGLETRANSLATE(B705,""en"",""zh-TW"")"),"描述")</f>
        <v>描述</v>
      </c>
      <c r="AB705" s="4" t="str">
        <f>IFERROR(__xludf.DUMMYFUNCTION("GOOGLETRANSLATE(B705,""en"",""ja"")"),"説明")</f>
        <v>説明</v>
      </c>
      <c r="AC705" s="4" t="str">
        <f>IFERROR(__xludf.DUMMYFUNCTION("GOOGLETRANSLATE(B705,""en"",""bg"")"),"Описание")</f>
        <v>Описание</v>
      </c>
      <c r="AD705" s="4" t="str">
        <f>IFERROR(__xludf.DUMMYFUNCTION("GOOGLETRANSLATE(B705,""en"",""cs"")"),"Popis")</f>
        <v>Popis</v>
      </c>
      <c r="AE705" s="4" t="str">
        <f>IFERROR(__xludf.DUMMYFUNCTION("GOOGLETRANSLATE(B705,""en"",""da"")"),"Beskrivelse")</f>
        <v>Beskrivelse</v>
      </c>
      <c r="AF705" s="4" t="str">
        <f>IFERROR(__xludf.DUMMYFUNCTION("GOOGLETRANSLATE(B705,""en"",""el"")"),"Περιγραφή")</f>
        <v>Περιγραφή</v>
      </c>
      <c r="AG705" s="4" t="str">
        <f>IFERROR(__xludf.DUMMYFUNCTION("GOOGLETRANSLATE(B705,""en"",""et"")"),"Kirjeldus")</f>
        <v>Kirjeldus</v>
      </c>
      <c r="AH705" s="4" t="str">
        <f>IFERROR(__xludf.DUMMYFUNCTION("GOOGLETRANSLATE(B705,""en"",""fi"")"),"Kuvaus")</f>
        <v>Kuvaus</v>
      </c>
      <c r="AI705" s="4" t="str">
        <f>IFERROR(__xludf.DUMMYFUNCTION("GOOGLETRANSLATE(B705,""en"",""hr"")"),"Opis")</f>
        <v>Opis</v>
      </c>
      <c r="AJ705" s="4" t="str">
        <f>IFERROR(__xludf.DUMMYFUNCTION("GOOGLETRANSLATE(B705,""en"",""hu"")"),"Leírás")</f>
        <v>Leírás</v>
      </c>
      <c r="AK705" s="4" t="str">
        <f>IFERROR(__xludf.DUMMYFUNCTION("GOOGLETRANSLATE(B705,""en"",""hy"")"),"Նկարագրություն")</f>
        <v>Նկարագրություն</v>
      </c>
      <c r="AL705" s="4" t="str">
        <f>IFERROR(__xludf.DUMMYFUNCTION("GOOGLETRANSLATE(B705,""en"",""ca"")"),"Descripció")</f>
        <v>Descripció</v>
      </c>
      <c r="AM705" s="4" t="str">
        <f>IFERROR(__xludf.DUMMYFUNCTION("GOOGLETRANSLATE(B705,""en"",""nl"")"),"Beschrijving")</f>
        <v>Beschrijving</v>
      </c>
      <c r="AN705" s="4" t="str">
        <f>IFERROR(__xludf.DUMMYFUNCTION("GOOGLETRANSLATE(B705,""en"",""he"")"),"תֵאוּר")</f>
        <v>תֵאוּר</v>
      </c>
      <c r="AO705" s="4" t="str">
        <f>IFERROR(__xludf.DUMMYFUNCTION("GOOGLETRANSLATE(B705,""en"",""is"")"),"Lýsing")</f>
        <v>Lýsing</v>
      </c>
      <c r="AP705" s="4" t="str">
        <f>IFERROR(__xludf.DUMMYFUNCTION("GOOGLETRANSLATE(B705,""en"",""no"")"),"Beskrivelse")</f>
        <v>Beskrivelse</v>
      </c>
      <c r="AQ705" s="4" t="str">
        <f>IFERROR(__xludf.DUMMYFUNCTION("GOOGLETRANSLATE(B705,""en"",""fa"")"),"توضیحات")</f>
        <v>توضیحات</v>
      </c>
      <c r="AR705" s="4" t="str">
        <f>IFERROR(__xludf.DUMMYFUNCTION("GOOGLETRANSLATE(B705,""en"",""pl"")"),"Opis")</f>
        <v>Opis</v>
      </c>
      <c r="AS705" s="4" t="str">
        <f>IFERROR(__xludf.DUMMYFUNCTION("GOOGLETRANSLATE(B705,""en"",""sv"")"),"Beskrivning")</f>
        <v>Beskrivning</v>
      </c>
      <c r="AT705" s="4" t="str">
        <f>IFERROR(__xludf.DUMMYFUNCTION("GOOGLETRANSLATE(B705,""en"",""uk"")"),"опис")</f>
        <v>опис</v>
      </c>
      <c r="AU705" s="4" t="str">
        <f>IFERROR(__xludf.DUMMYFUNCTION("GOOGLETRANSLATE(B705,""en"",""zu"")"),"Incazelo")</f>
        <v>Incazelo</v>
      </c>
      <c r="AV705" s="4" t="str">
        <f>IFERROR(__xludf.DUMMYFUNCTION("GOOGLETRANSLATE(B705,""en"",""sr"")"),"Опис")</f>
        <v>Опис</v>
      </c>
    </row>
    <row r="706">
      <c r="A706" s="3" t="s">
        <v>1335</v>
      </c>
      <c r="B706" s="3" t="s">
        <v>357</v>
      </c>
      <c r="C706" s="4" t="str">
        <f>IFERROR(__xludf.DUMMYFUNCTION("GOOGLETRANSLATE(B706,""en"",""ta"")"),"ரத்து செய்")</f>
        <v>ரத்து செய்</v>
      </c>
      <c r="D706" s="4" t="str">
        <f>IFERROR(__xludf.DUMMYFUNCTION("GOOGLETRANSLATE(B706,""en"",""hi"")"),"रद्द करना")</f>
        <v>रद्द करना</v>
      </c>
      <c r="E706" s="4" t="str">
        <f>IFERROR(__xludf.DUMMYFUNCTION("GOOGLETRANSLATE(B706,""en"",""id"")"),"Membatalkan")</f>
        <v>Membatalkan</v>
      </c>
      <c r="F706" s="4" t="str">
        <f>IFERROR(__xludf.DUMMYFUNCTION("GOOGLETRANSLATE(B706,""en"",""ms"")"),"Batal")</f>
        <v>Batal</v>
      </c>
      <c r="G706" s="4" t="str">
        <f>IFERROR(__xludf.DUMMYFUNCTION("GOOGLETRANSLATE(B706,""en"",""de"")"),"Stornieren")</f>
        <v>Stornieren</v>
      </c>
      <c r="H706" s="4" t="str">
        <f>IFERROR(__xludf.DUMMYFUNCTION("GOOGLETRANSLATE(B706,""en"",""es"")"),"Cancelar")</f>
        <v>Cancelar</v>
      </c>
      <c r="I706" s="4" t="str">
        <f>IFERROR(__xludf.DUMMYFUNCTION("GOOGLETRANSLATE(B706,""en"",""fr"")"),"Annuler")</f>
        <v>Annuler</v>
      </c>
      <c r="J706" s="4" t="str">
        <f>IFERROR(__xludf.DUMMYFUNCTION("GOOGLETRANSLATE(B706,""en"",""it"")"),"Cancellare")</f>
        <v>Cancellare</v>
      </c>
      <c r="K706" s="4" t="str">
        <f>IFERROR(__xludf.DUMMYFUNCTION("GOOGLETRANSLATE(B706,""en"",""pt"")"),"Cancelar")</f>
        <v>Cancelar</v>
      </c>
      <c r="L706" s="4" t="str">
        <f>IFERROR(__xludf.DUMMYFUNCTION("GOOGLETRANSLATE(B706,""en"",""ro"")"),"Anula")</f>
        <v>Anula</v>
      </c>
      <c r="M706" s="4" t="str">
        <f>IFERROR(__xludf.DUMMYFUNCTION("GOOGLETRANSLATE(B706,""en"",""vi"")"),"Hủy bỏ")</f>
        <v>Hủy bỏ</v>
      </c>
      <c r="N706" s="4" t="str">
        <f>IFERROR(__xludf.DUMMYFUNCTION("GOOGLETRANSLATE(B706,""en"",""ru"")"),"Отмена")</f>
        <v>Отмена</v>
      </c>
      <c r="O706" s="4" t="str">
        <f>IFERROR(__xludf.DUMMYFUNCTION("GOOGLETRANSLATE(B706,""en"",""tr"")"),"İptal etmek")</f>
        <v>İptal etmek</v>
      </c>
      <c r="P706" s="4" t="str">
        <f>IFERROR(__xludf.DUMMYFUNCTION("GOOGLETRANSLATE(B706,""en"",""ar"")"),"يلغي")</f>
        <v>يلغي</v>
      </c>
      <c r="Q706" s="4" t="str">
        <f>IFERROR(__xludf.DUMMYFUNCTION("GOOGLETRANSLATE(B706,""en"",""mr"")"),"रद्द करा")</f>
        <v>रद्द करा</v>
      </c>
      <c r="R706" s="4" t="str">
        <f>IFERROR(__xludf.DUMMYFUNCTION("GOOGLETRANSLATE(B706,""en"",""gu"")"),"રદ કરો")</f>
        <v>રદ કરો</v>
      </c>
      <c r="S706" s="4" t="str">
        <f>IFERROR(__xludf.DUMMYFUNCTION("GOOGLETRANSLATE(B706,""en"",""bn"")"),"বাতিল করুন")</f>
        <v>বাতিল করুন</v>
      </c>
      <c r="T706" s="4" t="str">
        <f>IFERROR(__xludf.DUMMYFUNCTION("GOOGLETRANSLATE(B706,""en"",""pa"")"),"ਰੱਦ ਕਰੋ")</f>
        <v>ਰੱਦ ਕਰੋ</v>
      </c>
      <c r="U706" s="4" t="str">
        <f>IFERROR(__xludf.DUMMYFUNCTION("GOOGLETRANSLATE(B706,""en"",""te"")"),"రద్దు చేయి")</f>
        <v>రద్దు చేయి</v>
      </c>
      <c r="V706" s="4" t="str">
        <f>IFERROR(__xludf.DUMMYFUNCTION("GOOGLETRANSLATE(B706,""en"",""kn"")"),"ರದ್ದುಮಾಡು")</f>
        <v>ರದ್ದುಮಾಡು</v>
      </c>
      <c r="W706" s="4" t="str">
        <f>IFERROR(__xludf.DUMMYFUNCTION("GOOGLETRANSLATE(B706,""en"",""ml"")"),"റദ്ദാക്കുക")</f>
        <v>റദ്ദാക്കുക</v>
      </c>
      <c r="X706" s="4" t="str">
        <f>IFERROR(__xludf.DUMMYFUNCTION("GOOGLETRANSLATE(B706,""en"",""th"")"),"ยกเลิก")</f>
        <v>ยกเลิก</v>
      </c>
      <c r="Y706" s="4" t="str">
        <f>IFERROR(__xludf.DUMMYFUNCTION("GOOGLETRANSLATE(B706,""en"",""ko"")"),"취소")</f>
        <v>취소</v>
      </c>
      <c r="Z706" s="4" t="str">
        <f>IFERROR(__xludf.DUMMYFUNCTION("GOOGLETRANSLATE(B706,""en"",""zh"")"),"取消")</f>
        <v>取消</v>
      </c>
      <c r="AA706" s="4" t="str">
        <f>IFERROR(__xludf.DUMMYFUNCTION("GOOGLETRANSLATE(B706,""en"",""zh-TW"")"),"取消")</f>
        <v>取消</v>
      </c>
      <c r="AB706" s="4" t="str">
        <f>IFERROR(__xludf.DUMMYFUNCTION("GOOGLETRANSLATE(B706,""en"",""ja"")"),"キャンセル")</f>
        <v>キャンセル</v>
      </c>
      <c r="AC706" s="4" t="str">
        <f>IFERROR(__xludf.DUMMYFUNCTION("GOOGLETRANSLATE(B706,""en"",""bg"")"),"Отказ")</f>
        <v>Отказ</v>
      </c>
      <c r="AD706" s="4" t="str">
        <f>IFERROR(__xludf.DUMMYFUNCTION("GOOGLETRANSLATE(B706,""en"",""cs"")"),"Zrušit")</f>
        <v>Zrušit</v>
      </c>
      <c r="AE706" s="4" t="str">
        <f>IFERROR(__xludf.DUMMYFUNCTION("GOOGLETRANSLATE(B706,""en"",""da"")"),"Ophæve")</f>
        <v>Ophæve</v>
      </c>
      <c r="AF706" s="4" t="str">
        <f>IFERROR(__xludf.DUMMYFUNCTION("GOOGLETRANSLATE(B706,""en"",""el"")"),"Ματαίωση")</f>
        <v>Ματαίωση</v>
      </c>
      <c r="AG706" s="4" t="str">
        <f>IFERROR(__xludf.DUMMYFUNCTION("GOOGLETRANSLATE(B706,""en"",""et"")"),"Tühista")</f>
        <v>Tühista</v>
      </c>
      <c r="AH706" s="4" t="str">
        <f>IFERROR(__xludf.DUMMYFUNCTION("GOOGLETRANSLATE(B706,""en"",""fi"")"),"Peruuttaa")</f>
        <v>Peruuttaa</v>
      </c>
      <c r="AI706" s="4" t="str">
        <f>IFERROR(__xludf.DUMMYFUNCTION("GOOGLETRANSLATE(B706,""en"",""hr"")"),"Otkazati")</f>
        <v>Otkazati</v>
      </c>
      <c r="AJ706" s="4" t="str">
        <f>IFERROR(__xludf.DUMMYFUNCTION("GOOGLETRANSLATE(B706,""en"",""hu"")"),"Mégsem")</f>
        <v>Mégsem</v>
      </c>
      <c r="AK706" s="4" t="str">
        <f>IFERROR(__xludf.DUMMYFUNCTION("GOOGLETRANSLATE(B706,""en"",""hy"")"),"Չեղարկել")</f>
        <v>Չեղարկել</v>
      </c>
      <c r="AL706" s="4" t="str">
        <f>IFERROR(__xludf.DUMMYFUNCTION("GOOGLETRANSLATE(B706,""en"",""ca"")"),"Cancel·la")</f>
        <v>Cancel·la</v>
      </c>
      <c r="AM706" s="4" t="str">
        <f>IFERROR(__xludf.DUMMYFUNCTION("GOOGLETRANSLATE(B706,""en"",""nl"")"),"Annuleren")</f>
        <v>Annuleren</v>
      </c>
      <c r="AN706" s="4" t="str">
        <f>IFERROR(__xludf.DUMMYFUNCTION("GOOGLETRANSLATE(B706,""en"",""he"")"),"לְבַטֵל")</f>
        <v>לְבַטֵל</v>
      </c>
      <c r="AO706" s="4" t="str">
        <f>IFERROR(__xludf.DUMMYFUNCTION("GOOGLETRANSLATE(B706,""en"",""is"")"),"Hætta við")</f>
        <v>Hætta við</v>
      </c>
      <c r="AP706" s="4" t="str">
        <f>IFERROR(__xludf.DUMMYFUNCTION("GOOGLETRANSLATE(B706,""en"",""no"")"),"Kansellere")</f>
        <v>Kansellere</v>
      </c>
      <c r="AQ706" s="4" t="str">
        <f>IFERROR(__xludf.DUMMYFUNCTION("GOOGLETRANSLATE(B706,""en"",""fa"")"),"لغو کنید")</f>
        <v>لغو کنید</v>
      </c>
      <c r="AR706" s="4" t="str">
        <f>IFERROR(__xludf.DUMMYFUNCTION("GOOGLETRANSLATE(B706,""en"",""pl"")"),"Anulować")</f>
        <v>Anulować</v>
      </c>
      <c r="AS706" s="4" t="str">
        <f>IFERROR(__xludf.DUMMYFUNCTION("GOOGLETRANSLATE(B706,""en"",""sv"")"),"Avboka")</f>
        <v>Avboka</v>
      </c>
      <c r="AT706" s="4" t="str">
        <f>IFERROR(__xludf.DUMMYFUNCTION("GOOGLETRANSLATE(B706,""en"",""uk"")"),"Скасувати")</f>
        <v>Скасувати</v>
      </c>
      <c r="AU706" s="4" t="str">
        <f>IFERROR(__xludf.DUMMYFUNCTION("GOOGLETRANSLATE(B706,""en"",""zu"")"),"Khansela")</f>
        <v>Khansela</v>
      </c>
      <c r="AV706" s="4" t="str">
        <f>IFERROR(__xludf.DUMMYFUNCTION("GOOGLETRANSLATE(B706,""en"",""sr"")"),"Откажи")</f>
        <v>Откажи</v>
      </c>
    </row>
    <row r="707">
      <c r="A707" s="3" t="s">
        <v>1336</v>
      </c>
      <c r="B707" s="3" t="s">
        <v>689</v>
      </c>
      <c r="C707" s="4" t="str">
        <f>IFERROR(__xludf.DUMMYFUNCTION("GOOGLETRANSLATE(B707,""en"",""ta"")"),"பகிரவும்")</f>
        <v>பகிரவும்</v>
      </c>
      <c r="D707" s="4" t="str">
        <f>IFERROR(__xludf.DUMMYFUNCTION("GOOGLETRANSLATE(B707,""en"",""hi"")"),"शेयर करना")</f>
        <v>शेयर करना</v>
      </c>
      <c r="E707" s="4" t="str">
        <f>IFERROR(__xludf.DUMMYFUNCTION("GOOGLETRANSLATE(B707,""en"",""id"")"),"Membagikan")</f>
        <v>Membagikan</v>
      </c>
      <c r="F707" s="4" t="str">
        <f>IFERROR(__xludf.DUMMYFUNCTION("GOOGLETRANSLATE(B707,""en"",""ms"")"),"Kongsi")</f>
        <v>Kongsi</v>
      </c>
      <c r="G707" s="4" t="str">
        <f>IFERROR(__xludf.DUMMYFUNCTION("GOOGLETRANSLATE(B707,""en"",""de"")"),"Aktie")</f>
        <v>Aktie</v>
      </c>
      <c r="H707" s="4" t="str">
        <f>IFERROR(__xludf.DUMMYFUNCTION("GOOGLETRANSLATE(B707,""en"",""es"")"),"Compartir")</f>
        <v>Compartir</v>
      </c>
      <c r="I707" s="4" t="str">
        <f>IFERROR(__xludf.DUMMYFUNCTION("GOOGLETRANSLATE(B707,""en"",""fr"")"),"Partager")</f>
        <v>Partager</v>
      </c>
      <c r="J707" s="4" t="str">
        <f>IFERROR(__xludf.DUMMYFUNCTION("GOOGLETRANSLATE(B707,""en"",""it"")"),"Condividere")</f>
        <v>Condividere</v>
      </c>
      <c r="K707" s="4" t="str">
        <f>IFERROR(__xludf.DUMMYFUNCTION("GOOGLETRANSLATE(B707,""en"",""pt"")"),"Compartilhar")</f>
        <v>Compartilhar</v>
      </c>
      <c r="L707" s="4" t="str">
        <f>IFERROR(__xludf.DUMMYFUNCTION("GOOGLETRANSLATE(B707,""en"",""ro"")"),"Distribuie")</f>
        <v>Distribuie</v>
      </c>
      <c r="M707" s="4" t="str">
        <f>IFERROR(__xludf.DUMMYFUNCTION("GOOGLETRANSLATE(B707,""en"",""vi"")"),"Chia sẻ")</f>
        <v>Chia sẻ</v>
      </c>
      <c r="N707" s="4" t="str">
        <f>IFERROR(__xludf.DUMMYFUNCTION("GOOGLETRANSLATE(B707,""en"",""ru"")"),"Делиться")</f>
        <v>Делиться</v>
      </c>
      <c r="O707" s="4" t="str">
        <f>IFERROR(__xludf.DUMMYFUNCTION("GOOGLETRANSLATE(B707,""en"",""tr"")"),"Paylaşmak")</f>
        <v>Paylaşmak</v>
      </c>
      <c r="P707" s="4" t="str">
        <f>IFERROR(__xludf.DUMMYFUNCTION("GOOGLETRANSLATE(B707,""en"",""ar"")"),"يشارك")</f>
        <v>يشارك</v>
      </c>
      <c r="Q707" s="4" t="str">
        <f>IFERROR(__xludf.DUMMYFUNCTION("GOOGLETRANSLATE(B707,""en"",""mr"")"),"शेअर करा")</f>
        <v>शेअर करा</v>
      </c>
      <c r="R707" s="4" t="str">
        <f>IFERROR(__xludf.DUMMYFUNCTION("GOOGLETRANSLATE(B707,""en"",""gu"")"),"શેર કરો")</f>
        <v>શેર કરો</v>
      </c>
      <c r="S707" s="4" t="str">
        <f>IFERROR(__xludf.DUMMYFUNCTION("GOOGLETRANSLATE(B707,""en"",""bn"")"),"শেয়ার করুন")</f>
        <v>শেয়ার করুন</v>
      </c>
      <c r="T707" s="4" t="str">
        <f>IFERROR(__xludf.DUMMYFUNCTION("GOOGLETRANSLATE(B707,""en"",""pa"")"),"ਸ਼ੇਅਰ ਕਰੋ")</f>
        <v>ਸ਼ੇਅਰ ਕਰੋ</v>
      </c>
      <c r="U707" s="4" t="str">
        <f>IFERROR(__xludf.DUMMYFUNCTION("GOOGLETRANSLATE(B707,""en"",""te"")"),"షేర్ చేయండి")</f>
        <v>షేర్ చేయండి</v>
      </c>
      <c r="V707" s="4" t="str">
        <f>IFERROR(__xludf.DUMMYFUNCTION("GOOGLETRANSLATE(B707,""en"",""kn"")"),"ಹಂಚಿಕೊಳ್ಳಿ")</f>
        <v>ಹಂಚಿಕೊಳ್ಳಿ</v>
      </c>
      <c r="W707" s="4" t="str">
        <f>IFERROR(__xludf.DUMMYFUNCTION("GOOGLETRANSLATE(B707,""en"",""ml"")"),"പങ്കിടുക")</f>
        <v>പങ്കിടുക</v>
      </c>
      <c r="X707" s="4" t="str">
        <f>IFERROR(__xludf.DUMMYFUNCTION("GOOGLETRANSLATE(B707,""en"",""th"")"),"แบ่งปัน")</f>
        <v>แบ่งปัน</v>
      </c>
      <c r="Y707" s="4" t="str">
        <f>IFERROR(__xludf.DUMMYFUNCTION("GOOGLETRANSLATE(B707,""en"",""ko"")"),"공유하다")</f>
        <v>공유하다</v>
      </c>
      <c r="Z707" s="4" t="str">
        <f>IFERROR(__xludf.DUMMYFUNCTION("GOOGLETRANSLATE(B707,""en"",""zh"")"),"分享")</f>
        <v>分享</v>
      </c>
      <c r="AA707" s="4" t="str">
        <f>IFERROR(__xludf.DUMMYFUNCTION("GOOGLETRANSLATE(B707,""en"",""zh-TW"")"),"分享")</f>
        <v>分享</v>
      </c>
      <c r="AB707" s="4" t="str">
        <f>IFERROR(__xludf.DUMMYFUNCTION("GOOGLETRANSLATE(B707,""en"",""ja"")"),"共有")</f>
        <v>共有</v>
      </c>
      <c r="AC707" s="4" t="str">
        <f>IFERROR(__xludf.DUMMYFUNCTION("GOOGLETRANSLATE(B707,""en"",""bg"")"),"Споделете")</f>
        <v>Споделете</v>
      </c>
      <c r="AD707" s="4" t="str">
        <f>IFERROR(__xludf.DUMMYFUNCTION("GOOGLETRANSLATE(B707,""en"",""cs"")"),"Podíl")</f>
        <v>Podíl</v>
      </c>
      <c r="AE707" s="4" t="str">
        <f>IFERROR(__xludf.DUMMYFUNCTION("GOOGLETRANSLATE(B707,""en"",""da"")"),"Dele")</f>
        <v>Dele</v>
      </c>
      <c r="AF707" s="4" t="str">
        <f>IFERROR(__xludf.DUMMYFUNCTION("GOOGLETRANSLATE(B707,""en"",""el"")"),"Μερίδιο")</f>
        <v>Μερίδιο</v>
      </c>
      <c r="AG707" s="4" t="str">
        <f>IFERROR(__xludf.DUMMYFUNCTION("GOOGLETRANSLATE(B707,""en"",""et"")"),"Jaga")</f>
        <v>Jaga</v>
      </c>
      <c r="AH707" s="4" t="str">
        <f>IFERROR(__xludf.DUMMYFUNCTION("GOOGLETRANSLATE(B707,""en"",""fi"")"),"Jakaa")</f>
        <v>Jakaa</v>
      </c>
      <c r="AI707" s="4" t="str">
        <f>IFERROR(__xludf.DUMMYFUNCTION("GOOGLETRANSLATE(B707,""en"",""hr"")"),"Udio")</f>
        <v>Udio</v>
      </c>
      <c r="AJ707" s="4" t="str">
        <f>IFERROR(__xludf.DUMMYFUNCTION("GOOGLETRANSLATE(B707,""en"",""hu"")"),"Részesedés")</f>
        <v>Részesedés</v>
      </c>
      <c r="AK707" s="4" t="str">
        <f>IFERROR(__xludf.DUMMYFUNCTION("GOOGLETRANSLATE(B707,""en"",""hy"")"),"Կիսվել")</f>
        <v>Կիսվել</v>
      </c>
      <c r="AL707" s="4" t="str">
        <f>IFERROR(__xludf.DUMMYFUNCTION("GOOGLETRANSLATE(B707,""en"",""ca"")"),"Comparteix")</f>
        <v>Comparteix</v>
      </c>
      <c r="AM707" s="4" t="str">
        <f>IFERROR(__xludf.DUMMYFUNCTION("GOOGLETRANSLATE(B707,""en"",""nl"")"),"Deel")</f>
        <v>Deel</v>
      </c>
      <c r="AN707" s="4" t="str">
        <f>IFERROR(__xludf.DUMMYFUNCTION("GOOGLETRANSLATE(B707,""en"",""he"")"),"לַחֲלוֹק")</f>
        <v>לַחֲלוֹק</v>
      </c>
      <c r="AO707" s="4" t="str">
        <f>IFERROR(__xludf.DUMMYFUNCTION("GOOGLETRANSLATE(B707,""en"",""is"")"),"Deila")</f>
        <v>Deila</v>
      </c>
      <c r="AP707" s="4" t="str">
        <f>IFERROR(__xludf.DUMMYFUNCTION("GOOGLETRANSLATE(B707,""en"",""no"")"),"Dele")</f>
        <v>Dele</v>
      </c>
      <c r="AQ707" s="4" t="str">
        <f>IFERROR(__xludf.DUMMYFUNCTION("GOOGLETRANSLATE(B707,""en"",""fa"")"),"به اشتراک بگذارید")</f>
        <v>به اشتراک بگذارید</v>
      </c>
      <c r="AR707" s="4" t="str">
        <f>IFERROR(__xludf.DUMMYFUNCTION("GOOGLETRANSLATE(B707,""en"",""pl"")"),"Udział")</f>
        <v>Udział</v>
      </c>
      <c r="AS707" s="4" t="str">
        <f>IFERROR(__xludf.DUMMYFUNCTION("GOOGLETRANSLATE(B707,""en"",""sv"")"),"Dela")</f>
        <v>Dela</v>
      </c>
      <c r="AT707" s="4" t="str">
        <f>IFERROR(__xludf.DUMMYFUNCTION("GOOGLETRANSLATE(B707,""en"",""uk"")"),"Поділіться")</f>
        <v>Поділіться</v>
      </c>
      <c r="AU707" s="4" t="str">
        <f>IFERROR(__xludf.DUMMYFUNCTION("GOOGLETRANSLATE(B707,""en"",""zu"")"),"Yabelana")</f>
        <v>Yabelana</v>
      </c>
      <c r="AV707" s="4" t="str">
        <f>IFERROR(__xludf.DUMMYFUNCTION("GOOGLETRANSLATE(B707,""en"",""sr"")"),"Схаре")</f>
        <v>Схаре</v>
      </c>
    </row>
    <row r="708">
      <c r="A708" s="3" t="s">
        <v>1337</v>
      </c>
      <c r="B708" s="3" t="s">
        <v>1232</v>
      </c>
      <c r="C708" s="4" t="str">
        <f>IFERROR(__xludf.DUMMYFUNCTION("GOOGLETRANSLATE(B708,""en"",""ta"")"),"சரி")</f>
        <v>சரி</v>
      </c>
      <c r="D708" s="4" t="str">
        <f>IFERROR(__xludf.DUMMYFUNCTION("GOOGLETRANSLATE(B708,""en"",""hi"")"),"ठीक है")</f>
        <v>ठीक है</v>
      </c>
      <c r="E708" s="4" t="str">
        <f>IFERROR(__xludf.DUMMYFUNCTION("GOOGLETRANSLATE(B708,""en"",""id"")"),"OKE")</f>
        <v>OKE</v>
      </c>
      <c r="F708" s="4" t="str">
        <f>IFERROR(__xludf.DUMMYFUNCTION("GOOGLETRANSLATE(B708,""en"",""ms"")"),"OK")</f>
        <v>OK</v>
      </c>
      <c r="G708" s="4" t="str">
        <f>IFERROR(__xludf.DUMMYFUNCTION("GOOGLETRANSLATE(B708,""en"",""de"")"),"OK")</f>
        <v>OK</v>
      </c>
      <c r="H708" s="4" t="str">
        <f>IFERROR(__xludf.DUMMYFUNCTION("GOOGLETRANSLATE(B708,""en"",""es"")"),"DE ACUERDO")</f>
        <v>DE ACUERDO</v>
      </c>
      <c r="I708" s="4" t="str">
        <f>IFERROR(__xludf.DUMMYFUNCTION("GOOGLETRANSLATE(B708,""en"",""fr"")"),"D'ACCORD")</f>
        <v>D'ACCORD</v>
      </c>
      <c r="J708" s="4" t="str">
        <f>IFERROR(__xludf.DUMMYFUNCTION("GOOGLETRANSLATE(B708,""en"",""it"")"),"OK")</f>
        <v>OK</v>
      </c>
      <c r="K708" s="4" t="str">
        <f>IFERROR(__xludf.DUMMYFUNCTION("GOOGLETRANSLATE(B708,""en"",""pt"")"),"OK")</f>
        <v>OK</v>
      </c>
      <c r="L708" s="4" t="str">
        <f>IFERROR(__xludf.DUMMYFUNCTION("GOOGLETRANSLATE(B708,""en"",""ro"")"),"Bine")</f>
        <v>Bine</v>
      </c>
      <c r="M708" s="4" t="str">
        <f>IFERROR(__xludf.DUMMYFUNCTION("GOOGLETRANSLATE(B708,""en"",""vi"")"),"ĐƯỢC RỒI")</f>
        <v>ĐƯỢC RỒI</v>
      </c>
      <c r="N708" s="4" t="str">
        <f>IFERROR(__xludf.DUMMYFUNCTION("GOOGLETRANSLATE(B708,""en"",""ru"")"),"ХОРОШО")</f>
        <v>ХОРОШО</v>
      </c>
      <c r="O708" s="4" t="str">
        <f>IFERROR(__xludf.DUMMYFUNCTION("GOOGLETRANSLATE(B708,""en"",""tr"")"),"TAMAM")</f>
        <v>TAMAM</v>
      </c>
      <c r="P708" s="4" t="str">
        <f>IFERROR(__xludf.DUMMYFUNCTION("GOOGLETRANSLATE(B708,""en"",""ar"")"),"نعم")</f>
        <v>نعم</v>
      </c>
      <c r="Q708" s="4" t="str">
        <f>IFERROR(__xludf.DUMMYFUNCTION("GOOGLETRANSLATE(B708,""en"",""mr"")"),"ठीक आहे")</f>
        <v>ठीक आहे</v>
      </c>
      <c r="R708" s="4" t="str">
        <f>IFERROR(__xludf.DUMMYFUNCTION("GOOGLETRANSLATE(B708,""en"",""gu"")"),"ઠીક છે")</f>
        <v>ઠીક છે</v>
      </c>
      <c r="S708" s="4" t="str">
        <f>IFERROR(__xludf.DUMMYFUNCTION("GOOGLETRANSLATE(B708,""en"",""bn"")"),"ঠিক আছে")</f>
        <v>ঠিক আছে</v>
      </c>
      <c r="T708" s="4" t="str">
        <f>IFERROR(__xludf.DUMMYFUNCTION("GOOGLETRANSLATE(B708,""en"",""pa"")"),"ਠੀਕ ਹੈ")</f>
        <v>ਠੀਕ ਹੈ</v>
      </c>
      <c r="U708" s="4" t="str">
        <f>IFERROR(__xludf.DUMMYFUNCTION("GOOGLETRANSLATE(B708,""en"",""te"")"),"సరే")</f>
        <v>సరే</v>
      </c>
      <c r="V708" s="4" t="str">
        <f>IFERROR(__xludf.DUMMYFUNCTION("GOOGLETRANSLATE(B708,""en"",""kn"")"),"ಸರಿ")</f>
        <v>ಸರಿ</v>
      </c>
      <c r="W708" s="4" t="str">
        <f>IFERROR(__xludf.DUMMYFUNCTION("GOOGLETRANSLATE(B708,""en"",""ml"")"),"ശരി")</f>
        <v>ശരി</v>
      </c>
      <c r="X708" s="4" t="str">
        <f>IFERROR(__xludf.DUMMYFUNCTION("GOOGLETRANSLATE(B708,""en"",""th"")"),"ตกลง")</f>
        <v>ตกลง</v>
      </c>
      <c r="Y708" s="4" t="str">
        <f>IFERROR(__xludf.DUMMYFUNCTION("GOOGLETRANSLATE(B708,""en"",""ko"")"),"좋아요")</f>
        <v>좋아요</v>
      </c>
      <c r="Z708" s="4" t="str">
        <f>IFERROR(__xludf.DUMMYFUNCTION("GOOGLETRANSLATE(B708,""en"",""zh"")"),"好的")</f>
        <v>好的</v>
      </c>
      <c r="AA708" s="4" t="str">
        <f>IFERROR(__xludf.DUMMYFUNCTION("GOOGLETRANSLATE(B708,""en"",""zh-TW"")"),"好的")</f>
        <v>好的</v>
      </c>
      <c r="AB708" s="4" t="str">
        <f>IFERROR(__xludf.DUMMYFUNCTION("GOOGLETRANSLATE(B708,""en"",""ja"")"),"わかりました")</f>
        <v>わかりました</v>
      </c>
      <c r="AC708" s="4" t="str">
        <f>IFERROR(__xludf.DUMMYFUNCTION("GOOGLETRANSLATE(B708,""en"",""bg"")"),"добре")</f>
        <v>добре</v>
      </c>
      <c r="AD708" s="4" t="str">
        <f>IFERROR(__xludf.DUMMYFUNCTION("GOOGLETRANSLATE(B708,""en"",""cs"")"),"OK")</f>
        <v>OK</v>
      </c>
      <c r="AE708" s="4" t="str">
        <f>IFERROR(__xludf.DUMMYFUNCTION("GOOGLETRANSLATE(B708,""en"",""da"")"),"OK")</f>
        <v>OK</v>
      </c>
      <c r="AF708" s="4" t="str">
        <f>IFERROR(__xludf.DUMMYFUNCTION("GOOGLETRANSLATE(B708,""en"",""el"")"),"ΕΝΤΑΞΕΙ")</f>
        <v>ΕΝΤΑΞΕΙ</v>
      </c>
      <c r="AG708" s="4" t="str">
        <f>IFERROR(__xludf.DUMMYFUNCTION("GOOGLETRANSLATE(B708,""en"",""et"")"),"OK")</f>
        <v>OK</v>
      </c>
      <c r="AH708" s="4" t="str">
        <f>IFERROR(__xludf.DUMMYFUNCTION("GOOGLETRANSLATE(B708,""en"",""fi"")"),"OK")</f>
        <v>OK</v>
      </c>
      <c r="AI708" s="4" t="str">
        <f>IFERROR(__xludf.DUMMYFUNCTION("GOOGLETRANSLATE(B708,""en"",""hr"")"),"U REDU")</f>
        <v>U REDU</v>
      </c>
      <c r="AJ708" s="4" t="str">
        <f>IFERROR(__xludf.DUMMYFUNCTION("GOOGLETRANSLATE(B708,""en"",""hu"")"),"RENDBEN")</f>
        <v>RENDBEN</v>
      </c>
      <c r="AK708" s="4" t="str">
        <f>IFERROR(__xludf.DUMMYFUNCTION("GOOGLETRANSLATE(B708,""en"",""hy"")"),"Լավ")</f>
        <v>Լավ</v>
      </c>
      <c r="AL708" s="4" t="str">
        <f>IFERROR(__xludf.DUMMYFUNCTION("GOOGLETRANSLATE(B708,""en"",""ca"")"),"D'acord")</f>
        <v>D'acord</v>
      </c>
      <c r="AM708" s="4" t="str">
        <f>IFERROR(__xludf.DUMMYFUNCTION("GOOGLETRANSLATE(B708,""en"",""nl"")"),"OK")</f>
        <v>OK</v>
      </c>
      <c r="AN708" s="4" t="str">
        <f>IFERROR(__xludf.DUMMYFUNCTION("GOOGLETRANSLATE(B708,""en"",""he"")"),"בְּסֵדֶר")</f>
        <v>בְּסֵדֶר</v>
      </c>
      <c r="AO708" s="4" t="str">
        <f>IFERROR(__xludf.DUMMYFUNCTION("GOOGLETRANSLATE(B708,""en"",""is"")"),"Allt í lagi")</f>
        <v>Allt í lagi</v>
      </c>
      <c r="AP708" s="4" t="str">
        <f>IFERROR(__xludf.DUMMYFUNCTION("GOOGLETRANSLATE(B708,""en"",""no"")"),"OK")</f>
        <v>OK</v>
      </c>
      <c r="AQ708" s="4" t="str">
        <f>IFERROR(__xludf.DUMMYFUNCTION("GOOGLETRANSLATE(B708,""en"",""fa"")"),"باشه")</f>
        <v>باشه</v>
      </c>
      <c r="AR708" s="4" t="str">
        <f>IFERROR(__xludf.DUMMYFUNCTION("GOOGLETRANSLATE(B708,""en"",""pl"")"),"OK")</f>
        <v>OK</v>
      </c>
      <c r="AS708" s="4" t="str">
        <f>IFERROR(__xludf.DUMMYFUNCTION("GOOGLETRANSLATE(B708,""en"",""sv"")"),"OK")</f>
        <v>OK</v>
      </c>
      <c r="AT708" s="4" t="str">
        <f>IFERROR(__xludf.DUMMYFUNCTION("GOOGLETRANSLATE(B708,""en"",""uk"")"),"добре")</f>
        <v>добре</v>
      </c>
      <c r="AU708" s="4" t="str">
        <f>IFERROR(__xludf.DUMMYFUNCTION("GOOGLETRANSLATE(B708,""en"",""zu"")"),"KULUNGILE")</f>
        <v>KULUNGILE</v>
      </c>
      <c r="AV708" s="4" t="str">
        <f>IFERROR(__xludf.DUMMYFUNCTION("GOOGLETRANSLATE(B708,""en"",""sr"")"),"ОК")</f>
        <v>ОК</v>
      </c>
    </row>
    <row r="709">
      <c r="A709" s="3" t="s">
        <v>1338</v>
      </c>
      <c r="B709" s="3" t="s">
        <v>1339</v>
      </c>
      <c r="C709" s="4" t="str">
        <f>IFERROR(__xludf.DUMMYFUNCTION("GOOGLETRANSLATE(B709,""en"",""ta"")"),"GPS கருவிகள் பயன்பாட்டிலிருந்து இந்த GPX கோப்பைப் பார்க்கவும்: {{title}}.gpx")</f>
        <v>GPS கருவிகள் பயன்பாட்டிலிருந்து இந்த GPX கோப்பைப் பார்க்கவும்: {{title}}.gpx</v>
      </c>
      <c r="D709" s="4" t="str">
        <f>IFERROR(__xludf.DUMMYFUNCTION("GOOGLETRANSLATE(B709,""en"",""hi"")"),"GPS टूल्स ऐप से यह GPX फ़ाइल देखें: {{title}}.gpx")</f>
        <v>GPS टूल्स ऐप से यह GPX फ़ाइल देखें: {{title}}.gpx</v>
      </c>
      <c r="E709" s="4" t="str">
        <f>IFERROR(__xludf.DUMMYFUNCTION("GOOGLETRANSLATE(B709,""en"",""id"")"),"Lihat file GPX ini dari aplikasi GPS Tools: {{title}}.gpx")</f>
        <v>Lihat file GPX ini dari aplikasi GPS Tools: {{title}}.gpx</v>
      </c>
      <c r="F709" s="4" t="str">
        <f>IFERROR(__xludf.DUMMYFUNCTION("GOOGLETRANSLATE(B709,""en"",""ms"")"),"Lihat fail GPX ini daripada apl Alat GPS: {{title}}.gpx")</f>
        <v>Lihat fail GPX ini daripada apl Alat GPS: {{title}}.gpx</v>
      </c>
      <c r="G709" s="4" t="str">
        <f>IFERROR(__xludf.DUMMYFUNCTION("GOOGLETRANSLATE(B709,""en"",""de"")"),"Schauen Sie sich diese GPX-Datei aus der GPS Tools-App an: {{title}}.gpx")</f>
        <v>Schauen Sie sich diese GPX-Datei aus der GPS Tools-App an: {{title}}.gpx</v>
      </c>
      <c r="H709" s="4" t="str">
        <f>IFERROR(__xludf.DUMMYFUNCTION("GOOGLETRANSLATE(B709,""en"",""es"")"),"Consulte este archivo GPX de la aplicación GPS Tools: {{title}}.gpx")</f>
        <v>Consulte este archivo GPX de la aplicación GPS Tools: {{title}}.gpx</v>
      </c>
      <c r="I709" s="4" t="str">
        <f>IFERROR(__xludf.DUMMYFUNCTION("GOOGLETRANSLATE(B709,""en"",""fr"")"),"Consultez ce fichier GPX de l'application GPS Tools : {{title}}.gpx")</f>
        <v>Consultez ce fichier GPX de l'application GPS Tools : {{title}}.gpx</v>
      </c>
      <c r="J709" s="4" t="str">
        <f>IFERROR(__xludf.DUMMYFUNCTION("GOOGLETRANSLATE(B709,""en"",""it"")"),"Dai un'occhiata a questo file GPX dall'app GPS Tools: {{title}}.gpx")</f>
        <v>Dai un'occhiata a questo file GPX dall'app GPS Tools: {{title}}.gpx</v>
      </c>
      <c r="K709" s="4" t="str">
        <f>IFERROR(__xludf.DUMMYFUNCTION("GOOGLETRANSLATE(B709,""en"",""pt"")"),"Confira este arquivo GPX do aplicativo GPS Tools: {{title}}.gpx")</f>
        <v>Confira este arquivo GPX do aplicativo GPS Tools: {{title}}.gpx</v>
      </c>
      <c r="L709" s="4" t="str">
        <f>IFERROR(__xludf.DUMMYFUNCTION("GOOGLETRANSLATE(B709,""en"",""ro"")"),"Consultați acest fișier GPX din aplicația GPS Tools: {{title}}.gpx")</f>
        <v>Consultați acest fișier GPX din aplicația GPS Tools: {{title}}.gpx</v>
      </c>
      <c r="M709" s="4" t="str">
        <f>IFERROR(__xludf.DUMMYFUNCTION("GOOGLETRANSLATE(B709,""en"",""vi"")"),"Hãy xem tệp GPX này từ ứng dụng GPS Tools: {{title}}.gpx")</f>
        <v>Hãy xem tệp GPX này từ ứng dụng GPS Tools: {{title}}.gpx</v>
      </c>
      <c r="N709" s="4" t="str">
        <f>IFERROR(__xludf.DUMMYFUNCTION("GOOGLETRANSLATE(B709,""en"",""ru"")"),"Посмотрите этот файл GPX из приложения GPS Tools: {{title}}.gpx")</f>
        <v>Посмотрите этот файл GPX из приложения GPS Tools: {{title}}.gpx</v>
      </c>
      <c r="O709" s="4" t="str">
        <f>IFERROR(__xludf.DUMMYFUNCTION("GOOGLETRANSLATE(B709,""en"",""tr"")"),"GPS Tools uygulamasından bu GPX dosyasına göz atın: {{title}}.gpx")</f>
        <v>GPS Tools uygulamasından bu GPX dosyasına göz atın: {{title}}.gpx</v>
      </c>
      <c r="P709" s="4" t="str">
        <f>IFERROR(__xludf.DUMMYFUNCTION("GOOGLETRANSLATE(B709,""en"",""ar"")"),"قم بإلقاء نظرة على ملف GPX هذا من تطبيق GPS Tools: {{title}}.gpx")</f>
        <v>قم بإلقاء نظرة على ملف GPX هذا من تطبيق GPS Tools: {{title}}.gpx</v>
      </c>
      <c r="Q709" s="4" t="str">
        <f>IFERROR(__xludf.DUMMYFUNCTION("GOOGLETRANSLATE(B709,""en"",""mr"")"),"GPS टूल्स ॲपवरून ही GPX फाइल पहा: {{title}}.gpx")</f>
        <v>GPS टूल्स ॲपवरून ही GPX फाइल पहा: {{title}}.gpx</v>
      </c>
      <c r="R709" s="4" t="str">
        <f>IFERROR(__xludf.DUMMYFUNCTION("GOOGLETRANSLATE(B709,""en"",""gu"")"),"GPS ટૂલ્સ એપ્લિકેશનમાંથી આ GPX ફાઇલ તપાસો: {{title}}.gpx")</f>
        <v>GPS ટૂલ્સ એપ્લિકેશનમાંથી આ GPX ફાઇલ તપાસો: {{title}}.gpx</v>
      </c>
      <c r="S709" s="4" t="str">
        <f>IFERROR(__xludf.DUMMYFUNCTION("GOOGLETRANSLATE(B709,""en"",""bn"")"),"GPS টুল অ্যাপ থেকে এই GPX ফাইলটি দেখুন: {{title}}.gpx")</f>
        <v>GPS টুল অ্যাপ থেকে এই GPX ফাইলটি দেখুন: {{title}}.gpx</v>
      </c>
      <c r="T709" s="4" t="str">
        <f>IFERROR(__xludf.DUMMYFUNCTION("GOOGLETRANSLATE(B709,""en"",""pa"")"),"ਇਸ GPX ਫਾਈਲ ਨੂੰ GPS ਟੂਲਸ ਐਪ ਤੋਂ ਦੇਖੋ: {{title}}.gpx")</f>
        <v>ਇਸ GPX ਫਾਈਲ ਨੂੰ GPS ਟੂਲਸ ਐਪ ਤੋਂ ਦੇਖੋ: {{title}}.gpx</v>
      </c>
      <c r="U709" s="4" t="str">
        <f>IFERROR(__xludf.DUMMYFUNCTION("GOOGLETRANSLATE(B709,""en"",""te"")"),"GPS టూల్స్ యాప్ నుండి ఈ GPX ఫైల్‌ని చూడండి: {{title}}.gpx")</f>
        <v>GPS టూల్స్ యాప్ నుండి ఈ GPX ఫైల్‌ని చూడండి: {{title}}.gpx</v>
      </c>
      <c r="V709" s="4" t="str">
        <f>IFERROR(__xludf.DUMMYFUNCTION("GOOGLETRANSLATE(B709,""en"",""kn"")"),"GPS ಪರಿಕರಗಳ ಅಪ್ಲಿಕೇಶನ್‌ನಿಂದ ಈ GPX ಫೈಲ್ ಅನ್ನು ಪರಿಶೀಲಿಸಿ: {{title}}.gpx")</f>
        <v>GPS ಪರಿಕರಗಳ ಅಪ್ಲಿಕೇಶನ್‌ನಿಂದ ಈ GPX ಫೈಲ್ ಅನ್ನು ಪರಿಶೀಲಿಸಿ: {{title}}.gpx</v>
      </c>
      <c r="W709" s="4" t="str">
        <f>IFERROR(__xludf.DUMMYFUNCTION("GOOGLETRANSLATE(B709,""en"",""ml"")"),"GPS ടൂൾസ് ആപ്പിൽ നിന്ന് ഈ GPX ഫയൽ പരിശോധിക്കുക: {{title}}.gpx")</f>
        <v>GPS ടൂൾസ് ആപ്പിൽ നിന്ന് ഈ GPX ഫയൽ പരിശോധിക്കുക: {{title}}.gpx</v>
      </c>
      <c r="X709" s="4" t="str">
        <f>IFERROR(__xludf.DUMMYFUNCTION("GOOGLETRANSLATE(B709,""en"",""th"")"),"ลองดูไฟล์ GPX นี้จากแอป GPS Tools: {{title}}.gpx")</f>
        <v>ลองดูไฟล์ GPX นี้จากแอป GPS Tools: {{title}}.gpx</v>
      </c>
      <c r="Y709" s="4" t="str">
        <f>IFERROR(__xludf.DUMMYFUNCTION("GOOGLETRANSLATE(B709,""en"",""ko"")"),"GPS 도구 앱에서 이 GPX 파일을 확인하세요: {{title}}.gpx")</f>
        <v>GPS 도구 앱에서 이 GPX 파일을 확인하세요: {{title}}.gpx</v>
      </c>
      <c r="Z709" s="4" t="str">
        <f>IFERROR(__xludf.DUMMYFUNCTION("GOOGLETRANSLATE(B709,""en"",""zh"")"),"从 GPS 工具应用中查看此 GPX 文件：{{title}}.gpx")</f>
        <v>从 GPS 工具应用中查看此 GPX 文件：{{title}}.gpx</v>
      </c>
      <c r="AA709" s="4" t="str">
        <f>IFERROR(__xludf.DUMMYFUNCTION("GOOGLETRANSLATE(B709,""en"",""zh-TW"")"),"從 GPS 工具應用程式中查看此 GPX 檔案：{{title}}.gpx")</f>
        <v>從 GPS 工具應用程式中查看此 GPX 檔案：{{title}}.gpx</v>
      </c>
      <c r="AB709" s="4" t="str">
        <f>IFERROR(__xludf.DUMMYFUNCTION("GOOGLETRANSLATE(B709,""en"",""ja"")"),"GPS ツール アプリからこの GPX ファイルを確認してください: {{title}}.gpx")</f>
        <v>GPS ツール アプリからこの GPX ファイルを確認してください: {{title}}.gpx</v>
      </c>
      <c r="AC709" s="4" t="str">
        <f>IFERROR(__xludf.DUMMYFUNCTION("GOOGLETRANSLATE(B709,""en"",""bg"")"),"Вижте този GPX файл от приложението GPS Tools: {{title}}.gpx")</f>
        <v>Вижте този GPX файл от приложението GPS Tools: {{title}}.gpx</v>
      </c>
      <c r="AD709" s="4" t="str">
        <f>IFERROR(__xludf.DUMMYFUNCTION("GOOGLETRANSLATE(B709,""en"",""cs"")"),"Podívejte se na tento soubor GPX z aplikace GPS Tools: {{title}}.gpx")</f>
        <v>Podívejte se na tento soubor GPX z aplikace GPS Tools: {{title}}.gpx</v>
      </c>
      <c r="AE709" s="4" t="str">
        <f>IFERROR(__xludf.DUMMYFUNCTION("GOOGLETRANSLATE(B709,""en"",""da"")"),"Tjek denne GPX-fil fra GPS Tools-appen: {{title}}.gpx")</f>
        <v>Tjek denne GPX-fil fra GPS Tools-appen: {{title}}.gpx</v>
      </c>
      <c r="AF709" s="4" t="str">
        <f>IFERROR(__xludf.DUMMYFUNCTION("GOOGLETRANSLATE(B709,""en"",""el"")"),"Δείτε αυτό το αρχείο GPX από την εφαρμογή GPS Tools: {{title}}.gpx")</f>
        <v>Δείτε αυτό το αρχείο GPX από την εφαρμογή GPS Tools: {{title}}.gpx</v>
      </c>
      <c r="AG709" s="4" t="str">
        <f>IFERROR(__xludf.DUMMYFUNCTION("GOOGLETRANSLATE(B709,""en"",""et"")"),"Vaadake seda GPX-faili rakendusest GPS Tools: {{title}}.gpx")</f>
        <v>Vaadake seda GPX-faili rakendusest GPS Tools: {{title}}.gpx</v>
      </c>
      <c r="AH709" s="4" t="str">
        <f>IFERROR(__xludf.DUMMYFUNCTION("GOOGLETRANSLATE(B709,""en"",""fi"")"),"Tarkista tämä GPX-tiedosto GPS Tools -sovelluksesta: {{title}}.gpx")</f>
        <v>Tarkista tämä GPX-tiedosto GPS Tools -sovelluksesta: {{title}}.gpx</v>
      </c>
      <c r="AI709" s="4" t="str">
        <f>IFERROR(__xludf.DUMMYFUNCTION("GOOGLETRANSLATE(B709,""en"",""hr"")"),"Pogledajte ovu GPX datoteku iz aplikacije GPS Alati: {{title}}.gpx")</f>
        <v>Pogledajte ovu GPX datoteku iz aplikacije GPS Alati: {{title}}.gpx</v>
      </c>
      <c r="AJ709" s="4" t="str">
        <f>IFERROR(__xludf.DUMMYFUNCTION("GOOGLETRANSLATE(B709,""en"",""hu"")"),"Tekintse meg ezt a GPX-fájlt a GPS Tools alkalmazásból: {{title}}.gpx")</f>
        <v>Tekintse meg ezt a GPX-fájlt a GPS Tools alkalmazásból: {{title}}.gpx</v>
      </c>
      <c r="AK709" s="4" t="str">
        <f>IFERROR(__xludf.DUMMYFUNCTION("GOOGLETRANSLATE(B709,""en"",""hy"")"),"Ստուգեք այս GPX ֆայլը GPS Tools հավելվածից՝ {{title}}.gpx")</f>
        <v>Ստուգեք այս GPX ֆայլը GPS Tools հավելվածից՝ {{title}}.gpx</v>
      </c>
      <c r="AL709" s="4" t="str">
        <f>IFERROR(__xludf.DUMMYFUNCTION("GOOGLETRANSLATE(B709,""en"",""ca"")"),"Consulteu aquest fitxer GPX de l'aplicació Eines GPS: {{title}}.gpx")</f>
        <v>Consulteu aquest fitxer GPX de l'aplicació Eines GPS: {{title}}.gpx</v>
      </c>
      <c r="AM709" s="4" t="str">
        <f>IFERROR(__xludf.DUMMYFUNCTION("GOOGLETRANSLATE(B709,""en"",""nl"")"),"Bekijk dit GPX-bestand van de GPS Tools-app: {{title}}.gpx")</f>
        <v>Bekijk dit GPX-bestand van de GPS Tools-app: {{title}}.gpx</v>
      </c>
      <c r="AN709" s="4" t="str">
        <f>IFERROR(__xludf.DUMMYFUNCTION("GOOGLETRANSLATE(B709,""en"",""he"")"),"בדוק את קובץ ה-GPX הזה מאפליקציית GPS Tools: {{title}}.gpx")</f>
        <v>בדוק את קובץ ה-GPX הזה מאפליקציית GPS Tools: {{title}}.gpx</v>
      </c>
      <c r="AO709" s="4" t="str">
        <f>IFERROR(__xludf.DUMMYFUNCTION("GOOGLETRANSLATE(B709,""en"",""is"")"),"Skoðaðu þessa GPX skrá úr GPS Tools appinu: {{title}}.gpx")</f>
        <v>Skoðaðu þessa GPX skrá úr GPS Tools appinu: {{title}}.gpx</v>
      </c>
      <c r="AP709" s="4" t="str">
        <f>IFERROR(__xludf.DUMMYFUNCTION("GOOGLETRANSLATE(B709,""en"",""no"")"),"Sjekk ut denne GPX-filen fra GPS Tools-appen: {{title}}.gpx")</f>
        <v>Sjekk ut denne GPX-filen fra GPS Tools-appen: {{title}}.gpx</v>
      </c>
      <c r="AQ709" s="4" t="str">
        <f>IFERROR(__xludf.DUMMYFUNCTION("GOOGLETRANSLATE(B709,""en"",""fa"")"),"این فایل GPX را از برنامه GPS Tools بررسی کنید: {{title}}.gpx")</f>
        <v>این فایل GPX را از برنامه GPS Tools بررسی کنید: {{title}}.gpx</v>
      </c>
      <c r="AR709" s="4" t="str">
        <f>IFERROR(__xludf.DUMMYFUNCTION("GOOGLETRANSLATE(B709,""en"",""pl"")"),"Sprawdź ten plik GPX z aplikacji GPS Tools: {{title}}.gpx")</f>
        <v>Sprawdź ten plik GPX z aplikacji GPS Tools: {{title}}.gpx</v>
      </c>
      <c r="AS709" s="4" t="str">
        <f>IFERROR(__xludf.DUMMYFUNCTION("GOOGLETRANSLATE(B709,""en"",""sv"")"),"Kolla in den här GPX-filen från appen GPS Tools: {{title}}.gpx")</f>
        <v>Kolla in den här GPX-filen från appen GPS Tools: {{title}}.gpx</v>
      </c>
      <c r="AT709" s="4" t="str">
        <f>IFERROR(__xludf.DUMMYFUNCTION("GOOGLETRANSLATE(B709,""en"",""uk"")"),"Перегляньте цей файл GPX із програми GPS Tools: {{title}}.gpx")</f>
        <v>Перегляньте цей файл GPX із програми GPS Tools: {{title}}.gpx</v>
      </c>
      <c r="AU709" s="4" t="str">
        <f>IFERROR(__xludf.DUMMYFUNCTION("GOOGLETRANSLATE(B709,""en"",""zu"")"),"Bheka leli fayela le-GPX ohlelweni lokusebenza lwe-GPS Tools: {{title}}.gpx")</f>
        <v>Bheka leli fayela le-GPX ohlelweni lokusebenza lwe-GPS Tools: {{title}}.gpx</v>
      </c>
      <c r="AV709" s="4" t="str">
        <f>IFERROR(__xludf.DUMMYFUNCTION("GOOGLETRANSLATE(B709,""en"",""sr"")"),"Погледајте ову ГПКС датотеку из апликације ГПС Тоолс: {{титле}}.гпк")</f>
        <v>Погледајте ову ГПКС датотеку из апликације ГПС Тоолс: {{титле}}.гпк</v>
      </c>
    </row>
    <row r="710">
      <c r="A710" s="3" t="s">
        <v>1340</v>
      </c>
      <c r="B710" s="3" t="s">
        <v>1341</v>
      </c>
      <c r="C710" s="4" t="str">
        <f>IFERROR(__xludf.DUMMYFUNCTION("GOOGLETRANSLATE(B710,""en"",""ta"")"),"பகிர்வதற்கு GPX கோப்பு இல்லை")</f>
        <v>பகிர்வதற்கு GPX கோப்பு இல்லை</v>
      </c>
      <c r="D710" s="4" t="str">
        <f>IFERROR(__xludf.DUMMYFUNCTION("GOOGLETRANSLATE(B710,""en"",""hi"")"),"साझा करने के लिए कोई GPX फ़ाइल नहीं है")</f>
        <v>साझा करने के लिए कोई GPX फ़ाइल नहीं है</v>
      </c>
      <c r="E710" s="4" t="str">
        <f>IFERROR(__xludf.DUMMYFUNCTION("GOOGLETRANSLATE(B710,""en"",""id"")"),"Tidak ada file GPX untuk dibagikan")</f>
        <v>Tidak ada file GPX untuk dibagikan</v>
      </c>
      <c r="F710" s="4" t="str">
        <f>IFERROR(__xludf.DUMMYFUNCTION("GOOGLETRANSLATE(B710,""en"",""ms"")"),"Tiada fail GPX untuk dikongsi")</f>
        <v>Tiada fail GPX untuk dikongsi</v>
      </c>
      <c r="G710" s="4" t="str">
        <f>IFERROR(__xludf.DUMMYFUNCTION("GOOGLETRANSLATE(B710,""en"",""de"")"),"Keine GPX-Datei zum Teilen")</f>
        <v>Keine GPX-Datei zum Teilen</v>
      </c>
      <c r="H710" s="4" t="str">
        <f>IFERROR(__xludf.DUMMYFUNCTION("GOOGLETRANSLATE(B710,""en"",""es"")"),"No hay archivo GPX para compartir")</f>
        <v>No hay archivo GPX para compartir</v>
      </c>
      <c r="I710" s="4" t="str">
        <f>IFERROR(__xludf.DUMMYFUNCTION("GOOGLETRANSLATE(B710,""en"",""fr"")"),"Aucun fichier GPX à partager")</f>
        <v>Aucun fichier GPX à partager</v>
      </c>
      <c r="J710" s="4" t="str">
        <f>IFERROR(__xludf.DUMMYFUNCTION("GOOGLETRANSLATE(B710,""en"",""it"")"),"Nessun file GPX da condividere")</f>
        <v>Nessun file GPX da condividere</v>
      </c>
      <c r="K710" s="4" t="str">
        <f>IFERROR(__xludf.DUMMYFUNCTION("GOOGLETRANSLATE(B710,""en"",""pt"")"),"Nenhum arquivo GPX para compartilhar")</f>
        <v>Nenhum arquivo GPX para compartilhar</v>
      </c>
      <c r="L710" s="4" t="str">
        <f>IFERROR(__xludf.DUMMYFUNCTION("GOOGLETRANSLATE(B710,""en"",""ro"")"),"Niciun fișier GPX de partajat")</f>
        <v>Niciun fișier GPX de partajat</v>
      </c>
      <c r="M710" s="4" t="str">
        <f>IFERROR(__xludf.DUMMYFUNCTION("GOOGLETRANSLATE(B710,""en"",""vi"")"),"Không có tệp GPX nào để chia sẻ")</f>
        <v>Không có tệp GPX nào để chia sẻ</v>
      </c>
      <c r="N710" s="4" t="str">
        <f>IFERROR(__xludf.DUMMYFUNCTION("GOOGLETRANSLATE(B710,""en"",""ru"")"),"Нет файла GPX для обмена")</f>
        <v>Нет файла GPX для обмена</v>
      </c>
      <c r="O710" s="4" t="str">
        <f>IFERROR(__xludf.DUMMYFUNCTION("GOOGLETRANSLATE(B710,""en"",""tr"")"),"Paylaşılacak GPX dosyası yok")</f>
        <v>Paylaşılacak GPX dosyası yok</v>
      </c>
      <c r="P710" s="4" t="str">
        <f>IFERROR(__xludf.DUMMYFUNCTION("GOOGLETRANSLATE(B710,""en"",""ar"")"),"لا يوجد ملف GPX للمشاركة")</f>
        <v>لا يوجد ملف GPX للمشاركة</v>
      </c>
      <c r="Q710" s="4" t="str">
        <f>IFERROR(__xludf.DUMMYFUNCTION("GOOGLETRANSLATE(B710,""en"",""mr"")"),"शेअर करण्यासाठी कोणतीही GPX फाइल नाही")</f>
        <v>शेअर करण्यासाठी कोणतीही GPX फाइल नाही</v>
      </c>
      <c r="R710" s="4" t="str">
        <f>IFERROR(__xludf.DUMMYFUNCTION("GOOGLETRANSLATE(B710,""en"",""gu"")"),"શેર કરવા માટે કોઈ GPX ફાઇલ નથી")</f>
        <v>શેર કરવા માટે કોઈ GPX ફાઇલ નથી</v>
      </c>
      <c r="S710" s="4" t="str">
        <f>IFERROR(__xludf.DUMMYFUNCTION("GOOGLETRANSLATE(B710,""en"",""bn"")"),"শেয়ার করার জন্য কোন GPX ফাইল নেই")</f>
        <v>শেয়ার করার জন্য কোন GPX ফাইল নেই</v>
      </c>
      <c r="T710" s="4" t="str">
        <f>IFERROR(__xludf.DUMMYFUNCTION("GOOGLETRANSLATE(B710,""en"",""pa"")"),"ਸਾਂਝਾ ਕਰਨ ਲਈ ਕੋਈ GPX ਫ਼ਾਈਲ ਨਹੀਂ ਹੈ")</f>
        <v>ਸਾਂਝਾ ਕਰਨ ਲਈ ਕੋਈ GPX ਫ਼ਾਈਲ ਨਹੀਂ ਹੈ</v>
      </c>
      <c r="U710" s="4" t="str">
        <f>IFERROR(__xludf.DUMMYFUNCTION("GOOGLETRANSLATE(B710,""en"",""te"")"),"భాగస్వామ్యం చేయడానికి GPX ఫైల్ లేదు")</f>
        <v>భాగస్వామ్యం చేయడానికి GPX ఫైల్ లేదు</v>
      </c>
      <c r="V710" s="4" t="str">
        <f>IFERROR(__xludf.DUMMYFUNCTION("GOOGLETRANSLATE(B710,""en"",""kn"")"),"ಹಂಚಿಕೊಳ್ಳಲು ಯಾವುದೇ GPX ಫೈಲ್ ಇಲ್ಲ")</f>
        <v>ಹಂಚಿಕೊಳ್ಳಲು ಯಾವುದೇ GPX ಫೈಲ್ ಇಲ್ಲ</v>
      </c>
      <c r="W710" s="4" t="str">
        <f>IFERROR(__xludf.DUMMYFUNCTION("GOOGLETRANSLATE(B710,""en"",""ml"")"),"പങ്കിടാൻ GPX ഫയലൊന്നുമില്ല")</f>
        <v>പങ്കിടാൻ GPX ഫയലൊന്നുമില്ല</v>
      </c>
      <c r="X710" s="4" t="str">
        <f>IFERROR(__xludf.DUMMYFUNCTION("GOOGLETRANSLATE(B710,""en"",""th"")"),"ไม่มีไฟล์ GPX ที่จะแบ่งปัน")</f>
        <v>ไม่มีไฟล์ GPX ที่จะแบ่งปัน</v>
      </c>
      <c r="Y710" s="4" t="str">
        <f>IFERROR(__xludf.DUMMYFUNCTION("GOOGLETRANSLATE(B710,""en"",""ko"")"),"공유할 GPX 파일이 없습니다")</f>
        <v>공유할 GPX 파일이 없습니다</v>
      </c>
      <c r="Z710" s="4" t="str">
        <f>IFERROR(__xludf.DUMMYFUNCTION("GOOGLETRANSLATE(B710,""en"",""zh"")"),"没有可分享的 GPX 文件")</f>
        <v>没有可分享的 GPX 文件</v>
      </c>
      <c r="AA710" s="4" t="str">
        <f>IFERROR(__xludf.DUMMYFUNCTION("GOOGLETRANSLATE(B710,""en"",""zh-TW"")"),"沒有可分享的 GPX 文件")</f>
        <v>沒有可分享的 GPX 文件</v>
      </c>
      <c r="AB710" s="4" t="str">
        <f>IFERROR(__xludf.DUMMYFUNCTION("GOOGLETRANSLATE(B710,""en"",""ja"")"),"共有するGPXファイルがありません")</f>
        <v>共有するGPXファイルがありません</v>
      </c>
      <c r="AC710" s="4" t="str">
        <f>IFERROR(__xludf.DUMMYFUNCTION("GOOGLETRANSLATE(B710,""en"",""bg"")"),"Няма GPX файл за споделяне")</f>
        <v>Няма GPX файл за споделяне</v>
      </c>
      <c r="AD710" s="4" t="str">
        <f>IFERROR(__xludf.DUMMYFUNCTION("GOOGLETRANSLATE(B710,""en"",""cs"")"),"Žádný soubor GPX ke sdílení")</f>
        <v>Žádný soubor GPX ke sdílení</v>
      </c>
      <c r="AE710" s="4" t="str">
        <f>IFERROR(__xludf.DUMMYFUNCTION("GOOGLETRANSLATE(B710,""en"",""da"")"),"Ingen GPX-fil at dele")</f>
        <v>Ingen GPX-fil at dele</v>
      </c>
      <c r="AF710" s="4" t="str">
        <f>IFERROR(__xludf.DUMMYFUNCTION("GOOGLETRANSLATE(B710,""en"",""el"")"),"Δεν υπάρχει αρχείο GPX για κοινή χρήση")</f>
        <v>Δεν υπάρχει αρχείο GPX για κοινή χρήση</v>
      </c>
      <c r="AG710" s="4" t="str">
        <f>IFERROR(__xludf.DUMMYFUNCTION("GOOGLETRANSLATE(B710,""en"",""et"")"),"Jagamiseks pole GPX-faili")</f>
        <v>Jagamiseks pole GPX-faili</v>
      </c>
      <c r="AH710" s="4" t="str">
        <f>IFERROR(__xludf.DUMMYFUNCTION("GOOGLETRANSLATE(B710,""en"",""fi"")"),"Ei jaettavaa GPX-tiedostoa")</f>
        <v>Ei jaettavaa GPX-tiedostoa</v>
      </c>
      <c r="AI710" s="4" t="str">
        <f>IFERROR(__xludf.DUMMYFUNCTION("GOOGLETRANSLATE(B710,""en"",""hr"")"),"Nema GPX datoteke za dijeljenje")</f>
        <v>Nema GPX datoteke za dijeljenje</v>
      </c>
      <c r="AJ710" s="4" t="str">
        <f>IFERROR(__xludf.DUMMYFUNCTION("GOOGLETRANSLATE(B710,""en"",""hu"")"),"Nincs megosztható GPX-fájl")</f>
        <v>Nincs megosztható GPX-fájl</v>
      </c>
      <c r="AK710" s="4" t="str">
        <f>IFERROR(__xludf.DUMMYFUNCTION("GOOGLETRANSLATE(B710,""en"",""hy"")"),"Համօգտագործելու համար GPX ֆայլ չկա")</f>
        <v>Համօգտագործելու համար GPX ֆայլ չկա</v>
      </c>
      <c r="AL710" s="4" t="str">
        <f>IFERROR(__xludf.DUMMYFUNCTION("GOOGLETRANSLATE(B710,""en"",""ca"")"),"No hi ha cap fitxer GPX per compartir")</f>
        <v>No hi ha cap fitxer GPX per compartir</v>
      </c>
      <c r="AM710" s="4" t="str">
        <f>IFERROR(__xludf.DUMMYFUNCTION("GOOGLETRANSLATE(B710,""en"",""nl"")"),"Geen GPX-bestand om te delen")</f>
        <v>Geen GPX-bestand om te delen</v>
      </c>
      <c r="AN710" s="4" t="str">
        <f>IFERROR(__xludf.DUMMYFUNCTION("GOOGLETRANSLATE(B710,""en"",""he"")"),"אין קובץ GPX לשיתוף")</f>
        <v>אין קובץ GPX לשיתוף</v>
      </c>
      <c r="AO710" s="4" t="str">
        <f>IFERROR(__xludf.DUMMYFUNCTION("GOOGLETRANSLATE(B710,""en"",""is"")"),"Engin GPX skrá til að deila")</f>
        <v>Engin GPX skrá til að deila</v>
      </c>
      <c r="AP710" s="4" t="str">
        <f>IFERROR(__xludf.DUMMYFUNCTION("GOOGLETRANSLATE(B710,""en"",""no"")"),"Ingen GPX-fil å dele")</f>
        <v>Ingen GPX-fil å dele</v>
      </c>
      <c r="AQ710" s="4" t="str">
        <f>IFERROR(__xludf.DUMMYFUNCTION("GOOGLETRANSLATE(B710,""en"",""fa"")"),"فایل GPX برای اشتراک گذاری وجود ندارد")</f>
        <v>فایل GPX برای اشتراک گذاری وجود ندارد</v>
      </c>
      <c r="AR710" s="4" t="str">
        <f>IFERROR(__xludf.DUMMYFUNCTION("GOOGLETRANSLATE(B710,""en"",""pl"")"),"Brak pliku GPX do udostępnienia")</f>
        <v>Brak pliku GPX do udostępnienia</v>
      </c>
      <c r="AS710" s="4" t="str">
        <f>IFERROR(__xludf.DUMMYFUNCTION("GOOGLETRANSLATE(B710,""en"",""sv"")"),"Ingen GPX-fil att dela")</f>
        <v>Ingen GPX-fil att dela</v>
      </c>
      <c r="AT710" s="4" t="str">
        <f>IFERROR(__xludf.DUMMYFUNCTION("GOOGLETRANSLATE(B710,""en"",""uk"")"),"Немає файлу GPX для спільного використання")</f>
        <v>Немає файлу GPX для спільного використання</v>
      </c>
      <c r="AU710" s="4" t="str">
        <f>IFERROR(__xludf.DUMMYFUNCTION("GOOGLETRANSLATE(B710,""en"",""zu"")"),"Alikho ifayela le-GPX elingabiwa")</f>
        <v>Alikho ifayela le-GPX elingabiwa</v>
      </c>
      <c r="AV710" s="4" t="str">
        <f>IFERROR(__xludf.DUMMYFUNCTION("GOOGLETRANSLATE(B710,""en"",""sr"")"),"Нема ГПКС датотеке за дељење")</f>
        <v>Нема ГПКС датотеке за дељење</v>
      </c>
    </row>
    <row r="711">
      <c r="A711" s="3" t="s">
        <v>1342</v>
      </c>
      <c r="B711" s="3" t="s">
        <v>1343</v>
      </c>
      <c r="C711" s="4" t="str">
        <f>IFERROR(__xludf.DUMMYFUNCTION("GOOGLETRANSLATE(B711,""en"",""ta"")"),"GPX தகவல்")</f>
        <v>GPX தகவல்</v>
      </c>
      <c r="D711" s="4" t="str">
        <f>IFERROR(__xludf.DUMMYFUNCTION("GOOGLETRANSLATE(B711,""en"",""hi"")"),"जीपीएक्स जानकारी")</f>
        <v>जीपीएक्स जानकारी</v>
      </c>
      <c r="E711" s="4" t="str">
        <f>IFERROR(__xludf.DUMMYFUNCTION("GOOGLETRANSLATE(B711,""en"",""id"")"),"Informasi GPX")</f>
        <v>Informasi GPX</v>
      </c>
      <c r="F711" s="4" t="str">
        <f>IFERROR(__xludf.DUMMYFUNCTION("GOOGLETRANSLATE(B711,""en"",""ms"")"),"Maklumat GPX")</f>
        <v>Maklumat GPX</v>
      </c>
      <c r="G711" s="4" t="str">
        <f>IFERROR(__xludf.DUMMYFUNCTION("GOOGLETRANSLATE(B711,""en"",""de"")"),"GPX-Informationen")</f>
        <v>GPX-Informationen</v>
      </c>
      <c r="H711" s="4" t="str">
        <f>IFERROR(__xludf.DUMMYFUNCTION("GOOGLETRANSLATE(B711,""en"",""es"")"),"Información GPX")</f>
        <v>Información GPX</v>
      </c>
      <c r="I711" s="4" t="str">
        <f>IFERROR(__xludf.DUMMYFUNCTION("GOOGLETRANSLATE(B711,""en"",""fr"")"),"Informations GPX")</f>
        <v>Informations GPX</v>
      </c>
      <c r="J711" s="4" t="str">
        <f>IFERROR(__xludf.DUMMYFUNCTION("GOOGLETRANSLATE(B711,""en"",""it"")"),"Informazioni GPX")</f>
        <v>Informazioni GPX</v>
      </c>
      <c r="K711" s="4" t="str">
        <f>IFERROR(__xludf.DUMMYFUNCTION("GOOGLETRANSLATE(B711,""en"",""pt"")"),"Informações GPX")</f>
        <v>Informações GPX</v>
      </c>
      <c r="L711" s="4" t="str">
        <f>IFERROR(__xludf.DUMMYFUNCTION("GOOGLETRANSLATE(B711,""en"",""ro"")"),"Informații GPX")</f>
        <v>Informații GPX</v>
      </c>
      <c r="M711" s="4" t="str">
        <f>IFERROR(__xludf.DUMMYFUNCTION("GOOGLETRANSLATE(B711,""en"",""vi"")"),"Thông tin GPX")</f>
        <v>Thông tin GPX</v>
      </c>
      <c r="N711" s="4" t="str">
        <f>IFERROR(__xludf.DUMMYFUNCTION("GOOGLETRANSLATE(B711,""en"",""ru"")"),"Информация GPX")</f>
        <v>Информация GPX</v>
      </c>
      <c r="O711" s="4" t="str">
        <f>IFERROR(__xludf.DUMMYFUNCTION("GOOGLETRANSLATE(B711,""en"",""tr"")"),"GPX Bilgileri")</f>
        <v>GPX Bilgileri</v>
      </c>
      <c r="P711" s="4" t="str">
        <f>IFERROR(__xludf.DUMMYFUNCTION("GOOGLETRANSLATE(B711,""en"",""ar"")"),"معلومات GPX")</f>
        <v>معلومات GPX</v>
      </c>
      <c r="Q711" s="4" t="str">
        <f>IFERROR(__xludf.DUMMYFUNCTION("GOOGLETRANSLATE(B711,""en"",""mr"")"),"GPX माहिती")</f>
        <v>GPX माहिती</v>
      </c>
      <c r="R711" s="4" t="str">
        <f>IFERROR(__xludf.DUMMYFUNCTION("GOOGLETRANSLATE(B711,""en"",""gu"")"),"GPX માહિતી")</f>
        <v>GPX માહિતી</v>
      </c>
      <c r="S711" s="4" t="str">
        <f>IFERROR(__xludf.DUMMYFUNCTION("GOOGLETRANSLATE(B711,""en"",""bn"")"),"GPX তথ্য")</f>
        <v>GPX তথ্য</v>
      </c>
      <c r="T711" s="4" t="str">
        <f>IFERROR(__xludf.DUMMYFUNCTION("GOOGLETRANSLATE(B711,""en"",""pa"")"),"GPX ਜਾਣਕਾਰੀ")</f>
        <v>GPX ਜਾਣਕਾਰੀ</v>
      </c>
      <c r="U711" s="4" t="str">
        <f>IFERROR(__xludf.DUMMYFUNCTION("GOOGLETRANSLATE(B711,""en"",""te"")"),"GPX సమాచారం")</f>
        <v>GPX సమాచారం</v>
      </c>
      <c r="V711" s="4" t="str">
        <f>IFERROR(__xludf.DUMMYFUNCTION("GOOGLETRANSLATE(B711,""en"",""kn"")"),"GPX ಮಾಹಿತಿ")</f>
        <v>GPX ಮಾಹಿತಿ</v>
      </c>
      <c r="W711" s="4" t="str">
        <f>IFERROR(__xludf.DUMMYFUNCTION("GOOGLETRANSLATE(B711,""en"",""ml"")"),"GPX വിവരങ്ങൾ")</f>
        <v>GPX വിവരങ്ങൾ</v>
      </c>
      <c r="X711" s="4" t="str">
        <f>IFERROR(__xludf.DUMMYFUNCTION("GOOGLETRANSLATE(B711,""en"",""th"")"),"ข้อมูล GPX")</f>
        <v>ข้อมูล GPX</v>
      </c>
      <c r="Y711" s="4" t="str">
        <f>IFERROR(__xludf.DUMMYFUNCTION("GOOGLETRANSLATE(B711,""en"",""ko"")"),"GPX 정보")</f>
        <v>GPX 정보</v>
      </c>
      <c r="Z711" s="4" t="str">
        <f>IFERROR(__xludf.DUMMYFUNCTION("GOOGLETRANSLATE(B711,""en"",""zh"")"),"GPX信息")</f>
        <v>GPX信息</v>
      </c>
      <c r="AA711" s="4" t="str">
        <f>IFERROR(__xludf.DUMMYFUNCTION("GOOGLETRANSLATE(B711,""en"",""zh-TW"")"),"GPX訊息")</f>
        <v>GPX訊息</v>
      </c>
      <c r="AB711" s="4" t="str">
        <f>IFERROR(__xludf.DUMMYFUNCTION("GOOGLETRANSLATE(B711,""en"",""ja"")"),"GPX情報")</f>
        <v>GPX情報</v>
      </c>
      <c r="AC711" s="4" t="str">
        <f>IFERROR(__xludf.DUMMYFUNCTION("GOOGLETRANSLATE(B711,""en"",""bg"")"),"Информация за GPX")</f>
        <v>Информация за GPX</v>
      </c>
      <c r="AD711" s="4" t="str">
        <f>IFERROR(__xludf.DUMMYFUNCTION("GOOGLETRANSLATE(B711,""en"",""cs"")"),"Informace GPX")</f>
        <v>Informace GPX</v>
      </c>
      <c r="AE711" s="4" t="str">
        <f>IFERROR(__xludf.DUMMYFUNCTION("GOOGLETRANSLATE(B711,""en"",""da"")"),"GPX-oplysninger")</f>
        <v>GPX-oplysninger</v>
      </c>
      <c r="AF711" s="4" t="str">
        <f>IFERROR(__xludf.DUMMYFUNCTION("GOOGLETRANSLATE(B711,""en"",""el"")"),"Πληροφορίες GPX")</f>
        <v>Πληροφορίες GPX</v>
      </c>
      <c r="AG711" s="4" t="str">
        <f>IFERROR(__xludf.DUMMYFUNCTION("GOOGLETRANSLATE(B711,""en"",""et"")"),"GPX teave")</f>
        <v>GPX teave</v>
      </c>
      <c r="AH711" s="4" t="str">
        <f>IFERROR(__xludf.DUMMYFUNCTION("GOOGLETRANSLATE(B711,""en"",""fi"")"),"GPX-tiedot")</f>
        <v>GPX-tiedot</v>
      </c>
      <c r="AI711" s="4" t="str">
        <f>IFERROR(__xludf.DUMMYFUNCTION("GOOGLETRANSLATE(B711,""en"",""hr"")"),"GPX informacije")</f>
        <v>GPX informacije</v>
      </c>
      <c r="AJ711" s="4" t="str">
        <f>IFERROR(__xludf.DUMMYFUNCTION("GOOGLETRANSLATE(B711,""en"",""hu"")"),"GPX információ")</f>
        <v>GPX információ</v>
      </c>
      <c r="AK711" s="4" t="str">
        <f>IFERROR(__xludf.DUMMYFUNCTION("GOOGLETRANSLATE(B711,""en"",""hy"")"),"GPX տեղեկատվություն")</f>
        <v>GPX տեղեկատվություն</v>
      </c>
      <c r="AL711" s="4" t="str">
        <f>IFERROR(__xludf.DUMMYFUNCTION("GOOGLETRANSLATE(B711,""en"",""ca"")"),"Informació GPX")</f>
        <v>Informació GPX</v>
      </c>
      <c r="AM711" s="4" t="str">
        <f>IFERROR(__xludf.DUMMYFUNCTION("GOOGLETRANSLATE(B711,""en"",""nl"")"),"GPX-informatie")</f>
        <v>GPX-informatie</v>
      </c>
      <c r="AN711" s="4" t="str">
        <f>IFERROR(__xludf.DUMMYFUNCTION("GOOGLETRANSLATE(B711,""en"",""he"")"),"מידע GPX")</f>
        <v>מידע GPX</v>
      </c>
      <c r="AO711" s="4" t="str">
        <f>IFERROR(__xludf.DUMMYFUNCTION("GOOGLETRANSLATE(B711,""en"",""is"")"),"GPX upplýsingar")</f>
        <v>GPX upplýsingar</v>
      </c>
      <c r="AP711" s="4" t="str">
        <f>IFERROR(__xludf.DUMMYFUNCTION("GOOGLETRANSLATE(B711,""en"",""no"")"),"GPX-informasjon")</f>
        <v>GPX-informasjon</v>
      </c>
      <c r="AQ711" s="4" t="str">
        <f>IFERROR(__xludf.DUMMYFUNCTION("GOOGLETRANSLATE(B711,""en"",""fa"")"),"اطلاعات GPX")</f>
        <v>اطلاعات GPX</v>
      </c>
      <c r="AR711" s="4" t="str">
        <f>IFERROR(__xludf.DUMMYFUNCTION("GOOGLETRANSLATE(B711,""en"",""pl"")"),"Informacje GPX")</f>
        <v>Informacje GPX</v>
      </c>
      <c r="AS711" s="4" t="str">
        <f>IFERROR(__xludf.DUMMYFUNCTION("GOOGLETRANSLATE(B711,""en"",""sv"")"),"GPX-information")</f>
        <v>GPX-information</v>
      </c>
      <c r="AT711" s="4" t="str">
        <f>IFERROR(__xludf.DUMMYFUNCTION("GOOGLETRANSLATE(B711,""en"",""uk"")"),"Інформація GPX")</f>
        <v>Інформація GPX</v>
      </c>
      <c r="AU711" s="4" t="str">
        <f>IFERROR(__xludf.DUMMYFUNCTION("GOOGLETRANSLATE(B711,""en"",""zu"")"),"Ulwazi lwe-GPX")</f>
        <v>Ulwazi lwe-GPX</v>
      </c>
      <c r="AV711" s="4" t="str">
        <f>IFERROR(__xludf.DUMMYFUNCTION("GOOGLETRANSLATE(B711,""en"",""sr"")"),"ГПКС информације")</f>
        <v>ГПКС информације</v>
      </c>
    </row>
    <row r="712">
      <c r="A712" s="3" t="s">
        <v>1344</v>
      </c>
      <c r="B712" s="3" t="s">
        <v>1345</v>
      </c>
      <c r="C712" s="4" t="str">
        <f>IFERROR(__xludf.DUMMYFUNCTION("GOOGLETRANSLATE(B712,""en"",""ta"")"),"புள்ளிவிவரங்கள்")</f>
        <v>புள்ளிவிவரங்கள்</v>
      </c>
      <c r="D712" s="4" t="str">
        <f>IFERROR(__xludf.DUMMYFUNCTION("GOOGLETRANSLATE(B712,""en"",""hi"")"),"आंकड़े")</f>
        <v>आंकड़े</v>
      </c>
      <c r="E712" s="4" t="str">
        <f>IFERROR(__xludf.DUMMYFUNCTION("GOOGLETRANSLATE(B712,""en"",""id"")"),"Statistik")</f>
        <v>Statistik</v>
      </c>
      <c r="F712" s="4" t="str">
        <f>IFERROR(__xludf.DUMMYFUNCTION("GOOGLETRANSLATE(B712,""en"",""ms"")"),"Perangkaan")</f>
        <v>Perangkaan</v>
      </c>
      <c r="G712" s="4" t="str">
        <f>IFERROR(__xludf.DUMMYFUNCTION("GOOGLETRANSLATE(B712,""en"",""de"")"),"Statistiken")</f>
        <v>Statistiken</v>
      </c>
      <c r="H712" s="4" t="str">
        <f>IFERROR(__xludf.DUMMYFUNCTION("GOOGLETRANSLATE(B712,""en"",""es"")"),"Estadística")</f>
        <v>Estadística</v>
      </c>
      <c r="I712" s="4" t="str">
        <f>IFERROR(__xludf.DUMMYFUNCTION("GOOGLETRANSLATE(B712,""en"",""fr"")"),"Statistiques")</f>
        <v>Statistiques</v>
      </c>
      <c r="J712" s="4" t="str">
        <f>IFERROR(__xludf.DUMMYFUNCTION("GOOGLETRANSLATE(B712,""en"",""it"")"),"Statistiche")</f>
        <v>Statistiche</v>
      </c>
      <c r="K712" s="4" t="str">
        <f>IFERROR(__xludf.DUMMYFUNCTION("GOOGLETRANSLATE(B712,""en"",""pt"")"),"Estatísticas")</f>
        <v>Estatísticas</v>
      </c>
      <c r="L712" s="4" t="str">
        <f>IFERROR(__xludf.DUMMYFUNCTION("GOOGLETRANSLATE(B712,""en"",""ro"")"),"Statistici")</f>
        <v>Statistici</v>
      </c>
      <c r="M712" s="4" t="str">
        <f>IFERROR(__xludf.DUMMYFUNCTION("GOOGLETRANSLATE(B712,""en"",""vi"")"),"Thống kê")</f>
        <v>Thống kê</v>
      </c>
      <c r="N712" s="4" t="str">
        <f>IFERROR(__xludf.DUMMYFUNCTION("GOOGLETRANSLATE(B712,""en"",""ru"")"),"Статистика")</f>
        <v>Статистика</v>
      </c>
      <c r="O712" s="4" t="str">
        <f>IFERROR(__xludf.DUMMYFUNCTION("GOOGLETRANSLATE(B712,""en"",""tr"")"),"İstatistikler")</f>
        <v>İstatistikler</v>
      </c>
      <c r="P712" s="4" t="str">
        <f>IFERROR(__xludf.DUMMYFUNCTION("GOOGLETRANSLATE(B712,""en"",""ar"")"),"إحصائيات")</f>
        <v>إحصائيات</v>
      </c>
      <c r="Q712" s="4" t="str">
        <f>IFERROR(__xludf.DUMMYFUNCTION("GOOGLETRANSLATE(B712,""en"",""mr"")"),"आकडेवारी")</f>
        <v>आकडेवारी</v>
      </c>
      <c r="R712" s="4" t="str">
        <f>IFERROR(__xludf.DUMMYFUNCTION("GOOGLETRANSLATE(B712,""en"",""gu"")"),"આંકડા")</f>
        <v>આંકડા</v>
      </c>
      <c r="S712" s="4" t="str">
        <f>IFERROR(__xludf.DUMMYFUNCTION("GOOGLETRANSLATE(B712,""en"",""bn"")"),"পরিসংখ্যান")</f>
        <v>পরিসংখ্যান</v>
      </c>
      <c r="T712" s="4" t="str">
        <f>IFERROR(__xludf.DUMMYFUNCTION("GOOGLETRANSLATE(B712,""en"",""pa"")"),"ਅੰਕੜੇ")</f>
        <v>ਅੰਕੜੇ</v>
      </c>
      <c r="U712" s="4" t="str">
        <f>IFERROR(__xludf.DUMMYFUNCTION("GOOGLETRANSLATE(B712,""en"",""te"")"),"గణాంకాలు")</f>
        <v>గణాంకాలు</v>
      </c>
      <c r="V712" s="4" t="str">
        <f>IFERROR(__xludf.DUMMYFUNCTION("GOOGLETRANSLATE(B712,""en"",""kn"")"),"ಅಂಕಿಅಂಶಗಳು")</f>
        <v>ಅಂಕಿಅಂಶಗಳು</v>
      </c>
      <c r="W712" s="4" t="str">
        <f>IFERROR(__xludf.DUMMYFUNCTION("GOOGLETRANSLATE(B712,""en"",""ml"")"),"സ്ഥിതിവിവരക്കണക്കുകൾ")</f>
        <v>സ്ഥിതിവിവരക്കണക്കുകൾ</v>
      </c>
      <c r="X712" s="4" t="str">
        <f>IFERROR(__xludf.DUMMYFUNCTION("GOOGLETRANSLATE(B712,""en"",""th"")"),"สถิติ")</f>
        <v>สถิติ</v>
      </c>
      <c r="Y712" s="4" t="str">
        <f>IFERROR(__xludf.DUMMYFUNCTION("GOOGLETRANSLATE(B712,""en"",""ko"")"),"통계")</f>
        <v>통계</v>
      </c>
      <c r="Z712" s="4" t="str">
        <f>IFERROR(__xludf.DUMMYFUNCTION("GOOGLETRANSLATE(B712,""en"",""zh"")"),"统计数据")</f>
        <v>统计数据</v>
      </c>
      <c r="AA712" s="4" t="str">
        <f>IFERROR(__xludf.DUMMYFUNCTION("GOOGLETRANSLATE(B712,""en"",""zh-TW"")"),"統計數據")</f>
        <v>統計數據</v>
      </c>
      <c r="AB712" s="4" t="str">
        <f>IFERROR(__xludf.DUMMYFUNCTION("GOOGLETRANSLATE(B712,""en"",""ja"")"),"統計")</f>
        <v>統計</v>
      </c>
      <c r="AC712" s="4" t="str">
        <f>IFERROR(__xludf.DUMMYFUNCTION("GOOGLETRANSLATE(B712,""en"",""bg"")"),"Статистика")</f>
        <v>Статистика</v>
      </c>
      <c r="AD712" s="4" t="str">
        <f>IFERROR(__xludf.DUMMYFUNCTION("GOOGLETRANSLATE(B712,""en"",""cs"")"),"Statistika")</f>
        <v>Statistika</v>
      </c>
      <c r="AE712" s="4" t="str">
        <f>IFERROR(__xludf.DUMMYFUNCTION("GOOGLETRANSLATE(B712,""en"",""da"")"),"Statistik")</f>
        <v>Statistik</v>
      </c>
      <c r="AF712" s="4" t="str">
        <f>IFERROR(__xludf.DUMMYFUNCTION("GOOGLETRANSLATE(B712,""en"",""el"")"),"Στατιστική")</f>
        <v>Στατιστική</v>
      </c>
      <c r="AG712" s="4" t="str">
        <f>IFERROR(__xludf.DUMMYFUNCTION("GOOGLETRANSLATE(B712,""en"",""et"")"),"Statistika")</f>
        <v>Statistika</v>
      </c>
      <c r="AH712" s="4" t="str">
        <f>IFERROR(__xludf.DUMMYFUNCTION("GOOGLETRANSLATE(B712,""en"",""fi"")"),"Tilastot")</f>
        <v>Tilastot</v>
      </c>
      <c r="AI712" s="4" t="str">
        <f>IFERROR(__xludf.DUMMYFUNCTION("GOOGLETRANSLATE(B712,""en"",""hr"")"),"Statistika")</f>
        <v>Statistika</v>
      </c>
      <c r="AJ712" s="4" t="str">
        <f>IFERROR(__xludf.DUMMYFUNCTION("GOOGLETRANSLATE(B712,""en"",""hu"")"),"Statisztika")</f>
        <v>Statisztika</v>
      </c>
      <c r="AK712" s="4" t="str">
        <f>IFERROR(__xludf.DUMMYFUNCTION("GOOGLETRANSLATE(B712,""en"",""hy"")"),"Վիճակագրություն")</f>
        <v>Վիճակագրություն</v>
      </c>
      <c r="AL712" s="4" t="str">
        <f>IFERROR(__xludf.DUMMYFUNCTION("GOOGLETRANSLATE(B712,""en"",""ca"")"),"Estadístiques")</f>
        <v>Estadístiques</v>
      </c>
      <c r="AM712" s="4" t="str">
        <f>IFERROR(__xludf.DUMMYFUNCTION("GOOGLETRANSLATE(B712,""en"",""nl"")"),"Statistieken")</f>
        <v>Statistieken</v>
      </c>
      <c r="AN712" s="4" t="str">
        <f>IFERROR(__xludf.DUMMYFUNCTION("GOOGLETRANSLATE(B712,""en"",""he"")"),"סטָטִיסטִיקָה")</f>
        <v>סטָטִיסטִיקָה</v>
      </c>
      <c r="AO712" s="4" t="str">
        <f>IFERROR(__xludf.DUMMYFUNCTION("GOOGLETRANSLATE(B712,""en"",""is"")"),"Tölfræði")</f>
        <v>Tölfræði</v>
      </c>
      <c r="AP712" s="4" t="str">
        <f>IFERROR(__xludf.DUMMYFUNCTION("GOOGLETRANSLATE(B712,""en"",""no"")"),"Statistikk")</f>
        <v>Statistikk</v>
      </c>
      <c r="AQ712" s="4" t="str">
        <f>IFERROR(__xludf.DUMMYFUNCTION("GOOGLETRANSLATE(B712,""en"",""fa"")"),"آمار")</f>
        <v>آمار</v>
      </c>
      <c r="AR712" s="4" t="str">
        <f>IFERROR(__xludf.DUMMYFUNCTION("GOOGLETRANSLATE(B712,""en"",""pl"")"),"Statystyka")</f>
        <v>Statystyka</v>
      </c>
      <c r="AS712" s="4" t="str">
        <f>IFERROR(__xludf.DUMMYFUNCTION("GOOGLETRANSLATE(B712,""en"",""sv"")"),"Statistik")</f>
        <v>Statistik</v>
      </c>
      <c r="AT712" s="4" t="str">
        <f>IFERROR(__xludf.DUMMYFUNCTION("GOOGLETRANSLATE(B712,""en"",""uk"")"),"Статистика")</f>
        <v>Статистика</v>
      </c>
      <c r="AU712" s="4" t="str">
        <f>IFERROR(__xludf.DUMMYFUNCTION("GOOGLETRANSLATE(B712,""en"",""zu"")"),"Izibalo")</f>
        <v>Izibalo</v>
      </c>
      <c r="AV712" s="4" t="str">
        <f>IFERROR(__xludf.DUMMYFUNCTION("GOOGLETRANSLATE(B712,""en"",""sr"")"),"Статистика")</f>
        <v>Статистика</v>
      </c>
    </row>
    <row r="713">
      <c r="A713" s="3" t="s">
        <v>1346</v>
      </c>
      <c r="B713" s="3" t="s">
        <v>1347</v>
      </c>
      <c r="C713" s="4" t="str">
        <f>IFERROR(__xludf.DUMMYFUNCTION("GOOGLETRANSLATE(B713,""en"",""ta"")"),"நீளம்:")</f>
        <v>நீளம்:</v>
      </c>
      <c r="D713" s="4" t="str">
        <f>IFERROR(__xludf.DUMMYFUNCTION("GOOGLETRANSLATE(B713,""en"",""hi"")"),"लंबाई:")</f>
        <v>लंबाई:</v>
      </c>
      <c r="E713" s="4" t="str">
        <f>IFERROR(__xludf.DUMMYFUNCTION("GOOGLETRANSLATE(B713,""en"",""id"")"),"Panjang:")</f>
        <v>Panjang:</v>
      </c>
      <c r="F713" s="4" t="str">
        <f>IFERROR(__xludf.DUMMYFUNCTION("GOOGLETRANSLATE(B713,""en"",""ms"")"),"Panjang:")</f>
        <v>Panjang:</v>
      </c>
      <c r="G713" s="4" t="str">
        <f>IFERROR(__xludf.DUMMYFUNCTION("GOOGLETRANSLATE(B713,""en"",""de"")"),"Länge:")</f>
        <v>Länge:</v>
      </c>
      <c r="H713" s="4" t="str">
        <f>IFERROR(__xludf.DUMMYFUNCTION("GOOGLETRANSLATE(B713,""en"",""es"")"),"Longitud:")</f>
        <v>Longitud:</v>
      </c>
      <c r="I713" s="4" t="str">
        <f>IFERROR(__xludf.DUMMYFUNCTION("GOOGLETRANSLATE(B713,""en"",""fr"")"),"Longueur:")</f>
        <v>Longueur:</v>
      </c>
      <c r="J713" s="4" t="str">
        <f>IFERROR(__xludf.DUMMYFUNCTION("GOOGLETRANSLATE(B713,""en"",""it"")"),"Lunghezza:")</f>
        <v>Lunghezza:</v>
      </c>
      <c r="K713" s="4" t="str">
        <f>IFERROR(__xludf.DUMMYFUNCTION("GOOGLETRANSLATE(B713,""en"",""pt"")"),"Comprimento:")</f>
        <v>Comprimento:</v>
      </c>
      <c r="L713" s="4" t="str">
        <f>IFERROR(__xludf.DUMMYFUNCTION("GOOGLETRANSLATE(B713,""en"",""ro"")"),"Lungime:")</f>
        <v>Lungime:</v>
      </c>
      <c r="M713" s="4" t="str">
        <f>IFERROR(__xludf.DUMMYFUNCTION("GOOGLETRANSLATE(B713,""en"",""vi"")"),"Chiều dài:")</f>
        <v>Chiều dài:</v>
      </c>
      <c r="N713" s="4" t="str">
        <f>IFERROR(__xludf.DUMMYFUNCTION("GOOGLETRANSLATE(B713,""en"",""ru"")"),"Длина:")</f>
        <v>Длина:</v>
      </c>
      <c r="O713" s="4" t="str">
        <f>IFERROR(__xludf.DUMMYFUNCTION("GOOGLETRANSLATE(B713,""en"",""tr"")"),"Uzunluk:")</f>
        <v>Uzunluk:</v>
      </c>
      <c r="P713" s="4" t="str">
        <f>IFERROR(__xludf.DUMMYFUNCTION("GOOGLETRANSLATE(B713,""en"",""ar"")"),"طول:")</f>
        <v>طول:</v>
      </c>
      <c r="Q713" s="4" t="str">
        <f>IFERROR(__xludf.DUMMYFUNCTION("GOOGLETRANSLATE(B713,""en"",""mr"")"),"लांबी:")</f>
        <v>लांबी:</v>
      </c>
      <c r="R713" s="4" t="str">
        <f>IFERROR(__xludf.DUMMYFUNCTION("GOOGLETRANSLATE(B713,""en"",""gu"")"),"લંબાઈ:")</f>
        <v>લંબાઈ:</v>
      </c>
      <c r="S713" s="4" t="str">
        <f>IFERROR(__xludf.DUMMYFUNCTION("GOOGLETRANSLATE(B713,""en"",""bn"")"),"দৈর্ঘ্য:")</f>
        <v>দৈর্ঘ্য:</v>
      </c>
      <c r="T713" s="4" t="str">
        <f>IFERROR(__xludf.DUMMYFUNCTION("GOOGLETRANSLATE(B713,""en"",""pa"")"),"ਲੰਬਾਈ:")</f>
        <v>ਲੰਬਾਈ:</v>
      </c>
      <c r="U713" s="4" t="str">
        <f>IFERROR(__xludf.DUMMYFUNCTION("GOOGLETRANSLATE(B713,""en"",""te"")"),"పొడవు:")</f>
        <v>పొడవు:</v>
      </c>
      <c r="V713" s="4" t="str">
        <f>IFERROR(__xludf.DUMMYFUNCTION("GOOGLETRANSLATE(B713,""en"",""kn"")"),"ಉದ್ದ:")</f>
        <v>ಉದ್ದ:</v>
      </c>
      <c r="W713" s="4" t="str">
        <f>IFERROR(__xludf.DUMMYFUNCTION("GOOGLETRANSLATE(B713,""en"",""ml"")"),"നീളം:")</f>
        <v>നീളം:</v>
      </c>
      <c r="X713" s="4" t="str">
        <f>IFERROR(__xludf.DUMMYFUNCTION("GOOGLETRANSLATE(B713,""en"",""th"")"),"ความยาว:")</f>
        <v>ความยาว:</v>
      </c>
      <c r="Y713" s="4" t="str">
        <f>IFERROR(__xludf.DUMMYFUNCTION("GOOGLETRANSLATE(B713,""en"",""ko"")"),"길이:")</f>
        <v>길이:</v>
      </c>
      <c r="Z713" s="4" t="str">
        <f>IFERROR(__xludf.DUMMYFUNCTION("GOOGLETRANSLATE(B713,""en"",""zh"")"),"长度：")</f>
        <v>长度：</v>
      </c>
      <c r="AA713" s="4" t="str">
        <f>IFERROR(__xludf.DUMMYFUNCTION("GOOGLETRANSLATE(B713,""en"",""zh-TW"")"),"長度：")</f>
        <v>長度：</v>
      </c>
      <c r="AB713" s="4" t="str">
        <f>IFERROR(__xludf.DUMMYFUNCTION("GOOGLETRANSLATE(B713,""en"",""ja"")"),"長さ：")</f>
        <v>長さ：</v>
      </c>
      <c r="AC713" s="4" t="str">
        <f>IFERROR(__xludf.DUMMYFUNCTION("GOOGLETRANSLATE(B713,""en"",""bg"")"),"Дължина:")</f>
        <v>Дължина:</v>
      </c>
      <c r="AD713" s="4" t="str">
        <f>IFERROR(__xludf.DUMMYFUNCTION("GOOGLETRANSLATE(B713,""en"",""cs"")"),"Délka:")</f>
        <v>Délka:</v>
      </c>
      <c r="AE713" s="4" t="str">
        <f>IFERROR(__xludf.DUMMYFUNCTION("GOOGLETRANSLATE(B713,""en"",""da"")"),"Længde:")</f>
        <v>Længde:</v>
      </c>
      <c r="AF713" s="4" t="str">
        <f>IFERROR(__xludf.DUMMYFUNCTION("GOOGLETRANSLATE(B713,""en"",""el"")"),"Μήκος:")</f>
        <v>Μήκος:</v>
      </c>
      <c r="AG713" s="4" t="str">
        <f>IFERROR(__xludf.DUMMYFUNCTION("GOOGLETRANSLATE(B713,""en"",""et"")"),"Pikkus:")</f>
        <v>Pikkus:</v>
      </c>
      <c r="AH713" s="4" t="str">
        <f>IFERROR(__xludf.DUMMYFUNCTION("GOOGLETRANSLATE(B713,""en"",""fi"")"),"Pituus:")</f>
        <v>Pituus:</v>
      </c>
      <c r="AI713" s="4" t="str">
        <f>IFERROR(__xludf.DUMMYFUNCTION("GOOGLETRANSLATE(B713,""en"",""hr"")"),"duljina:")</f>
        <v>duljina:</v>
      </c>
      <c r="AJ713" s="4" t="str">
        <f>IFERROR(__xludf.DUMMYFUNCTION("GOOGLETRANSLATE(B713,""en"",""hu"")"),"Hossz:")</f>
        <v>Hossz:</v>
      </c>
      <c r="AK713" s="4" t="str">
        <f>IFERROR(__xludf.DUMMYFUNCTION("GOOGLETRANSLATE(B713,""en"",""hy"")"),"Երկարությունը:")</f>
        <v>Երկարությունը:</v>
      </c>
      <c r="AL713" s="4" t="str">
        <f>IFERROR(__xludf.DUMMYFUNCTION("GOOGLETRANSLATE(B713,""en"",""ca"")"),"Longitud:")</f>
        <v>Longitud:</v>
      </c>
      <c r="AM713" s="4" t="str">
        <f>IFERROR(__xludf.DUMMYFUNCTION("GOOGLETRANSLATE(B713,""en"",""nl"")"),"Lengte:")</f>
        <v>Lengte:</v>
      </c>
      <c r="AN713" s="4" t="str">
        <f>IFERROR(__xludf.DUMMYFUNCTION("GOOGLETRANSLATE(B713,""en"",""he"")"),"מֶשֶׁך:")</f>
        <v>מֶשֶׁך:</v>
      </c>
      <c r="AO713" s="4" t="str">
        <f>IFERROR(__xludf.DUMMYFUNCTION("GOOGLETRANSLATE(B713,""en"",""is"")"),"Lengd:")</f>
        <v>Lengd:</v>
      </c>
      <c r="AP713" s="4" t="str">
        <f>IFERROR(__xludf.DUMMYFUNCTION("GOOGLETRANSLATE(B713,""en"",""no"")"),"Lengde:")</f>
        <v>Lengde:</v>
      </c>
      <c r="AQ713" s="4" t="str">
        <f>IFERROR(__xludf.DUMMYFUNCTION("GOOGLETRANSLATE(B713,""en"",""fa"")"),"طول:")</f>
        <v>طول:</v>
      </c>
      <c r="AR713" s="4" t="str">
        <f>IFERROR(__xludf.DUMMYFUNCTION("GOOGLETRANSLATE(B713,""en"",""pl"")"),"Długość:")</f>
        <v>Długość:</v>
      </c>
      <c r="AS713" s="4" t="str">
        <f>IFERROR(__xludf.DUMMYFUNCTION("GOOGLETRANSLATE(B713,""en"",""sv"")"),"Längd:")</f>
        <v>Längd:</v>
      </c>
      <c r="AT713" s="4" t="str">
        <f>IFERROR(__xludf.DUMMYFUNCTION("GOOGLETRANSLATE(B713,""en"",""uk"")"),"Довжина:")</f>
        <v>Довжина:</v>
      </c>
      <c r="AU713" s="4" t="str">
        <f>IFERROR(__xludf.DUMMYFUNCTION("GOOGLETRANSLATE(B713,""en"",""zu"")"),"Ubude:")</f>
        <v>Ubude:</v>
      </c>
      <c r="AV713" s="4" t="str">
        <f>IFERROR(__xludf.DUMMYFUNCTION("GOOGLETRANSLATE(B713,""en"",""sr"")"),"дужина:")</f>
        <v>дужина:</v>
      </c>
    </row>
    <row r="714">
      <c r="A714" s="3" t="s">
        <v>1348</v>
      </c>
      <c r="B714" s="3" t="s">
        <v>1349</v>
      </c>
      <c r="C714" s="4" t="str">
        <f>IFERROR(__xludf.DUMMYFUNCTION("GOOGLETRANSLATE(B714,""en"",""ta"")"),"உயர வேறுபாடு:")</f>
        <v>உயர வேறுபாடு:</v>
      </c>
      <c r="D714" s="4" t="str">
        <f>IFERROR(__xludf.DUMMYFUNCTION("GOOGLETRANSLATE(B714,""en"",""hi"")"),"ऊंचाई अंतर:")</f>
        <v>ऊंचाई अंतर:</v>
      </c>
      <c r="E714" s="4" t="str">
        <f>IFERROR(__xludf.DUMMYFUNCTION("GOOGLETRANSLATE(B714,""en"",""id"")"),"Perbedaan ketinggian:")</f>
        <v>Perbedaan ketinggian:</v>
      </c>
      <c r="F714" s="4" t="str">
        <f>IFERROR(__xludf.DUMMYFUNCTION("GOOGLETRANSLATE(B714,""en"",""ms"")"),"Perbezaan ketinggian:")</f>
        <v>Perbezaan ketinggian:</v>
      </c>
      <c r="G714" s="4" t="str">
        <f>IFERROR(__xludf.DUMMYFUNCTION("GOOGLETRANSLATE(B714,""en"",""de"")"),"Höhenunterschied:")</f>
        <v>Höhenunterschied:</v>
      </c>
      <c r="H714" s="4" t="str">
        <f>IFERROR(__xludf.DUMMYFUNCTION("GOOGLETRANSLATE(B714,""en"",""es"")"),"Diferencia de elevación:")</f>
        <v>Diferencia de elevación:</v>
      </c>
      <c r="I714" s="4" t="str">
        <f>IFERROR(__xludf.DUMMYFUNCTION("GOOGLETRANSLATE(B714,""en"",""fr"")"),"Dénivelé :")</f>
        <v>Dénivelé :</v>
      </c>
      <c r="J714" s="4" t="str">
        <f>IFERROR(__xludf.DUMMYFUNCTION("GOOGLETRANSLATE(B714,""en"",""it"")"),"Dislivello:")</f>
        <v>Dislivello:</v>
      </c>
      <c r="K714" s="4" t="str">
        <f>IFERROR(__xludf.DUMMYFUNCTION("GOOGLETRANSLATE(B714,""en"",""pt"")"),"Diferença de elevação:")</f>
        <v>Diferença de elevação:</v>
      </c>
      <c r="L714" s="4" t="str">
        <f>IFERROR(__xludf.DUMMYFUNCTION("GOOGLETRANSLATE(B714,""en"",""ro"")"),"Diferența de cotă:")</f>
        <v>Diferența de cotă:</v>
      </c>
      <c r="M714" s="4" t="str">
        <f>IFERROR(__xludf.DUMMYFUNCTION("GOOGLETRANSLATE(B714,""en"",""vi"")"),"Chênh lệch độ cao:")</f>
        <v>Chênh lệch độ cao:</v>
      </c>
      <c r="N714" s="4" t="str">
        <f>IFERROR(__xludf.DUMMYFUNCTION("GOOGLETRANSLATE(B714,""en"",""ru"")"),"Перепад высот:")</f>
        <v>Перепад высот:</v>
      </c>
      <c r="O714" s="4" t="str">
        <f>IFERROR(__xludf.DUMMYFUNCTION("GOOGLETRANSLATE(B714,""en"",""tr"")"),"Yükselti farkı:")</f>
        <v>Yükselti farkı:</v>
      </c>
      <c r="P714" s="4" t="str">
        <f>IFERROR(__xludf.DUMMYFUNCTION("GOOGLETRANSLATE(B714,""en"",""ar"")"),"فرق الارتفاع:")</f>
        <v>فرق الارتفاع:</v>
      </c>
      <c r="Q714" s="4" t="str">
        <f>IFERROR(__xludf.DUMMYFUNCTION("GOOGLETRANSLATE(B714,""en"",""mr"")"),"उंची फरक:")</f>
        <v>उंची फरक:</v>
      </c>
      <c r="R714" s="4" t="str">
        <f>IFERROR(__xludf.DUMMYFUNCTION("GOOGLETRANSLATE(B714,""en"",""gu"")"),"ઉંચાઈ તફાવત:")</f>
        <v>ઉંચાઈ તફાવત:</v>
      </c>
      <c r="S714" s="4" t="str">
        <f>IFERROR(__xludf.DUMMYFUNCTION("GOOGLETRANSLATE(B714,""en"",""bn"")"),"উচ্চতার পার্থক্য:")</f>
        <v>উচ্চতার পার্থক্য:</v>
      </c>
      <c r="T714" s="4" t="str">
        <f>IFERROR(__xludf.DUMMYFUNCTION("GOOGLETRANSLATE(B714,""en"",""pa"")"),"ਉਚਾਈ ਅੰਤਰ:")</f>
        <v>ਉਚਾਈ ਅੰਤਰ:</v>
      </c>
      <c r="U714" s="4" t="str">
        <f>IFERROR(__xludf.DUMMYFUNCTION("GOOGLETRANSLATE(B714,""en"",""te"")"),"ఎత్తు వ్యత్యాసం:")</f>
        <v>ఎత్తు వ్యత్యాసం:</v>
      </c>
      <c r="V714" s="4" t="str">
        <f>IFERROR(__xludf.DUMMYFUNCTION("GOOGLETRANSLATE(B714,""en"",""kn"")"),"ಎತ್ತರದ ವ್ಯತ್ಯಾಸ:")</f>
        <v>ಎತ್ತರದ ವ್ಯತ್ಯಾಸ:</v>
      </c>
      <c r="W714" s="4" t="str">
        <f>IFERROR(__xludf.DUMMYFUNCTION("GOOGLETRANSLATE(B714,""en"",""ml"")"),"ഉയരവ്യത്യാസം:")</f>
        <v>ഉയരവ്യത്യാസം:</v>
      </c>
      <c r="X714" s="4" t="str">
        <f>IFERROR(__xludf.DUMMYFUNCTION("GOOGLETRANSLATE(B714,""en"",""th"")"),"ความแตกต่างของระดับความสูง:")</f>
        <v>ความแตกต่างของระดับความสูง:</v>
      </c>
      <c r="Y714" s="4" t="str">
        <f>IFERROR(__xludf.DUMMYFUNCTION("GOOGLETRANSLATE(B714,""en"",""ko"")"),"고도 차이:")</f>
        <v>고도 차이:</v>
      </c>
      <c r="Z714" s="4" t="str">
        <f>IFERROR(__xludf.DUMMYFUNCTION("GOOGLETRANSLATE(B714,""en"",""zh"")"),"高差：")</f>
        <v>高差：</v>
      </c>
      <c r="AA714" s="4" t="str">
        <f>IFERROR(__xludf.DUMMYFUNCTION("GOOGLETRANSLATE(B714,""en"",""zh-TW"")"),"高差：")</f>
        <v>高差：</v>
      </c>
      <c r="AB714" s="4" t="str">
        <f>IFERROR(__xludf.DUMMYFUNCTION("GOOGLETRANSLATE(B714,""en"",""ja"")"),"標高差:")</f>
        <v>標高差:</v>
      </c>
      <c r="AC714" s="4" t="str">
        <f>IFERROR(__xludf.DUMMYFUNCTION("GOOGLETRANSLATE(B714,""en"",""bg"")"),"Денивелация:")</f>
        <v>Денивелация:</v>
      </c>
      <c r="AD714" s="4" t="str">
        <f>IFERROR(__xludf.DUMMYFUNCTION("GOOGLETRANSLATE(B714,""en"",""cs"")"),"Výškový rozdíl:")</f>
        <v>Výškový rozdíl:</v>
      </c>
      <c r="AE714" s="4" t="str">
        <f>IFERROR(__xludf.DUMMYFUNCTION("GOOGLETRANSLATE(B714,""en"",""da"")"),"Højdeforskel:")</f>
        <v>Højdeforskel:</v>
      </c>
      <c r="AF714" s="4" t="str">
        <f>IFERROR(__xludf.DUMMYFUNCTION("GOOGLETRANSLATE(B714,""en"",""el"")"),"Υψομετρική διαφορά:")</f>
        <v>Υψομετρική διαφορά:</v>
      </c>
      <c r="AG714" s="4" t="str">
        <f>IFERROR(__xludf.DUMMYFUNCTION("GOOGLETRANSLATE(B714,""en"",""et"")"),"Kõrguse erinevus:")</f>
        <v>Kõrguse erinevus:</v>
      </c>
      <c r="AH714" s="4" t="str">
        <f>IFERROR(__xludf.DUMMYFUNCTION("GOOGLETRANSLATE(B714,""en"",""fi"")"),"Korkeusero:")</f>
        <v>Korkeusero:</v>
      </c>
      <c r="AI714" s="4" t="str">
        <f>IFERROR(__xludf.DUMMYFUNCTION("GOOGLETRANSLATE(B714,""en"",""hr"")"),"Visinska razlika:")</f>
        <v>Visinska razlika:</v>
      </c>
      <c r="AJ714" s="4" t="str">
        <f>IFERROR(__xludf.DUMMYFUNCTION("GOOGLETRANSLATE(B714,""en"",""hu"")"),"Szintkülönbség:")</f>
        <v>Szintkülönbség:</v>
      </c>
      <c r="AK714" s="4" t="str">
        <f>IFERROR(__xludf.DUMMYFUNCTION("GOOGLETRANSLATE(B714,""en"",""hy"")"),"Բարձրության տարբերություն.")</f>
        <v>Բարձրության տարբերություն.</v>
      </c>
      <c r="AL714" s="4" t="str">
        <f>IFERROR(__xludf.DUMMYFUNCTION("GOOGLETRANSLATE(B714,""en"",""ca"")"),"Desnivell:")</f>
        <v>Desnivell:</v>
      </c>
      <c r="AM714" s="4" t="str">
        <f>IFERROR(__xludf.DUMMYFUNCTION("GOOGLETRANSLATE(B714,""en"",""nl"")"),"Hoogteverschil:")</f>
        <v>Hoogteverschil:</v>
      </c>
      <c r="AN714" s="4" t="str">
        <f>IFERROR(__xludf.DUMMYFUNCTION("GOOGLETRANSLATE(B714,""en"",""he"")"),"הפרש גבהים:")</f>
        <v>הפרש גבהים:</v>
      </c>
      <c r="AO714" s="4" t="str">
        <f>IFERROR(__xludf.DUMMYFUNCTION("GOOGLETRANSLATE(B714,""en"",""is"")"),"Hæðarmunur:")</f>
        <v>Hæðarmunur:</v>
      </c>
      <c r="AP714" s="4" t="str">
        <f>IFERROR(__xludf.DUMMYFUNCTION("GOOGLETRANSLATE(B714,""en"",""no"")"),"Høydeforskjell:")</f>
        <v>Høydeforskjell:</v>
      </c>
      <c r="AQ714" s="4" t="str">
        <f>IFERROR(__xludf.DUMMYFUNCTION("GOOGLETRANSLATE(B714,""en"",""fa"")"),"اختلاف ارتفاع:")</f>
        <v>اختلاف ارتفاع:</v>
      </c>
      <c r="AR714" s="4" t="str">
        <f>IFERROR(__xludf.DUMMYFUNCTION("GOOGLETRANSLATE(B714,""en"",""pl"")"),"Różnica wysokości:")</f>
        <v>Różnica wysokości:</v>
      </c>
      <c r="AS714" s="4" t="str">
        <f>IFERROR(__xludf.DUMMYFUNCTION("GOOGLETRANSLATE(B714,""en"",""sv"")"),"Höjdskillnad:")</f>
        <v>Höjdskillnad:</v>
      </c>
      <c r="AT714" s="4" t="str">
        <f>IFERROR(__xludf.DUMMYFUNCTION("GOOGLETRANSLATE(B714,""en"",""uk"")"),"Перепад висот:")</f>
        <v>Перепад висот:</v>
      </c>
      <c r="AU714" s="4" t="str">
        <f>IFERROR(__xludf.DUMMYFUNCTION("GOOGLETRANSLATE(B714,""en"",""zu"")"),"Umehluko wokuphakama:")</f>
        <v>Umehluko wokuphakama:</v>
      </c>
      <c r="AV714" s="4" t="str">
        <f>IFERROR(__xludf.DUMMYFUNCTION("GOOGLETRANSLATE(B714,""en"",""sr"")"),"Висинска разлика:")</f>
        <v>Висинска разлика:</v>
      </c>
    </row>
    <row r="715">
      <c r="A715" s="3" t="s">
        <v>1350</v>
      </c>
      <c r="B715" s="3" t="s">
        <v>1351</v>
      </c>
      <c r="C715" s="4" t="str">
        <f>IFERROR(__xludf.DUMMYFUNCTION("GOOGLETRANSLATE(B715,""en"",""ta"")"),"தொடக்கம்:")</f>
        <v>தொடக்கம்:</v>
      </c>
      <c r="D715" s="4" t="str">
        <f>IFERROR(__xludf.DUMMYFUNCTION("GOOGLETRANSLATE(B715,""en"",""hi"")"),"शुरू करना:")</f>
        <v>शुरू करना:</v>
      </c>
      <c r="E715" s="4" t="str">
        <f>IFERROR(__xludf.DUMMYFUNCTION("GOOGLETRANSLATE(B715,""en"",""id"")"),"Awal:")</f>
        <v>Awal:</v>
      </c>
      <c r="F715" s="4" t="str">
        <f>IFERROR(__xludf.DUMMYFUNCTION("GOOGLETRANSLATE(B715,""en"",""ms"")"),"Mulakan:")</f>
        <v>Mulakan:</v>
      </c>
      <c r="G715" s="4" t="str">
        <f>IFERROR(__xludf.DUMMYFUNCTION("GOOGLETRANSLATE(B715,""en"",""de"")"),"Start:")</f>
        <v>Start:</v>
      </c>
      <c r="H715" s="4" t="str">
        <f>IFERROR(__xludf.DUMMYFUNCTION("GOOGLETRANSLATE(B715,""en"",""es"")"),"Comenzar:")</f>
        <v>Comenzar:</v>
      </c>
      <c r="I715" s="4" t="str">
        <f>IFERROR(__xludf.DUMMYFUNCTION("GOOGLETRANSLATE(B715,""en"",""fr"")"),"Commencer:")</f>
        <v>Commencer:</v>
      </c>
      <c r="J715" s="4" t="str">
        <f>IFERROR(__xludf.DUMMYFUNCTION("GOOGLETRANSLATE(B715,""en"",""it"")"),"Inizio:")</f>
        <v>Inizio:</v>
      </c>
      <c r="K715" s="4" t="str">
        <f>IFERROR(__xludf.DUMMYFUNCTION("GOOGLETRANSLATE(B715,""en"",""pt"")"),"Começar:")</f>
        <v>Começar:</v>
      </c>
      <c r="L715" s="4" t="str">
        <f>IFERROR(__xludf.DUMMYFUNCTION("GOOGLETRANSLATE(B715,""en"",""ro"")"),"Început:")</f>
        <v>Început:</v>
      </c>
      <c r="M715" s="4" t="str">
        <f>IFERROR(__xludf.DUMMYFUNCTION("GOOGLETRANSLATE(B715,""en"",""vi"")"),"Bắt đầu:")</f>
        <v>Bắt đầu:</v>
      </c>
      <c r="N715" s="4" t="str">
        <f>IFERROR(__xludf.DUMMYFUNCTION("GOOGLETRANSLATE(B715,""en"",""ru"")"),"Начинать:")</f>
        <v>Начинать:</v>
      </c>
      <c r="O715" s="4" t="str">
        <f>IFERROR(__xludf.DUMMYFUNCTION("GOOGLETRANSLATE(B715,""en"",""tr"")"),"Başlangıç:")</f>
        <v>Başlangıç:</v>
      </c>
      <c r="P715" s="4" t="str">
        <f>IFERROR(__xludf.DUMMYFUNCTION("GOOGLETRANSLATE(B715,""en"",""ar"")"),"يبدأ:")</f>
        <v>يبدأ:</v>
      </c>
      <c r="Q715" s="4" t="str">
        <f>IFERROR(__xludf.DUMMYFUNCTION("GOOGLETRANSLATE(B715,""en"",""mr"")"),"प्रारंभ:")</f>
        <v>प्रारंभ:</v>
      </c>
      <c r="R715" s="4" t="str">
        <f>IFERROR(__xludf.DUMMYFUNCTION("GOOGLETRANSLATE(B715,""en"",""gu"")"),"પ્રારંભ:")</f>
        <v>પ્રારંભ:</v>
      </c>
      <c r="S715" s="4" t="str">
        <f>IFERROR(__xludf.DUMMYFUNCTION("GOOGLETRANSLATE(B715,""en"",""bn"")"),"শুরু:")</f>
        <v>শুরু:</v>
      </c>
      <c r="T715" s="4" t="str">
        <f>IFERROR(__xludf.DUMMYFUNCTION("GOOGLETRANSLATE(B715,""en"",""pa"")"),"ਸ਼ੁਰੂ:")</f>
        <v>ਸ਼ੁਰੂ:</v>
      </c>
      <c r="U715" s="4" t="str">
        <f>IFERROR(__xludf.DUMMYFUNCTION("GOOGLETRANSLATE(B715,""en"",""te"")"),"ప్రారంభం:")</f>
        <v>ప్రారంభం:</v>
      </c>
      <c r="V715" s="4" t="str">
        <f>IFERROR(__xludf.DUMMYFUNCTION("GOOGLETRANSLATE(B715,""en"",""kn"")"),"ಪ್ರಾರಂಭಿಸಿ:")</f>
        <v>ಪ್ರಾರಂಭಿಸಿ:</v>
      </c>
      <c r="W715" s="4" t="str">
        <f>IFERROR(__xludf.DUMMYFUNCTION("GOOGLETRANSLATE(B715,""en"",""ml"")"),"ആരംഭിക്കുക:")</f>
        <v>ആരംഭിക്കുക:</v>
      </c>
      <c r="X715" s="4" t="str">
        <f>IFERROR(__xludf.DUMMYFUNCTION("GOOGLETRANSLATE(B715,""en"",""th"")"),"เริ่ม:")</f>
        <v>เริ่ม:</v>
      </c>
      <c r="Y715" s="4" t="str">
        <f>IFERROR(__xludf.DUMMYFUNCTION("GOOGLETRANSLATE(B715,""en"",""ko"")"),"시작:")</f>
        <v>시작:</v>
      </c>
      <c r="Z715" s="4" t="str">
        <f>IFERROR(__xludf.DUMMYFUNCTION("GOOGLETRANSLATE(B715,""en"",""zh"")"),"开始：")</f>
        <v>开始：</v>
      </c>
      <c r="AA715" s="4" t="str">
        <f>IFERROR(__xludf.DUMMYFUNCTION("GOOGLETRANSLATE(B715,""en"",""zh-TW"")"),"開始：")</f>
        <v>開始：</v>
      </c>
      <c r="AB715" s="4" t="str">
        <f>IFERROR(__xludf.DUMMYFUNCTION("GOOGLETRANSLATE(B715,""en"",""ja"")"),"始める：")</f>
        <v>始める：</v>
      </c>
      <c r="AC715" s="4" t="str">
        <f>IFERROR(__xludf.DUMMYFUNCTION("GOOGLETRANSLATE(B715,""en"",""bg"")"),"Начало:")</f>
        <v>Начало:</v>
      </c>
      <c r="AD715" s="4" t="str">
        <f>IFERROR(__xludf.DUMMYFUNCTION("GOOGLETRANSLATE(B715,""en"",""cs"")"),"Start:")</f>
        <v>Start:</v>
      </c>
      <c r="AE715" s="4" t="str">
        <f>IFERROR(__xludf.DUMMYFUNCTION("GOOGLETRANSLATE(B715,""en"",""da"")"),"Starte:")</f>
        <v>Starte:</v>
      </c>
      <c r="AF715" s="4" t="str">
        <f>IFERROR(__xludf.DUMMYFUNCTION("GOOGLETRANSLATE(B715,""en"",""el"")"),"Αρχή:")</f>
        <v>Αρχή:</v>
      </c>
      <c r="AG715" s="4" t="str">
        <f>IFERROR(__xludf.DUMMYFUNCTION("GOOGLETRANSLATE(B715,""en"",""et"")"),"Alusta:")</f>
        <v>Alusta:</v>
      </c>
      <c r="AH715" s="4" t="str">
        <f>IFERROR(__xludf.DUMMYFUNCTION("GOOGLETRANSLATE(B715,""en"",""fi"")"),"Aloita:")</f>
        <v>Aloita:</v>
      </c>
      <c r="AI715" s="4" t="str">
        <f>IFERROR(__xludf.DUMMYFUNCTION("GOOGLETRANSLATE(B715,""en"",""hr"")"),"Start:")</f>
        <v>Start:</v>
      </c>
      <c r="AJ715" s="4" t="str">
        <f>IFERROR(__xludf.DUMMYFUNCTION("GOOGLETRANSLATE(B715,""en"",""hu"")"),"Indul:")</f>
        <v>Indul:</v>
      </c>
      <c r="AK715" s="4" t="str">
        <f>IFERROR(__xludf.DUMMYFUNCTION("GOOGLETRANSLATE(B715,""en"",""hy"")"),"Սկիզբ:")</f>
        <v>Սկիզբ:</v>
      </c>
      <c r="AL715" s="4" t="str">
        <f>IFERROR(__xludf.DUMMYFUNCTION("GOOGLETRANSLATE(B715,""en"",""ca"")"),"Inici:")</f>
        <v>Inici:</v>
      </c>
      <c r="AM715" s="4" t="str">
        <f>IFERROR(__xludf.DUMMYFUNCTION("GOOGLETRANSLATE(B715,""en"",""nl"")"),"Begin:")</f>
        <v>Begin:</v>
      </c>
      <c r="AN715" s="4" t="str">
        <f>IFERROR(__xludf.DUMMYFUNCTION("GOOGLETRANSLATE(B715,""en"",""he"")"),"הַתחָלָה:")</f>
        <v>הַתחָלָה:</v>
      </c>
      <c r="AO715" s="4" t="str">
        <f>IFERROR(__xludf.DUMMYFUNCTION("GOOGLETRANSLATE(B715,""en"",""is"")"),"Byrja:")</f>
        <v>Byrja:</v>
      </c>
      <c r="AP715" s="4" t="str">
        <f>IFERROR(__xludf.DUMMYFUNCTION("GOOGLETRANSLATE(B715,""en"",""no"")"),"Start:")</f>
        <v>Start:</v>
      </c>
      <c r="AQ715" s="4" t="str">
        <f>IFERROR(__xludf.DUMMYFUNCTION("GOOGLETRANSLATE(B715,""en"",""fa"")"),"شروع:")</f>
        <v>شروع:</v>
      </c>
      <c r="AR715" s="4" t="str">
        <f>IFERROR(__xludf.DUMMYFUNCTION("GOOGLETRANSLATE(B715,""en"",""pl"")"),"Start:")</f>
        <v>Start:</v>
      </c>
      <c r="AS715" s="4" t="str">
        <f>IFERROR(__xludf.DUMMYFUNCTION("GOOGLETRANSLATE(B715,""en"",""sv"")"),"Start:")</f>
        <v>Start:</v>
      </c>
      <c r="AT715" s="4" t="str">
        <f>IFERROR(__xludf.DUMMYFUNCTION("GOOGLETRANSLATE(B715,""en"",""uk"")"),"початок:")</f>
        <v>початок:</v>
      </c>
      <c r="AU715" s="4" t="str">
        <f>IFERROR(__xludf.DUMMYFUNCTION("GOOGLETRANSLATE(B715,""en"",""zu"")"),"Qala:")</f>
        <v>Qala:</v>
      </c>
      <c r="AV715" s="4" t="str">
        <f>IFERROR(__xludf.DUMMYFUNCTION("GOOGLETRANSLATE(B715,""en"",""sr"")"),"Почетак:")</f>
        <v>Почетак:</v>
      </c>
    </row>
    <row r="716">
      <c r="A716" s="3" t="s">
        <v>1352</v>
      </c>
      <c r="B716" s="3" t="s">
        <v>1353</v>
      </c>
      <c r="C716" s="4" t="str">
        <f>IFERROR(__xludf.DUMMYFUNCTION("GOOGLETRANSLATE(B716,""en"",""ta"")"),"முடிவு:")</f>
        <v>முடிவு:</v>
      </c>
      <c r="D716" s="4" t="str">
        <f>IFERROR(__xludf.DUMMYFUNCTION("GOOGLETRANSLATE(B716,""en"",""hi"")"),"अंत:")</f>
        <v>अंत:</v>
      </c>
      <c r="E716" s="4" t="str">
        <f>IFERROR(__xludf.DUMMYFUNCTION("GOOGLETRANSLATE(B716,""en"",""id"")"),"Akhir:")</f>
        <v>Akhir:</v>
      </c>
      <c r="F716" s="4" t="str">
        <f>IFERROR(__xludf.DUMMYFUNCTION("GOOGLETRANSLATE(B716,""en"",""ms"")"),"tamat:")</f>
        <v>tamat:</v>
      </c>
      <c r="G716" s="4" t="str">
        <f>IFERROR(__xludf.DUMMYFUNCTION("GOOGLETRANSLATE(B716,""en"",""de"")"),"Ende:")</f>
        <v>Ende:</v>
      </c>
      <c r="H716" s="4" t="str">
        <f>IFERROR(__xludf.DUMMYFUNCTION("GOOGLETRANSLATE(B716,""en"",""es"")"),"Fin:")</f>
        <v>Fin:</v>
      </c>
      <c r="I716" s="4" t="str">
        <f>IFERROR(__xludf.DUMMYFUNCTION("GOOGLETRANSLATE(B716,""en"",""fr"")"),"Fin:")</f>
        <v>Fin:</v>
      </c>
      <c r="J716" s="4" t="str">
        <f>IFERROR(__xludf.DUMMYFUNCTION("GOOGLETRANSLATE(B716,""en"",""it"")"),"FINE:")</f>
        <v>FINE:</v>
      </c>
      <c r="K716" s="4" t="str">
        <f>IFERROR(__xludf.DUMMYFUNCTION("GOOGLETRANSLATE(B716,""en"",""pt"")"),"Fim:")</f>
        <v>Fim:</v>
      </c>
      <c r="L716" s="4" t="str">
        <f>IFERROR(__xludf.DUMMYFUNCTION("GOOGLETRANSLATE(B716,""en"",""ro"")"),"Sfârşit:")</f>
        <v>Sfârşit:</v>
      </c>
      <c r="M716" s="4" t="str">
        <f>IFERROR(__xludf.DUMMYFUNCTION("GOOGLETRANSLATE(B716,""en"",""vi"")"),"Kết thúc:")</f>
        <v>Kết thúc:</v>
      </c>
      <c r="N716" s="4" t="str">
        <f>IFERROR(__xludf.DUMMYFUNCTION("GOOGLETRANSLATE(B716,""en"",""ru"")"),"Конец:")</f>
        <v>Конец:</v>
      </c>
      <c r="O716" s="4" t="str">
        <f>IFERROR(__xludf.DUMMYFUNCTION("GOOGLETRANSLATE(B716,""en"",""tr"")"),"Son:")</f>
        <v>Son:</v>
      </c>
      <c r="P716" s="4" t="str">
        <f>IFERROR(__xludf.DUMMYFUNCTION("GOOGLETRANSLATE(B716,""en"",""ar"")"),"نهاية:")</f>
        <v>نهاية:</v>
      </c>
      <c r="Q716" s="4" t="str">
        <f>IFERROR(__xludf.DUMMYFUNCTION("GOOGLETRANSLATE(B716,""en"",""mr"")"),"शेवट:")</f>
        <v>शेवट:</v>
      </c>
      <c r="R716" s="4" t="str">
        <f>IFERROR(__xludf.DUMMYFUNCTION("GOOGLETRANSLATE(B716,""en"",""gu"")"),"અંત:")</f>
        <v>અંત:</v>
      </c>
      <c r="S716" s="4" t="str">
        <f>IFERROR(__xludf.DUMMYFUNCTION("GOOGLETRANSLATE(B716,""en"",""bn"")"),"শেষ:")</f>
        <v>শেষ:</v>
      </c>
      <c r="T716" s="4" t="str">
        <f>IFERROR(__xludf.DUMMYFUNCTION("GOOGLETRANSLATE(B716,""en"",""pa"")"),"ਅੰਤ:")</f>
        <v>ਅੰਤ:</v>
      </c>
      <c r="U716" s="4" t="str">
        <f>IFERROR(__xludf.DUMMYFUNCTION("GOOGLETRANSLATE(B716,""en"",""te"")"),"ముగింపు:")</f>
        <v>ముగింపు:</v>
      </c>
      <c r="V716" s="4" t="str">
        <f>IFERROR(__xludf.DUMMYFUNCTION("GOOGLETRANSLATE(B716,""en"",""kn"")"),"ಅಂತ್ಯ:")</f>
        <v>ಅಂತ್ಯ:</v>
      </c>
      <c r="W716" s="4" t="str">
        <f>IFERROR(__xludf.DUMMYFUNCTION("GOOGLETRANSLATE(B716,""en"",""ml"")"),"അവസാനിക്കുന്നു:")</f>
        <v>അവസാനിക്കുന്നു:</v>
      </c>
      <c r="X716" s="4" t="str">
        <f>IFERROR(__xludf.DUMMYFUNCTION("GOOGLETRANSLATE(B716,""en"",""th"")"),"จบ:")</f>
        <v>จบ:</v>
      </c>
      <c r="Y716" s="4" t="str">
        <f>IFERROR(__xludf.DUMMYFUNCTION("GOOGLETRANSLATE(B716,""en"",""ko"")"),"끝:")</f>
        <v>끝:</v>
      </c>
      <c r="Z716" s="4" t="str">
        <f>IFERROR(__xludf.DUMMYFUNCTION("GOOGLETRANSLATE(B716,""en"",""zh"")"),"结尾：")</f>
        <v>结尾：</v>
      </c>
      <c r="AA716" s="4" t="str">
        <f>IFERROR(__xludf.DUMMYFUNCTION("GOOGLETRANSLATE(B716,""en"",""zh-TW"")"),"結尾：")</f>
        <v>結尾：</v>
      </c>
      <c r="AB716" s="4" t="str">
        <f>IFERROR(__xludf.DUMMYFUNCTION("GOOGLETRANSLATE(B716,""en"",""ja"")"),"終わり：")</f>
        <v>終わり：</v>
      </c>
      <c r="AC716" s="4" t="str">
        <f>IFERROR(__xludf.DUMMYFUNCTION("GOOGLETRANSLATE(B716,""en"",""bg"")"),"край:")</f>
        <v>край:</v>
      </c>
      <c r="AD716" s="4" t="str">
        <f>IFERROR(__xludf.DUMMYFUNCTION("GOOGLETRANSLATE(B716,""en"",""cs"")"),"Konec:")</f>
        <v>Konec:</v>
      </c>
      <c r="AE716" s="4" t="str">
        <f>IFERROR(__xludf.DUMMYFUNCTION("GOOGLETRANSLATE(B716,""en"",""da"")"),"Ende:")</f>
        <v>Ende:</v>
      </c>
      <c r="AF716" s="4" t="str">
        <f>IFERROR(__xludf.DUMMYFUNCTION("GOOGLETRANSLATE(B716,""en"",""el"")"),"Τέλος:")</f>
        <v>Τέλος:</v>
      </c>
      <c r="AG716" s="4" t="str">
        <f>IFERROR(__xludf.DUMMYFUNCTION("GOOGLETRANSLATE(B716,""en"",""et"")"),"Lõpp:")</f>
        <v>Lõpp:</v>
      </c>
      <c r="AH716" s="4" t="str">
        <f>IFERROR(__xludf.DUMMYFUNCTION("GOOGLETRANSLATE(B716,""en"",""fi"")"),"Loppu:")</f>
        <v>Loppu:</v>
      </c>
      <c r="AI716" s="4" t="str">
        <f>IFERROR(__xludf.DUMMYFUNCTION("GOOGLETRANSLATE(B716,""en"",""hr"")"),"Kraj:")</f>
        <v>Kraj:</v>
      </c>
      <c r="AJ716" s="4" t="str">
        <f>IFERROR(__xludf.DUMMYFUNCTION("GOOGLETRANSLATE(B716,""en"",""hu"")"),"vége:")</f>
        <v>vége:</v>
      </c>
      <c r="AK716" s="4" t="str">
        <f>IFERROR(__xludf.DUMMYFUNCTION("GOOGLETRANSLATE(B716,""en"",""hy"")"),"Վերջ.")</f>
        <v>Վերջ.</v>
      </c>
      <c r="AL716" s="4" t="str">
        <f>IFERROR(__xludf.DUMMYFUNCTION("GOOGLETRANSLATE(B716,""en"",""ca"")"),"Final:")</f>
        <v>Final:</v>
      </c>
      <c r="AM716" s="4" t="str">
        <f>IFERROR(__xludf.DUMMYFUNCTION("GOOGLETRANSLATE(B716,""en"",""nl"")"),"Einde:")</f>
        <v>Einde:</v>
      </c>
      <c r="AN716" s="4" t="str">
        <f>IFERROR(__xludf.DUMMYFUNCTION("GOOGLETRANSLATE(B716,""en"",""he"")"),"סוֹף:")</f>
        <v>סוֹף:</v>
      </c>
      <c r="AO716" s="4" t="str">
        <f>IFERROR(__xludf.DUMMYFUNCTION("GOOGLETRANSLATE(B716,""en"",""is"")"),"Lok:")</f>
        <v>Lok:</v>
      </c>
      <c r="AP716" s="4" t="str">
        <f>IFERROR(__xludf.DUMMYFUNCTION("GOOGLETRANSLATE(B716,""en"",""no"")"),"Slutt:")</f>
        <v>Slutt:</v>
      </c>
      <c r="AQ716" s="4" t="str">
        <f>IFERROR(__xludf.DUMMYFUNCTION("GOOGLETRANSLATE(B716,""en"",""fa"")"),"پایان:")</f>
        <v>پایان:</v>
      </c>
      <c r="AR716" s="4" t="str">
        <f>IFERROR(__xludf.DUMMYFUNCTION("GOOGLETRANSLATE(B716,""en"",""pl"")"),"Koniec:")</f>
        <v>Koniec:</v>
      </c>
      <c r="AS716" s="4" t="str">
        <f>IFERROR(__xludf.DUMMYFUNCTION("GOOGLETRANSLATE(B716,""en"",""sv"")"),"Avsluta:")</f>
        <v>Avsluta:</v>
      </c>
      <c r="AT716" s="4" t="str">
        <f>IFERROR(__xludf.DUMMYFUNCTION("GOOGLETRANSLATE(B716,""en"",""uk"")"),"Кінець:")</f>
        <v>Кінець:</v>
      </c>
      <c r="AU716" s="4" t="str">
        <f>IFERROR(__xludf.DUMMYFUNCTION("GOOGLETRANSLATE(B716,""en"",""zu"")"),"Qeda:")</f>
        <v>Qeda:</v>
      </c>
      <c r="AV716" s="4" t="str">
        <f>IFERROR(__xludf.DUMMYFUNCTION("GOOGLETRANSLATE(B716,""en"",""sr"")"),"крај:")</f>
        <v>крај:</v>
      </c>
    </row>
    <row r="717">
      <c r="A717" s="3" t="s">
        <v>1354</v>
      </c>
      <c r="B717" s="3" t="s">
        <v>1355</v>
      </c>
      <c r="C717" s="4" t="str">
        <f>IFERROR(__xludf.DUMMYFUNCTION("GOOGLETRANSLATE(B717,""en"",""ta"")"),"காலம்:")</f>
        <v>காலம்:</v>
      </c>
      <c r="D717" s="4" t="str">
        <f>IFERROR(__xludf.DUMMYFUNCTION("GOOGLETRANSLATE(B717,""en"",""hi"")"),"अवधि:")</f>
        <v>अवधि:</v>
      </c>
      <c r="E717" s="4" t="str">
        <f>IFERROR(__xludf.DUMMYFUNCTION("GOOGLETRANSLATE(B717,""en"",""id"")"),"Lamanya:")</f>
        <v>Lamanya:</v>
      </c>
      <c r="F717" s="4" t="str">
        <f>IFERROR(__xludf.DUMMYFUNCTION("GOOGLETRANSLATE(B717,""en"",""ms"")"),"Tempoh:")</f>
        <v>Tempoh:</v>
      </c>
      <c r="G717" s="4" t="str">
        <f>IFERROR(__xludf.DUMMYFUNCTION("GOOGLETRANSLATE(B717,""en"",""de"")"),"Dauer:")</f>
        <v>Dauer:</v>
      </c>
      <c r="H717" s="4" t="str">
        <f>IFERROR(__xludf.DUMMYFUNCTION("GOOGLETRANSLATE(B717,""en"",""es"")"),"Duración:")</f>
        <v>Duración:</v>
      </c>
      <c r="I717" s="4" t="str">
        <f>IFERROR(__xludf.DUMMYFUNCTION("GOOGLETRANSLATE(B717,""en"",""fr"")"),"Durée:")</f>
        <v>Durée:</v>
      </c>
      <c r="J717" s="4" t="str">
        <f>IFERROR(__xludf.DUMMYFUNCTION("GOOGLETRANSLATE(B717,""en"",""it"")"),"Durata:")</f>
        <v>Durata:</v>
      </c>
      <c r="K717" s="4" t="str">
        <f>IFERROR(__xludf.DUMMYFUNCTION("GOOGLETRANSLATE(B717,""en"",""pt"")"),"Duração:")</f>
        <v>Duração:</v>
      </c>
      <c r="L717" s="4" t="str">
        <f>IFERROR(__xludf.DUMMYFUNCTION("GOOGLETRANSLATE(B717,""en"",""ro"")"),"Durată:")</f>
        <v>Durată:</v>
      </c>
      <c r="M717" s="4" t="str">
        <f>IFERROR(__xludf.DUMMYFUNCTION("GOOGLETRANSLATE(B717,""en"",""vi"")"),"Khoảng thời gian:")</f>
        <v>Khoảng thời gian:</v>
      </c>
      <c r="N717" s="4" t="str">
        <f>IFERROR(__xludf.DUMMYFUNCTION("GOOGLETRANSLATE(B717,""en"",""ru"")"),"Продолжительность:")</f>
        <v>Продолжительность:</v>
      </c>
      <c r="O717" s="4" t="str">
        <f>IFERROR(__xludf.DUMMYFUNCTION("GOOGLETRANSLATE(B717,""en"",""tr"")"),"Süre:")</f>
        <v>Süre:</v>
      </c>
      <c r="P717" s="4" t="str">
        <f>IFERROR(__xludf.DUMMYFUNCTION("GOOGLETRANSLATE(B717,""en"",""ar"")"),"مدة:")</f>
        <v>مدة:</v>
      </c>
      <c r="Q717" s="4" t="str">
        <f>IFERROR(__xludf.DUMMYFUNCTION("GOOGLETRANSLATE(B717,""en"",""mr"")"),"कालावधी:")</f>
        <v>कालावधी:</v>
      </c>
      <c r="R717" s="4" t="str">
        <f>IFERROR(__xludf.DUMMYFUNCTION("GOOGLETRANSLATE(B717,""en"",""gu"")"),"અવધિ:")</f>
        <v>અવધિ:</v>
      </c>
      <c r="S717" s="4" t="str">
        <f>IFERROR(__xludf.DUMMYFUNCTION("GOOGLETRANSLATE(B717,""en"",""bn"")"),"সময়কাল:")</f>
        <v>সময়কাল:</v>
      </c>
      <c r="T717" s="4" t="str">
        <f>IFERROR(__xludf.DUMMYFUNCTION("GOOGLETRANSLATE(B717,""en"",""pa"")"),"ਮਿਆਦ:")</f>
        <v>ਮਿਆਦ:</v>
      </c>
      <c r="U717" s="4" t="str">
        <f>IFERROR(__xludf.DUMMYFUNCTION("GOOGLETRANSLATE(B717,""en"",""te"")"),"వ్యవధి:")</f>
        <v>వ్యవధి:</v>
      </c>
      <c r="V717" s="4" t="str">
        <f>IFERROR(__xludf.DUMMYFUNCTION("GOOGLETRANSLATE(B717,""en"",""kn"")"),"ಅವಧಿ:")</f>
        <v>ಅವಧಿ:</v>
      </c>
      <c r="W717" s="4" t="str">
        <f>IFERROR(__xludf.DUMMYFUNCTION("GOOGLETRANSLATE(B717,""en"",""ml"")"),"കാലാവധി:")</f>
        <v>കാലാവധി:</v>
      </c>
      <c r="X717" s="4" t="str">
        <f>IFERROR(__xludf.DUMMYFUNCTION("GOOGLETRANSLATE(B717,""en"",""th"")"),"ระยะเวลา:")</f>
        <v>ระยะเวลา:</v>
      </c>
      <c r="Y717" s="4" t="str">
        <f>IFERROR(__xludf.DUMMYFUNCTION("GOOGLETRANSLATE(B717,""en"",""ko"")"),"지속:")</f>
        <v>지속:</v>
      </c>
      <c r="Z717" s="4" t="str">
        <f>IFERROR(__xludf.DUMMYFUNCTION("GOOGLETRANSLATE(B717,""en"",""zh"")"),"期间：")</f>
        <v>期间：</v>
      </c>
      <c r="AA717" s="4" t="str">
        <f>IFERROR(__xludf.DUMMYFUNCTION("GOOGLETRANSLATE(B717,""en"",""zh-TW"")"),"期間：")</f>
        <v>期間：</v>
      </c>
      <c r="AB717" s="4" t="str">
        <f>IFERROR(__xludf.DUMMYFUNCTION("GOOGLETRANSLATE(B717,""en"",""ja"")"),"間隔：")</f>
        <v>間隔：</v>
      </c>
      <c r="AC717" s="4" t="str">
        <f>IFERROR(__xludf.DUMMYFUNCTION("GOOGLETRANSLATE(B717,""en"",""bg"")"),"Продължителност:")</f>
        <v>Продължителност:</v>
      </c>
      <c r="AD717" s="4" t="str">
        <f>IFERROR(__xludf.DUMMYFUNCTION("GOOGLETRANSLATE(B717,""en"",""cs"")"),"Trvání:")</f>
        <v>Trvání:</v>
      </c>
      <c r="AE717" s="4" t="str">
        <f>IFERROR(__xludf.DUMMYFUNCTION("GOOGLETRANSLATE(B717,""en"",""da"")"),"Varighed:")</f>
        <v>Varighed:</v>
      </c>
      <c r="AF717" s="4" t="str">
        <f>IFERROR(__xludf.DUMMYFUNCTION("GOOGLETRANSLATE(B717,""en"",""el"")"),"Διάρκεια:")</f>
        <v>Διάρκεια:</v>
      </c>
      <c r="AG717" s="4" t="str">
        <f>IFERROR(__xludf.DUMMYFUNCTION("GOOGLETRANSLATE(B717,""en"",""et"")"),"Kestus:")</f>
        <v>Kestus:</v>
      </c>
      <c r="AH717" s="4" t="str">
        <f>IFERROR(__xludf.DUMMYFUNCTION("GOOGLETRANSLATE(B717,""en"",""fi"")"),"Kesto:")</f>
        <v>Kesto:</v>
      </c>
      <c r="AI717" s="4" t="str">
        <f>IFERROR(__xludf.DUMMYFUNCTION("GOOGLETRANSLATE(B717,""en"",""hr"")"),"Trajanje:")</f>
        <v>Trajanje:</v>
      </c>
      <c r="AJ717" s="4" t="str">
        <f>IFERROR(__xludf.DUMMYFUNCTION("GOOGLETRANSLATE(B717,""en"",""hu"")"),"Időtartam:")</f>
        <v>Időtartam:</v>
      </c>
      <c r="AK717" s="4" t="str">
        <f>IFERROR(__xludf.DUMMYFUNCTION("GOOGLETRANSLATE(B717,""en"",""hy"")"),"Duration:")</f>
        <v>Duration:</v>
      </c>
      <c r="AL717" s="4" t="str">
        <f>IFERROR(__xludf.DUMMYFUNCTION("GOOGLETRANSLATE(B717,""en"",""ca"")"),"Durada:")</f>
        <v>Durada:</v>
      </c>
      <c r="AM717" s="4" t="str">
        <f>IFERROR(__xludf.DUMMYFUNCTION("GOOGLETRANSLATE(B717,""en"",""nl"")"),"Duur:")</f>
        <v>Duur:</v>
      </c>
      <c r="AN717" s="4" t="str">
        <f>IFERROR(__xludf.DUMMYFUNCTION("GOOGLETRANSLATE(B717,""en"",""he"")"),"מֶשֶׁך:")</f>
        <v>מֶשֶׁך:</v>
      </c>
      <c r="AO717" s="4" t="str">
        <f>IFERROR(__xludf.DUMMYFUNCTION("GOOGLETRANSLATE(B717,""en"",""is"")"),"Lengd:")</f>
        <v>Lengd:</v>
      </c>
      <c r="AP717" s="4" t="str">
        <f>IFERROR(__xludf.DUMMYFUNCTION("GOOGLETRANSLATE(B717,""en"",""no"")"),"Varighet:")</f>
        <v>Varighet:</v>
      </c>
      <c r="AQ717" s="4" t="str">
        <f>IFERROR(__xludf.DUMMYFUNCTION("GOOGLETRANSLATE(B717,""en"",""fa"")"),"مدت زمان:")</f>
        <v>مدت زمان:</v>
      </c>
      <c r="AR717" s="4" t="str">
        <f>IFERROR(__xludf.DUMMYFUNCTION("GOOGLETRANSLATE(B717,""en"",""pl"")"),"Czas trwania:")</f>
        <v>Czas trwania:</v>
      </c>
      <c r="AS717" s="4" t="str">
        <f>IFERROR(__xludf.DUMMYFUNCTION("GOOGLETRANSLATE(B717,""en"",""sv"")"),"Varaktighet:")</f>
        <v>Varaktighet:</v>
      </c>
      <c r="AT717" s="4" t="str">
        <f>IFERROR(__xludf.DUMMYFUNCTION("GOOGLETRANSLATE(B717,""en"",""uk"")"),"Тривалість:")</f>
        <v>Тривалість:</v>
      </c>
      <c r="AU717" s="4" t="str">
        <f>IFERROR(__xludf.DUMMYFUNCTION("GOOGLETRANSLATE(B717,""en"",""zu"")"),"Ubude besikhathi:")</f>
        <v>Ubude besikhathi:</v>
      </c>
      <c r="AV717" s="4" t="str">
        <f>IFERROR(__xludf.DUMMYFUNCTION("GOOGLETRANSLATE(B717,""en"",""sr"")"),"Трајање:")</f>
        <v>Трајање:</v>
      </c>
    </row>
    <row r="718">
      <c r="A718" s="3" t="s">
        <v>1356</v>
      </c>
      <c r="B718" s="3" t="s">
        <v>1357</v>
      </c>
      <c r="C718" s="4" t="str">
        <f>IFERROR(__xludf.DUMMYFUNCTION("GOOGLETRANSLATE(B718,""en"",""ta"")"),"சராசரி வேகம்:")</f>
        <v>சராசரி வேகம்:</v>
      </c>
      <c r="D718" s="4" t="str">
        <f>IFERROR(__xludf.DUMMYFUNCTION("GOOGLETRANSLATE(B718,""en"",""hi"")"),"औसत गति:")</f>
        <v>औसत गति:</v>
      </c>
      <c r="E718" s="4" t="str">
        <f>IFERROR(__xludf.DUMMYFUNCTION("GOOGLETRANSLATE(B718,""en"",""id"")"),"Kecepatan Rata-rata:")</f>
        <v>Kecepatan Rata-rata:</v>
      </c>
      <c r="F718" s="4" t="str">
        <f>IFERROR(__xludf.DUMMYFUNCTION("GOOGLETRANSLATE(B718,""en"",""ms"")"),"Kelajuan Purata:")</f>
        <v>Kelajuan Purata:</v>
      </c>
      <c r="G718" s="4" t="str">
        <f>IFERROR(__xludf.DUMMYFUNCTION("GOOGLETRANSLATE(B718,""en"",""de"")"),"Durchschnittsgeschwindigkeit:")</f>
        <v>Durchschnittsgeschwindigkeit:</v>
      </c>
      <c r="H718" s="4" t="str">
        <f>IFERROR(__xludf.DUMMYFUNCTION("GOOGLETRANSLATE(B718,""en"",""es"")"),"Velocidad media:")</f>
        <v>Velocidad media:</v>
      </c>
      <c r="I718" s="4" t="str">
        <f>IFERROR(__xludf.DUMMYFUNCTION("GOOGLETRANSLATE(B718,""en"",""fr"")"),"Vitesse moyenne :")</f>
        <v>Vitesse moyenne :</v>
      </c>
      <c r="J718" s="4" t="str">
        <f>IFERROR(__xludf.DUMMYFUNCTION("GOOGLETRANSLATE(B718,""en"",""it"")"),"Velocità media:")</f>
        <v>Velocità media:</v>
      </c>
      <c r="K718" s="4" t="str">
        <f>IFERROR(__xludf.DUMMYFUNCTION("GOOGLETRANSLATE(B718,""en"",""pt"")"),"Velocidade média:")</f>
        <v>Velocidade média:</v>
      </c>
      <c r="L718" s="4" t="str">
        <f>IFERROR(__xludf.DUMMYFUNCTION("GOOGLETRANSLATE(B718,""en"",""ro"")"),"Viteza medie:")</f>
        <v>Viteza medie:</v>
      </c>
      <c r="M718" s="4" t="str">
        <f>IFERROR(__xludf.DUMMYFUNCTION("GOOGLETRANSLATE(B718,""en"",""vi"")"),"Tốc độ trung bình:")</f>
        <v>Tốc độ trung bình:</v>
      </c>
      <c r="N718" s="4" t="str">
        <f>IFERROR(__xludf.DUMMYFUNCTION("GOOGLETRANSLATE(B718,""en"",""ru"")"),"Средняя скорость:")</f>
        <v>Средняя скорость:</v>
      </c>
      <c r="O718" s="4" t="str">
        <f>IFERROR(__xludf.DUMMYFUNCTION("GOOGLETRANSLATE(B718,""en"",""tr"")"),"Ortalama Hız:")</f>
        <v>Ortalama Hız:</v>
      </c>
      <c r="P718" s="4" t="str">
        <f>IFERROR(__xludf.DUMMYFUNCTION("GOOGLETRANSLATE(B718,""en"",""ar"")"),"متوسط ​​السرعة:")</f>
        <v>متوسط ​​السرعة:</v>
      </c>
      <c r="Q718" s="4" t="str">
        <f>IFERROR(__xludf.DUMMYFUNCTION("GOOGLETRANSLATE(B718,""en"",""mr"")"),"सरासरी वेग:")</f>
        <v>सरासरी वेग:</v>
      </c>
      <c r="R718" s="4" t="str">
        <f>IFERROR(__xludf.DUMMYFUNCTION("GOOGLETRANSLATE(B718,""en"",""gu"")"),"સરેરાશ ઝડપ:")</f>
        <v>સરેરાશ ઝડપ:</v>
      </c>
      <c r="S718" s="4" t="str">
        <f>IFERROR(__xludf.DUMMYFUNCTION("GOOGLETRANSLATE(B718,""en"",""bn"")"),"গড় গতি:")</f>
        <v>গড় গতি:</v>
      </c>
      <c r="T718" s="4" t="str">
        <f>IFERROR(__xludf.DUMMYFUNCTION("GOOGLETRANSLATE(B718,""en"",""pa"")"),"ਔਸਤ ਗਤੀ:")</f>
        <v>ਔਸਤ ਗਤੀ:</v>
      </c>
      <c r="U718" s="4" t="str">
        <f>IFERROR(__xludf.DUMMYFUNCTION("GOOGLETRANSLATE(B718,""en"",""te"")"),"సగటు వేగం:")</f>
        <v>సగటు వేగం:</v>
      </c>
      <c r="V718" s="4" t="str">
        <f>IFERROR(__xludf.DUMMYFUNCTION("GOOGLETRANSLATE(B718,""en"",""kn"")"),"ಸರಾಸರಿ ವೇಗ:")</f>
        <v>ಸರಾಸರಿ ವೇಗ:</v>
      </c>
      <c r="W718" s="4" t="str">
        <f>IFERROR(__xludf.DUMMYFUNCTION("GOOGLETRANSLATE(B718,""en"",""ml"")"),"ശരാശരി വേഗത:")</f>
        <v>ശരാശരി വേഗത:</v>
      </c>
      <c r="X718" s="4" t="str">
        <f>IFERROR(__xludf.DUMMYFUNCTION("GOOGLETRANSLATE(B718,""en"",""th"")"),"ความเร็วเฉลี่ย:")</f>
        <v>ความเร็วเฉลี่ย:</v>
      </c>
      <c r="Y718" s="4" t="str">
        <f>IFERROR(__xludf.DUMMYFUNCTION("GOOGLETRANSLATE(B718,""en"",""ko"")"),"평균 속도:")</f>
        <v>평균 속도:</v>
      </c>
      <c r="Z718" s="4" t="str">
        <f>IFERROR(__xludf.DUMMYFUNCTION("GOOGLETRANSLATE(B718,""en"",""zh"")"),"平均速度：")</f>
        <v>平均速度：</v>
      </c>
      <c r="AA718" s="4" t="str">
        <f>IFERROR(__xludf.DUMMYFUNCTION("GOOGLETRANSLATE(B718,""en"",""zh-TW"")"),"平均速度：")</f>
        <v>平均速度：</v>
      </c>
      <c r="AB718" s="4" t="str">
        <f>IFERROR(__xludf.DUMMYFUNCTION("GOOGLETRANSLATE(B718,""en"",""ja"")"),"平均速度:")</f>
        <v>平均速度:</v>
      </c>
      <c r="AC718" s="4" t="str">
        <f>IFERROR(__xludf.DUMMYFUNCTION("GOOGLETRANSLATE(B718,""en"",""bg"")"),"Средна скорост:")</f>
        <v>Средна скорост:</v>
      </c>
      <c r="AD718" s="4" t="str">
        <f>IFERROR(__xludf.DUMMYFUNCTION("GOOGLETRANSLATE(B718,""en"",""cs"")"),"Průměrná rychlost:")</f>
        <v>Průměrná rychlost:</v>
      </c>
      <c r="AE718" s="4" t="str">
        <f>IFERROR(__xludf.DUMMYFUNCTION("GOOGLETRANSLATE(B718,""en"",""da"")"),"Gennemsnitshastighed:")</f>
        <v>Gennemsnitshastighed:</v>
      </c>
      <c r="AF718" s="4" t="str">
        <f>IFERROR(__xludf.DUMMYFUNCTION("GOOGLETRANSLATE(B718,""en"",""el"")"),"Μέση Ταχύτητα:")</f>
        <v>Μέση Ταχύτητα:</v>
      </c>
      <c r="AG718" s="4" t="str">
        <f>IFERROR(__xludf.DUMMYFUNCTION("GOOGLETRANSLATE(B718,""en"",""et"")"),"Keskmine kiirus:")</f>
        <v>Keskmine kiirus:</v>
      </c>
      <c r="AH718" s="4" t="str">
        <f>IFERROR(__xludf.DUMMYFUNCTION("GOOGLETRANSLATE(B718,""en"",""fi"")"),"Keskinopeus:")</f>
        <v>Keskinopeus:</v>
      </c>
      <c r="AI718" s="4" t="str">
        <f>IFERROR(__xludf.DUMMYFUNCTION("GOOGLETRANSLATE(B718,""en"",""hr"")"),"Prosječna brzina:")</f>
        <v>Prosječna brzina:</v>
      </c>
      <c r="AJ718" s="4" t="str">
        <f>IFERROR(__xludf.DUMMYFUNCTION("GOOGLETRANSLATE(B718,""en"",""hu"")"),"Átlagsebesség:")</f>
        <v>Átlagsebesség:</v>
      </c>
      <c r="AK718" s="4" t="str">
        <f>IFERROR(__xludf.DUMMYFUNCTION("GOOGLETRANSLATE(B718,""en"",""hy"")"),"Միջին արագություն:")</f>
        <v>Միջին արագություն:</v>
      </c>
      <c r="AL718" s="4" t="str">
        <f>IFERROR(__xludf.DUMMYFUNCTION("GOOGLETRANSLATE(B718,""en"",""ca"")"),"Velocitat mitjana:")</f>
        <v>Velocitat mitjana:</v>
      </c>
      <c r="AM718" s="4" t="str">
        <f>IFERROR(__xludf.DUMMYFUNCTION("GOOGLETRANSLATE(B718,""en"",""nl"")"),"Gemiddelde snelheid:")</f>
        <v>Gemiddelde snelheid:</v>
      </c>
      <c r="AN718" s="4" t="str">
        <f>IFERROR(__xludf.DUMMYFUNCTION("GOOGLETRANSLATE(B718,""en"",""he"")"),"מהירות ממוצעת:")</f>
        <v>מהירות ממוצעת:</v>
      </c>
      <c r="AO718" s="4" t="str">
        <f>IFERROR(__xludf.DUMMYFUNCTION("GOOGLETRANSLATE(B718,""en"",""is"")"),"Meðalhraði:")</f>
        <v>Meðalhraði:</v>
      </c>
      <c r="AP718" s="4" t="str">
        <f>IFERROR(__xludf.DUMMYFUNCTION("GOOGLETRANSLATE(B718,""en"",""no"")"),"Gjennomsnittlig hastighet:")</f>
        <v>Gjennomsnittlig hastighet:</v>
      </c>
      <c r="AQ718" s="4" t="str">
        <f>IFERROR(__xludf.DUMMYFUNCTION("GOOGLETRANSLATE(B718,""en"",""fa"")"),"سرعت متوسط:")</f>
        <v>سرعت متوسط:</v>
      </c>
      <c r="AR718" s="4" t="str">
        <f>IFERROR(__xludf.DUMMYFUNCTION("GOOGLETRANSLATE(B718,""en"",""pl"")"),"Średnia prędkość:")</f>
        <v>Średnia prędkość:</v>
      </c>
      <c r="AS718" s="4" t="str">
        <f>IFERROR(__xludf.DUMMYFUNCTION("GOOGLETRANSLATE(B718,""en"",""sv"")"),"Medelhastighet:")</f>
        <v>Medelhastighet:</v>
      </c>
      <c r="AT718" s="4" t="str">
        <f>IFERROR(__xludf.DUMMYFUNCTION("GOOGLETRANSLATE(B718,""en"",""uk"")"),"Середня швидкість:")</f>
        <v>Середня швидкість:</v>
      </c>
      <c r="AU718" s="4" t="str">
        <f>IFERROR(__xludf.DUMMYFUNCTION("GOOGLETRANSLATE(B718,""en"",""zu"")"),"Isivinini esimaphakathi:")</f>
        <v>Isivinini esimaphakathi:</v>
      </c>
      <c r="AV718" s="4" t="str">
        <f>IFERROR(__xludf.DUMMYFUNCTION("GOOGLETRANSLATE(B718,""en"",""sr"")"),"Просечна брзина:")</f>
        <v>Просечна брзина:</v>
      </c>
    </row>
    <row r="719">
      <c r="A719" s="3" t="s">
        <v>1358</v>
      </c>
      <c r="B719" s="3" t="s">
        <v>1359</v>
      </c>
      <c r="C719" s="4" t="str">
        <f>IFERROR(__xludf.DUMMYFUNCTION("GOOGLETRANSLATE(B719,""en"",""ta"")"),"அதிகபட்ச வேகம்:")</f>
        <v>அதிகபட்ச வேகம்:</v>
      </c>
      <c r="D719" s="4" t="str">
        <f>IFERROR(__xludf.DUMMYFUNCTION("GOOGLETRANSLATE(B719,""en"",""hi"")"),"अधिकतम गति:")</f>
        <v>अधिकतम गति:</v>
      </c>
      <c r="E719" s="4" t="str">
        <f>IFERROR(__xludf.DUMMYFUNCTION("GOOGLETRANSLATE(B719,""en"",""id"")"),"Kecepatan Maksimum:")</f>
        <v>Kecepatan Maksimum:</v>
      </c>
      <c r="F719" s="4" t="str">
        <f>IFERROR(__xludf.DUMMYFUNCTION("GOOGLETRANSLATE(B719,""en"",""ms"")"),"Kelajuan Maks:")</f>
        <v>Kelajuan Maks:</v>
      </c>
      <c r="G719" s="4" t="str">
        <f>IFERROR(__xludf.DUMMYFUNCTION("GOOGLETRANSLATE(B719,""en"",""de"")"),"Höchstgeschwindigkeit:")</f>
        <v>Höchstgeschwindigkeit:</v>
      </c>
      <c r="H719" s="4" t="str">
        <f>IFERROR(__xludf.DUMMYFUNCTION("GOOGLETRANSLATE(B719,""en"",""es"")"),"Velocidad máxima:")</f>
        <v>Velocidad máxima:</v>
      </c>
      <c r="I719" s="4" t="str">
        <f>IFERROR(__xludf.DUMMYFUNCTION("GOOGLETRANSLATE(B719,""en"",""fr"")"),"Vitesse maximale :")</f>
        <v>Vitesse maximale :</v>
      </c>
      <c r="J719" s="4" t="str">
        <f>IFERROR(__xludf.DUMMYFUNCTION("GOOGLETRANSLATE(B719,""en"",""it"")"),"Velocità massima:")</f>
        <v>Velocità massima:</v>
      </c>
      <c r="K719" s="4" t="str">
        <f>IFERROR(__xludf.DUMMYFUNCTION("GOOGLETRANSLATE(B719,""en"",""pt"")"),"Velocidade máxima:")</f>
        <v>Velocidade máxima:</v>
      </c>
      <c r="L719" s="4" t="str">
        <f>IFERROR(__xludf.DUMMYFUNCTION("GOOGLETRANSLATE(B719,""en"",""ro"")"),"Viteza maxima:")</f>
        <v>Viteza maxima:</v>
      </c>
      <c r="M719" s="4" t="str">
        <f>IFERROR(__xludf.DUMMYFUNCTION("GOOGLETRANSLATE(B719,""en"",""vi"")"),"Tốc độ tối đa:")</f>
        <v>Tốc độ tối đa:</v>
      </c>
      <c r="N719" s="4" t="str">
        <f>IFERROR(__xludf.DUMMYFUNCTION("GOOGLETRANSLATE(B719,""en"",""ru"")"),"Максимальная скорость:")</f>
        <v>Максимальная скорость:</v>
      </c>
      <c r="O719" s="4" t="str">
        <f>IFERROR(__xludf.DUMMYFUNCTION("GOOGLETRANSLATE(B719,""en"",""tr"")"),"Maksimum Hız:")</f>
        <v>Maksimum Hız:</v>
      </c>
      <c r="P719" s="4" t="str">
        <f>IFERROR(__xludf.DUMMYFUNCTION("GOOGLETRANSLATE(B719,""en"",""ar"")"),"السرعة القصوى:")</f>
        <v>السرعة القصوى:</v>
      </c>
      <c r="Q719" s="4" t="str">
        <f>IFERROR(__xludf.DUMMYFUNCTION("GOOGLETRANSLATE(B719,""en"",""mr"")"),"कमाल गती:")</f>
        <v>कमाल गती:</v>
      </c>
      <c r="R719" s="4" t="str">
        <f>IFERROR(__xludf.DUMMYFUNCTION("GOOGLETRANSLATE(B719,""en"",""gu"")"),"મહત્તમ ઝડપ:")</f>
        <v>મહત્તમ ઝડપ:</v>
      </c>
      <c r="S719" s="4" t="str">
        <f>IFERROR(__xludf.DUMMYFUNCTION("GOOGLETRANSLATE(B719,""en"",""bn"")"),"সর্বোচ্চ গতি:")</f>
        <v>সর্বোচ্চ গতি:</v>
      </c>
      <c r="T719" s="4" t="str">
        <f>IFERROR(__xludf.DUMMYFUNCTION("GOOGLETRANSLATE(B719,""en"",""pa"")"),"ਅਧਿਕਤਮ ਗਤੀ:")</f>
        <v>ਅਧਿਕਤਮ ਗਤੀ:</v>
      </c>
      <c r="U719" s="4" t="str">
        <f>IFERROR(__xludf.DUMMYFUNCTION("GOOGLETRANSLATE(B719,""en"",""te"")"),"గరిష్ట వేగం:")</f>
        <v>గరిష్ట వేగం:</v>
      </c>
      <c r="V719" s="4" t="str">
        <f>IFERROR(__xludf.DUMMYFUNCTION("GOOGLETRANSLATE(B719,""en"",""kn"")"),"ಗರಿಷ್ಠ ವೇಗ:")</f>
        <v>ಗರಿಷ್ಠ ವೇಗ:</v>
      </c>
      <c r="W719" s="4" t="str">
        <f>IFERROR(__xludf.DUMMYFUNCTION("GOOGLETRANSLATE(B719,""en"",""ml"")"),"പരമാവധി വേഗത:")</f>
        <v>പരമാവധി വേഗത:</v>
      </c>
      <c r="X719" s="4" t="str">
        <f>IFERROR(__xludf.DUMMYFUNCTION("GOOGLETRANSLATE(B719,""en"",""th"")"),"ความเร็วสูงสุด:")</f>
        <v>ความเร็วสูงสุด:</v>
      </c>
      <c r="Y719" s="4" t="str">
        <f>IFERROR(__xludf.DUMMYFUNCTION("GOOGLETRANSLATE(B719,""en"",""ko"")"),"최대 속도:")</f>
        <v>최대 속도:</v>
      </c>
      <c r="Z719" s="4" t="str">
        <f>IFERROR(__xludf.DUMMYFUNCTION("GOOGLETRANSLATE(B719,""en"",""zh"")"),"最大速度：")</f>
        <v>最大速度：</v>
      </c>
      <c r="AA719" s="4" t="str">
        <f>IFERROR(__xludf.DUMMYFUNCTION("GOOGLETRANSLATE(B719,""en"",""zh-TW"")"),"最大速度：")</f>
        <v>最大速度：</v>
      </c>
      <c r="AB719" s="4" t="str">
        <f>IFERROR(__xludf.DUMMYFUNCTION("GOOGLETRANSLATE(B719,""en"",""ja"")"),"最高速度:")</f>
        <v>最高速度:</v>
      </c>
      <c r="AC719" s="4" t="str">
        <f>IFERROR(__xludf.DUMMYFUNCTION("GOOGLETRANSLATE(B719,""en"",""bg"")"),"Максимална скорост:")</f>
        <v>Максимална скорост:</v>
      </c>
      <c r="AD719" s="4" t="str">
        <f>IFERROR(__xludf.DUMMYFUNCTION("GOOGLETRANSLATE(B719,""en"",""cs"")"),"Max rychlost:")</f>
        <v>Max rychlost:</v>
      </c>
      <c r="AE719" s="4" t="str">
        <f>IFERROR(__xludf.DUMMYFUNCTION("GOOGLETRANSLATE(B719,""en"",""da"")"),"Max hastighed:")</f>
        <v>Max hastighed:</v>
      </c>
      <c r="AF719" s="4" t="str">
        <f>IFERROR(__xludf.DUMMYFUNCTION("GOOGLETRANSLATE(B719,""en"",""el"")"),"Μέγιστη ταχύτητα:")</f>
        <v>Μέγιστη ταχύτητα:</v>
      </c>
      <c r="AG719" s="4" t="str">
        <f>IFERROR(__xludf.DUMMYFUNCTION("GOOGLETRANSLATE(B719,""en"",""et"")"),"Max kiirus:")</f>
        <v>Max kiirus:</v>
      </c>
      <c r="AH719" s="4" t="str">
        <f>IFERROR(__xludf.DUMMYFUNCTION("GOOGLETRANSLATE(B719,""en"",""fi"")"),"Max nopeus:")</f>
        <v>Max nopeus:</v>
      </c>
      <c r="AI719" s="4" t="str">
        <f>IFERROR(__xludf.DUMMYFUNCTION("GOOGLETRANSLATE(B719,""en"",""hr"")"),"Maksimalna brzina:")</f>
        <v>Maksimalna brzina:</v>
      </c>
      <c r="AJ719" s="4" t="str">
        <f>IFERROR(__xludf.DUMMYFUNCTION("GOOGLETRANSLATE(B719,""en"",""hu"")"),"Max sebesség:")</f>
        <v>Max sebesség:</v>
      </c>
      <c r="AK719" s="4" t="str">
        <f>IFERROR(__xludf.DUMMYFUNCTION("GOOGLETRANSLATE(B719,""en"",""hy"")"),"Առավելագույն արագություն.")</f>
        <v>Առավելագույն արագություն.</v>
      </c>
      <c r="AL719" s="4" t="str">
        <f>IFERROR(__xludf.DUMMYFUNCTION("GOOGLETRANSLATE(B719,""en"",""ca"")"),"Velocitat màxima:")</f>
        <v>Velocitat màxima:</v>
      </c>
      <c r="AM719" s="4" t="str">
        <f>IFERROR(__xludf.DUMMYFUNCTION("GOOGLETRANSLATE(B719,""en"",""nl"")"),"Maximale snelheid:")</f>
        <v>Maximale snelheid:</v>
      </c>
      <c r="AN719" s="4" t="str">
        <f>IFERROR(__xludf.DUMMYFUNCTION("GOOGLETRANSLATE(B719,""en"",""he"")"),"מהירות מקסימלית:")</f>
        <v>מהירות מקסימלית:</v>
      </c>
      <c r="AO719" s="4" t="str">
        <f>IFERROR(__xludf.DUMMYFUNCTION("GOOGLETRANSLATE(B719,""en"",""is"")"),"Hámarkshraði:")</f>
        <v>Hámarkshraði:</v>
      </c>
      <c r="AP719" s="4" t="str">
        <f>IFERROR(__xludf.DUMMYFUNCTION("GOOGLETRANSLATE(B719,""en"",""no"")"),"Maks hastighet:")</f>
        <v>Maks hastighet:</v>
      </c>
      <c r="AQ719" s="4" t="str">
        <f>IFERROR(__xludf.DUMMYFUNCTION("GOOGLETRANSLATE(B719,""en"",""fa"")"),"حداکثر سرعت:")</f>
        <v>حداکثر سرعت:</v>
      </c>
      <c r="AR719" s="4" t="str">
        <f>IFERROR(__xludf.DUMMYFUNCTION("GOOGLETRANSLATE(B719,""en"",""pl"")"),"Maksymalna prędkość:")</f>
        <v>Maksymalna prędkość:</v>
      </c>
      <c r="AS719" s="4" t="str">
        <f>IFERROR(__xludf.DUMMYFUNCTION("GOOGLETRANSLATE(B719,""en"",""sv"")"),"Max hastighet:")</f>
        <v>Max hastighet:</v>
      </c>
      <c r="AT719" s="4" t="str">
        <f>IFERROR(__xludf.DUMMYFUNCTION("GOOGLETRANSLATE(B719,""en"",""uk"")"),"Максимальна швидкість:")</f>
        <v>Максимальна швидкість:</v>
      </c>
      <c r="AU719" s="4" t="str">
        <f>IFERROR(__xludf.DUMMYFUNCTION("GOOGLETRANSLATE(B719,""en"",""zu"")"),"Isivinini esikhulu:")</f>
        <v>Isivinini esikhulu:</v>
      </c>
      <c r="AV719" s="4" t="str">
        <f>IFERROR(__xludf.DUMMYFUNCTION("GOOGLETRANSLATE(B719,""en"",""sr"")"),"Максимална брзина:")</f>
        <v>Максимална брзина:</v>
      </c>
    </row>
    <row r="720">
      <c r="A720" s="3" t="s">
        <v>1360</v>
      </c>
      <c r="B720" s="3" t="s">
        <v>1361</v>
      </c>
      <c r="C720" s="4" t="str">
        <f>IFERROR(__xludf.DUMMYFUNCTION("GOOGLETRANSLATE(B720,""en"",""ta"")"),"அதிகபட்ச உயரம்:")</f>
        <v>அதிகபட்ச உயரம்:</v>
      </c>
      <c r="D720" s="4" t="str">
        <f>IFERROR(__xludf.DUMMYFUNCTION("GOOGLETRANSLATE(B720,""en"",""hi"")"),"अधिकतम ऊंचाई:")</f>
        <v>अधिकतम ऊंचाई:</v>
      </c>
      <c r="E720" s="4" t="str">
        <f>IFERROR(__xludf.DUMMYFUNCTION("GOOGLETRANSLATE(B720,""en"",""id"")"),"Ketinggian maksimum:")</f>
        <v>Ketinggian maksimum:</v>
      </c>
      <c r="F720" s="4" t="str">
        <f>IFERROR(__xludf.DUMMYFUNCTION("GOOGLETRANSLATE(B720,""en"",""ms"")"),"Ketinggian maksimum:")</f>
        <v>Ketinggian maksimum:</v>
      </c>
      <c r="G720" s="4" t="str">
        <f>IFERROR(__xludf.DUMMYFUNCTION("GOOGLETRANSLATE(B720,""en"",""de"")"),"Maximale Höhe:")</f>
        <v>Maximale Höhe:</v>
      </c>
      <c r="H720" s="4" t="str">
        <f>IFERROR(__xludf.DUMMYFUNCTION("GOOGLETRANSLATE(B720,""en"",""es"")"),"Elevación máxima:")</f>
        <v>Elevación máxima:</v>
      </c>
      <c r="I720" s="4" t="str">
        <f>IFERROR(__xludf.DUMMYFUNCTION("GOOGLETRANSLATE(B720,""en"",""fr"")"),"Élévation maximale :")</f>
        <v>Élévation maximale :</v>
      </c>
      <c r="J720" s="4" t="str">
        <f>IFERROR(__xludf.DUMMYFUNCTION("GOOGLETRANSLATE(B720,""en"",""it"")"),"Altitudine massima:")</f>
        <v>Altitudine massima:</v>
      </c>
      <c r="K720" s="4" t="str">
        <f>IFERROR(__xludf.DUMMYFUNCTION("GOOGLETRANSLATE(B720,""en"",""pt"")"),"Elevação máxima:")</f>
        <v>Elevação máxima:</v>
      </c>
      <c r="L720" s="4" t="str">
        <f>IFERROR(__xludf.DUMMYFUNCTION("GOOGLETRANSLATE(B720,""en"",""ro"")"),"Altitudine maximă:")</f>
        <v>Altitudine maximă:</v>
      </c>
      <c r="M720" s="4" t="str">
        <f>IFERROR(__xludf.DUMMYFUNCTION("GOOGLETRANSLATE(B720,""en"",""vi"")"),"Độ cao tối đa:")</f>
        <v>Độ cao tối đa:</v>
      </c>
      <c r="N720" s="4" t="str">
        <f>IFERROR(__xludf.DUMMYFUNCTION("GOOGLETRANSLATE(B720,""en"",""ru"")"),"Максимальная высота:")</f>
        <v>Максимальная высота:</v>
      </c>
      <c r="O720" s="4" t="str">
        <f>IFERROR(__xludf.DUMMYFUNCTION("GOOGLETRANSLATE(B720,""en"",""tr"")"),"Maksimum yükseklik:")</f>
        <v>Maksimum yükseklik:</v>
      </c>
      <c r="P720" s="4" t="str">
        <f>IFERROR(__xludf.DUMMYFUNCTION("GOOGLETRANSLATE(B720,""en"",""ar"")"),"أقصى ارتفاع:")</f>
        <v>أقصى ارتفاع:</v>
      </c>
      <c r="Q720" s="4" t="str">
        <f>IFERROR(__xludf.DUMMYFUNCTION("GOOGLETRANSLATE(B720,""en"",""mr"")"),"कमाल उंची:")</f>
        <v>कमाल उंची:</v>
      </c>
      <c r="R720" s="4" t="str">
        <f>IFERROR(__xludf.DUMMYFUNCTION("GOOGLETRANSLATE(B720,""en"",""gu"")"),"મહત્તમ ઉંચાઈ:")</f>
        <v>મહત્તમ ઉંચાઈ:</v>
      </c>
      <c r="S720" s="4" t="str">
        <f>IFERROR(__xludf.DUMMYFUNCTION("GOOGLETRANSLATE(B720,""en"",""bn"")"),"সর্বোচ্চ উচ্চতা:")</f>
        <v>সর্বোচ্চ উচ্চতা:</v>
      </c>
      <c r="T720" s="4" t="str">
        <f>IFERROR(__xludf.DUMMYFUNCTION("GOOGLETRANSLATE(B720,""en"",""pa"")"),"ਅਧਿਕਤਮ ਉਚਾਈ:")</f>
        <v>ਅਧਿਕਤਮ ਉਚਾਈ:</v>
      </c>
      <c r="U720" s="4" t="str">
        <f>IFERROR(__xludf.DUMMYFUNCTION("GOOGLETRANSLATE(B720,""en"",""te"")"),"గరిష్ట ఎత్తు:")</f>
        <v>గరిష్ట ఎత్తు:</v>
      </c>
      <c r="V720" s="4" t="str">
        <f>IFERROR(__xludf.DUMMYFUNCTION("GOOGLETRANSLATE(B720,""en"",""kn"")"),"ಗರಿಷ್ಠ ಎತ್ತರ:")</f>
        <v>ಗರಿಷ್ಠ ಎತ್ತರ:</v>
      </c>
      <c r="W720" s="4" t="str">
        <f>IFERROR(__xludf.DUMMYFUNCTION("GOOGLETRANSLATE(B720,""en"",""ml"")"),"പരമാവധി ഉയരം:")</f>
        <v>പരമാവധി ഉയരം:</v>
      </c>
      <c r="X720" s="4" t="str">
        <f>IFERROR(__xludf.DUMMYFUNCTION("GOOGLETRANSLATE(B720,""en"",""th"")"),"ระดับความสูงสูงสุด:")</f>
        <v>ระดับความสูงสูงสุด:</v>
      </c>
      <c r="Y720" s="4" t="str">
        <f>IFERROR(__xludf.DUMMYFUNCTION("GOOGLETRANSLATE(B720,""en"",""ko"")"),"최대 고도:")</f>
        <v>최대 고도:</v>
      </c>
      <c r="Z720" s="4" t="str">
        <f>IFERROR(__xludf.DUMMYFUNCTION("GOOGLETRANSLATE(B720,""en"",""zh"")"),"最大海拔：")</f>
        <v>最大海拔：</v>
      </c>
      <c r="AA720" s="4" t="str">
        <f>IFERROR(__xludf.DUMMYFUNCTION("GOOGLETRANSLATE(B720,""en"",""zh-TW"")"),"最大海拔：")</f>
        <v>最大海拔：</v>
      </c>
      <c r="AB720" s="4" t="str">
        <f>IFERROR(__xludf.DUMMYFUNCTION("GOOGLETRANSLATE(B720,""en"",""ja"")"),"最大標高:")</f>
        <v>最大標高:</v>
      </c>
      <c r="AC720" s="4" t="str">
        <f>IFERROR(__xludf.DUMMYFUNCTION("GOOGLETRANSLATE(B720,""en"",""bg"")"),"Максимална надморска височина:")</f>
        <v>Максимална надморска височина:</v>
      </c>
      <c r="AD720" s="4" t="str">
        <f>IFERROR(__xludf.DUMMYFUNCTION("GOOGLETRANSLATE(B720,""en"",""cs"")"),"Maximální výška:")</f>
        <v>Maximální výška:</v>
      </c>
      <c r="AE720" s="4" t="str">
        <f>IFERROR(__xludf.DUMMYFUNCTION("GOOGLETRANSLATE(B720,""en"",""da"")"),"Max højde:")</f>
        <v>Max højde:</v>
      </c>
      <c r="AF720" s="4" t="str">
        <f>IFERROR(__xludf.DUMMYFUNCTION("GOOGLETRANSLATE(B720,""en"",""el"")"),"Μέγιστο υψόμετρο:")</f>
        <v>Μέγιστο υψόμετρο:</v>
      </c>
      <c r="AG720" s="4" t="str">
        <f>IFERROR(__xludf.DUMMYFUNCTION("GOOGLETRANSLATE(B720,""en"",""et"")"),"Maksimaalne kõrgus:")</f>
        <v>Maksimaalne kõrgus:</v>
      </c>
      <c r="AH720" s="4" t="str">
        <f>IFERROR(__xludf.DUMMYFUNCTION("GOOGLETRANSLATE(B720,""en"",""fi"")"),"Suurin korkeus:")</f>
        <v>Suurin korkeus:</v>
      </c>
      <c r="AI720" s="4" t="str">
        <f>IFERROR(__xludf.DUMMYFUNCTION("GOOGLETRANSLATE(B720,""en"",""hr"")"),"Najveća nadmorska visina:")</f>
        <v>Najveća nadmorska visina:</v>
      </c>
      <c r="AJ720" s="4" t="str">
        <f>IFERROR(__xludf.DUMMYFUNCTION("GOOGLETRANSLATE(B720,""en"",""hu"")"),"Max magasság:")</f>
        <v>Max magasság:</v>
      </c>
      <c r="AK720" s="4" t="str">
        <f>IFERROR(__xludf.DUMMYFUNCTION("GOOGLETRANSLATE(B720,""en"",""hy"")"),"Առավելագույն բարձրությունը.")</f>
        <v>Առավելագույն բարձրությունը.</v>
      </c>
      <c r="AL720" s="4" t="str">
        <f>IFERROR(__xludf.DUMMYFUNCTION("GOOGLETRANSLATE(B720,""en"",""ca"")"),"Elevació màxima:")</f>
        <v>Elevació màxima:</v>
      </c>
      <c r="AM720" s="4" t="str">
        <f>IFERROR(__xludf.DUMMYFUNCTION("GOOGLETRANSLATE(B720,""en"",""nl"")"),"Maximale hoogte:")</f>
        <v>Maximale hoogte:</v>
      </c>
      <c r="AN720" s="4" t="str">
        <f>IFERROR(__xludf.DUMMYFUNCTION("GOOGLETRANSLATE(B720,""en"",""he"")"),"גובה מקסימלי:")</f>
        <v>גובה מקסימלי:</v>
      </c>
      <c r="AO720" s="4" t="str">
        <f>IFERROR(__xludf.DUMMYFUNCTION("GOOGLETRANSLATE(B720,""en"",""is"")"),"Hámarkshæð:")</f>
        <v>Hámarkshæð:</v>
      </c>
      <c r="AP720" s="4" t="str">
        <f>IFERROR(__xludf.DUMMYFUNCTION("GOOGLETRANSLATE(B720,""en"",""no"")"),"Maks høyde:")</f>
        <v>Maks høyde:</v>
      </c>
      <c r="AQ720" s="4" t="str">
        <f>IFERROR(__xludf.DUMMYFUNCTION("GOOGLETRANSLATE(B720,""en"",""fa"")"),"حداکثر ارتفاع:")</f>
        <v>حداکثر ارتفاع:</v>
      </c>
      <c r="AR720" s="4" t="str">
        <f>IFERROR(__xludf.DUMMYFUNCTION("GOOGLETRANSLATE(B720,""en"",""pl"")"),"Maksymalna wysokość:")</f>
        <v>Maksymalna wysokość:</v>
      </c>
      <c r="AS720" s="4" t="str">
        <f>IFERROR(__xludf.DUMMYFUNCTION("GOOGLETRANSLATE(B720,""en"",""sv"")"),"Max höjd:")</f>
        <v>Max höjd:</v>
      </c>
      <c r="AT720" s="4" t="str">
        <f>IFERROR(__xludf.DUMMYFUNCTION("GOOGLETRANSLATE(B720,""en"",""uk"")"),"Максимальна висота:")</f>
        <v>Максимальна висота:</v>
      </c>
      <c r="AU720" s="4" t="str">
        <f>IFERROR(__xludf.DUMMYFUNCTION("GOOGLETRANSLATE(B720,""en"",""zu"")"),"Ukuphakama okuphezulu:")</f>
        <v>Ukuphakama okuphezulu:</v>
      </c>
      <c r="AV720" s="4" t="str">
        <f>IFERROR(__xludf.DUMMYFUNCTION("GOOGLETRANSLATE(B720,""en"",""sr"")"),"Максимална надморска висина:")</f>
        <v>Максимална надморска висина:</v>
      </c>
    </row>
    <row r="721">
      <c r="A721" s="3" t="s">
        <v>1362</v>
      </c>
      <c r="B721" s="3" t="s">
        <v>1363</v>
      </c>
      <c r="C721" s="4" t="str">
        <f>IFERROR(__xludf.DUMMYFUNCTION("GOOGLETRANSLATE(B721,""en"",""ta"")"),"குறைந்தபட்ச உயரம்:")</f>
        <v>குறைந்தபட்ச உயரம்:</v>
      </c>
      <c r="D721" s="4" t="str">
        <f>IFERROR(__xludf.DUMMYFUNCTION("GOOGLETRANSLATE(B721,""en"",""hi"")"),"न्यूनतम ऊंचाई:")</f>
        <v>न्यूनतम ऊंचाई:</v>
      </c>
      <c r="E721" s="4" t="str">
        <f>IFERROR(__xludf.DUMMYFUNCTION("GOOGLETRANSLATE(B721,""en"",""id"")"),"Ketinggian minimum:")</f>
        <v>Ketinggian minimum:</v>
      </c>
      <c r="F721" s="4" t="str">
        <f>IFERROR(__xludf.DUMMYFUNCTION("GOOGLETRANSLATE(B721,""en"",""ms"")"),"Ketinggian min:")</f>
        <v>Ketinggian min:</v>
      </c>
      <c r="G721" s="4" t="str">
        <f>IFERROR(__xludf.DUMMYFUNCTION("GOOGLETRANSLATE(B721,""en"",""de"")"),"Mindesthöhe:")</f>
        <v>Mindesthöhe:</v>
      </c>
      <c r="H721" s="4" t="str">
        <f>IFERROR(__xludf.DUMMYFUNCTION("GOOGLETRANSLATE(B721,""en"",""es"")"),"Elevación mínima:")</f>
        <v>Elevación mínima:</v>
      </c>
      <c r="I721" s="4" t="str">
        <f>IFERROR(__xludf.DUMMYFUNCTION("GOOGLETRANSLATE(B721,""en"",""fr"")"),"Élévation minimale :")</f>
        <v>Élévation minimale :</v>
      </c>
      <c r="J721" s="4" t="str">
        <f>IFERROR(__xludf.DUMMYFUNCTION("GOOGLETRANSLATE(B721,""en"",""it"")"),"Altitudine minima:")</f>
        <v>Altitudine minima:</v>
      </c>
      <c r="K721" s="4" t="str">
        <f>IFERROR(__xludf.DUMMYFUNCTION("GOOGLETRANSLATE(B721,""en"",""pt"")"),"Altitude mínima:")</f>
        <v>Altitude mínima:</v>
      </c>
      <c r="L721" s="4" t="str">
        <f>IFERROR(__xludf.DUMMYFUNCTION("GOOGLETRANSLATE(B721,""en"",""ro"")"),"Altitudine minima:")</f>
        <v>Altitudine minima:</v>
      </c>
      <c r="M721" s="4" t="str">
        <f>IFERROR(__xludf.DUMMYFUNCTION("GOOGLETRANSLATE(B721,""en"",""vi"")"),"Độ cao tối thiểu:")</f>
        <v>Độ cao tối thiểu:</v>
      </c>
      <c r="N721" s="4" t="str">
        <f>IFERROR(__xludf.DUMMYFUNCTION("GOOGLETRANSLATE(B721,""en"",""ru"")"),"Минимальная высота:")</f>
        <v>Минимальная высота:</v>
      </c>
      <c r="O721" s="4" t="str">
        <f>IFERROR(__xludf.DUMMYFUNCTION("GOOGLETRANSLATE(B721,""en"",""tr"")"),"Min. yükseklik:")</f>
        <v>Min. yükseklik:</v>
      </c>
      <c r="P721" s="4" t="str">
        <f>IFERROR(__xludf.DUMMYFUNCTION("GOOGLETRANSLATE(B721,""en"",""ar"")"),"الحد الأدنى للارتفاع:")</f>
        <v>الحد الأدنى للارتفاع:</v>
      </c>
      <c r="Q721" s="4" t="str">
        <f>IFERROR(__xludf.DUMMYFUNCTION("GOOGLETRANSLATE(B721,""en"",""mr"")"),"किमान उंची:")</f>
        <v>किमान उंची:</v>
      </c>
      <c r="R721" s="4" t="str">
        <f>IFERROR(__xludf.DUMMYFUNCTION("GOOGLETRANSLATE(B721,""en"",""gu"")"),"ન્યૂનતમ ઉંચાઈ:")</f>
        <v>ન્યૂનતમ ઉંચાઈ:</v>
      </c>
      <c r="S721" s="4" t="str">
        <f>IFERROR(__xludf.DUMMYFUNCTION("GOOGLETRANSLATE(B721,""en"",""bn"")"),"সর্বনিম্ন উচ্চতা:")</f>
        <v>সর্বনিম্ন উচ্চতা:</v>
      </c>
      <c r="T721" s="4" t="str">
        <f>IFERROR(__xludf.DUMMYFUNCTION("GOOGLETRANSLATE(B721,""en"",""pa"")"),"ਘੱਟੋ-ਘੱਟ ਉਚਾਈ:")</f>
        <v>ਘੱਟੋ-ਘੱਟ ਉਚਾਈ:</v>
      </c>
      <c r="U721" s="4" t="str">
        <f>IFERROR(__xludf.DUMMYFUNCTION("GOOGLETRANSLATE(B721,""en"",""te"")"),"కనిష్ట ఎత్తు:")</f>
        <v>కనిష్ట ఎత్తు:</v>
      </c>
      <c r="V721" s="4" t="str">
        <f>IFERROR(__xludf.DUMMYFUNCTION("GOOGLETRANSLATE(B721,""en"",""kn"")"),"ಕನಿಷ್ಠ ಎತ್ತರ:")</f>
        <v>ಕನಿಷ್ಠ ಎತ್ತರ:</v>
      </c>
      <c r="W721" s="4" t="str">
        <f>IFERROR(__xludf.DUMMYFUNCTION("GOOGLETRANSLATE(B721,""en"",""ml"")"),"ഏറ്റവും കുറഞ്ഞ ഉയരം:")</f>
        <v>ഏറ്റവും കുറഞ്ഞ ഉയരം:</v>
      </c>
      <c r="X721" s="4" t="str">
        <f>IFERROR(__xludf.DUMMYFUNCTION("GOOGLETRANSLATE(B721,""en"",""th"")"),"ระดับความสูงต่ำสุด:")</f>
        <v>ระดับความสูงต่ำสุด:</v>
      </c>
      <c r="Y721" s="4" t="str">
        <f>IFERROR(__xludf.DUMMYFUNCTION("GOOGLETRANSLATE(B721,""en"",""ko"")"),"최소 고도:")</f>
        <v>최소 고도:</v>
      </c>
      <c r="Z721" s="4" t="str">
        <f>IFERROR(__xludf.DUMMYFUNCTION("GOOGLETRANSLATE(B721,""en"",""zh"")"),"最低海拔：")</f>
        <v>最低海拔：</v>
      </c>
      <c r="AA721" s="4" t="str">
        <f>IFERROR(__xludf.DUMMYFUNCTION("GOOGLETRANSLATE(B721,""en"",""zh-TW"")"),"最低海拔：")</f>
        <v>最低海拔：</v>
      </c>
      <c r="AB721" s="4" t="str">
        <f>IFERROR(__xludf.DUMMYFUNCTION("GOOGLETRANSLATE(B721,""en"",""ja"")"),"最小標高:")</f>
        <v>最小標高:</v>
      </c>
      <c r="AC721" s="4" t="str">
        <f>IFERROR(__xludf.DUMMYFUNCTION("GOOGLETRANSLATE(B721,""en"",""bg"")"),"Минимална надморска височина:")</f>
        <v>Минимална надморска височина:</v>
      </c>
      <c r="AD721" s="4" t="str">
        <f>IFERROR(__xludf.DUMMYFUNCTION("GOOGLETRANSLATE(B721,""en"",""cs"")"),"Min. nadmořská výška:")</f>
        <v>Min. nadmořská výška:</v>
      </c>
      <c r="AE721" s="4" t="str">
        <f>IFERROR(__xludf.DUMMYFUNCTION("GOOGLETRANSLATE(B721,""en"",""da"")"),"Min højde:")</f>
        <v>Min højde:</v>
      </c>
      <c r="AF721" s="4" t="str">
        <f>IFERROR(__xludf.DUMMYFUNCTION("GOOGLETRANSLATE(B721,""en"",""el"")"),"Ελάχιστο υψόμετρο:")</f>
        <v>Ελάχιστο υψόμετρο:</v>
      </c>
      <c r="AG721" s="4" t="str">
        <f>IFERROR(__xludf.DUMMYFUNCTION("GOOGLETRANSLATE(B721,""en"",""et"")"),"Minimaalne kõrgus:")</f>
        <v>Minimaalne kõrgus:</v>
      </c>
      <c r="AH721" s="4" t="str">
        <f>IFERROR(__xludf.DUMMYFUNCTION("GOOGLETRANSLATE(B721,""en"",""fi"")"),"Minimikorkeus:")</f>
        <v>Minimikorkeus:</v>
      </c>
      <c r="AI721" s="4" t="str">
        <f>IFERROR(__xludf.DUMMYFUNCTION("GOOGLETRANSLATE(B721,""en"",""hr"")"),"Minimalna nadmorska visina:")</f>
        <v>Minimalna nadmorska visina:</v>
      </c>
      <c r="AJ721" s="4" t="str">
        <f>IFERROR(__xludf.DUMMYFUNCTION("GOOGLETRANSLATE(B721,""en"",""hu"")"),"Minimális magasság:")</f>
        <v>Minimális magasság:</v>
      </c>
      <c r="AK721" s="4" t="str">
        <f>IFERROR(__xludf.DUMMYFUNCTION("GOOGLETRANSLATE(B721,""en"",""hy"")"),"Նվազագույն բարձրությունը:")</f>
        <v>Նվազագույն բարձրությունը:</v>
      </c>
      <c r="AL721" s="4" t="str">
        <f>IFERROR(__xludf.DUMMYFUNCTION("GOOGLETRANSLATE(B721,""en"",""ca"")"),"Elevació mínima:")</f>
        <v>Elevació mínima:</v>
      </c>
      <c r="AM721" s="4" t="str">
        <f>IFERROR(__xludf.DUMMYFUNCTION("GOOGLETRANSLATE(B721,""en"",""nl"")"),"Minimale hoogte:")</f>
        <v>Minimale hoogte:</v>
      </c>
      <c r="AN721" s="4" t="str">
        <f>IFERROR(__xludf.DUMMYFUNCTION("GOOGLETRANSLATE(B721,""en"",""he"")"),"גובה מינימלי:")</f>
        <v>גובה מינימלי:</v>
      </c>
      <c r="AO721" s="4" t="str">
        <f>IFERROR(__xludf.DUMMYFUNCTION("GOOGLETRANSLATE(B721,""en"",""is"")"),"Lágmarks hæð:")</f>
        <v>Lágmarks hæð:</v>
      </c>
      <c r="AP721" s="4" t="str">
        <f>IFERROR(__xludf.DUMMYFUNCTION("GOOGLETRANSLATE(B721,""en"",""no"")"),"Min høyde:")</f>
        <v>Min høyde:</v>
      </c>
      <c r="AQ721" s="4" t="str">
        <f>IFERROR(__xludf.DUMMYFUNCTION("GOOGLETRANSLATE(B721,""en"",""fa"")"),"حداقل ارتفاع:")</f>
        <v>حداقل ارتفاع:</v>
      </c>
      <c r="AR721" s="4" t="str">
        <f>IFERROR(__xludf.DUMMYFUNCTION("GOOGLETRANSLATE(B721,""en"",""pl"")"),"Minimalna wysokość:")</f>
        <v>Minimalna wysokość:</v>
      </c>
      <c r="AS721" s="4" t="str">
        <f>IFERROR(__xludf.DUMMYFUNCTION("GOOGLETRANSLATE(B721,""en"",""sv"")"),"Min höjd:")</f>
        <v>Min höjd:</v>
      </c>
      <c r="AT721" s="4" t="str">
        <f>IFERROR(__xludf.DUMMYFUNCTION("GOOGLETRANSLATE(B721,""en"",""uk"")"),"Мінімальна висота:")</f>
        <v>Мінімальна висота:</v>
      </c>
      <c r="AU721" s="4" t="str">
        <f>IFERROR(__xludf.DUMMYFUNCTION("GOOGLETRANSLATE(B721,""en"",""zu"")"),"Ukuphakama okuncane:")</f>
        <v>Ukuphakama okuncane:</v>
      </c>
      <c r="AV721" s="4" t="str">
        <f>IFERROR(__xludf.DUMMYFUNCTION("GOOGLETRANSLATE(B721,""en"",""sr"")"),"Минимална надморска висина:")</f>
        <v>Минимална надморска висина:</v>
      </c>
    </row>
    <row r="722">
      <c r="A722" s="3" t="s">
        <v>1364</v>
      </c>
      <c r="B722" s="3" t="s">
        <v>1365</v>
      </c>
      <c r="C722" s="4" t="str">
        <f>IFERROR(__xludf.DUMMYFUNCTION("GOOGLETRANSLATE(B722,""en"",""ta"")"),"கோப்பு தகவல்")</f>
        <v>கோப்பு தகவல்</v>
      </c>
      <c r="D722" s="4" t="str">
        <f>IFERROR(__xludf.DUMMYFUNCTION("GOOGLETRANSLATE(B722,""en"",""hi"")"),"फ़ाइल जानकारी")</f>
        <v>फ़ाइल जानकारी</v>
      </c>
      <c r="E722" s="4" t="str">
        <f>IFERROR(__xludf.DUMMYFUNCTION("GOOGLETRANSLATE(B722,""en"",""id"")"),"Informasi Berkas")</f>
        <v>Informasi Berkas</v>
      </c>
      <c r="F722" s="4" t="str">
        <f>IFERROR(__xludf.DUMMYFUNCTION("GOOGLETRANSLATE(B722,""en"",""ms"")"),"Maklumat Fail")</f>
        <v>Maklumat Fail</v>
      </c>
      <c r="G722" s="4" t="str">
        <f>IFERROR(__xludf.DUMMYFUNCTION("GOOGLETRANSLATE(B722,""en"",""de"")"),"Dateiinformationen")</f>
        <v>Dateiinformationen</v>
      </c>
      <c r="H722" s="4" t="str">
        <f>IFERROR(__xludf.DUMMYFUNCTION("GOOGLETRANSLATE(B722,""en"",""es"")"),"Información del archivo")</f>
        <v>Información del archivo</v>
      </c>
      <c r="I722" s="4" t="str">
        <f>IFERROR(__xludf.DUMMYFUNCTION("GOOGLETRANSLATE(B722,""en"",""fr"")"),"Informations sur le fichier")</f>
        <v>Informations sur le fichier</v>
      </c>
      <c r="J722" s="4" t="str">
        <f>IFERROR(__xludf.DUMMYFUNCTION("GOOGLETRANSLATE(B722,""en"",""it"")"),"Informazioni sul file")</f>
        <v>Informazioni sul file</v>
      </c>
      <c r="K722" s="4" t="str">
        <f>IFERROR(__xludf.DUMMYFUNCTION("GOOGLETRANSLATE(B722,""en"",""pt"")"),"Informações do arquivo")</f>
        <v>Informações do arquivo</v>
      </c>
      <c r="L722" s="4" t="str">
        <f>IFERROR(__xludf.DUMMYFUNCTION("GOOGLETRANSLATE(B722,""en"",""ro"")"),"Informații despre fișier")</f>
        <v>Informații despre fișier</v>
      </c>
      <c r="M722" s="4" t="str">
        <f>IFERROR(__xludf.DUMMYFUNCTION("GOOGLETRANSLATE(B722,""en"",""vi"")"),"Thông tin tập tin")</f>
        <v>Thông tin tập tin</v>
      </c>
      <c r="N722" s="4" t="str">
        <f>IFERROR(__xludf.DUMMYFUNCTION("GOOGLETRANSLATE(B722,""en"",""ru"")"),"Информация о файле")</f>
        <v>Информация о файле</v>
      </c>
      <c r="O722" s="4" t="str">
        <f>IFERROR(__xludf.DUMMYFUNCTION("GOOGLETRANSLATE(B722,""en"",""tr"")"),"Dosya Bilgileri")</f>
        <v>Dosya Bilgileri</v>
      </c>
      <c r="P722" s="4" t="str">
        <f>IFERROR(__xludf.DUMMYFUNCTION("GOOGLETRANSLATE(B722,""en"",""ar"")"),"معلومات الملف")</f>
        <v>معلومات الملف</v>
      </c>
      <c r="Q722" s="4" t="str">
        <f>IFERROR(__xludf.DUMMYFUNCTION("GOOGLETRANSLATE(B722,""en"",""mr"")"),"फाइल माहिती")</f>
        <v>फाइल माहिती</v>
      </c>
      <c r="R722" s="4" t="str">
        <f>IFERROR(__xludf.DUMMYFUNCTION("GOOGLETRANSLATE(B722,""en"",""gu"")"),"ફાઇલ માહિતી")</f>
        <v>ફાઇલ માહિતી</v>
      </c>
      <c r="S722" s="4" t="str">
        <f>IFERROR(__xludf.DUMMYFUNCTION("GOOGLETRANSLATE(B722,""en"",""bn"")"),"ফাইল তথ্য")</f>
        <v>ফাইল তথ্য</v>
      </c>
      <c r="T722" s="4" t="str">
        <f>IFERROR(__xludf.DUMMYFUNCTION("GOOGLETRANSLATE(B722,""en"",""pa"")"),"ਫਾਈਲ ਜਾਣਕਾਰੀ")</f>
        <v>ਫਾਈਲ ਜਾਣਕਾਰੀ</v>
      </c>
      <c r="U722" s="4" t="str">
        <f>IFERROR(__xludf.DUMMYFUNCTION("GOOGLETRANSLATE(B722,""en"",""te"")"),"ఫైల్ సమాచారం")</f>
        <v>ఫైల్ సమాచారం</v>
      </c>
      <c r="V722" s="4" t="str">
        <f>IFERROR(__xludf.DUMMYFUNCTION("GOOGLETRANSLATE(B722,""en"",""kn"")"),"ಫೈಲ್ ಮಾಹಿತಿ")</f>
        <v>ಫೈಲ್ ಮಾಹಿತಿ</v>
      </c>
      <c r="W722" s="4" t="str">
        <f>IFERROR(__xludf.DUMMYFUNCTION("GOOGLETRANSLATE(B722,""en"",""ml"")"),"ഫയൽ വിവരങ്ങൾ")</f>
        <v>ഫയൽ വിവരങ്ങൾ</v>
      </c>
      <c r="X722" s="4" t="str">
        <f>IFERROR(__xludf.DUMMYFUNCTION("GOOGLETRANSLATE(B722,""en"",""th"")"),"ข้อมูลไฟล์")</f>
        <v>ข้อมูลไฟล์</v>
      </c>
      <c r="Y722" s="4" t="str">
        <f>IFERROR(__xludf.DUMMYFUNCTION("GOOGLETRANSLATE(B722,""en"",""ko"")"),"파일 정보")</f>
        <v>파일 정보</v>
      </c>
      <c r="Z722" s="4" t="str">
        <f>IFERROR(__xludf.DUMMYFUNCTION("GOOGLETRANSLATE(B722,""en"",""zh"")"),"文件信息")</f>
        <v>文件信息</v>
      </c>
      <c r="AA722" s="4" t="str">
        <f>IFERROR(__xludf.DUMMYFUNCTION("GOOGLETRANSLATE(B722,""en"",""zh-TW"")"),"文件訊息")</f>
        <v>文件訊息</v>
      </c>
      <c r="AB722" s="4" t="str">
        <f>IFERROR(__xludf.DUMMYFUNCTION("GOOGLETRANSLATE(B722,""en"",""ja"")"),"ファイル情報")</f>
        <v>ファイル情報</v>
      </c>
      <c r="AC722" s="4" t="str">
        <f>IFERROR(__xludf.DUMMYFUNCTION("GOOGLETRANSLATE(B722,""en"",""bg"")"),"Информация за файла")</f>
        <v>Информация за файла</v>
      </c>
      <c r="AD722" s="4" t="str">
        <f>IFERROR(__xludf.DUMMYFUNCTION("GOOGLETRANSLATE(B722,""en"",""cs"")"),"Informace o souboru")</f>
        <v>Informace o souboru</v>
      </c>
      <c r="AE722" s="4" t="str">
        <f>IFERROR(__xludf.DUMMYFUNCTION("GOOGLETRANSLATE(B722,""en"",""da"")"),"Filoplysninger")</f>
        <v>Filoplysninger</v>
      </c>
      <c r="AF722" s="4" t="str">
        <f>IFERROR(__xludf.DUMMYFUNCTION("GOOGLETRANSLATE(B722,""en"",""el"")"),"Πληροφορίες αρχείου")</f>
        <v>Πληροφορίες αρχείου</v>
      </c>
      <c r="AG722" s="4" t="str">
        <f>IFERROR(__xludf.DUMMYFUNCTION("GOOGLETRANSLATE(B722,""en"",""et"")"),"Faili teave")</f>
        <v>Faili teave</v>
      </c>
      <c r="AH722" s="4" t="str">
        <f>IFERROR(__xludf.DUMMYFUNCTION("GOOGLETRANSLATE(B722,""en"",""fi"")"),"Tiedoston tiedot")</f>
        <v>Tiedoston tiedot</v>
      </c>
      <c r="AI722" s="4" t="str">
        <f>IFERROR(__xludf.DUMMYFUNCTION("GOOGLETRANSLATE(B722,""en"",""hr"")"),"Informacije o datoteci")</f>
        <v>Informacije o datoteci</v>
      </c>
      <c r="AJ722" s="4" t="str">
        <f>IFERROR(__xludf.DUMMYFUNCTION("GOOGLETRANSLATE(B722,""en"",""hu"")"),"Fájlinformáció")</f>
        <v>Fájlinformáció</v>
      </c>
      <c r="AK722" s="4" t="str">
        <f>IFERROR(__xludf.DUMMYFUNCTION("GOOGLETRANSLATE(B722,""en"",""hy"")"),"Ֆայլի տեղեկատվություն")</f>
        <v>Ֆայլի տեղեկատվություն</v>
      </c>
      <c r="AL722" s="4" t="str">
        <f>IFERROR(__xludf.DUMMYFUNCTION("GOOGLETRANSLATE(B722,""en"",""ca"")"),"Informació del fitxer")</f>
        <v>Informació del fitxer</v>
      </c>
      <c r="AM722" s="4" t="str">
        <f>IFERROR(__xludf.DUMMYFUNCTION("GOOGLETRANSLATE(B722,""en"",""nl"")"),"Bestandsinformatie")</f>
        <v>Bestandsinformatie</v>
      </c>
      <c r="AN722" s="4" t="str">
        <f>IFERROR(__xludf.DUMMYFUNCTION("GOOGLETRANSLATE(B722,""en"",""he"")"),"מידע על הקובץ")</f>
        <v>מידע על הקובץ</v>
      </c>
      <c r="AO722" s="4" t="str">
        <f>IFERROR(__xludf.DUMMYFUNCTION("GOOGLETRANSLATE(B722,""en"",""is"")"),"Skráarupplýsingar")</f>
        <v>Skráarupplýsingar</v>
      </c>
      <c r="AP722" s="4" t="str">
        <f>IFERROR(__xludf.DUMMYFUNCTION("GOOGLETRANSLATE(B722,""en"",""no"")"),"Filinformasjon")</f>
        <v>Filinformasjon</v>
      </c>
      <c r="AQ722" s="4" t="str">
        <f>IFERROR(__xludf.DUMMYFUNCTION("GOOGLETRANSLATE(B722,""en"",""fa"")"),"اطلاعات فایل")</f>
        <v>اطلاعات فایل</v>
      </c>
      <c r="AR722" s="4" t="str">
        <f>IFERROR(__xludf.DUMMYFUNCTION("GOOGLETRANSLATE(B722,""en"",""pl"")"),"Informacje o pliku")</f>
        <v>Informacje o pliku</v>
      </c>
      <c r="AS722" s="4" t="str">
        <f>IFERROR(__xludf.DUMMYFUNCTION("GOOGLETRANSLATE(B722,""en"",""sv"")"),"Filinformation")</f>
        <v>Filinformation</v>
      </c>
      <c r="AT722" s="4" t="str">
        <f>IFERROR(__xludf.DUMMYFUNCTION("GOOGLETRANSLATE(B722,""en"",""uk"")"),"Інформація про файл")</f>
        <v>Інформація про файл</v>
      </c>
      <c r="AU722" s="4" t="str">
        <f>IFERROR(__xludf.DUMMYFUNCTION("GOOGLETRANSLATE(B722,""en"",""zu"")"),"Ulwazi Lwefayela")</f>
        <v>Ulwazi Lwefayela</v>
      </c>
      <c r="AV722" s="4" t="str">
        <f>IFERROR(__xludf.DUMMYFUNCTION("GOOGLETRANSLATE(B722,""en"",""sr"")"),"Информације о фајлу")</f>
        <v>Информације о фајлу</v>
      </c>
    </row>
    <row r="723">
      <c r="A723" s="3" t="s">
        <v>1366</v>
      </c>
      <c r="B723" s="3" t="s">
        <v>1367</v>
      </c>
      <c r="C723" s="4" t="str">
        <f>IFERROR(__xludf.DUMMYFUNCTION("GOOGLETRANSLATE(B723,""en"",""ta"")"),"கோப்பு பெயர்:")</f>
        <v>கோப்பு பெயர்:</v>
      </c>
      <c r="D723" s="4" t="str">
        <f>IFERROR(__xludf.DUMMYFUNCTION("GOOGLETRANSLATE(B723,""en"",""hi"")"),"फ़ाइल का नाम:")</f>
        <v>फ़ाइल का नाम:</v>
      </c>
      <c r="E723" s="4" t="str">
        <f>IFERROR(__xludf.DUMMYFUNCTION("GOOGLETRANSLATE(B723,""en"",""id"")"),"Nama Berkas:")</f>
        <v>Nama Berkas:</v>
      </c>
      <c r="F723" s="4" t="str">
        <f>IFERROR(__xludf.DUMMYFUNCTION("GOOGLETRANSLATE(B723,""en"",""ms"")"),"Nama fail :")</f>
        <v>Nama fail :</v>
      </c>
      <c r="G723" s="4" t="str">
        <f>IFERROR(__xludf.DUMMYFUNCTION("GOOGLETRANSLATE(B723,""en"",""de"")"),"Dateiname:")</f>
        <v>Dateiname:</v>
      </c>
      <c r="H723" s="4" t="str">
        <f>IFERROR(__xludf.DUMMYFUNCTION("GOOGLETRANSLATE(B723,""en"",""es"")"),"Nombre del archivo:")</f>
        <v>Nombre del archivo:</v>
      </c>
      <c r="I723" s="4" t="str">
        <f>IFERROR(__xludf.DUMMYFUNCTION("GOOGLETRANSLATE(B723,""en"",""fr"")"),"Nom de fichier:")</f>
        <v>Nom de fichier:</v>
      </c>
      <c r="J723" s="4" t="str">
        <f>IFERROR(__xludf.DUMMYFUNCTION("GOOGLETRANSLATE(B723,""en"",""it"")"),"Nome del file:")</f>
        <v>Nome del file:</v>
      </c>
      <c r="K723" s="4" t="str">
        <f>IFERROR(__xludf.DUMMYFUNCTION("GOOGLETRANSLATE(B723,""en"",""pt"")"),"Nome do arquivo:")</f>
        <v>Nome do arquivo:</v>
      </c>
      <c r="L723" s="4" t="str">
        <f>IFERROR(__xludf.DUMMYFUNCTION("GOOGLETRANSLATE(B723,""en"",""ro"")"),"Nume de fișier:")</f>
        <v>Nume de fișier:</v>
      </c>
      <c r="M723" s="4" t="str">
        <f>IFERROR(__xludf.DUMMYFUNCTION("GOOGLETRANSLATE(B723,""en"",""vi"")"),"Tên tập tin:")</f>
        <v>Tên tập tin:</v>
      </c>
      <c r="N723" s="4" t="str">
        <f>IFERROR(__xludf.DUMMYFUNCTION("GOOGLETRANSLATE(B723,""en"",""ru"")"),"Имя файла:")</f>
        <v>Имя файла:</v>
      </c>
      <c r="O723" s="4" t="str">
        <f>IFERROR(__xludf.DUMMYFUNCTION("GOOGLETRANSLATE(B723,""en"",""tr"")"),"Dosya adı:")</f>
        <v>Dosya adı:</v>
      </c>
      <c r="P723" s="4" t="str">
        <f>IFERROR(__xludf.DUMMYFUNCTION("GOOGLETRANSLATE(B723,""en"",""ar"")"),"اسم الملف:")</f>
        <v>اسم الملف:</v>
      </c>
      <c r="Q723" s="4" t="str">
        <f>IFERROR(__xludf.DUMMYFUNCTION("GOOGLETRANSLATE(B723,""en"",""mr"")"),"फाईलचे नाव:")</f>
        <v>फाईलचे नाव:</v>
      </c>
      <c r="R723" s="4" t="str">
        <f>IFERROR(__xludf.DUMMYFUNCTION("GOOGLETRANSLATE(B723,""en"",""gu"")"),"ફાઇલનું નામ:")</f>
        <v>ફાઇલનું નામ:</v>
      </c>
      <c r="S723" s="4" t="str">
        <f>IFERROR(__xludf.DUMMYFUNCTION("GOOGLETRANSLATE(B723,""en"",""bn"")"),"ফাইলের নাম:")</f>
        <v>ফাইলের নাম:</v>
      </c>
      <c r="T723" s="4" t="str">
        <f>IFERROR(__xludf.DUMMYFUNCTION("GOOGLETRANSLATE(B723,""en"",""pa"")"),"ਫਾਈਲ ਦਾ ਨਾਮ:")</f>
        <v>ਫਾਈਲ ਦਾ ਨਾਮ:</v>
      </c>
      <c r="U723" s="4" t="str">
        <f>IFERROR(__xludf.DUMMYFUNCTION("GOOGLETRANSLATE(B723,""en"",""te"")"),"ఫైల్ పేరు:")</f>
        <v>ఫైల్ పేరు:</v>
      </c>
      <c r="V723" s="4" t="str">
        <f>IFERROR(__xludf.DUMMYFUNCTION("GOOGLETRANSLATE(B723,""en"",""kn"")"),"ಫೈಲ್ ಹೆಸರು:")</f>
        <v>ಫೈಲ್ ಹೆಸರು:</v>
      </c>
      <c r="W723" s="4" t="str">
        <f>IFERROR(__xludf.DUMMYFUNCTION("GOOGLETRANSLATE(B723,""en"",""ml"")"),"ഫയലിന്റെ പേര്:")</f>
        <v>ഫയലിന്റെ പേര്:</v>
      </c>
      <c r="X723" s="4" t="str">
        <f>IFERROR(__xludf.DUMMYFUNCTION("GOOGLETRANSLATE(B723,""en"",""th"")"),"ชื่อไฟล์:")</f>
        <v>ชื่อไฟล์:</v>
      </c>
      <c r="Y723" s="4" t="str">
        <f>IFERROR(__xludf.DUMMYFUNCTION("GOOGLETRANSLATE(B723,""en"",""ko"")"),"파일 이름:")</f>
        <v>파일 이름:</v>
      </c>
      <c r="Z723" s="4" t="str">
        <f>IFERROR(__xludf.DUMMYFUNCTION("GOOGLETRANSLATE(B723,""en"",""zh"")"),"文件名：")</f>
        <v>文件名：</v>
      </c>
      <c r="AA723" s="4" t="str">
        <f>IFERROR(__xludf.DUMMYFUNCTION("GOOGLETRANSLATE(B723,""en"",""zh-TW"")"),"檔案名稱：")</f>
        <v>檔案名稱：</v>
      </c>
      <c r="AB723" s="4" t="str">
        <f>IFERROR(__xludf.DUMMYFUNCTION("GOOGLETRANSLATE(B723,""en"",""ja"")"),"ファイル名：")</f>
        <v>ファイル名：</v>
      </c>
      <c r="AC723" s="4" t="str">
        <f>IFERROR(__xludf.DUMMYFUNCTION("GOOGLETRANSLATE(B723,""en"",""bg"")"),"Име на файла:")</f>
        <v>Име на файла:</v>
      </c>
      <c r="AD723" s="4" t="str">
        <f>IFERROR(__xludf.DUMMYFUNCTION("GOOGLETRANSLATE(B723,""en"",""cs"")"),"Název souboru:")</f>
        <v>Název souboru:</v>
      </c>
      <c r="AE723" s="4" t="str">
        <f>IFERROR(__xludf.DUMMYFUNCTION("GOOGLETRANSLATE(B723,""en"",""da"")"),"Filnavn:")</f>
        <v>Filnavn:</v>
      </c>
      <c r="AF723" s="4" t="str">
        <f>IFERROR(__xludf.DUMMYFUNCTION("GOOGLETRANSLATE(B723,""en"",""el"")"),"Όνομα αρχείου:")</f>
        <v>Όνομα αρχείου:</v>
      </c>
      <c r="AG723" s="4" t="str">
        <f>IFERROR(__xludf.DUMMYFUNCTION("GOOGLETRANSLATE(B723,""en"",""et"")"),"Faili nimi:")</f>
        <v>Faili nimi:</v>
      </c>
      <c r="AH723" s="4" t="str">
        <f>IFERROR(__xludf.DUMMYFUNCTION("GOOGLETRANSLATE(B723,""en"",""fi"")"),"Tiedoston nimi:")</f>
        <v>Tiedoston nimi:</v>
      </c>
      <c r="AI723" s="4" t="str">
        <f>IFERROR(__xludf.DUMMYFUNCTION("GOOGLETRANSLATE(B723,""en"",""hr"")"),"Naziv datoteke:")</f>
        <v>Naziv datoteke:</v>
      </c>
      <c r="AJ723" s="4" t="str">
        <f>IFERROR(__xludf.DUMMYFUNCTION("GOOGLETRANSLATE(B723,""en"",""hu"")"),"Fájlnév:")</f>
        <v>Fájlnév:</v>
      </c>
      <c r="AK723" s="4" t="str">
        <f>IFERROR(__xludf.DUMMYFUNCTION("GOOGLETRANSLATE(B723,""en"",""hy"")"),"Ֆայլի անունը.")</f>
        <v>Ֆայլի անունը.</v>
      </c>
      <c r="AL723" s="4" t="str">
        <f>IFERROR(__xludf.DUMMYFUNCTION("GOOGLETRANSLATE(B723,""en"",""ca"")"),"Nom del fitxer:")</f>
        <v>Nom del fitxer:</v>
      </c>
      <c r="AM723" s="4" t="str">
        <f>IFERROR(__xludf.DUMMYFUNCTION("GOOGLETRANSLATE(B723,""en"",""nl"")"),"Bestandsnaam:")</f>
        <v>Bestandsnaam:</v>
      </c>
      <c r="AN723" s="4" t="str">
        <f>IFERROR(__xludf.DUMMYFUNCTION("GOOGLETRANSLATE(B723,""en"",""he"")"),"שם הקובץ:")</f>
        <v>שם הקובץ:</v>
      </c>
      <c r="AO723" s="4" t="str">
        <f>IFERROR(__xludf.DUMMYFUNCTION("GOOGLETRANSLATE(B723,""en"",""is"")"),"Skráarheiti:")</f>
        <v>Skráarheiti:</v>
      </c>
      <c r="AP723" s="4" t="str">
        <f>IFERROR(__xludf.DUMMYFUNCTION("GOOGLETRANSLATE(B723,""en"",""no"")"),"Filnavn:")</f>
        <v>Filnavn:</v>
      </c>
      <c r="AQ723" s="4" t="str">
        <f>IFERROR(__xludf.DUMMYFUNCTION("GOOGLETRANSLATE(B723,""en"",""fa"")"),"نام فایل:")</f>
        <v>نام فایل:</v>
      </c>
      <c r="AR723" s="4" t="str">
        <f>IFERROR(__xludf.DUMMYFUNCTION("GOOGLETRANSLATE(B723,""en"",""pl"")"),"Nazwa pliku:")</f>
        <v>Nazwa pliku:</v>
      </c>
      <c r="AS723" s="4" t="str">
        <f>IFERROR(__xludf.DUMMYFUNCTION("GOOGLETRANSLATE(B723,""en"",""sv"")"),"Filnamn:")</f>
        <v>Filnamn:</v>
      </c>
      <c r="AT723" s="4" t="str">
        <f>IFERROR(__xludf.DUMMYFUNCTION("GOOGLETRANSLATE(B723,""en"",""uk"")"),"Ім'я файлу:")</f>
        <v>Ім'я файлу:</v>
      </c>
      <c r="AU723" s="4" t="str">
        <f>IFERROR(__xludf.DUMMYFUNCTION("GOOGLETRANSLATE(B723,""en"",""zu"")"),"Igama lefayela:")</f>
        <v>Igama lefayela:</v>
      </c>
      <c r="AV723" s="4" t="str">
        <f>IFERROR(__xludf.DUMMYFUNCTION("GOOGLETRANSLATE(B723,""en"",""sr"")"),"Име датотеке:")</f>
        <v>Име датотеке:</v>
      </c>
    </row>
    <row r="724">
      <c r="A724" s="3" t="s">
        <v>1368</v>
      </c>
      <c r="B724" s="3" t="s">
        <v>1369</v>
      </c>
      <c r="C724" s="4" t="str">
        <f>IFERROR(__xludf.DUMMYFUNCTION("GOOGLETRANSLATE(B724,""en"",""ta"")"),"கோப்பு பாதை:")</f>
        <v>கோப்பு பாதை:</v>
      </c>
      <c r="D724" s="4" t="str">
        <f>IFERROR(__xludf.DUMMYFUNCTION("GOOGLETRANSLATE(B724,""en"",""hi"")"),"दस्तावेज पथ:")</f>
        <v>दस्तावेज पथ:</v>
      </c>
      <c r="E724" s="4" t="str">
        <f>IFERROR(__xludf.DUMMYFUNCTION("GOOGLETRANSLATE(B724,""en"",""id"")"),"Jalur Berkas:")</f>
        <v>Jalur Berkas:</v>
      </c>
      <c r="F724" s="4" t="str">
        <f>IFERROR(__xludf.DUMMYFUNCTION("GOOGLETRANSLATE(B724,""en"",""ms"")"),"Laluan Fail:")</f>
        <v>Laluan Fail:</v>
      </c>
      <c r="G724" s="4" t="str">
        <f>IFERROR(__xludf.DUMMYFUNCTION("GOOGLETRANSLATE(B724,""en"",""de"")"),"Dateipfad:")</f>
        <v>Dateipfad:</v>
      </c>
      <c r="H724" s="4" t="str">
        <f>IFERROR(__xludf.DUMMYFUNCTION("GOOGLETRANSLATE(B724,""en"",""es"")"),"Ruta del archivo:")</f>
        <v>Ruta del archivo:</v>
      </c>
      <c r="I724" s="4" t="str">
        <f>IFERROR(__xludf.DUMMYFUNCTION("GOOGLETRANSLATE(B724,""en"",""fr"")"),"Chemin du fichier :")</f>
        <v>Chemin du fichier :</v>
      </c>
      <c r="J724" s="4" t="str">
        <f>IFERROR(__xludf.DUMMYFUNCTION("GOOGLETRANSLATE(B724,""en"",""it"")"),"Percorso del file:")</f>
        <v>Percorso del file:</v>
      </c>
      <c r="K724" s="4" t="str">
        <f>IFERROR(__xludf.DUMMYFUNCTION("GOOGLETRANSLATE(B724,""en"",""pt"")"),"Caminho do arquivo:")</f>
        <v>Caminho do arquivo:</v>
      </c>
      <c r="L724" s="4" t="str">
        <f>IFERROR(__xludf.DUMMYFUNCTION("GOOGLETRANSLATE(B724,""en"",""ro"")"),"Calea fișierului:")</f>
        <v>Calea fișierului:</v>
      </c>
      <c r="M724" s="4" t="str">
        <f>IFERROR(__xludf.DUMMYFUNCTION("GOOGLETRANSLATE(B724,""en"",""vi"")"),"Đường dẫn tệp:")</f>
        <v>Đường dẫn tệp:</v>
      </c>
      <c r="N724" s="4" t="str">
        <f>IFERROR(__xludf.DUMMYFUNCTION("GOOGLETRANSLATE(B724,""en"",""ru"")"),"Путь к файлу:")</f>
        <v>Путь к файлу:</v>
      </c>
      <c r="O724" s="4" t="str">
        <f>IFERROR(__xludf.DUMMYFUNCTION("GOOGLETRANSLATE(B724,""en"",""tr"")"),"Dosya Yolu:")</f>
        <v>Dosya Yolu:</v>
      </c>
      <c r="P724" s="4" t="str">
        <f>IFERROR(__xludf.DUMMYFUNCTION("GOOGLETRANSLATE(B724,""en"",""ar"")"),"مسار الملف:")</f>
        <v>مسار الملف:</v>
      </c>
      <c r="Q724" s="4" t="str">
        <f>IFERROR(__xludf.DUMMYFUNCTION("GOOGLETRANSLATE(B724,""en"",""mr"")"),"फाइल पथ:")</f>
        <v>फाइल पथ:</v>
      </c>
      <c r="R724" s="4" t="str">
        <f>IFERROR(__xludf.DUMMYFUNCTION("GOOGLETRANSLATE(B724,""en"",""gu"")"),"ફાઇલ પાથ:")</f>
        <v>ફાઇલ પાથ:</v>
      </c>
      <c r="S724" s="4" t="str">
        <f>IFERROR(__xludf.DUMMYFUNCTION("GOOGLETRANSLATE(B724,""en"",""bn"")"),"ফাইল পাথ:")</f>
        <v>ফাইল পাথ:</v>
      </c>
      <c r="T724" s="4" t="str">
        <f>IFERROR(__xludf.DUMMYFUNCTION("GOOGLETRANSLATE(B724,""en"",""pa"")"),"ਫਾਈਲ ਮਾਰਗ:")</f>
        <v>ਫਾਈਲ ਮਾਰਗ:</v>
      </c>
      <c r="U724" s="4" t="str">
        <f>IFERROR(__xludf.DUMMYFUNCTION("GOOGLETRANSLATE(B724,""en"",""te"")"),"ఫైల్ మార్గం:")</f>
        <v>ఫైల్ మార్గం:</v>
      </c>
      <c r="V724" s="4" t="str">
        <f>IFERROR(__xludf.DUMMYFUNCTION("GOOGLETRANSLATE(B724,""en"",""kn"")"),"ಫೈಲ್ ಪಾತ್:")</f>
        <v>ಫೈಲ್ ಪಾತ್:</v>
      </c>
      <c r="W724" s="4" t="str">
        <f>IFERROR(__xludf.DUMMYFUNCTION("GOOGLETRANSLATE(B724,""en"",""ml"")"),"ഫയൽ പാത്ത്:")</f>
        <v>ഫയൽ പാത്ത്:</v>
      </c>
      <c r="X724" s="4" t="str">
        <f>IFERROR(__xludf.DUMMYFUNCTION("GOOGLETRANSLATE(B724,""en"",""th"")"),"เส้นทางไฟล์:")</f>
        <v>เส้นทางไฟล์:</v>
      </c>
      <c r="Y724" s="4" t="str">
        <f>IFERROR(__xludf.DUMMYFUNCTION("GOOGLETRANSLATE(B724,""en"",""ko"")"),"파일 경로:")</f>
        <v>파일 경로:</v>
      </c>
      <c r="Z724" s="4" t="str">
        <f>IFERROR(__xludf.DUMMYFUNCTION("GOOGLETRANSLATE(B724,""en"",""zh"")"),"文件路径：")</f>
        <v>文件路径：</v>
      </c>
      <c r="AA724" s="4" t="str">
        <f>IFERROR(__xludf.DUMMYFUNCTION("GOOGLETRANSLATE(B724,""en"",""zh-TW"")"),"文件路徑：")</f>
        <v>文件路徑：</v>
      </c>
      <c r="AB724" s="4" t="str">
        <f>IFERROR(__xludf.DUMMYFUNCTION("GOOGLETRANSLATE(B724,""en"",""ja"")"),"ファイルパス:")</f>
        <v>ファイルパス:</v>
      </c>
      <c r="AC724" s="4" t="str">
        <f>IFERROR(__xludf.DUMMYFUNCTION("GOOGLETRANSLATE(B724,""en"",""bg"")"),"Път на файла:")</f>
        <v>Път на файла:</v>
      </c>
      <c r="AD724" s="4" t="str">
        <f>IFERROR(__xludf.DUMMYFUNCTION("GOOGLETRANSLATE(B724,""en"",""cs"")"),"Cesta k souboru:")</f>
        <v>Cesta k souboru:</v>
      </c>
      <c r="AE724" s="4" t="str">
        <f>IFERROR(__xludf.DUMMYFUNCTION("GOOGLETRANSLATE(B724,""en"",""da"")"),"Filsti:")</f>
        <v>Filsti:</v>
      </c>
      <c r="AF724" s="4" t="str">
        <f>IFERROR(__xludf.DUMMYFUNCTION("GOOGLETRANSLATE(B724,""en"",""el"")"),"Διαδρομή αρχείου:")</f>
        <v>Διαδρομή αρχείου:</v>
      </c>
      <c r="AG724" s="4" t="str">
        <f>IFERROR(__xludf.DUMMYFUNCTION("GOOGLETRANSLATE(B724,""en"",""et"")"),"Faili tee:")</f>
        <v>Faili tee:</v>
      </c>
      <c r="AH724" s="4" t="str">
        <f>IFERROR(__xludf.DUMMYFUNCTION("GOOGLETRANSLATE(B724,""en"",""fi"")"),"Tiedoston polku:")</f>
        <v>Tiedoston polku:</v>
      </c>
      <c r="AI724" s="4" t="str">
        <f>IFERROR(__xludf.DUMMYFUNCTION("GOOGLETRANSLATE(B724,""en"",""hr"")"),"Put do datoteke:")</f>
        <v>Put do datoteke:</v>
      </c>
      <c r="AJ724" s="4" t="str">
        <f>IFERROR(__xludf.DUMMYFUNCTION("GOOGLETRANSLATE(B724,""en"",""hu"")"),"Fájl elérési útja:")</f>
        <v>Fájl elérési útja:</v>
      </c>
      <c r="AK724" s="4" t="str">
        <f>IFERROR(__xludf.DUMMYFUNCTION("GOOGLETRANSLATE(B724,""en"",""hy"")"),"Ֆայլի ուղի.")</f>
        <v>Ֆայլի ուղի.</v>
      </c>
      <c r="AL724" s="4" t="str">
        <f>IFERROR(__xludf.DUMMYFUNCTION("GOOGLETRANSLATE(B724,""en"",""ca"")"),"Camí del fitxer:")</f>
        <v>Camí del fitxer:</v>
      </c>
      <c r="AM724" s="4" t="str">
        <f>IFERROR(__xludf.DUMMYFUNCTION("GOOGLETRANSLATE(B724,""en"",""nl"")"),"Bestandspad:")</f>
        <v>Bestandspad:</v>
      </c>
      <c r="AN724" s="4" t="str">
        <f>IFERROR(__xludf.DUMMYFUNCTION("GOOGLETRANSLATE(B724,""en"",""he"")"),"נתיב קובץ:")</f>
        <v>נתיב קובץ:</v>
      </c>
      <c r="AO724" s="4" t="str">
        <f>IFERROR(__xludf.DUMMYFUNCTION("GOOGLETRANSLATE(B724,""en"",""is"")"),"Skráarslóð:")</f>
        <v>Skráarslóð:</v>
      </c>
      <c r="AP724" s="4" t="str">
        <f>IFERROR(__xludf.DUMMYFUNCTION("GOOGLETRANSLATE(B724,""en"",""no"")"),"Filbane:")</f>
        <v>Filbane:</v>
      </c>
      <c r="AQ724" s="4" t="str">
        <f>IFERROR(__xludf.DUMMYFUNCTION("GOOGLETRANSLATE(B724,""en"",""fa"")"),"مسیر فایل:")</f>
        <v>مسیر فایل:</v>
      </c>
      <c r="AR724" s="4" t="str">
        <f>IFERROR(__xludf.DUMMYFUNCTION("GOOGLETRANSLATE(B724,""en"",""pl"")"),"Ścieżka pliku:")</f>
        <v>Ścieżka pliku:</v>
      </c>
      <c r="AS724" s="4" t="str">
        <f>IFERROR(__xludf.DUMMYFUNCTION("GOOGLETRANSLATE(B724,""en"",""sv"")"),"Filsökväg:")</f>
        <v>Filsökväg:</v>
      </c>
      <c r="AT724" s="4" t="str">
        <f>IFERROR(__xludf.DUMMYFUNCTION("GOOGLETRANSLATE(B724,""en"",""uk"")"),"Шлях до файлу:")</f>
        <v>Шлях до файлу:</v>
      </c>
      <c r="AU724" s="4" t="str">
        <f>IFERROR(__xludf.DUMMYFUNCTION("GOOGLETRANSLATE(B724,""en"",""zu"")"),"Indlela Yefayela:")</f>
        <v>Indlela Yefayela:</v>
      </c>
      <c r="AV724" s="4" t="str">
        <f>IFERROR(__xludf.DUMMYFUNCTION("GOOGLETRANSLATE(B724,""en"",""sr"")"),"Путања датотеке:")</f>
        <v>Путања датотеке:</v>
      </c>
    </row>
    <row r="725">
      <c r="A725" s="3" t="s">
        <v>1370</v>
      </c>
      <c r="B725" s="3" t="s">
        <v>1371</v>
      </c>
      <c r="C725" s="4" t="str">
        <f>IFERROR(__xludf.DUMMYFUNCTION("GOOGLETRANSLATE(B725,""en"",""ta"")"),"கோப்பு அளவு:")</f>
        <v>கோப்பு அளவு:</v>
      </c>
      <c r="D725" s="4" t="str">
        <f>IFERROR(__xludf.DUMMYFUNCTION("GOOGLETRANSLATE(B725,""en"",""hi"")"),"फ़ाइल का साइज़:")</f>
        <v>फ़ाइल का साइज़:</v>
      </c>
      <c r="E725" s="4" t="str">
        <f>IFERROR(__xludf.DUMMYFUNCTION("GOOGLETRANSLATE(B725,""en"",""id"")"),"Ukuran Berkas:")</f>
        <v>Ukuran Berkas:</v>
      </c>
      <c r="F725" s="4" t="str">
        <f>IFERROR(__xludf.DUMMYFUNCTION("GOOGLETRANSLATE(B725,""en"",""ms"")"),"Saiz Fail:")</f>
        <v>Saiz Fail:</v>
      </c>
      <c r="G725" s="4" t="str">
        <f>IFERROR(__xludf.DUMMYFUNCTION("GOOGLETRANSLATE(B725,""en"",""de"")"),"Dateigröße:")</f>
        <v>Dateigröße:</v>
      </c>
      <c r="H725" s="4" t="str">
        <f>IFERROR(__xludf.DUMMYFUNCTION("GOOGLETRANSLATE(B725,""en"",""es"")"),"Tamaño del archivo:")</f>
        <v>Tamaño del archivo:</v>
      </c>
      <c r="I725" s="4" t="str">
        <f>IFERROR(__xludf.DUMMYFUNCTION("GOOGLETRANSLATE(B725,""en"",""fr"")"),"Taille du fichier:")</f>
        <v>Taille du fichier:</v>
      </c>
      <c r="J725" s="4" t="str">
        <f>IFERROR(__xludf.DUMMYFUNCTION("GOOGLETRANSLATE(B725,""en"",""it"")"),"Dimensione del file:")</f>
        <v>Dimensione del file:</v>
      </c>
      <c r="K725" s="4" t="str">
        <f>IFERROR(__xludf.DUMMYFUNCTION("GOOGLETRANSLATE(B725,""en"",""pt"")"),"Tamanho do arquivo:")</f>
        <v>Tamanho do arquivo:</v>
      </c>
      <c r="L725" s="4" t="str">
        <f>IFERROR(__xludf.DUMMYFUNCTION("GOOGLETRANSLATE(B725,""en"",""ro"")"),"Dimensiunea fișierului:")</f>
        <v>Dimensiunea fișierului:</v>
      </c>
      <c r="M725" s="4" t="str">
        <f>IFERROR(__xludf.DUMMYFUNCTION("GOOGLETRANSLATE(B725,""en"",""vi"")"),"Kích thước tập tin:")</f>
        <v>Kích thước tập tin:</v>
      </c>
      <c r="N725" s="4" t="str">
        <f>IFERROR(__xludf.DUMMYFUNCTION("GOOGLETRANSLATE(B725,""en"",""ru"")"),"Размер файла:")</f>
        <v>Размер файла:</v>
      </c>
      <c r="O725" s="4" t="str">
        <f>IFERROR(__xludf.DUMMYFUNCTION("GOOGLETRANSLATE(B725,""en"",""tr"")"),"Dosya Boyutu:")</f>
        <v>Dosya Boyutu:</v>
      </c>
      <c r="P725" s="4" t="str">
        <f>IFERROR(__xludf.DUMMYFUNCTION("GOOGLETRANSLATE(B725,""en"",""ar"")"),"حجم الملف:")</f>
        <v>حجم الملف:</v>
      </c>
      <c r="Q725" s="4" t="str">
        <f>IFERROR(__xludf.DUMMYFUNCTION("GOOGLETRANSLATE(B725,""en"",""mr"")"),"फाइल आकार:")</f>
        <v>फाइल आकार:</v>
      </c>
      <c r="R725" s="4" t="str">
        <f>IFERROR(__xludf.DUMMYFUNCTION("GOOGLETRANSLATE(B725,""en"",""gu"")"),"ફાઇલનું કદ:")</f>
        <v>ફાઇલનું કદ:</v>
      </c>
      <c r="S725" s="4" t="str">
        <f>IFERROR(__xludf.DUMMYFUNCTION("GOOGLETRANSLATE(B725,""en"",""bn"")"),"ফাইলের আকার:")</f>
        <v>ফাইলের আকার:</v>
      </c>
      <c r="T725" s="4" t="str">
        <f>IFERROR(__xludf.DUMMYFUNCTION("GOOGLETRANSLATE(B725,""en"",""pa"")"),"ਫਾਈਲ ਦਾ ਆਕਾਰ:")</f>
        <v>ਫਾਈਲ ਦਾ ਆਕਾਰ:</v>
      </c>
      <c r="U725" s="4" t="str">
        <f>IFERROR(__xludf.DUMMYFUNCTION("GOOGLETRANSLATE(B725,""en"",""te"")"),"ఫైల్ పరిమాణం:")</f>
        <v>ఫైల్ పరిమాణం:</v>
      </c>
      <c r="V725" s="4" t="str">
        <f>IFERROR(__xludf.DUMMYFUNCTION("GOOGLETRANSLATE(B725,""en"",""kn"")"),"ಫೈಲ್ ಗಾತ್ರ:")</f>
        <v>ಫೈಲ್ ಗಾತ್ರ:</v>
      </c>
      <c r="W725" s="4" t="str">
        <f>IFERROR(__xludf.DUMMYFUNCTION("GOOGLETRANSLATE(B725,""en"",""ml"")"),"ഫയൽ വലുപ്പം:")</f>
        <v>ഫയൽ വലുപ്പം:</v>
      </c>
      <c r="X725" s="4" t="str">
        <f>IFERROR(__xludf.DUMMYFUNCTION("GOOGLETRANSLATE(B725,""en"",""th"")"),"ขนาดไฟล์:")</f>
        <v>ขนาดไฟล์:</v>
      </c>
      <c r="Y725" s="4" t="str">
        <f>IFERROR(__xludf.DUMMYFUNCTION("GOOGLETRANSLATE(B725,""en"",""ko"")"),"파일 크기:")</f>
        <v>파일 크기:</v>
      </c>
      <c r="Z725" s="4" t="str">
        <f>IFERROR(__xludf.DUMMYFUNCTION("GOOGLETRANSLATE(B725,""en"",""zh"")"),"文件大小：")</f>
        <v>文件大小：</v>
      </c>
      <c r="AA725" s="4" t="str">
        <f>IFERROR(__xludf.DUMMYFUNCTION("GOOGLETRANSLATE(B725,""en"",""zh-TW"")"),"文件大小：")</f>
        <v>文件大小：</v>
      </c>
      <c r="AB725" s="4" t="str">
        <f>IFERROR(__xludf.DUMMYFUNCTION("GOOGLETRANSLATE(B725,""en"",""ja"")"),"ファイルサイズ:")</f>
        <v>ファイルサイズ:</v>
      </c>
      <c r="AC725" s="4" t="str">
        <f>IFERROR(__xludf.DUMMYFUNCTION("GOOGLETRANSLATE(B725,""en"",""bg"")"),"Размер на файла:")</f>
        <v>Размер на файла:</v>
      </c>
      <c r="AD725" s="4" t="str">
        <f>IFERROR(__xludf.DUMMYFUNCTION("GOOGLETRANSLATE(B725,""en"",""cs"")"),"Velikost souboru:")</f>
        <v>Velikost souboru:</v>
      </c>
      <c r="AE725" s="4" t="str">
        <f>IFERROR(__xludf.DUMMYFUNCTION("GOOGLETRANSLATE(B725,""en"",""da"")"),"Filstørrelse:")</f>
        <v>Filstørrelse:</v>
      </c>
      <c r="AF725" s="4" t="str">
        <f>IFERROR(__xludf.DUMMYFUNCTION("GOOGLETRANSLATE(B725,""en"",""el"")"),"Μέγεθος αρχείου:")</f>
        <v>Μέγεθος αρχείου:</v>
      </c>
      <c r="AG725" s="4" t="str">
        <f>IFERROR(__xludf.DUMMYFUNCTION("GOOGLETRANSLATE(B725,""en"",""et"")"),"Faili suurus:")</f>
        <v>Faili suurus:</v>
      </c>
      <c r="AH725" s="4" t="str">
        <f>IFERROR(__xludf.DUMMYFUNCTION("GOOGLETRANSLATE(B725,""en"",""fi"")"),"Tiedoston koko:")</f>
        <v>Tiedoston koko:</v>
      </c>
      <c r="AI725" s="4" t="str">
        <f>IFERROR(__xludf.DUMMYFUNCTION("GOOGLETRANSLATE(B725,""en"",""hr"")"),"Veličina datoteke:")</f>
        <v>Veličina datoteke:</v>
      </c>
      <c r="AJ725" s="4" t="str">
        <f>IFERROR(__xludf.DUMMYFUNCTION("GOOGLETRANSLATE(B725,""en"",""hu"")"),"Fájlméret:")</f>
        <v>Fájlméret:</v>
      </c>
      <c r="AK725" s="4" t="str">
        <f>IFERROR(__xludf.DUMMYFUNCTION("GOOGLETRANSLATE(B725,""en"",""hy"")"),"Ֆայլի չափը՝")</f>
        <v>Ֆայլի չափը՝</v>
      </c>
      <c r="AL725" s="4" t="str">
        <f>IFERROR(__xludf.DUMMYFUNCTION("GOOGLETRANSLATE(B725,""en"",""ca"")"),"Mida del fitxer:")</f>
        <v>Mida del fitxer:</v>
      </c>
      <c r="AM725" s="4" t="str">
        <f>IFERROR(__xludf.DUMMYFUNCTION("GOOGLETRANSLATE(B725,""en"",""nl"")"),"Bestandsgrootte:")</f>
        <v>Bestandsgrootte:</v>
      </c>
      <c r="AN725" s="4" t="str">
        <f>IFERROR(__xludf.DUMMYFUNCTION("GOOGLETRANSLATE(B725,""en"",""he"")"),"גודל קובץ:")</f>
        <v>גודל קובץ:</v>
      </c>
      <c r="AO725" s="4" t="str">
        <f>IFERROR(__xludf.DUMMYFUNCTION("GOOGLETRANSLATE(B725,""en"",""is"")"),"Skráarstærð:")</f>
        <v>Skráarstærð:</v>
      </c>
      <c r="AP725" s="4" t="str">
        <f>IFERROR(__xludf.DUMMYFUNCTION("GOOGLETRANSLATE(B725,""en"",""no"")"),"Filstørrelse:")</f>
        <v>Filstørrelse:</v>
      </c>
      <c r="AQ725" s="4" t="str">
        <f>IFERROR(__xludf.DUMMYFUNCTION("GOOGLETRANSLATE(B725,""en"",""fa"")"),"اندازه فایل:")</f>
        <v>اندازه فایل:</v>
      </c>
      <c r="AR725" s="4" t="str">
        <f>IFERROR(__xludf.DUMMYFUNCTION("GOOGLETRANSLATE(B725,""en"",""pl"")"),"Rozmiar pliku:")</f>
        <v>Rozmiar pliku:</v>
      </c>
      <c r="AS725" s="4" t="str">
        <f>IFERROR(__xludf.DUMMYFUNCTION("GOOGLETRANSLATE(B725,""en"",""sv"")"),"Fil-storlek:")</f>
        <v>Fil-storlek:</v>
      </c>
      <c r="AT725" s="4" t="str">
        <f>IFERROR(__xludf.DUMMYFUNCTION("GOOGLETRANSLATE(B725,""en"",""uk"")"),"Розмір файлу:")</f>
        <v>Розмір файлу:</v>
      </c>
      <c r="AU725" s="4" t="str">
        <f>IFERROR(__xludf.DUMMYFUNCTION("GOOGLETRANSLATE(B725,""en"",""zu"")"),"Usayizi Wefayela:")</f>
        <v>Usayizi Wefayela:</v>
      </c>
      <c r="AV725" s="4" t="str">
        <f>IFERROR(__xludf.DUMMYFUNCTION("GOOGLETRANSLATE(B725,""en"",""sr"")"),"Величина датотеке:")</f>
        <v>Величина датотеке:</v>
      </c>
    </row>
    <row r="726">
      <c r="A726" s="3" t="s">
        <v>1372</v>
      </c>
      <c r="B726" s="3" t="s">
        <v>1373</v>
      </c>
      <c r="C726" s="4" t="str">
        <f>IFERROR(__xludf.DUMMYFUNCTION("GOOGLETRANSLATE(B726,""en"",""ta"")"),"ஆசிரியர்:")</f>
        <v>ஆசிரியர்:</v>
      </c>
      <c r="D726" s="4" t="str">
        <f>IFERROR(__xludf.DUMMYFUNCTION("GOOGLETRANSLATE(B726,""en"",""hi"")"),"लेखक:")</f>
        <v>लेखक:</v>
      </c>
      <c r="E726" s="4" t="str">
        <f>IFERROR(__xludf.DUMMYFUNCTION("GOOGLETRANSLATE(B726,""en"",""id"")"),"Pengarang:")</f>
        <v>Pengarang:</v>
      </c>
      <c r="F726" s="4" t="str">
        <f>IFERROR(__xludf.DUMMYFUNCTION("GOOGLETRANSLATE(B726,""en"",""ms"")"),"Pengarang:")</f>
        <v>Pengarang:</v>
      </c>
      <c r="G726" s="4" t="str">
        <f>IFERROR(__xludf.DUMMYFUNCTION("GOOGLETRANSLATE(B726,""en"",""de"")"),"Autor:")</f>
        <v>Autor:</v>
      </c>
      <c r="H726" s="4" t="str">
        <f>IFERROR(__xludf.DUMMYFUNCTION("GOOGLETRANSLATE(B726,""en"",""es"")"),"Autor:")</f>
        <v>Autor:</v>
      </c>
      <c r="I726" s="4" t="str">
        <f>IFERROR(__xludf.DUMMYFUNCTION("GOOGLETRANSLATE(B726,""en"",""fr"")"),"Auteur:")</f>
        <v>Auteur:</v>
      </c>
      <c r="J726" s="4" t="str">
        <f>IFERROR(__xludf.DUMMYFUNCTION("GOOGLETRANSLATE(B726,""en"",""it"")"),"Autore:")</f>
        <v>Autore:</v>
      </c>
      <c r="K726" s="4" t="str">
        <f>IFERROR(__xludf.DUMMYFUNCTION("GOOGLETRANSLATE(B726,""en"",""pt"")"),"Autor:")</f>
        <v>Autor:</v>
      </c>
      <c r="L726" s="4" t="str">
        <f>IFERROR(__xludf.DUMMYFUNCTION("GOOGLETRANSLATE(B726,""en"",""ro"")"),"Autor:")</f>
        <v>Autor:</v>
      </c>
      <c r="M726" s="4" t="str">
        <f>IFERROR(__xludf.DUMMYFUNCTION("GOOGLETRANSLATE(B726,""en"",""vi"")"),"Tác giả:")</f>
        <v>Tác giả:</v>
      </c>
      <c r="N726" s="4" t="str">
        <f>IFERROR(__xludf.DUMMYFUNCTION("GOOGLETRANSLATE(B726,""en"",""ru"")"),"Автор:")</f>
        <v>Автор:</v>
      </c>
      <c r="O726" s="4" t="str">
        <f>IFERROR(__xludf.DUMMYFUNCTION("GOOGLETRANSLATE(B726,""en"",""tr"")"),"Yazar:")</f>
        <v>Yazar:</v>
      </c>
      <c r="P726" s="4" t="str">
        <f>IFERROR(__xludf.DUMMYFUNCTION("GOOGLETRANSLATE(B726,""en"",""ar"")"),"مؤلف:")</f>
        <v>مؤلف:</v>
      </c>
      <c r="Q726" s="4" t="str">
        <f>IFERROR(__xludf.DUMMYFUNCTION("GOOGLETRANSLATE(B726,""en"",""mr"")"),"लेखक:")</f>
        <v>लेखक:</v>
      </c>
      <c r="R726" s="4" t="str">
        <f>IFERROR(__xludf.DUMMYFUNCTION("GOOGLETRANSLATE(B726,""en"",""gu"")"),"લેખક:")</f>
        <v>લેખક:</v>
      </c>
      <c r="S726" s="4" t="str">
        <f>IFERROR(__xludf.DUMMYFUNCTION("GOOGLETRANSLATE(B726,""en"",""bn"")"),"লেখক:")</f>
        <v>লেখক:</v>
      </c>
      <c r="T726" s="4" t="str">
        <f>IFERROR(__xludf.DUMMYFUNCTION("GOOGLETRANSLATE(B726,""en"",""pa"")"),"ਲੇਖਕ:")</f>
        <v>ਲੇਖਕ:</v>
      </c>
      <c r="U726" s="4" t="str">
        <f>IFERROR(__xludf.DUMMYFUNCTION("GOOGLETRANSLATE(B726,""en"",""te"")"),"రచయిత:")</f>
        <v>రచయిత:</v>
      </c>
      <c r="V726" s="4" t="str">
        <f>IFERROR(__xludf.DUMMYFUNCTION("GOOGLETRANSLATE(B726,""en"",""kn"")"),"ಲೇಖಕ:")</f>
        <v>ಲೇಖಕ:</v>
      </c>
      <c r="W726" s="4" t="str">
        <f>IFERROR(__xludf.DUMMYFUNCTION("GOOGLETRANSLATE(B726,""en"",""ml"")"),"രചയിതാവ്:")</f>
        <v>രചയിതാവ്:</v>
      </c>
      <c r="X726" s="4" t="str">
        <f>IFERROR(__xludf.DUMMYFUNCTION("GOOGLETRANSLATE(B726,""en"",""th"")"),"ผู้เขียน:")</f>
        <v>ผู้เขียน:</v>
      </c>
      <c r="Y726" s="4" t="str">
        <f>IFERROR(__xludf.DUMMYFUNCTION("GOOGLETRANSLATE(B726,""en"",""ko"")"),"작가:")</f>
        <v>작가:</v>
      </c>
      <c r="Z726" s="4" t="str">
        <f>IFERROR(__xludf.DUMMYFUNCTION("GOOGLETRANSLATE(B726,""en"",""zh"")"),"作者：")</f>
        <v>作者：</v>
      </c>
      <c r="AA726" s="4" t="str">
        <f>IFERROR(__xludf.DUMMYFUNCTION("GOOGLETRANSLATE(B726,""en"",""zh-TW"")"),"作者：")</f>
        <v>作者：</v>
      </c>
      <c r="AB726" s="4" t="str">
        <f>IFERROR(__xludf.DUMMYFUNCTION("GOOGLETRANSLATE(B726,""en"",""ja"")"),"著者：")</f>
        <v>著者：</v>
      </c>
      <c r="AC726" s="4" t="str">
        <f>IFERROR(__xludf.DUMMYFUNCTION("GOOGLETRANSLATE(B726,""en"",""bg"")"),"Автор:")</f>
        <v>Автор:</v>
      </c>
      <c r="AD726" s="4" t="str">
        <f>IFERROR(__xludf.DUMMYFUNCTION("GOOGLETRANSLATE(B726,""en"",""cs"")"),"Autor:")</f>
        <v>Autor:</v>
      </c>
      <c r="AE726" s="4" t="str">
        <f>IFERROR(__xludf.DUMMYFUNCTION("GOOGLETRANSLATE(B726,""en"",""da"")"),"Forfatter:")</f>
        <v>Forfatter:</v>
      </c>
      <c r="AF726" s="4" t="str">
        <f>IFERROR(__xludf.DUMMYFUNCTION("GOOGLETRANSLATE(B726,""en"",""el"")"),"Συγγραφέας:")</f>
        <v>Συγγραφέας:</v>
      </c>
      <c r="AG726" s="4" t="str">
        <f>IFERROR(__xludf.DUMMYFUNCTION("GOOGLETRANSLATE(B726,""en"",""et"")"),"Autor:")</f>
        <v>Autor:</v>
      </c>
      <c r="AH726" s="4" t="str">
        <f>IFERROR(__xludf.DUMMYFUNCTION("GOOGLETRANSLATE(B726,""en"",""fi"")"),"Tekijä:")</f>
        <v>Tekijä:</v>
      </c>
      <c r="AI726" s="4" t="str">
        <f>IFERROR(__xludf.DUMMYFUNCTION("GOOGLETRANSLATE(B726,""en"",""hr"")"),"Autor:")</f>
        <v>Autor:</v>
      </c>
      <c r="AJ726" s="4" t="str">
        <f>IFERROR(__xludf.DUMMYFUNCTION("GOOGLETRANSLATE(B726,""en"",""hu"")"),"Szerző:")</f>
        <v>Szerző:</v>
      </c>
      <c r="AK726" s="4" t="str">
        <f>IFERROR(__xludf.DUMMYFUNCTION("GOOGLETRANSLATE(B726,""en"",""hy"")"),"Հեղինակ:")</f>
        <v>Հեղինակ:</v>
      </c>
      <c r="AL726" s="4" t="str">
        <f>IFERROR(__xludf.DUMMYFUNCTION("GOOGLETRANSLATE(B726,""en"",""ca"")"),"Autor:")</f>
        <v>Autor:</v>
      </c>
      <c r="AM726" s="4" t="str">
        <f>IFERROR(__xludf.DUMMYFUNCTION("GOOGLETRANSLATE(B726,""en"",""nl"")"),"Auteur:")</f>
        <v>Auteur:</v>
      </c>
      <c r="AN726" s="4" t="str">
        <f>IFERROR(__xludf.DUMMYFUNCTION("GOOGLETRANSLATE(B726,""en"",""he"")"),"מְחַבֵּר:")</f>
        <v>מְחַבֵּר:</v>
      </c>
      <c r="AO726" s="4" t="str">
        <f>IFERROR(__xludf.DUMMYFUNCTION("GOOGLETRANSLATE(B726,""en"",""is"")"),"Höfundur:")</f>
        <v>Höfundur:</v>
      </c>
      <c r="AP726" s="4" t="str">
        <f>IFERROR(__xludf.DUMMYFUNCTION("GOOGLETRANSLATE(B726,""en"",""no"")"),"Forfatter:")</f>
        <v>Forfatter:</v>
      </c>
      <c r="AQ726" s="4" t="str">
        <f>IFERROR(__xludf.DUMMYFUNCTION("GOOGLETRANSLATE(B726,""en"",""fa"")"),"نویسنده:")</f>
        <v>نویسنده:</v>
      </c>
      <c r="AR726" s="4" t="str">
        <f>IFERROR(__xludf.DUMMYFUNCTION("GOOGLETRANSLATE(B726,""en"",""pl"")"),"Autor:")</f>
        <v>Autor:</v>
      </c>
      <c r="AS726" s="4" t="str">
        <f>IFERROR(__xludf.DUMMYFUNCTION("GOOGLETRANSLATE(B726,""en"",""sv"")"),"Författare:")</f>
        <v>Författare:</v>
      </c>
      <c r="AT726" s="4" t="str">
        <f>IFERROR(__xludf.DUMMYFUNCTION("GOOGLETRANSLATE(B726,""en"",""uk"")"),"Автор:")</f>
        <v>Автор:</v>
      </c>
      <c r="AU726" s="4" t="str">
        <f>IFERROR(__xludf.DUMMYFUNCTION("GOOGLETRANSLATE(B726,""en"",""zu"")"),"Umbhali:")</f>
        <v>Umbhali:</v>
      </c>
      <c r="AV726" s="4" t="str">
        <f>IFERROR(__xludf.DUMMYFUNCTION("GOOGLETRANSLATE(B726,""en"",""sr"")"),"Аутор:")</f>
        <v>Аутор:</v>
      </c>
    </row>
    <row r="727">
      <c r="A727" s="3" t="s">
        <v>1374</v>
      </c>
      <c r="B727" s="3" t="s">
        <v>1375</v>
      </c>
      <c r="C727" s="4" t="str">
        <f>IFERROR(__xludf.DUMMYFUNCTION("GOOGLETRANSLATE(B727,""en"",""ta"")"),"உருவாக்கப்பட்டது:")</f>
        <v>உருவாக்கப்பட்டது:</v>
      </c>
      <c r="D727" s="4" t="str">
        <f>IFERROR(__xludf.DUMMYFUNCTION("GOOGLETRANSLATE(B727,""en"",""hi"")"),"बनाया था:")</f>
        <v>बनाया था:</v>
      </c>
      <c r="E727" s="4" t="str">
        <f>IFERROR(__xludf.DUMMYFUNCTION("GOOGLETRANSLATE(B727,""en"",""id"")"),"Dibuat:")</f>
        <v>Dibuat:</v>
      </c>
      <c r="F727" s="4" t="str">
        <f>IFERROR(__xludf.DUMMYFUNCTION("GOOGLETRANSLATE(B727,""en"",""ms"")"),"Dicipta:")</f>
        <v>Dicipta:</v>
      </c>
      <c r="G727" s="4" t="str">
        <f>IFERROR(__xludf.DUMMYFUNCTION("GOOGLETRANSLATE(B727,""en"",""de"")"),"Erstellt:")</f>
        <v>Erstellt:</v>
      </c>
      <c r="H727" s="4" t="str">
        <f>IFERROR(__xludf.DUMMYFUNCTION("GOOGLETRANSLATE(B727,""en"",""es"")"),"Creado:")</f>
        <v>Creado:</v>
      </c>
      <c r="I727" s="4" t="str">
        <f>IFERROR(__xludf.DUMMYFUNCTION("GOOGLETRANSLATE(B727,""en"",""fr"")"),"Créé:")</f>
        <v>Créé:</v>
      </c>
      <c r="J727" s="4" t="str">
        <f>IFERROR(__xludf.DUMMYFUNCTION("GOOGLETRANSLATE(B727,""en"",""it"")"),"Creato:")</f>
        <v>Creato:</v>
      </c>
      <c r="K727" s="4" t="str">
        <f>IFERROR(__xludf.DUMMYFUNCTION("GOOGLETRANSLATE(B727,""en"",""pt"")"),"Criado:")</f>
        <v>Criado:</v>
      </c>
      <c r="L727" s="4" t="str">
        <f>IFERROR(__xludf.DUMMYFUNCTION("GOOGLETRANSLATE(B727,""en"",""ro"")"),"Creat:")</f>
        <v>Creat:</v>
      </c>
      <c r="M727" s="4" t="str">
        <f>IFERROR(__xludf.DUMMYFUNCTION("GOOGLETRANSLATE(B727,""en"",""vi"")"),"Tạo:")</f>
        <v>Tạo:</v>
      </c>
      <c r="N727" s="4" t="str">
        <f>IFERROR(__xludf.DUMMYFUNCTION("GOOGLETRANSLATE(B727,""en"",""ru"")"),"Созданный:")</f>
        <v>Созданный:</v>
      </c>
      <c r="O727" s="4" t="str">
        <f>IFERROR(__xludf.DUMMYFUNCTION("GOOGLETRANSLATE(B727,""en"",""tr"")"),"Oluşturuldu:")</f>
        <v>Oluşturuldu:</v>
      </c>
      <c r="P727" s="4" t="str">
        <f>IFERROR(__xludf.DUMMYFUNCTION("GOOGLETRANSLATE(B727,""en"",""ar"")"),"مخلوق:")</f>
        <v>مخلوق:</v>
      </c>
      <c r="Q727" s="4" t="str">
        <f>IFERROR(__xludf.DUMMYFUNCTION("GOOGLETRANSLATE(B727,""en"",""mr"")"),"तयार केले:")</f>
        <v>तयार केले:</v>
      </c>
      <c r="R727" s="4" t="str">
        <f>IFERROR(__xludf.DUMMYFUNCTION("GOOGLETRANSLATE(B727,""en"",""gu"")"),"બનાવ્યું:")</f>
        <v>બનાવ્યું:</v>
      </c>
      <c r="S727" s="4" t="str">
        <f>IFERROR(__xludf.DUMMYFUNCTION("GOOGLETRANSLATE(B727,""en"",""bn"")"),"তৈরি করা হয়েছে:")</f>
        <v>তৈরি করা হয়েছে:</v>
      </c>
      <c r="T727" s="4" t="str">
        <f>IFERROR(__xludf.DUMMYFUNCTION("GOOGLETRANSLATE(B727,""en"",""pa"")"),"ਬਣਾਇਆ ਗਿਆ:")</f>
        <v>ਬਣਾਇਆ ਗਿਆ:</v>
      </c>
      <c r="U727" s="4" t="str">
        <f>IFERROR(__xludf.DUMMYFUNCTION("GOOGLETRANSLATE(B727,""en"",""te"")"),"సృష్టించబడింది:")</f>
        <v>సృష్టించబడింది:</v>
      </c>
      <c r="V727" s="4" t="str">
        <f>IFERROR(__xludf.DUMMYFUNCTION("GOOGLETRANSLATE(B727,""en"",""kn"")"),"ರಚಿಸಲಾಗಿದೆ:")</f>
        <v>ರಚಿಸಲಾಗಿದೆ:</v>
      </c>
      <c r="W727" s="4" t="str">
        <f>IFERROR(__xludf.DUMMYFUNCTION("GOOGLETRANSLATE(B727,""en"",""ml"")"),"സൃഷ്ടിച്ചത്:")</f>
        <v>സൃഷ്ടിച്ചത്:</v>
      </c>
      <c r="X727" s="4" t="str">
        <f>IFERROR(__xludf.DUMMYFUNCTION("GOOGLETRANSLATE(B727,""en"",""th"")"),"สร้าง:")</f>
        <v>สร้าง:</v>
      </c>
      <c r="Y727" s="4" t="str">
        <f>IFERROR(__xludf.DUMMYFUNCTION("GOOGLETRANSLATE(B727,""en"",""ko"")"),"생성됨:")</f>
        <v>생성됨:</v>
      </c>
      <c r="Z727" s="4" t="str">
        <f>IFERROR(__xludf.DUMMYFUNCTION("GOOGLETRANSLATE(B727,""en"",""zh"")"),"创建时间：")</f>
        <v>创建时间：</v>
      </c>
      <c r="AA727" s="4" t="str">
        <f>IFERROR(__xludf.DUMMYFUNCTION("GOOGLETRANSLATE(B727,""en"",""zh-TW"")"),"創建時間：")</f>
        <v>創建時間：</v>
      </c>
      <c r="AB727" s="4" t="str">
        <f>IFERROR(__xludf.DUMMYFUNCTION("GOOGLETRANSLATE(B727,""en"",""ja"")"),"作成日:")</f>
        <v>作成日:</v>
      </c>
      <c r="AC727" s="4" t="str">
        <f>IFERROR(__xludf.DUMMYFUNCTION("GOOGLETRANSLATE(B727,""en"",""bg"")"),"Създаден:")</f>
        <v>Създаден:</v>
      </c>
      <c r="AD727" s="4" t="str">
        <f>IFERROR(__xludf.DUMMYFUNCTION("GOOGLETRANSLATE(B727,""en"",""cs"")"),"Vytvořeno:")</f>
        <v>Vytvořeno:</v>
      </c>
      <c r="AE727" s="4" t="str">
        <f>IFERROR(__xludf.DUMMYFUNCTION("GOOGLETRANSLATE(B727,""en"",""da"")"),"Oprettet:")</f>
        <v>Oprettet:</v>
      </c>
      <c r="AF727" s="4" t="str">
        <f>IFERROR(__xludf.DUMMYFUNCTION("GOOGLETRANSLATE(B727,""en"",""el"")"),"Δημιουργήθηκε:")</f>
        <v>Δημιουργήθηκε:</v>
      </c>
      <c r="AG727" s="4" t="str">
        <f>IFERROR(__xludf.DUMMYFUNCTION("GOOGLETRANSLATE(B727,""en"",""et"")"),"Loodud:")</f>
        <v>Loodud:</v>
      </c>
      <c r="AH727" s="4" t="str">
        <f>IFERROR(__xludf.DUMMYFUNCTION("GOOGLETRANSLATE(B727,""en"",""fi"")"),"Luotu:")</f>
        <v>Luotu:</v>
      </c>
      <c r="AI727" s="4" t="str">
        <f>IFERROR(__xludf.DUMMYFUNCTION("GOOGLETRANSLATE(B727,""en"",""hr"")"),"Izrađeno:")</f>
        <v>Izrađeno:</v>
      </c>
      <c r="AJ727" s="4" t="str">
        <f>IFERROR(__xludf.DUMMYFUNCTION("GOOGLETRANSLATE(B727,""en"",""hu"")"),"Létrehozva:")</f>
        <v>Létrehozva:</v>
      </c>
      <c r="AK727" s="4" t="str">
        <f>IFERROR(__xludf.DUMMYFUNCTION("GOOGLETRANSLATE(B727,""en"",""hy"")"),"Ստեղծվել է:")</f>
        <v>Ստեղծվել է:</v>
      </c>
      <c r="AL727" s="4" t="str">
        <f>IFERROR(__xludf.DUMMYFUNCTION("GOOGLETRANSLATE(B727,""en"",""ca"")"),"Creat:")</f>
        <v>Creat:</v>
      </c>
      <c r="AM727" s="4" t="str">
        <f>IFERROR(__xludf.DUMMYFUNCTION("GOOGLETRANSLATE(B727,""en"",""nl"")"),"Gemaakt:")</f>
        <v>Gemaakt:</v>
      </c>
      <c r="AN727" s="4" t="str">
        <f>IFERROR(__xludf.DUMMYFUNCTION("GOOGLETRANSLATE(B727,""en"",""he"")"),"נוצר:")</f>
        <v>נוצר:</v>
      </c>
      <c r="AO727" s="4" t="str">
        <f>IFERROR(__xludf.DUMMYFUNCTION("GOOGLETRANSLATE(B727,""en"",""is"")"),"Búið til:")</f>
        <v>Búið til:</v>
      </c>
      <c r="AP727" s="4" t="str">
        <f>IFERROR(__xludf.DUMMYFUNCTION("GOOGLETRANSLATE(B727,""en"",""no"")"),"Opprettet:")</f>
        <v>Opprettet:</v>
      </c>
      <c r="AQ727" s="4" t="str">
        <f>IFERROR(__xludf.DUMMYFUNCTION("GOOGLETRANSLATE(B727,""en"",""fa"")"),"ایجاد شده:")</f>
        <v>ایجاد شده:</v>
      </c>
      <c r="AR727" s="4" t="str">
        <f>IFERROR(__xludf.DUMMYFUNCTION("GOOGLETRANSLATE(B727,""en"",""pl"")"),"Stworzony:")</f>
        <v>Stworzony:</v>
      </c>
      <c r="AS727" s="4" t="str">
        <f>IFERROR(__xludf.DUMMYFUNCTION("GOOGLETRANSLATE(B727,""en"",""sv"")"),"Skapad:")</f>
        <v>Skapad:</v>
      </c>
      <c r="AT727" s="4" t="str">
        <f>IFERROR(__xludf.DUMMYFUNCTION("GOOGLETRANSLATE(B727,""en"",""uk"")"),"Створено:")</f>
        <v>Створено:</v>
      </c>
      <c r="AU727" s="4" t="str">
        <f>IFERROR(__xludf.DUMMYFUNCTION("GOOGLETRANSLATE(B727,""en"",""zu"")"),"Idaliwe:")</f>
        <v>Idaliwe:</v>
      </c>
      <c r="AV727" s="4" t="str">
        <f>IFERROR(__xludf.DUMMYFUNCTION("GOOGLETRANSLATE(B727,""en"",""sr"")"),"Направљено:")</f>
        <v>Направљено:</v>
      </c>
    </row>
    <row r="728">
      <c r="A728" s="3" t="s">
        <v>1376</v>
      </c>
      <c r="B728" s="3" t="s">
        <v>1377</v>
      </c>
      <c r="C728" s="4" t="str">
        <f>IFERROR(__xludf.DUMMYFUNCTION("GOOGLETRANSLATE(B728,""en"",""ta"")"),"தெரியவில்லை")</f>
        <v>தெரியவில்லை</v>
      </c>
      <c r="D728" s="4" t="str">
        <f>IFERROR(__xludf.DUMMYFUNCTION("GOOGLETRANSLATE(B728,""en"",""hi"")"),"अज्ञात")</f>
        <v>अज्ञात</v>
      </c>
      <c r="E728" s="4" t="str">
        <f>IFERROR(__xludf.DUMMYFUNCTION("GOOGLETRANSLATE(B728,""en"",""id"")"),"Tidak dikenal")</f>
        <v>Tidak dikenal</v>
      </c>
      <c r="F728" s="4" t="str">
        <f>IFERROR(__xludf.DUMMYFUNCTION("GOOGLETRANSLATE(B728,""en"",""ms"")"),"Tidak diketahui")</f>
        <v>Tidak diketahui</v>
      </c>
      <c r="G728" s="4" t="str">
        <f>IFERROR(__xludf.DUMMYFUNCTION("GOOGLETRANSLATE(B728,""en"",""de"")"),"Unbekannt")</f>
        <v>Unbekannt</v>
      </c>
      <c r="H728" s="4" t="str">
        <f>IFERROR(__xludf.DUMMYFUNCTION("GOOGLETRANSLATE(B728,""en"",""es"")"),"Desconocido")</f>
        <v>Desconocido</v>
      </c>
      <c r="I728" s="4" t="str">
        <f>IFERROR(__xludf.DUMMYFUNCTION("GOOGLETRANSLATE(B728,""en"",""fr"")"),"Inconnu")</f>
        <v>Inconnu</v>
      </c>
      <c r="J728" s="4" t="str">
        <f>IFERROR(__xludf.DUMMYFUNCTION("GOOGLETRANSLATE(B728,""en"",""it"")"),"Sconosciuto")</f>
        <v>Sconosciuto</v>
      </c>
      <c r="K728" s="4" t="str">
        <f>IFERROR(__xludf.DUMMYFUNCTION("GOOGLETRANSLATE(B728,""en"",""pt"")"),"Desconhecido")</f>
        <v>Desconhecido</v>
      </c>
      <c r="L728" s="4" t="str">
        <f>IFERROR(__xludf.DUMMYFUNCTION("GOOGLETRANSLATE(B728,""en"",""ro"")"),"Necunoscut")</f>
        <v>Necunoscut</v>
      </c>
      <c r="M728" s="4" t="str">
        <f>IFERROR(__xludf.DUMMYFUNCTION("GOOGLETRANSLATE(B728,""en"",""vi"")"),"Không rõ")</f>
        <v>Không rõ</v>
      </c>
      <c r="N728" s="4" t="str">
        <f>IFERROR(__xludf.DUMMYFUNCTION("GOOGLETRANSLATE(B728,""en"",""ru"")"),"Неизвестный")</f>
        <v>Неизвестный</v>
      </c>
      <c r="O728" s="4" t="str">
        <f>IFERROR(__xludf.DUMMYFUNCTION("GOOGLETRANSLATE(B728,""en"",""tr"")"),"Bilinmeyen")</f>
        <v>Bilinmeyen</v>
      </c>
      <c r="P728" s="4" t="str">
        <f>IFERROR(__xludf.DUMMYFUNCTION("GOOGLETRANSLATE(B728,""en"",""ar"")"),"مجهول")</f>
        <v>مجهول</v>
      </c>
      <c r="Q728" s="4" t="str">
        <f>IFERROR(__xludf.DUMMYFUNCTION("GOOGLETRANSLATE(B728,""en"",""mr"")"),"अज्ञात")</f>
        <v>अज्ञात</v>
      </c>
      <c r="R728" s="4" t="str">
        <f>IFERROR(__xludf.DUMMYFUNCTION("GOOGLETRANSLATE(B728,""en"",""gu"")"),"અજ્ઞાત")</f>
        <v>અજ્ઞાત</v>
      </c>
      <c r="S728" s="4" t="str">
        <f>IFERROR(__xludf.DUMMYFUNCTION("GOOGLETRANSLATE(B728,""en"",""bn"")"),"অজানা")</f>
        <v>অজানা</v>
      </c>
      <c r="T728" s="4" t="str">
        <f>IFERROR(__xludf.DUMMYFUNCTION("GOOGLETRANSLATE(B728,""en"",""pa"")"),"ਅਗਿਆਤ")</f>
        <v>ਅਗਿਆਤ</v>
      </c>
      <c r="U728" s="4" t="str">
        <f>IFERROR(__xludf.DUMMYFUNCTION("GOOGLETRANSLATE(B728,""en"",""te"")"),"తెలియదు")</f>
        <v>తెలియదు</v>
      </c>
      <c r="V728" s="4" t="str">
        <f>IFERROR(__xludf.DUMMYFUNCTION("GOOGLETRANSLATE(B728,""en"",""kn"")"),"ಅಜ್ಞಾತ")</f>
        <v>ಅಜ್ಞಾತ</v>
      </c>
      <c r="W728" s="4" t="str">
        <f>IFERROR(__xludf.DUMMYFUNCTION("GOOGLETRANSLATE(B728,""en"",""ml"")"),"അജ്ഞാതം")</f>
        <v>അജ്ഞാതം</v>
      </c>
      <c r="X728" s="4" t="str">
        <f>IFERROR(__xludf.DUMMYFUNCTION("GOOGLETRANSLATE(B728,""en"",""th"")"),"ไม่ทราบ")</f>
        <v>ไม่ทราบ</v>
      </c>
      <c r="Y728" s="4" t="str">
        <f>IFERROR(__xludf.DUMMYFUNCTION("GOOGLETRANSLATE(B728,""en"",""ko"")"),"알려지지 않은")</f>
        <v>알려지지 않은</v>
      </c>
      <c r="Z728" s="4" t="str">
        <f>IFERROR(__xludf.DUMMYFUNCTION("GOOGLETRANSLATE(B728,""en"",""zh"")"),"未知")</f>
        <v>未知</v>
      </c>
      <c r="AA728" s="4" t="str">
        <f>IFERROR(__xludf.DUMMYFUNCTION("GOOGLETRANSLATE(B728,""en"",""zh-TW"")"),"未知")</f>
        <v>未知</v>
      </c>
      <c r="AB728" s="4" t="str">
        <f>IFERROR(__xludf.DUMMYFUNCTION("GOOGLETRANSLATE(B728,""en"",""ja"")"),"未知")</f>
        <v>未知</v>
      </c>
      <c r="AC728" s="4" t="str">
        <f>IFERROR(__xludf.DUMMYFUNCTION("GOOGLETRANSLATE(B728,""en"",""bg"")"),"Неизвестен")</f>
        <v>Неизвестен</v>
      </c>
      <c r="AD728" s="4" t="str">
        <f>IFERROR(__xludf.DUMMYFUNCTION("GOOGLETRANSLATE(B728,""en"",""cs"")"),"Neznámý")</f>
        <v>Neznámý</v>
      </c>
      <c r="AE728" s="4" t="str">
        <f>IFERROR(__xludf.DUMMYFUNCTION("GOOGLETRANSLATE(B728,""en"",""da"")"),"Ukendt")</f>
        <v>Ukendt</v>
      </c>
      <c r="AF728" s="4" t="str">
        <f>IFERROR(__xludf.DUMMYFUNCTION("GOOGLETRANSLATE(B728,""en"",""el"")"),"Αγνωστος")</f>
        <v>Αγνωστος</v>
      </c>
      <c r="AG728" s="4" t="str">
        <f>IFERROR(__xludf.DUMMYFUNCTION("GOOGLETRANSLATE(B728,""en"",""et"")"),"Tundmatu")</f>
        <v>Tundmatu</v>
      </c>
      <c r="AH728" s="4" t="str">
        <f>IFERROR(__xludf.DUMMYFUNCTION("GOOGLETRANSLATE(B728,""en"",""fi"")"),"Tuntematon")</f>
        <v>Tuntematon</v>
      </c>
      <c r="AI728" s="4" t="str">
        <f>IFERROR(__xludf.DUMMYFUNCTION("GOOGLETRANSLATE(B728,""en"",""hr"")"),"Nepoznato")</f>
        <v>Nepoznato</v>
      </c>
      <c r="AJ728" s="4" t="str">
        <f>IFERROR(__xludf.DUMMYFUNCTION("GOOGLETRANSLATE(B728,""en"",""hu"")"),"Ismeretlen")</f>
        <v>Ismeretlen</v>
      </c>
      <c r="AK728" s="4" t="str">
        <f>IFERROR(__xludf.DUMMYFUNCTION("GOOGLETRANSLATE(B728,""en"",""hy"")"),"Անհայտ")</f>
        <v>Անհայտ</v>
      </c>
      <c r="AL728" s="4" t="str">
        <f>IFERROR(__xludf.DUMMYFUNCTION("GOOGLETRANSLATE(B728,""en"",""ca"")"),"Desconegut")</f>
        <v>Desconegut</v>
      </c>
      <c r="AM728" s="4" t="str">
        <f>IFERROR(__xludf.DUMMYFUNCTION("GOOGLETRANSLATE(B728,""en"",""nl"")"),"Onbekend")</f>
        <v>Onbekend</v>
      </c>
      <c r="AN728" s="4" t="str">
        <f>IFERROR(__xludf.DUMMYFUNCTION("GOOGLETRANSLATE(B728,""en"",""he"")"),"לֹא יְדוּעַ")</f>
        <v>לֹא יְדוּעַ</v>
      </c>
      <c r="AO728" s="4" t="str">
        <f>IFERROR(__xludf.DUMMYFUNCTION("GOOGLETRANSLATE(B728,""en"",""is"")"),"Óþekkt")</f>
        <v>Óþekkt</v>
      </c>
      <c r="AP728" s="4" t="str">
        <f>IFERROR(__xludf.DUMMYFUNCTION("GOOGLETRANSLATE(B728,""en"",""no"")"),"Ukjent")</f>
        <v>Ukjent</v>
      </c>
      <c r="AQ728" s="4" t="str">
        <f>IFERROR(__xludf.DUMMYFUNCTION("GOOGLETRANSLATE(B728,""en"",""fa"")"),"ناشناس")</f>
        <v>ناشناس</v>
      </c>
      <c r="AR728" s="4" t="str">
        <f>IFERROR(__xludf.DUMMYFUNCTION("GOOGLETRANSLATE(B728,""en"",""pl"")"),"Nieznany")</f>
        <v>Nieznany</v>
      </c>
      <c r="AS728" s="4" t="str">
        <f>IFERROR(__xludf.DUMMYFUNCTION("GOOGLETRANSLATE(B728,""en"",""sv"")"),"Okänd")</f>
        <v>Okänd</v>
      </c>
      <c r="AT728" s="4" t="str">
        <f>IFERROR(__xludf.DUMMYFUNCTION("GOOGLETRANSLATE(B728,""en"",""uk"")"),"Невідомий")</f>
        <v>Невідомий</v>
      </c>
      <c r="AU728" s="4" t="str">
        <f>IFERROR(__xludf.DUMMYFUNCTION("GOOGLETRANSLATE(B728,""en"",""zu"")"),"Akwaziwa")</f>
        <v>Akwaziwa</v>
      </c>
      <c r="AV728" s="4" t="str">
        <f>IFERROR(__xludf.DUMMYFUNCTION("GOOGLETRANSLATE(B728,""en"",""sr"")"),"Непознато")</f>
        <v>Непознато</v>
      </c>
    </row>
    <row r="729">
      <c r="A729" s="3" t="s">
        <v>1378</v>
      </c>
      <c r="B729" s="3" t="s">
        <v>681</v>
      </c>
      <c r="C729" s="4" t="str">
        <f>IFERROR(__xludf.DUMMYFUNCTION("GOOGLETRANSLATE(B729,""en"",""ta"")"),"மீ")</f>
        <v>மீ</v>
      </c>
      <c r="D729" s="4" t="str">
        <f>IFERROR(__xludf.DUMMYFUNCTION("GOOGLETRANSLATE(B729,""en"",""hi"")"),"एम")</f>
        <v>एम</v>
      </c>
      <c r="E729" s="4" t="str">
        <f>IFERROR(__xludf.DUMMYFUNCTION("GOOGLETRANSLATE(B729,""en"",""id"")"),"M")</f>
        <v>M</v>
      </c>
      <c r="F729" s="4" t="str">
        <f>IFERROR(__xludf.DUMMYFUNCTION("GOOGLETRANSLATE(B729,""en"",""ms"")"),"m")</f>
        <v>m</v>
      </c>
      <c r="G729" s="4" t="str">
        <f>IFERROR(__xludf.DUMMYFUNCTION("GOOGLETRANSLATE(B729,""en"",""de"")"),"M")</f>
        <v>M</v>
      </c>
      <c r="H729" s="4" t="str">
        <f>IFERROR(__xludf.DUMMYFUNCTION("GOOGLETRANSLATE(B729,""en"",""es"")"),"metro")</f>
        <v>metro</v>
      </c>
      <c r="I729" s="4" t="str">
        <f>IFERROR(__xludf.DUMMYFUNCTION("GOOGLETRANSLATE(B729,""en"",""fr"")"),"m")</f>
        <v>m</v>
      </c>
      <c r="J729" s="4" t="str">
        <f>IFERROR(__xludf.DUMMYFUNCTION("GOOGLETRANSLATE(B729,""en"",""it"")"),"M")</f>
        <v>M</v>
      </c>
      <c r="K729" s="4" t="str">
        <f>IFERROR(__xludf.DUMMYFUNCTION("GOOGLETRANSLATE(B729,""en"",""pt"")"),"m")</f>
        <v>m</v>
      </c>
      <c r="L729" s="4" t="str">
        <f>IFERROR(__xludf.DUMMYFUNCTION("GOOGLETRANSLATE(B729,""en"",""ro"")"),"m")</f>
        <v>m</v>
      </c>
      <c r="M729" s="4" t="str">
        <f>IFERROR(__xludf.DUMMYFUNCTION("GOOGLETRANSLATE(B729,""en"",""vi"")"),"tôi")</f>
        <v>tôi</v>
      </c>
      <c r="N729" s="4" t="str">
        <f>IFERROR(__xludf.DUMMYFUNCTION("GOOGLETRANSLATE(B729,""en"",""ru"")"),"м")</f>
        <v>м</v>
      </c>
      <c r="O729" s="4" t="str">
        <f>IFERROR(__xludf.DUMMYFUNCTION("GOOGLETRANSLATE(B729,""en"",""tr"")"),"M")</f>
        <v>M</v>
      </c>
      <c r="P729" s="4" t="str">
        <f>IFERROR(__xludf.DUMMYFUNCTION("GOOGLETRANSLATE(B729,""en"",""ar"")"),"م")</f>
        <v>م</v>
      </c>
      <c r="Q729" s="4" t="str">
        <f>IFERROR(__xludf.DUMMYFUNCTION("GOOGLETRANSLATE(B729,""en"",""mr"")"),"मी")</f>
        <v>मी</v>
      </c>
      <c r="R729" s="4" t="str">
        <f>IFERROR(__xludf.DUMMYFUNCTION("GOOGLETRANSLATE(B729,""en"",""gu"")"),"m")</f>
        <v>m</v>
      </c>
      <c r="S729" s="4" t="str">
        <f>IFERROR(__xludf.DUMMYFUNCTION("GOOGLETRANSLATE(B729,""en"",""bn"")"),"মি")</f>
        <v>মি</v>
      </c>
      <c r="T729" s="4" t="str">
        <f>IFERROR(__xludf.DUMMYFUNCTION("GOOGLETRANSLATE(B729,""en"",""pa"")"),"m")</f>
        <v>m</v>
      </c>
      <c r="U729" s="4" t="str">
        <f>IFERROR(__xludf.DUMMYFUNCTION("GOOGLETRANSLATE(B729,""en"",""te"")"),"m")</f>
        <v>m</v>
      </c>
      <c r="V729" s="4" t="str">
        <f>IFERROR(__xludf.DUMMYFUNCTION("GOOGLETRANSLATE(B729,""en"",""kn"")"),"ಮೀ")</f>
        <v>ಮೀ</v>
      </c>
      <c r="W729" s="4" t="str">
        <f>IFERROR(__xludf.DUMMYFUNCTION("GOOGLETRANSLATE(B729,""en"",""ml"")"),"എം")</f>
        <v>എം</v>
      </c>
      <c r="X729" s="4" t="str">
        <f>IFERROR(__xludf.DUMMYFUNCTION("GOOGLETRANSLATE(B729,""en"",""th"")"),"ม.")</f>
        <v>ม.</v>
      </c>
      <c r="Y729" s="4" t="str">
        <f>IFERROR(__xludf.DUMMYFUNCTION("GOOGLETRANSLATE(B729,""en"",""ko"")"),"중")</f>
        <v>중</v>
      </c>
      <c r="Z729" s="4" t="str">
        <f>IFERROR(__xludf.DUMMYFUNCTION("GOOGLETRANSLATE(B729,""en"",""zh"")"),"米")</f>
        <v>米</v>
      </c>
      <c r="AA729" s="4" t="str">
        <f>IFERROR(__xludf.DUMMYFUNCTION("GOOGLETRANSLATE(B729,""en"",""zh-TW"")"),"米")</f>
        <v>米</v>
      </c>
      <c r="AB729" s="4" t="str">
        <f>IFERROR(__xludf.DUMMYFUNCTION("GOOGLETRANSLATE(B729,""en"",""ja"")"),"メートル")</f>
        <v>メートル</v>
      </c>
      <c r="AC729" s="4" t="str">
        <f>IFERROR(__xludf.DUMMYFUNCTION("GOOGLETRANSLATE(B729,""en"",""bg"")"),"м")</f>
        <v>м</v>
      </c>
      <c r="AD729" s="4" t="str">
        <f>IFERROR(__xludf.DUMMYFUNCTION("GOOGLETRANSLATE(B729,""en"",""cs"")"),"m")</f>
        <v>m</v>
      </c>
      <c r="AE729" s="4" t="str">
        <f>IFERROR(__xludf.DUMMYFUNCTION("GOOGLETRANSLATE(B729,""en"",""da"")"),"m")</f>
        <v>m</v>
      </c>
      <c r="AF729" s="4" t="str">
        <f>IFERROR(__xludf.DUMMYFUNCTION("GOOGLETRANSLATE(B729,""en"",""el"")"),"m")</f>
        <v>m</v>
      </c>
      <c r="AG729" s="4" t="str">
        <f>IFERROR(__xludf.DUMMYFUNCTION("GOOGLETRANSLATE(B729,""en"",""et"")"),"m")</f>
        <v>m</v>
      </c>
      <c r="AH729" s="4" t="str">
        <f>IFERROR(__xludf.DUMMYFUNCTION("GOOGLETRANSLATE(B729,""en"",""fi"")"),"m")</f>
        <v>m</v>
      </c>
      <c r="AI729" s="4" t="str">
        <f>IFERROR(__xludf.DUMMYFUNCTION("GOOGLETRANSLATE(B729,""en"",""hr"")"),"m")</f>
        <v>m</v>
      </c>
      <c r="AJ729" s="4" t="str">
        <f>IFERROR(__xludf.DUMMYFUNCTION("GOOGLETRANSLATE(B729,""en"",""hu"")"),"m")</f>
        <v>m</v>
      </c>
      <c r="AK729" s="4" t="str">
        <f>IFERROR(__xludf.DUMMYFUNCTION("GOOGLETRANSLATE(B729,""en"",""hy"")"),"մ")</f>
        <v>մ</v>
      </c>
      <c r="AL729" s="4" t="str">
        <f>IFERROR(__xludf.DUMMYFUNCTION("GOOGLETRANSLATE(B729,""en"",""ca"")"),"m")</f>
        <v>m</v>
      </c>
      <c r="AM729" s="4" t="str">
        <f>IFERROR(__xludf.DUMMYFUNCTION("GOOGLETRANSLATE(B729,""en"",""nl"")"),"M")</f>
        <v>M</v>
      </c>
      <c r="AN729" s="4" t="str">
        <f>IFERROR(__xludf.DUMMYFUNCTION("GOOGLETRANSLATE(B729,""en"",""he"")"),"מ")</f>
        <v>מ</v>
      </c>
      <c r="AO729" s="4" t="str">
        <f>IFERROR(__xludf.DUMMYFUNCTION("GOOGLETRANSLATE(B729,""en"",""is"")"),"m")</f>
        <v>m</v>
      </c>
      <c r="AP729" s="4" t="str">
        <f>IFERROR(__xludf.DUMMYFUNCTION("GOOGLETRANSLATE(B729,""en"",""no"")"),"m")</f>
        <v>m</v>
      </c>
      <c r="AQ729" s="4" t="str">
        <f>IFERROR(__xludf.DUMMYFUNCTION("GOOGLETRANSLATE(B729,""en"",""fa"")"),"متر")</f>
        <v>متر</v>
      </c>
      <c r="AR729" s="4" t="str">
        <f>IFERROR(__xludf.DUMMYFUNCTION("GOOGLETRANSLATE(B729,""en"",""pl"")"),"M")</f>
        <v>M</v>
      </c>
      <c r="AS729" s="4" t="str">
        <f>IFERROR(__xludf.DUMMYFUNCTION("GOOGLETRANSLATE(B729,""en"",""sv"")"),"m")</f>
        <v>m</v>
      </c>
      <c r="AT729" s="4" t="str">
        <f>IFERROR(__xludf.DUMMYFUNCTION("GOOGLETRANSLATE(B729,""en"",""uk"")"),"м")</f>
        <v>м</v>
      </c>
      <c r="AU729" s="4" t="str">
        <f>IFERROR(__xludf.DUMMYFUNCTION("GOOGLETRANSLATE(B729,""en"",""zu"")"),"m")</f>
        <v>m</v>
      </c>
      <c r="AV729" s="4" t="str">
        <f>IFERROR(__xludf.DUMMYFUNCTION("GOOGLETRANSLATE(B729,""en"",""sr"")"),"м")</f>
        <v>м</v>
      </c>
    </row>
    <row r="730">
      <c r="A730" s="3" t="s">
        <v>1379</v>
      </c>
      <c r="B730" s="3" t="s">
        <v>1380</v>
      </c>
      <c r="C730" s="4" t="str">
        <f>IFERROR(__xludf.DUMMYFUNCTION("GOOGLETRANSLATE(B730,""en"",""ta"")"),"மீ/வி")</f>
        <v>மீ/வி</v>
      </c>
      <c r="D730" s="4" t="str">
        <f>IFERROR(__xludf.DUMMYFUNCTION("GOOGLETRANSLATE(B730,""en"",""hi"")"),"एमएस")</f>
        <v>एमएस</v>
      </c>
      <c r="E730" s="4" t="str">
        <f>IFERROR(__xludf.DUMMYFUNCTION("GOOGLETRANSLATE(B730,""en"",""id"")"),"MS")</f>
        <v>MS</v>
      </c>
      <c r="F730" s="4" t="str">
        <f>IFERROR(__xludf.DUMMYFUNCTION("GOOGLETRANSLATE(B730,""en"",""ms"")"),"m/s")</f>
        <v>m/s</v>
      </c>
      <c r="G730" s="4" t="str">
        <f>IFERROR(__xludf.DUMMYFUNCTION("GOOGLETRANSLATE(B730,""en"",""de"")"),"MS")</f>
        <v>MS</v>
      </c>
      <c r="H730" s="4" t="str">
        <f>IFERROR(__xludf.DUMMYFUNCTION("GOOGLETRANSLATE(B730,""en"",""es"")"),"EM")</f>
        <v>EM</v>
      </c>
      <c r="I730" s="4" t="str">
        <f>IFERROR(__xludf.DUMMYFUNCTION("GOOGLETRANSLATE(B730,""en"",""fr"")"),"MS")</f>
        <v>MS</v>
      </c>
      <c r="J730" s="4" t="str">
        <f>IFERROR(__xludf.DUMMYFUNCTION("GOOGLETRANSLATE(B730,""en"",""it"")"),"SM")</f>
        <v>SM</v>
      </c>
      <c r="K730" s="4" t="str">
        <f>IFERROR(__xludf.DUMMYFUNCTION("GOOGLETRANSLATE(B730,""en"",""pt"")"),"EM")</f>
        <v>EM</v>
      </c>
      <c r="L730" s="4" t="str">
        <f>IFERROR(__xludf.DUMMYFUNCTION("GOOGLETRANSLATE(B730,""en"",""ro"")"),"Domnișoară")</f>
        <v>Domnișoară</v>
      </c>
      <c r="M730" s="4" t="str">
        <f>IFERROR(__xludf.DUMMYFUNCTION("GOOGLETRANSLATE(B730,""en"",""vi"")"),"bệnh đa xơ cứng")</f>
        <v>bệnh đa xơ cứng</v>
      </c>
      <c r="N730" s="4" t="str">
        <f>IFERROR(__xludf.DUMMYFUNCTION("GOOGLETRANSLATE(B730,""en"",""ru"")"),"РС")</f>
        <v>РС</v>
      </c>
      <c r="O730" s="4" t="str">
        <f>IFERROR(__xludf.DUMMYFUNCTION("GOOGLETRANSLATE(B730,""en"",""tr"")"),"bay/bayan")</f>
        <v>bay/bayan</v>
      </c>
      <c r="P730" s="4" t="str">
        <f>IFERROR(__xludf.DUMMYFUNCTION("GOOGLETRANSLATE(B730,""en"",""ar"")"),"آنسة")</f>
        <v>آنسة</v>
      </c>
      <c r="Q730" s="4" t="str">
        <f>IFERROR(__xludf.DUMMYFUNCTION("GOOGLETRANSLATE(B730,""en"",""mr"")"),"मी/से")</f>
        <v>मी/से</v>
      </c>
      <c r="R730" s="4" t="str">
        <f>IFERROR(__xludf.DUMMYFUNCTION("GOOGLETRANSLATE(B730,""en"",""gu"")"),"m/s")</f>
        <v>m/s</v>
      </c>
      <c r="S730" s="4" t="str">
        <f>IFERROR(__xludf.DUMMYFUNCTION("GOOGLETRANSLATE(B730,""en"",""bn"")"),"m/s")</f>
        <v>m/s</v>
      </c>
      <c r="T730" s="4" t="str">
        <f>IFERROR(__xludf.DUMMYFUNCTION("GOOGLETRANSLATE(B730,""en"",""pa"")"),"m/s")</f>
        <v>m/s</v>
      </c>
      <c r="U730" s="4" t="str">
        <f>IFERROR(__xludf.DUMMYFUNCTION("GOOGLETRANSLATE(B730,""en"",""te"")"),"m/s")</f>
        <v>m/s</v>
      </c>
      <c r="V730" s="4" t="str">
        <f>IFERROR(__xludf.DUMMYFUNCTION("GOOGLETRANSLATE(B730,""en"",""kn"")"),"ಮೀ/ಸೆ")</f>
        <v>ಮೀ/ಸೆ</v>
      </c>
      <c r="W730" s="4" t="str">
        <f>IFERROR(__xludf.DUMMYFUNCTION("GOOGLETRANSLATE(B730,""en"",""ml"")"),"മിസ്")</f>
        <v>മിസ്</v>
      </c>
      <c r="X730" s="4" t="str">
        <f>IFERROR(__xludf.DUMMYFUNCTION("GOOGLETRANSLATE(B730,""en"",""th"")"),"เมตร/วินาที")</f>
        <v>เมตร/วินาที</v>
      </c>
      <c r="Y730" s="4" t="str">
        <f>IFERROR(__xludf.DUMMYFUNCTION("GOOGLETRANSLATE(B730,""en"",""ko"")"),"미터/초")</f>
        <v>미터/초</v>
      </c>
      <c r="Z730" s="4" t="str">
        <f>IFERROR(__xludf.DUMMYFUNCTION("GOOGLETRANSLATE(B730,""en"",""zh"")"),"多发性硬化症")</f>
        <v>多发性硬化症</v>
      </c>
      <c r="AA730" s="4" t="str">
        <f>IFERROR(__xludf.DUMMYFUNCTION("GOOGLETRANSLATE(B730,""en"",""zh-TW"")"),"多發性硬化症")</f>
        <v>多發性硬化症</v>
      </c>
      <c r="AB730" s="4" t="str">
        <f>IFERROR(__xludf.DUMMYFUNCTION("GOOGLETRANSLATE(B730,""en"",""ja"")"),"MS")</f>
        <v>MS</v>
      </c>
      <c r="AC730" s="4" t="str">
        <f>IFERROR(__xludf.DUMMYFUNCTION("GOOGLETRANSLATE(B730,""en"",""bg"")"),"m/s")</f>
        <v>m/s</v>
      </c>
      <c r="AD730" s="4" t="str">
        <f>IFERROR(__xludf.DUMMYFUNCTION("GOOGLETRANSLATE(B730,""en"",""cs"")"),"paní")</f>
        <v>paní</v>
      </c>
      <c r="AE730" s="4" t="str">
        <f>IFERROR(__xludf.DUMMYFUNCTION("GOOGLETRANSLATE(B730,""en"",""da"")"),"m/s")</f>
        <v>m/s</v>
      </c>
      <c r="AF730" s="4" t="str">
        <f>IFERROR(__xludf.DUMMYFUNCTION("GOOGLETRANSLATE(B730,""en"",""el"")"),"m/s")</f>
        <v>m/s</v>
      </c>
      <c r="AG730" s="4" t="str">
        <f>IFERROR(__xludf.DUMMYFUNCTION("GOOGLETRANSLATE(B730,""en"",""et"")"),"m/s")</f>
        <v>m/s</v>
      </c>
      <c r="AH730" s="4" t="str">
        <f>IFERROR(__xludf.DUMMYFUNCTION("GOOGLETRANSLATE(B730,""en"",""fi"")"),"m/s")</f>
        <v>m/s</v>
      </c>
      <c r="AI730" s="4" t="str">
        <f>IFERROR(__xludf.DUMMYFUNCTION("GOOGLETRANSLATE(B730,""en"",""hr"")"),"m/s")</f>
        <v>m/s</v>
      </c>
      <c r="AJ730" s="4" t="str">
        <f>IFERROR(__xludf.DUMMYFUNCTION("GOOGLETRANSLATE(B730,""en"",""hu"")"),"m/s")</f>
        <v>m/s</v>
      </c>
      <c r="AK730" s="4" t="str">
        <f>IFERROR(__xludf.DUMMYFUNCTION("GOOGLETRANSLATE(B730,""en"",""hy"")"),"մ/վրկ")</f>
        <v>մ/վրկ</v>
      </c>
      <c r="AL730" s="4" t="str">
        <f>IFERROR(__xludf.DUMMYFUNCTION("GOOGLETRANSLATE(B730,""en"",""ca"")"),"m/s")</f>
        <v>m/s</v>
      </c>
      <c r="AM730" s="4" t="str">
        <f>IFERROR(__xludf.DUMMYFUNCTION("GOOGLETRANSLATE(B730,""en"",""nl"")"),"mevrouw")</f>
        <v>mevrouw</v>
      </c>
      <c r="AN730" s="4" t="str">
        <f>IFERROR(__xludf.DUMMYFUNCTION("GOOGLETRANSLATE(B730,""en"",""he"")"),"גְבֶרֶת")</f>
        <v>גְבֶרֶת</v>
      </c>
      <c r="AO730" s="4" t="str">
        <f>IFERROR(__xludf.DUMMYFUNCTION("GOOGLETRANSLATE(B730,""en"",""is"")"),"m/s")</f>
        <v>m/s</v>
      </c>
      <c r="AP730" s="4" t="str">
        <f>IFERROR(__xludf.DUMMYFUNCTION("GOOGLETRANSLATE(B730,""en"",""no"")"),"m/s")</f>
        <v>m/s</v>
      </c>
      <c r="AQ730" s="4" t="str">
        <f>IFERROR(__xludf.DUMMYFUNCTION("GOOGLETRANSLATE(B730,""en"",""fa"")"),"ام‌اس")</f>
        <v>ام‌اس</v>
      </c>
      <c r="AR730" s="4" t="str">
        <f>IFERROR(__xludf.DUMMYFUNCTION("GOOGLETRANSLATE(B730,""en"",""pl"")"),"SM")</f>
        <v>SM</v>
      </c>
      <c r="AS730" s="4" t="str">
        <f>IFERROR(__xludf.DUMMYFUNCTION("GOOGLETRANSLATE(B730,""en"",""sv"")"),"m/s")</f>
        <v>m/s</v>
      </c>
      <c r="AT730" s="4" t="str">
        <f>IFERROR(__xludf.DUMMYFUNCTION("GOOGLETRANSLATE(B730,""en"",""uk"")"),"РС")</f>
        <v>РС</v>
      </c>
      <c r="AU730" s="4" t="str">
        <f>IFERROR(__xludf.DUMMYFUNCTION("GOOGLETRANSLATE(B730,""en"",""zu"")"),"m/s")</f>
        <v>m/s</v>
      </c>
      <c r="AV730" s="4" t="str">
        <f>IFERROR(__xludf.DUMMYFUNCTION("GOOGLETRANSLATE(B730,""en"",""sr"")"),"м/с")</f>
        <v>м/с</v>
      </c>
    </row>
    <row r="731">
      <c r="A731" s="3" t="s">
        <v>1381</v>
      </c>
      <c r="B731" s="3" t="s">
        <v>1382</v>
      </c>
      <c r="C731" s="4" t="str">
        <f>IFERROR(__xludf.DUMMYFUNCTION("GOOGLETRANSLATE(B731,""en"",""ta"")"),"கேபி")</f>
        <v>கேபி</v>
      </c>
      <c r="D731" s="4" t="str">
        <f>IFERROR(__xludf.DUMMYFUNCTION("GOOGLETRANSLATE(B731,""en"",""hi"")"),"केबी")</f>
        <v>केबी</v>
      </c>
      <c r="E731" s="4" t="str">
        <f>IFERROR(__xludf.DUMMYFUNCTION("GOOGLETRANSLATE(B731,""en"",""id"")"),"KB")</f>
        <v>KB</v>
      </c>
      <c r="F731" s="4" t="str">
        <f>IFERROR(__xludf.DUMMYFUNCTION("GOOGLETRANSLATE(B731,""en"",""ms"")"),"KB")</f>
        <v>KB</v>
      </c>
      <c r="G731" s="4" t="str">
        <f>IFERROR(__xludf.DUMMYFUNCTION("GOOGLETRANSLATE(B731,""en"",""de"")"),"KB")</f>
        <v>KB</v>
      </c>
      <c r="H731" s="4" t="str">
        <f>IFERROR(__xludf.DUMMYFUNCTION("GOOGLETRANSLATE(B731,""en"",""es"")"),"KB")</f>
        <v>KB</v>
      </c>
      <c r="I731" s="4" t="str">
        <f>IFERROR(__xludf.DUMMYFUNCTION("GOOGLETRANSLATE(B731,""en"",""fr"")"),"Ko")</f>
        <v>Ko</v>
      </c>
      <c r="J731" s="4" t="str">
        <f>IFERROR(__xludf.DUMMYFUNCTION("GOOGLETRANSLATE(B731,""en"",""it"")"),"KB")</f>
        <v>KB</v>
      </c>
      <c r="K731" s="4" t="str">
        <f>IFERROR(__xludf.DUMMYFUNCTION("GOOGLETRANSLATE(B731,""en"",""pt"")"),"KB")</f>
        <v>KB</v>
      </c>
      <c r="L731" s="4" t="str">
        <f>IFERROR(__xludf.DUMMYFUNCTION("GOOGLETRANSLATE(B731,""en"",""ro"")"),"KB")</f>
        <v>KB</v>
      </c>
      <c r="M731" s="4" t="str">
        <f>IFERROR(__xludf.DUMMYFUNCTION("GOOGLETRANSLATE(B731,""en"",""vi"")"),"KB")</f>
        <v>KB</v>
      </c>
      <c r="N731" s="4" t="str">
        <f>IFERROR(__xludf.DUMMYFUNCTION("GOOGLETRANSLATE(B731,""en"",""ru"")"),"КБ")</f>
        <v>КБ</v>
      </c>
      <c r="O731" s="4" t="str">
        <f>IFERROR(__xludf.DUMMYFUNCTION("GOOGLETRANSLATE(B731,""en"",""tr"")"),"KB")</f>
        <v>KB</v>
      </c>
      <c r="P731" s="4" t="str">
        <f>IFERROR(__xludf.DUMMYFUNCTION("GOOGLETRANSLATE(B731,""en"",""ar"")"),"كيلوبايت")</f>
        <v>كيلوبايت</v>
      </c>
      <c r="Q731" s="4" t="str">
        <f>IFERROR(__xludf.DUMMYFUNCTION("GOOGLETRANSLATE(B731,""en"",""mr"")"),"KB")</f>
        <v>KB</v>
      </c>
      <c r="R731" s="4" t="str">
        <f>IFERROR(__xludf.DUMMYFUNCTION("GOOGLETRANSLATE(B731,""en"",""gu"")"),"KB")</f>
        <v>KB</v>
      </c>
      <c r="S731" s="4" t="str">
        <f>IFERROR(__xludf.DUMMYFUNCTION("GOOGLETRANSLATE(B731,""en"",""bn"")"),"কেবি")</f>
        <v>কেবি</v>
      </c>
      <c r="T731" s="4" t="str">
        <f>IFERROR(__xludf.DUMMYFUNCTION("GOOGLETRANSLATE(B731,""en"",""pa"")"),"ਕੇ.ਬੀ")</f>
        <v>ਕੇ.ਬੀ</v>
      </c>
      <c r="U731" s="4" t="str">
        <f>IFERROR(__xludf.DUMMYFUNCTION("GOOGLETRANSLATE(B731,""en"",""te"")"),"KB")</f>
        <v>KB</v>
      </c>
      <c r="V731" s="4" t="str">
        <f>IFERROR(__xludf.DUMMYFUNCTION("GOOGLETRANSLATE(B731,""en"",""kn"")"),"ಕೆಬಿ")</f>
        <v>ಕೆಬಿ</v>
      </c>
      <c r="W731" s="4" t="str">
        <f>IFERROR(__xludf.DUMMYFUNCTION("GOOGLETRANSLATE(B731,""en"",""ml"")"),"കെ.ബി")</f>
        <v>കെ.ബി</v>
      </c>
      <c r="X731" s="4" t="str">
        <f>IFERROR(__xludf.DUMMYFUNCTION("GOOGLETRANSLATE(B731,""en"",""th"")"),"เคบี")</f>
        <v>เคบี</v>
      </c>
      <c r="Y731" s="4" t="str">
        <f>IFERROR(__xludf.DUMMYFUNCTION("GOOGLETRANSLATE(B731,""en"",""ko"")"),"KB")</f>
        <v>KB</v>
      </c>
      <c r="Z731" s="4" t="str">
        <f>IFERROR(__xludf.DUMMYFUNCTION("GOOGLETRANSLATE(B731,""en"",""zh"")"),"知识库")</f>
        <v>知识库</v>
      </c>
      <c r="AA731" s="4" t="str">
        <f>IFERROR(__xludf.DUMMYFUNCTION("GOOGLETRANSLATE(B731,""en"",""zh-TW"")"),"知識庫")</f>
        <v>知識庫</v>
      </c>
      <c r="AB731" s="4" t="str">
        <f>IFERROR(__xludf.DUMMYFUNCTION("GOOGLETRANSLATE(B731,""en"",""ja"")"),"KB")</f>
        <v>KB</v>
      </c>
      <c r="AC731" s="4" t="str">
        <f>IFERROR(__xludf.DUMMYFUNCTION("GOOGLETRANSLATE(B731,""en"",""bg"")"),"KB")</f>
        <v>KB</v>
      </c>
      <c r="AD731" s="4" t="str">
        <f>IFERROR(__xludf.DUMMYFUNCTION("GOOGLETRANSLATE(B731,""en"",""cs"")"),"KB")</f>
        <v>KB</v>
      </c>
      <c r="AE731" s="4" t="str">
        <f>IFERROR(__xludf.DUMMYFUNCTION("GOOGLETRANSLATE(B731,""en"",""da"")"),"KB")</f>
        <v>KB</v>
      </c>
      <c r="AF731" s="4" t="str">
        <f>IFERROR(__xludf.DUMMYFUNCTION("GOOGLETRANSLATE(B731,""en"",""el"")"),"KB")</f>
        <v>KB</v>
      </c>
      <c r="AG731" s="4" t="str">
        <f>IFERROR(__xludf.DUMMYFUNCTION("GOOGLETRANSLATE(B731,""en"",""et"")"),"KB")</f>
        <v>KB</v>
      </c>
      <c r="AH731" s="4" t="str">
        <f>IFERROR(__xludf.DUMMYFUNCTION("GOOGLETRANSLATE(B731,""en"",""fi"")"),"KB")</f>
        <v>KB</v>
      </c>
      <c r="AI731" s="4" t="str">
        <f>IFERROR(__xludf.DUMMYFUNCTION("GOOGLETRANSLATE(B731,""en"",""hr"")"),"KB")</f>
        <v>KB</v>
      </c>
      <c r="AJ731" s="4" t="str">
        <f>IFERROR(__xludf.DUMMYFUNCTION("GOOGLETRANSLATE(B731,""en"",""hu"")"),"KB")</f>
        <v>KB</v>
      </c>
      <c r="AK731" s="4" t="str">
        <f>IFERROR(__xludf.DUMMYFUNCTION("GOOGLETRANSLATE(B731,""en"",""hy"")"),"ԿԲ")</f>
        <v>ԿԲ</v>
      </c>
      <c r="AL731" s="4" t="str">
        <f>IFERROR(__xludf.DUMMYFUNCTION("GOOGLETRANSLATE(B731,""en"",""ca"")"),"KB")</f>
        <v>KB</v>
      </c>
      <c r="AM731" s="4" t="str">
        <f>IFERROR(__xludf.DUMMYFUNCTION("GOOGLETRANSLATE(B731,""en"",""nl"")"),"KB")</f>
        <v>KB</v>
      </c>
      <c r="AN731" s="4" t="str">
        <f>IFERROR(__xludf.DUMMYFUNCTION("GOOGLETRANSLATE(B731,""en"",""he"")"),"KB")</f>
        <v>KB</v>
      </c>
      <c r="AO731" s="4" t="str">
        <f>IFERROR(__xludf.DUMMYFUNCTION("GOOGLETRANSLATE(B731,""en"",""is"")"),"KB")</f>
        <v>KB</v>
      </c>
      <c r="AP731" s="4" t="str">
        <f>IFERROR(__xludf.DUMMYFUNCTION("GOOGLETRANSLATE(B731,""en"",""no"")"),"KB")</f>
        <v>KB</v>
      </c>
      <c r="AQ731" s="4" t="str">
        <f>IFERROR(__xludf.DUMMYFUNCTION("GOOGLETRANSLATE(B731,""en"",""fa"")"),"کیلوبایت")</f>
        <v>کیلوبایت</v>
      </c>
      <c r="AR731" s="4" t="str">
        <f>IFERROR(__xludf.DUMMYFUNCTION("GOOGLETRANSLATE(B731,""en"",""pl"")"),"KB")</f>
        <v>KB</v>
      </c>
      <c r="AS731" s="4" t="str">
        <f>IFERROR(__xludf.DUMMYFUNCTION("GOOGLETRANSLATE(B731,""en"",""sv"")"),"KB")</f>
        <v>KB</v>
      </c>
      <c r="AT731" s="4" t="str">
        <f>IFERROR(__xludf.DUMMYFUNCTION("GOOGLETRANSLATE(B731,""en"",""uk"")"),"KB")</f>
        <v>KB</v>
      </c>
      <c r="AU731" s="4" t="str">
        <f>IFERROR(__xludf.DUMMYFUNCTION("GOOGLETRANSLATE(B731,""en"",""zu"")"),"KB")</f>
        <v>KB</v>
      </c>
      <c r="AV731" s="4" t="str">
        <f>IFERROR(__xludf.DUMMYFUNCTION("GOOGLETRANSLATE(B731,""en"",""sr"")"),"КБ")</f>
        <v>КБ</v>
      </c>
    </row>
    <row r="732">
      <c r="A732" s="3" t="s">
        <v>1383</v>
      </c>
      <c r="B732" s="3" t="s">
        <v>1384</v>
      </c>
      <c r="C732" s="4" t="str">
        <f>IFERROR(__xludf.DUMMYFUNCTION("GOOGLETRANSLATE(B732,""en"",""ta"")"),"உங்களால் இறக்குமதி செய்யப்பட்டது")</f>
        <v>உங்களால் இறக்குமதி செய்யப்பட்டது</v>
      </c>
      <c r="D732" s="4" t="str">
        <f>IFERROR(__xludf.DUMMYFUNCTION("GOOGLETRANSLATE(B732,""en"",""hi"")"),"आपके द्वारा आयातित")</f>
        <v>आपके द्वारा आयातित</v>
      </c>
      <c r="E732" s="4" t="str">
        <f>IFERROR(__xludf.DUMMYFUNCTION("GOOGLETRANSLATE(B732,""en"",""id"")"),"Diimpor oleh Anda")</f>
        <v>Diimpor oleh Anda</v>
      </c>
      <c r="F732" s="4" t="str">
        <f>IFERROR(__xludf.DUMMYFUNCTION("GOOGLETRANSLATE(B732,""en"",""ms"")"),"Diimport oleh Anda")</f>
        <v>Diimport oleh Anda</v>
      </c>
      <c r="G732" s="4" t="str">
        <f>IFERROR(__xludf.DUMMYFUNCTION("GOOGLETRANSLATE(B732,""en"",""de"")"),"Von Ihnen importiert")</f>
        <v>Von Ihnen importiert</v>
      </c>
      <c r="H732" s="4" t="str">
        <f>IFERROR(__xludf.DUMMYFUNCTION("GOOGLETRANSLATE(B732,""en"",""es"")"),"Importado por usted")</f>
        <v>Importado por usted</v>
      </c>
      <c r="I732" s="4" t="str">
        <f>IFERROR(__xludf.DUMMYFUNCTION("GOOGLETRANSLATE(B732,""en"",""fr"")"),"Importé par vous")</f>
        <v>Importé par vous</v>
      </c>
      <c r="J732" s="4" t="str">
        <f>IFERROR(__xludf.DUMMYFUNCTION("GOOGLETRANSLATE(B732,""en"",""it"")"),"Importato da te")</f>
        <v>Importato da te</v>
      </c>
      <c r="K732" s="4" t="str">
        <f>IFERROR(__xludf.DUMMYFUNCTION("GOOGLETRANSLATE(B732,""en"",""pt"")"),"Importado por você")</f>
        <v>Importado por você</v>
      </c>
      <c r="L732" s="4" t="str">
        <f>IFERROR(__xludf.DUMMYFUNCTION("GOOGLETRANSLATE(B732,""en"",""ro"")"),"Importat de tine")</f>
        <v>Importat de tine</v>
      </c>
      <c r="M732" s="4" t="str">
        <f>IFERROR(__xludf.DUMMYFUNCTION("GOOGLETRANSLATE(B732,""en"",""vi"")"),"Được nhập khẩu bởi bạn")</f>
        <v>Được nhập khẩu bởi bạn</v>
      </c>
      <c r="N732" s="4" t="str">
        <f>IFERROR(__xludf.DUMMYFUNCTION("GOOGLETRANSLATE(B732,""en"",""ru"")"),"Импортировано вами")</f>
        <v>Импортировано вами</v>
      </c>
      <c r="O732" s="4" t="str">
        <f>IFERROR(__xludf.DUMMYFUNCTION("GOOGLETRANSLATE(B732,""en"",""tr"")"),"Sizin tarafınızdan ithal edildi")</f>
        <v>Sizin tarafınızdan ithal edildi</v>
      </c>
      <c r="P732" s="4" t="str">
        <f>IFERROR(__xludf.DUMMYFUNCTION("GOOGLETRANSLATE(B732,""en"",""ar"")"),"تم استيراده من قبلك")</f>
        <v>تم استيراده من قبلك</v>
      </c>
      <c r="Q732" s="4" t="str">
        <f>IFERROR(__xludf.DUMMYFUNCTION("GOOGLETRANSLATE(B732,""en"",""mr"")"),"तुमच्याद्वारे आयात केलेले")</f>
        <v>तुमच्याद्वारे आयात केलेले</v>
      </c>
      <c r="R732" s="4" t="str">
        <f>IFERROR(__xludf.DUMMYFUNCTION("GOOGLETRANSLATE(B732,""en"",""gu"")"),"તમારા દ્વારા આયાત કરેલ")</f>
        <v>તમારા દ્વારા આયાત કરેલ</v>
      </c>
      <c r="S732" s="4" t="str">
        <f>IFERROR(__xludf.DUMMYFUNCTION("GOOGLETRANSLATE(B732,""en"",""bn"")"),"আপনার দ্বারা আমদানি করা")</f>
        <v>আপনার দ্বারা আমদানি করা</v>
      </c>
      <c r="T732" s="4" t="str">
        <f>IFERROR(__xludf.DUMMYFUNCTION("GOOGLETRANSLATE(B732,""en"",""pa"")"),"ਤੁਹਾਡੇ ਦੁਆਰਾ ਆਯਾਤ ਕੀਤਾ ਗਿਆ")</f>
        <v>ਤੁਹਾਡੇ ਦੁਆਰਾ ਆਯਾਤ ਕੀਤਾ ਗਿਆ</v>
      </c>
      <c r="U732" s="4" t="str">
        <f>IFERROR(__xludf.DUMMYFUNCTION("GOOGLETRANSLATE(B732,""en"",""te"")"),"మీరు దిగుమతి చేసారు")</f>
        <v>మీరు దిగుమతి చేసారు</v>
      </c>
      <c r="V732" s="4" t="str">
        <f>IFERROR(__xludf.DUMMYFUNCTION("GOOGLETRANSLATE(B732,""en"",""kn"")"),"ನಿಮ್ಮಿಂದ ಆಮದು ಮಾಡಿಕೊಳ್ಳಲಾಗಿದೆ")</f>
        <v>ನಿಮ್ಮಿಂದ ಆಮದು ಮಾಡಿಕೊಳ್ಳಲಾಗಿದೆ</v>
      </c>
      <c r="W732" s="4" t="str">
        <f>IFERROR(__xludf.DUMMYFUNCTION("GOOGLETRANSLATE(B732,""en"",""ml"")"),"നിങ്ങൾ ഇറക്കുമതി ചെയ്തത്")</f>
        <v>നിങ്ങൾ ഇറക്കുമതി ചെയ്തത്</v>
      </c>
      <c r="X732" s="4" t="str">
        <f>IFERROR(__xludf.DUMMYFUNCTION("GOOGLETRANSLATE(B732,""en"",""th"")"),"นำเข้าโดยคุณ")</f>
        <v>นำเข้าโดยคุณ</v>
      </c>
      <c r="Y732" s="4" t="str">
        <f>IFERROR(__xludf.DUMMYFUNCTION("GOOGLETRANSLATE(B732,""en"",""ko"")"),"귀하가 가져온")</f>
        <v>귀하가 가져온</v>
      </c>
      <c r="Z732" s="4" t="str">
        <f>IFERROR(__xludf.DUMMYFUNCTION("GOOGLETRANSLATE(B732,""en"",""zh"")"),"由您进口")</f>
        <v>由您进口</v>
      </c>
      <c r="AA732" s="4" t="str">
        <f>IFERROR(__xludf.DUMMYFUNCTION("GOOGLETRANSLATE(B732,""en"",""zh-TW"")"),"由您進口")</f>
        <v>由您進口</v>
      </c>
      <c r="AB732" s="4" t="str">
        <f>IFERROR(__xludf.DUMMYFUNCTION("GOOGLETRANSLATE(B732,""en"",""ja"")"),"あなたが輸入した")</f>
        <v>あなたが輸入した</v>
      </c>
      <c r="AC732" s="4" t="str">
        <f>IFERROR(__xludf.DUMMYFUNCTION("GOOGLETRANSLATE(B732,""en"",""bg"")"),"Внесени от Вас")</f>
        <v>Внесени от Вас</v>
      </c>
      <c r="AD732" s="4" t="str">
        <f>IFERROR(__xludf.DUMMYFUNCTION("GOOGLETRANSLATE(B732,""en"",""cs"")"),"Dovezeno vámi")</f>
        <v>Dovezeno vámi</v>
      </c>
      <c r="AE732" s="4" t="str">
        <f>IFERROR(__xludf.DUMMYFUNCTION("GOOGLETRANSLATE(B732,""en"",""da"")"),"Importeret af dig")</f>
        <v>Importeret af dig</v>
      </c>
      <c r="AF732" s="4" t="str">
        <f>IFERROR(__xludf.DUMMYFUNCTION("GOOGLETRANSLATE(B732,""en"",""el"")"),"Εισαγωγή από εσάς")</f>
        <v>Εισαγωγή από εσάς</v>
      </c>
      <c r="AG732" s="4" t="str">
        <f>IFERROR(__xludf.DUMMYFUNCTION("GOOGLETRANSLATE(B732,""en"",""et"")"),"Teie imporditud")</f>
        <v>Teie imporditud</v>
      </c>
      <c r="AH732" s="4" t="str">
        <f>IFERROR(__xludf.DUMMYFUNCTION("GOOGLETRANSLATE(B732,""en"",""fi"")"),"Sinun tuomaasi")</f>
        <v>Sinun tuomaasi</v>
      </c>
      <c r="AI732" s="4" t="str">
        <f>IFERROR(__xludf.DUMMYFUNCTION("GOOGLETRANSLATE(B732,""en"",""hr"")"),"Vi ste uvezli")</f>
        <v>Vi ste uvezli</v>
      </c>
      <c r="AJ732" s="4" t="str">
        <f>IFERROR(__xludf.DUMMYFUNCTION("GOOGLETRANSLATE(B732,""en"",""hu"")"),"Ön importálta")</f>
        <v>Ön importálta</v>
      </c>
      <c r="AK732" s="4" t="str">
        <f>IFERROR(__xludf.DUMMYFUNCTION("GOOGLETRANSLATE(B732,""en"",""hy"")"),"Ներմուծված Ձեր կողմից")</f>
        <v>Ներմուծված Ձեր կողմից</v>
      </c>
      <c r="AL732" s="4" t="str">
        <f>IFERROR(__xludf.DUMMYFUNCTION("GOOGLETRANSLATE(B732,""en"",""ca"")"),"Importat per tu")</f>
        <v>Importat per tu</v>
      </c>
      <c r="AM732" s="4" t="str">
        <f>IFERROR(__xludf.DUMMYFUNCTION("GOOGLETRANSLATE(B732,""en"",""nl"")"),"Geïmporteerd door jou")</f>
        <v>Geïmporteerd door jou</v>
      </c>
      <c r="AN732" s="4" t="str">
        <f>IFERROR(__xludf.DUMMYFUNCTION("GOOGLETRANSLATE(B732,""en"",""he"")"),"מיובא על ידך")</f>
        <v>מיובא על ידך</v>
      </c>
      <c r="AO732" s="4" t="str">
        <f>IFERROR(__xludf.DUMMYFUNCTION("GOOGLETRANSLATE(B732,""en"",""is"")"),"Innflutt af þér")</f>
        <v>Innflutt af þér</v>
      </c>
      <c r="AP732" s="4" t="str">
        <f>IFERROR(__xludf.DUMMYFUNCTION("GOOGLETRANSLATE(B732,""en"",""no"")"),"Importert av deg")</f>
        <v>Importert av deg</v>
      </c>
      <c r="AQ732" s="4" t="str">
        <f>IFERROR(__xludf.DUMMYFUNCTION("GOOGLETRANSLATE(B732,""en"",""fa"")"),"وارد شده توسط شما")</f>
        <v>وارد شده توسط شما</v>
      </c>
      <c r="AR732" s="4" t="str">
        <f>IFERROR(__xludf.DUMMYFUNCTION("GOOGLETRANSLATE(B732,""en"",""pl"")"),"Zaimportowane przez Ciebie")</f>
        <v>Zaimportowane przez Ciebie</v>
      </c>
      <c r="AS732" s="4" t="str">
        <f>IFERROR(__xludf.DUMMYFUNCTION("GOOGLETRANSLATE(B732,""en"",""sv"")"),"Importerad av dig")</f>
        <v>Importerad av dig</v>
      </c>
      <c r="AT732" s="4" t="str">
        <f>IFERROR(__xludf.DUMMYFUNCTION("GOOGLETRANSLATE(B732,""en"",""uk"")"),"Імпортовано вами")</f>
        <v>Імпортовано вами</v>
      </c>
      <c r="AU732" s="4" t="str">
        <f>IFERROR(__xludf.DUMMYFUNCTION("GOOGLETRANSLATE(B732,""en"",""zu"")"),"Ingeniswe nguwe")</f>
        <v>Ingeniswe nguwe</v>
      </c>
      <c r="AV732" s="4" t="str">
        <f>IFERROR(__xludf.DUMMYFUNCTION("GOOGLETRANSLATE(B732,""en"",""sr"")"),"Увезли сте ви")</f>
        <v>Увезли сте ви</v>
      </c>
    </row>
    <row r="733">
      <c r="A733" s="3" t="s">
        <v>1385</v>
      </c>
      <c r="B733" s="3" t="s">
        <v>1386</v>
      </c>
      <c r="C733" s="4" t="str">
        <f>IFERROR(__xludf.DUMMYFUNCTION("GOOGLETRANSLATE(B733,""en"",""ta"")"),"{{name}} ஆல் பகிரப்பட்டது")</f>
        <v>{{name}} ஆல் பகிரப்பட்டது</v>
      </c>
      <c r="D733" s="4" t="str">
        <f>IFERROR(__xludf.DUMMYFUNCTION("GOOGLETRANSLATE(B733,""en"",""hi"")"),"{{name}} द्वारा साझा किया गया")</f>
        <v>{{name}} द्वारा साझा किया गया</v>
      </c>
      <c r="E733" s="4" t="str">
        <f>IFERROR(__xludf.DUMMYFUNCTION("GOOGLETRANSLATE(B733,""en"",""id"")"),"Dibagikan oleh {{name}}")</f>
        <v>Dibagikan oleh {{name}}</v>
      </c>
      <c r="F733" s="4" t="str">
        <f>IFERROR(__xludf.DUMMYFUNCTION("GOOGLETRANSLATE(B733,""en"",""ms"")"),"Dikongsi oleh {{name}}")</f>
        <v>Dikongsi oleh {{name}}</v>
      </c>
      <c r="G733" s="4" t="str">
        <f>IFERROR(__xludf.DUMMYFUNCTION("GOOGLETRANSLATE(B733,""en"",""de"")"),"Geteilt von {{name}}")</f>
        <v>Geteilt von {{name}}</v>
      </c>
      <c r="H733" s="4" t="str">
        <f>IFERROR(__xludf.DUMMYFUNCTION("GOOGLETRANSLATE(B733,""en"",""es"")"),"Compartido por {{name}}")</f>
        <v>Compartido por {{name}}</v>
      </c>
      <c r="I733" s="4" t="str">
        <f>IFERROR(__xludf.DUMMYFUNCTION("GOOGLETRANSLATE(B733,""en"",""fr"")"),"Partagé par {{name}}")</f>
        <v>Partagé par {{name}}</v>
      </c>
      <c r="J733" s="4" t="str">
        <f>IFERROR(__xludf.DUMMYFUNCTION("GOOGLETRANSLATE(B733,""en"",""it"")"),"Condiviso da {{name}}")</f>
        <v>Condiviso da {{name}}</v>
      </c>
      <c r="K733" s="4" t="str">
        <f>IFERROR(__xludf.DUMMYFUNCTION("GOOGLETRANSLATE(B733,""en"",""pt"")"),"Compartilhado por {{name}}")</f>
        <v>Compartilhado por {{name}}</v>
      </c>
      <c r="L733" s="4" t="str">
        <f>IFERROR(__xludf.DUMMYFUNCTION("GOOGLETRANSLATE(B733,""en"",""ro"")"),"Distribuit de {{name}}")</f>
        <v>Distribuit de {{name}}</v>
      </c>
      <c r="M733" s="4" t="str">
        <f>IFERROR(__xludf.DUMMYFUNCTION("GOOGLETRANSLATE(B733,""en"",""vi"")"),"Được chia sẻ bởi {{name}}")</f>
        <v>Được chia sẻ bởi {{name}}</v>
      </c>
      <c r="N733" s="4" t="str">
        <f>IFERROR(__xludf.DUMMYFUNCTION("GOOGLETRANSLATE(B733,""en"",""ru"")"),"Поделился {{name}}")</f>
        <v>Поделился {{name}}</v>
      </c>
      <c r="O733" s="4" t="str">
        <f>IFERROR(__xludf.DUMMYFUNCTION("GOOGLETRANSLATE(B733,""en"",""tr"")"),"{{name}} tarafından paylaşıldı")</f>
        <v>{{name}} tarafından paylaşıldı</v>
      </c>
      <c r="P733" s="4" t="str">
        <f>IFERROR(__xludf.DUMMYFUNCTION("GOOGLETRANSLATE(B733,""en"",""ar"")"),"تمت المشاركة بواسطة {{name}}")</f>
        <v>تمت المشاركة بواسطة {{name}}</v>
      </c>
      <c r="Q733" s="4" t="str">
        <f>IFERROR(__xludf.DUMMYFUNCTION("GOOGLETRANSLATE(B733,""en"",""mr"")"),"{{name}} ने शेअर केले")</f>
        <v>{{name}} ने शेअर केले</v>
      </c>
      <c r="R733" s="4" t="str">
        <f>IFERROR(__xludf.DUMMYFUNCTION("GOOGLETRANSLATE(B733,""en"",""gu"")"),"{{name}} દ્વારા શેર કરેલ")</f>
        <v>{{name}} દ્વારા શેર કરેલ</v>
      </c>
      <c r="S733" s="4" t="str">
        <f>IFERROR(__xludf.DUMMYFUNCTION("GOOGLETRANSLATE(B733,""en"",""bn"")"),"{{name}} শেয়ার করেছেন")</f>
        <v>{{name}} শেয়ার করেছেন</v>
      </c>
      <c r="T733" s="4" t="str">
        <f>IFERROR(__xludf.DUMMYFUNCTION("GOOGLETRANSLATE(B733,""en"",""pa"")"),"{{name}} ਦੁਆਰਾ ਸਾਂਝਾ ਕੀਤਾ ਗਿਆ")</f>
        <v>{{name}} ਦੁਆਰਾ ਸਾਂਝਾ ਕੀਤਾ ਗਿਆ</v>
      </c>
      <c r="U733" s="4" t="str">
        <f>IFERROR(__xludf.DUMMYFUNCTION("GOOGLETRANSLATE(B733,""en"",""te"")"),"{{name}} ద్వారా భాగస్వామ్యం చేయబడింది")</f>
        <v>{{name}} ద్వారా భాగస్వామ్యం చేయబడింది</v>
      </c>
      <c r="V733" s="4" t="str">
        <f>IFERROR(__xludf.DUMMYFUNCTION("GOOGLETRANSLATE(B733,""en"",""kn"")"),"{{name}} ಮೂಲಕ ಹಂಚಿಕೊಳ್ಳಲಾಗಿದೆ")</f>
        <v>{{name}} ಮೂಲಕ ಹಂಚಿಕೊಳ್ಳಲಾಗಿದೆ</v>
      </c>
      <c r="W733" s="4" t="str">
        <f>IFERROR(__xludf.DUMMYFUNCTION("GOOGLETRANSLATE(B733,""en"",""ml"")"),"{{name}} പങ്കിട്ടത്")</f>
        <v>{{name}} പങ്കിട്ടത്</v>
      </c>
      <c r="X733" s="4" t="str">
        <f>IFERROR(__xludf.DUMMYFUNCTION("GOOGLETRANSLATE(B733,""en"",""th"")"),"แชร์โดย {{name}}")</f>
        <v>แชร์โดย {{name}}</v>
      </c>
      <c r="Y733" s="4" t="str">
        <f>IFERROR(__xludf.DUMMYFUNCTION("GOOGLETRANSLATE(B733,""en"",""ko"")"),"{{name}}님이 공유함")</f>
        <v>{{name}}님이 공유함</v>
      </c>
      <c r="Z733" s="4" t="str">
        <f>IFERROR(__xludf.DUMMYFUNCTION("GOOGLETRANSLATE(B733,""en"",""zh"")"),"由 {{name}} 分享")</f>
        <v>由 {{name}} 分享</v>
      </c>
      <c r="AA733" s="4" t="str">
        <f>IFERROR(__xludf.DUMMYFUNCTION("GOOGLETRANSLATE(B733,""en"",""zh-TW"")"),"由 {{name}} 分享")</f>
        <v>由 {{name}} 分享</v>
      </c>
      <c r="AB733" s="4" t="str">
        <f>IFERROR(__xludf.DUMMYFUNCTION("GOOGLETRANSLATE(B733,""en"",""ja"")"),"{{name}} によって共有されました")</f>
        <v>{{name}} によって共有されました</v>
      </c>
      <c r="AC733" s="4" t="str">
        <f>IFERROR(__xludf.DUMMYFUNCTION("GOOGLETRANSLATE(B733,""en"",""bg"")"),"Споделено от {{name}}")</f>
        <v>Споделено от {{name}}</v>
      </c>
      <c r="AD733" s="4" t="str">
        <f>IFERROR(__xludf.DUMMYFUNCTION("GOOGLETRANSLATE(B733,""en"",""cs"")"),"Sdíleno uživatelem {{name}}")</f>
        <v>Sdíleno uživatelem {{name}}</v>
      </c>
      <c r="AE733" s="4" t="str">
        <f>IFERROR(__xludf.DUMMYFUNCTION("GOOGLETRANSLATE(B733,""en"",""da"")"),"Delt af {{name}}")</f>
        <v>Delt af {{name}}</v>
      </c>
      <c r="AF733" s="4" t="str">
        <f>IFERROR(__xludf.DUMMYFUNCTION("GOOGLETRANSLATE(B733,""en"",""el"")"),"Κοινή χρήση από {{name}}")</f>
        <v>Κοινή χρήση από {{name}}</v>
      </c>
      <c r="AG733" s="4" t="str">
        <f>IFERROR(__xludf.DUMMYFUNCTION("GOOGLETRANSLATE(B733,""en"",""et"")"),"Jagas: {{name}}")</f>
        <v>Jagas: {{name}}</v>
      </c>
      <c r="AH733" s="4" t="str">
        <f>IFERROR(__xludf.DUMMYFUNCTION("GOOGLETRANSLATE(B733,""en"",""fi"")"),"Jakaja: {{name}}")</f>
        <v>Jakaja: {{name}}</v>
      </c>
      <c r="AI733" s="4" t="str">
        <f>IFERROR(__xludf.DUMMYFUNCTION("GOOGLETRANSLATE(B733,""en"",""hr"")"),"Dijeli {{name}}")</f>
        <v>Dijeli {{name}}</v>
      </c>
      <c r="AJ733" s="4" t="str">
        <f>IFERROR(__xludf.DUMMYFUNCTION("GOOGLETRANSLATE(B733,""en"",""hu"")"),"Megosztva: {{name}}")</f>
        <v>Megosztva: {{name}}</v>
      </c>
      <c r="AK733" s="4" t="str">
        <f>IFERROR(__xludf.DUMMYFUNCTION("GOOGLETRANSLATE(B733,""en"",""hy"")"),"Կիսվել է {{name}}-ի կողմից")</f>
        <v>Կիսվել է {{name}}-ի կողմից</v>
      </c>
      <c r="AL733" s="4" t="str">
        <f>IFERROR(__xludf.DUMMYFUNCTION("GOOGLETRANSLATE(B733,""en"",""ca"")"),"Compartit per {{name}}")</f>
        <v>Compartit per {{name}}</v>
      </c>
      <c r="AM733" s="4" t="str">
        <f>IFERROR(__xludf.DUMMYFUNCTION("GOOGLETRANSLATE(B733,""en"",""nl"")"),"Gedeeld door {{name}}")</f>
        <v>Gedeeld door {{name}}</v>
      </c>
      <c r="AN733" s="4" t="str">
        <f>IFERROR(__xludf.DUMMYFUNCTION("GOOGLETRANSLATE(B733,""en"",""he"")"),"משותף על ידי {{name}}")</f>
        <v>משותף על ידי {{name}}</v>
      </c>
      <c r="AO733" s="4" t="str">
        <f>IFERROR(__xludf.DUMMYFUNCTION("GOOGLETRANSLATE(B733,""en"",""is"")"),"Deilt af {{name}}")</f>
        <v>Deilt af {{name}}</v>
      </c>
      <c r="AP733" s="4" t="str">
        <f>IFERROR(__xludf.DUMMYFUNCTION("GOOGLETRANSLATE(B733,""en"",""no"")"),"Delt av {{name}}")</f>
        <v>Delt av {{name}}</v>
      </c>
      <c r="AQ733" s="4" t="str">
        <f>IFERROR(__xludf.DUMMYFUNCTION("GOOGLETRANSLATE(B733,""en"",""fa"")"),"به اشتراک گذاشته شده توسط {{name}}")</f>
        <v>به اشتراک گذاشته شده توسط {{name}}</v>
      </c>
      <c r="AR733" s="4" t="str">
        <f>IFERROR(__xludf.DUMMYFUNCTION("GOOGLETRANSLATE(B733,""en"",""pl"")"),"Udostępnione przez {{name}}")</f>
        <v>Udostępnione przez {{name}}</v>
      </c>
      <c r="AS733" s="4" t="str">
        <f>IFERROR(__xludf.DUMMYFUNCTION("GOOGLETRANSLATE(B733,""en"",""sv"")"),"Delas av {{name}}")</f>
        <v>Delas av {{name}}</v>
      </c>
      <c r="AT733" s="4" t="str">
        <f>IFERROR(__xludf.DUMMYFUNCTION("GOOGLETRANSLATE(B733,""en"",""uk"")"),"Поділився {{name}}")</f>
        <v>Поділився {{name}}</v>
      </c>
      <c r="AU733" s="4" t="str">
        <f>IFERROR(__xludf.DUMMYFUNCTION("GOOGLETRANSLATE(B733,""en"",""zu"")"),"Kwabiwe ngu-{{name}}")</f>
        <v>Kwabiwe ngu-{{name}}</v>
      </c>
      <c r="AV733" s="4" t="str">
        <f>IFERROR(__xludf.DUMMYFUNCTION("GOOGLETRANSLATE(B733,""en"",""sr"")"),"Дели {{наме}}")</f>
        <v>Дели {{наме}}</v>
      </c>
    </row>
    <row r="734">
      <c r="A734" s="3" t="s">
        <v>1387</v>
      </c>
      <c r="B734" s="3" t="s">
        <v>1388</v>
      </c>
      <c r="C734" s="4" t="str">
        <f>IFERROR(__xludf.DUMMYFUNCTION("GOOGLETRANSLATE(B734,""en"",""ta"")"),"{{distance}} கி.மீ")</f>
        <v>{{distance}} கி.மீ</v>
      </c>
      <c r="D734" s="4" t="str">
        <f>IFERROR(__xludf.DUMMYFUNCTION("GOOGLETRANSLATE(B734,""en"",""hi"")"),"{{दूरी}} किमी")</f>
        <v>{{दूरी}} किमी</v>
      </c>
      <c r="E734" s="4" t="str">
        <f>IFERROR(__xludf.DUMMYFUNCTION("GOOGLETRANSLATE(B734,""en"",""id"")"),"{{jarak}} km")</f>
        <v>{{jarak}} km</v>
      </c>
      <c r="F734" s="4" t="str">
        <f>IFERROR(__xludf.DUMMYFUNCTION("GOOGLETRANSLATE(B734,""en"",""ms"")"),"{{jarak}} km")</f>
        <v>{{jarak}} km</v>
      </c>
      <c r="G734" s="4" t="str">
        <f>IFERROR(__xludf.DUMMYFUNCTION("GOOGLETRANSLATE(B734,""en"",""de"")"),"{{distance}} km")</f>
        <v>{{distance}} km</v>
      </c>
      <c r="H734" s="4" t="str">
        <f>IFERROR(__xludf.DUMMYFUNCTION("GOOGLETRANSLATE(B734,""en"",""es"")"),"{{distancia}} km")</f>
        <v>{{distancia}} km</v>
      </c>
      <c r="I734" s="4" t="str">
        <f>IFERROR(__xludf.DUMMYFUNCTION("GOOGLETRANSLATE(B734,""en"",""fr"")"),"{{distance}} km")</f>
        <v>{{distance}} km</v>
      </c>
      <c r="J734" s="4" t="str">
        <f>IFERROR(__xludf.DUMMYFUNCTION("GOOGLETRANSLATE(B734,""en"",""it"")"),"{{distanza}} km")</f>
        <v>{{distanza}} km</v>
      </c>
      <c r="K734" s="4" t="str">
        <f>IFERROR(__xludf.DUMMYFUNCTION("GOOGLETRANSLATE(B734,""en"",""pt"")"),"{{distância}} km")</f>
        <v>{{distância}} km</v>
      </c>
      <c r="L734" s="4" t="str">
        <f>IFERROR(__xludf.DUMMYFUNCTION("GOOGLETRANSLATE(B734,""en"",""ro"")"),"{{distanță}} km")</f>
        <v>{{distanță}} km</v>
      </c>
      <c r="M734" s="4" t="str">
        <f>IFERROR(__xludf.DUMMYFUNCTION("GOOGLETRANSLATE(B734,""en"",""vi"")"),"{{khoảng cách}} km")</f>
        <v>{{khoảng cách}} km</v>
      </c>
      <c r="N734" s="4" t="str">
        <f>IFERROR(__xludf.DUMMYFUNCTION("GOOGLETRANSLATE(B734,""en"",""ru"")"),"{{расстояние}} км")</f>
        <v>{{расстояние}} км</v>
      </c>
      <c r="O734" s="4" t="str">
        <f>IFERROR(__xludf.DUMMYFUNCTION("GOOGLETRANSLATE(B734,""en"",""tr"")"),"{{mesafe}} km")</f>
        <v>{{mesafe}} km</v>
      </c>
      <c r="P734" s="4" t="str">
        <f>IFERROR(__xludf.DUMMYFUNCTION("GOOGLETRANSLATE(B734,""en"",""ar"")"),"{{المسافة}} كم")</f>
        <v>{{المسافة}} كم</v>
      </c>
      <c r="Q734" s="4" t="str">
        <f>IFERROR(__xludf.DUMMYFUNCTION("GOOGLETRANSLATE(B734,""en"",""mr"")"),"{{अंतर}} किमी")</f>
        <v>{{अंतर}} किमी</v>
      </c>
      <c r="R734" s="4" t="str">
        <f>IFERROR(__xludf.DUMMYFUNCTION("GOOGLETRANSLATE(B734,""en"",""gu"")"),"{{અંતર}} કિમી")</f>
        <v>{{અંતર}} કિમી</v>
      </c>
      <c r="S734" s="4" t="str">
        <f>IFERROR(__xludf.DUMMYFUNCTION("GOOGLETRANSLATE(B734,""en"",""bn"")"),"{{দূরত্ব}} কিমি")</f>
        <v>{{দূরত্ব}} কিমি</v>
      </c>
      <c r="T734" s="4" t="str">
        <f>IFERROR(__xludf.DUMMYFUNCTION("GOOGLETRANSLATE(B734,""en"",""pa"")"),"{{ਦੂਰੀ}} ਕਿ.ਮੀ")</f>
        <v>{{ਦੂਰੀ}} ਕਿ.ਮੀ</v>
      </c>
      <c r="U734" s="4" t="str">
        <f>IFERROR(__xludf.DUMMYFUNCTION("GOOGLETRANSLATE(B734,""en"",""te"")"),"{{distance}} కి.మీ")</f>
        <v>{{distance}} కి.మీ</v>
      </c>
      <c r="V734" s="4" t="str">
        <f>IFERROR(__xludf.DUMMYFUNCTION("GOOGLETRANSLATE(B734,""en"",""kn"")"),"{{distance}} ಕಿಮೀ")</f>
        <v>{{distance}} ಕಿಮೀ</v>
      </c>
      <c r="W734" s="4" t="str">
        <f>IFERROR(__xludf.DUMMYFUNCTION("GOOGLETRANSLATE(B734,""en"",""ml"")"),"{{distance}} കി.മീ")</f>
        <v>{{distance}} കി.മീ</v>
      </c>
      <c r="X734" s="4" t="str">
        <f>IFERROR(__xludf.DUMMYFUNCTION("GOOGLETRANSLATE(B734,""en"",""th"")"),"ระยะทาง {{}} กม.")</f>
        <v>ระยะทาง {{}} กม.</v>
      </c>
      <c r="Y734" s="4" t="str">
        <f>IFERROR(__xludf.DUMMYFUNCTION("GOOGLETRANSLATE(B734,""en"",""ko"")"),"{{거리}}km")</f>
        <v>{{거리}}km</v>
      </c>
      <c r="Z734" s="4" t="str">
        <f>IFERROR(__xludf.DUMMYFUNCTION("GOOGLETRANSLATE(B734,""en"",""zh"")"),"{{distance}} 公里")</f>
        <v>{{distance}} 公里</v>
      </c>
      <c r="AA734" s="4" t="str">
        <f>IFERROR(__xludf.DUMMYFUNCTION("GOOGLETRANSLATE(B734,""en"",""zh-TW"")"),"{{distance}} 公里")</f>
        <v>{{distance}} 公里</v>
      </c>
      <c r="AB734" s="4" t="str">
        <f>IFERROR(__xludf.DUMMYFUNCTION("GOOGLETRANSLATE(B734,""en"",""ja"")"),"{{距離}} km")</f>
        <v>{{距離}} km</v>
      </c>
      <c r="AC734" s="4" t="str">
        <f>IFERROR(__xludf.DUMMYFUNCTION("GOOGLETRANSLATE(B734,""en"",""bg"")"),"{{разстояние}} км")</f>
        <v>{{разстояние}} км</v>
      </c>
      <c r="AD734" s="4" t="str">
        <f>IFERROR(__xludf.DUMMYFUNCTION("GOOGLETRANSLATE(B734,""en"",""cs"")"),"{{vzdálenost}} km")</f>
        <v>{{vzdálenost}} km</v>
      </c>
      <c r="AE734" s="4" t="str">
        <f>IFERROR(__xludf.DUMMYFUNCTION("GOOGLETRANSLATE(B734,""en"",""da"")"),"{{distance}} km")</f>
        <v>{{distance}} km</v>
      </c>
      <c r="AF734" s="4" t="str">
        <f>IFERROR(__xludf.DUMMYFUNCTION("GOOGLETRANSLATE(B734,""en"",""el"")"),"{{απόσταση}} χλμ")</f>
        <v>{{απόσταση}} χλμ</v>
      </c>
      <c r="AG734" s="4" t="str">
        <f>IFERROR(__xludf.DUMMYFUNCTION("GOOGLETRANSLATE(B734,""en"",""et"")"),"{{kaugus}} km")</f>
        <v>{{kaugus}} km</v>
      </c>
      <c r="AH734" s="4" t="str">
        <f>IFERROR(__xludf.DUMMYFUNCTION("GOOGLETRANSLATE(B734,""en"",""fi"")"),"{{etäisyys}} km")</f>
        <v>{{etäisyys}} km</v>
      </c>
      <c r="AI734" s="4" t="str">
        <f>IFERROR(__xludf.DUMMYFUNCTION("GOOGLETRANSLATE(B734,""en"",""hr"")"),"{{distance}} km")</f>
        <v>{{distance}} km</v>
      </c>
      <c r="AJ734" s="4" t="str">
        <f>IFERROR(__xludf.DUMMYFUNCTION("GOOGLETRANSLATE(B734,""en"",""hu"")"),"{{távolság}} km")</f>
        <v>{{távolság}} km</v>
      </c>
      <c r="AK734" s="4" t="str">
        <f>IFERROR(__xludf.DUMMYFUNCTION("GOOGLETRANSLATE(B734,""en"",""hy"")"),"{{հեռավորություն}} կմ")</f>
        <v>{{հեռավորություն}} կմ</v>
      </c>
      <c r="AL734" s="4" t="str">
        <f>IFERROR(__xludf.DUMMYFUNCTION("GOOGLETRANSLATE(B734,""en"",""ca"")"),"{{distància}} km")</f>
        <v>{{distància}} km</v>
      </c>
      <c r="AM734" s="4" t="str">
        <f>IFERROR(__xludf.DUMMYFUNCTION("GOOGLETRANSLATE(B734,""en"",""nl"")"),"{{afstand}} km")</f>
        <v>{{afstand}} km</v>
      </c>
      <c r="AN734" s="4" t="str">
        <f>IFERROR(__xludf.DUMMYFUNCTION("GOOGLETRANSLATE(B734,""en"",""he"")"),"{{מרחק}} ק""מ")</f>
        <v>{{מרחק}} ק"מ</v>
      </c>
      <c r="AO734" s="4" t="str">
        <f>IFERROR(__xludf.DUMMYFUNCTION("GOOGLETRANSLATE(B734,""en"",""is"")"),"{{vegalengd}} km")</f>
        <v>{{vegalengd}} km</v>
      </c>
      <c r="AP734" s="4" t="str">
        <f>IFERROR(__xludf.DUMMYFUNCTION("GOOGLETRANSLATE(B734,""en"",""no"")"),"{{distanse}} km")</f>
        <v>{{distanse}} km</v>
      </c>
      <c r="AQ734" s="4" t="str">
        <f>IFERROR(__xludf.DUMMYFUNCTION("GOOGLETRANSLATE(B734,""en"",""fa"")"),"{{فاصله}} کیلومتر")</f>
        <v>{{فاصله}} کیلومتر</v>
      </c>
      <c r="AR734" s="4" t="str">
        <f>IFERROR(__xludf.DUMMYFUNCTION("GOOGLETRANSLATE(B734,""en"",""pl"")"),"{{odległość}} km")</f>
        <v>{{odległość}} km</v>
      </c>
      <c r="AS734" s="4" t="str">
        <f>IFERROR(__xludf.DUMMYFUNCTION("GOOGLETRANSLATE(B734,""en"",""sv"")"),"{{avstånd}} km")</f>
        <v>{{avstånd}} km</v>
      </c>
      <c r="AT734" s="4" t="str">
        <f>IFERROR(__xludf.DUMMYFUNCTION("GOOGLETRANSLATE(B734,""en"",""uk"")"),"{{distance}} км")</f>
        <v>{{distance}} км</v>
      </c>
      <c r="AU734" s="4" t="str">
        <f>IFERROR(__xludf.DUMMYFUNCTION("GOOGLETRANSLATE(B734,""en"",""zu"")"),"{{distance}} km")</f>
        <v>{{distance}} km</v>
      </c>
      <c r="AV734" s="4" t="str">
        <f>IFERROR(__xludf.DUMMYFUNCTION("GOOGLETRANSLATE(B734,""en"",""sr"")"),"{{дистанце}} км")</f>
        <v>{{дистанце}} км</v>
      </c>
    </row>
    <row r="735">
      <c r="A735" s="3" t="s">
        <v>1389</v>
      </c>
      <c r="B735" s="3" t="s">
        <v>1390</v>
      </c>
      <c r="C735" s="4" t="str">
        <f>IFERROR(__xludf.DUMMYFUNCTION("GOOGLETRANSLATE(B735,""en"",""ta"")"),"{{time}} முன்பு")</f>
        <v>{{time}} முன்பு</v>
      </c>
      <c r="D735" s="4" t="str">
        <f>IFERROR(__xludf.DUMMYFUNCTION("GOOGLETRANSLATE(B735,""en"",""hi"")"),"{{समय पहले")</f>
        <v>{{समय पहले</v>
      </c>
      <c r="E735" s="4" t="str">
        <f>IFERROR(__xludf.DUMMYFUNCTION("GOOGLETRANSLATE(B735,""en"",""id"")"),"{{waktu}} yang lalu")</f>
        <v>{{waktu}} yang lalu</v>
      </c>
      <c r="F735" s="4" t="str">
        <f>IFERROR(__xludf.DUMMYFUNCTION("GOOGLETRANSLATE(B735,""en"",""ms"")"),"{{time}} yang lalu")</f>
        <v>{{time}} yang lalu</v>
      </c>
      <c r="G735" s="4" t="str">
        <f>IFERROR(__xludf.DUMMYFUNCTION("GOOGLETRANSLATE(B735,""en"",""de"")"),"vor {{time}}")</f>
        <v>vor {{time}}</v>
      </c>
      <c r="H735" s="4" t="str">
        <f>IFERROR(__xludf.DUMMYFUNCTION("GOOGLETRANSLATE(B735,""en"",""es"")"),"Hace {{time}}")</f>
        <v>Hace {{time}}</v>
      </c>
      <c r="I735" s="4" t="str">
        <f>IFERROR(__xludf.DUMMYFUNCTION("GOOGLETRANSLATE(B735,""en"",""fr"")"),"Il y a {{time}}")</f>
        <v>Il y a {{time}}</v>
      </c>
      <c r="J735" s="4" t="str">
        <f>IFERROR(__xludf.DUMMYFUNCTION("GOOGLETRANSLATE(B735,""en"",""it"")"),"{{time}} fa")</f>
        <v>{{time}} fa</v>
      </c>
      <c r="K735" s="4" t="str">
        <f>IFERROR(__xludf.DUMMYFUNCTION("GOOGLETRANSLATE(B735,""en"",""pt"")"),"{{tempo}} atrás")</f>
        <v>{{tempo}} atrás</v>
      </c>
      <c r="L735" s="4" t="str">
        <f>IFERROR(__xludf.DUMMYFUNCTION("GOOGLETRANSLATE(B735,""en"",""ro"")"),"acum {{time}}")</f>
        <v>acum {{time}}</v>
      </c>
      <c r="M735" s="4" t="str">
        <f>IFERROR(__xludf.DUMMYFUNCTION("GOOGLETRANSLATE(B735,""en"",""vi"")"),"{{time}} trước đây")</f>
        <v>{{time}} trước đây</v>
      </c>
      <c r="N735" s="4" t="str">
        <f>IFERROR(__xludf.DUMMYFUNCTION("GOOGLETRANSLATE(B735,""en"",""ru"")"),"{{время}} назад")</f>
        <v>{{время}} назад</v>
      </c>
      <c r="O735" s="4" t="str">
        <f>IFERROR(__xludf.DUMMYFUNCTION("GOOGLETRANSLATE(B735,""en"",""tr"")"),"{{time}} önce")</f>
        <v>{{time}} önce</v>
      </c>
      <c r="P735" s="4" t="str">
        <f>IFERROR(__xludf.DUMMYFUNCTION("GOOGLETRANSLATE(B735,""en"",""ar"")"),"منذ {{الوقت}}")</f>
        <v>منذ {{الوقت}}</v>
      </c>
      <c r="Q735" s="4" t="str">
        <f>IFERROR(__xludf.DUMMYFUNCTION("GOOGLETRANSLATE(B735,""en"",""mr"")"),"{{time}} पूर्वी")</f>
        <v>{{time}} पूर्वी</v>
      </c>
      <c r="R735" s="4" t="str">
        <f>IFERROR(__xludf.DUMMYFUNCTION("GOOGLETRANSLATE(B735,""en"",""gu"")"),"{{time}} પહેલાં")</f>
        <v>{{time}} પહેલાં</v>
      </c>
      <c r="S735" s="4" t="str">
        <f>IFERROR(__xludf.DUMMYFUNCTION("GOOGLETRANSLATE(B735,""en"",""bn"")"),"{{time}} আগে")</f>
        <v>{{time}} আগে</v>
      </c>
      <c r="T735" s="4" t="str">
        <f>IFERROR(__xludf.DUMMYFUNCTION("GOOGLETRANSLATE(B735,""en"",""pa"")"),"{{time}} ਪਹਿਲਾਂ")</f>
        <v>{{time}} ਪਹਿਲਾਂ</v>
      </c>
      <c r="U735" s="4" t="str">
        <f>IFERROR(__xludf.DUMMYFUNCTION("GOOGLETRANSLATE(B735,""en"",""te"")"),"{{time}} క్రితం")</f>
        <v>{{time}} క్రితం</v>
      </c>
      <c r="V735" s="4" t="str">
        <f>IFERROR(__xludf.DUMMYFUNCTION("GOOGLETRANSLATE(B735,""en"",""kn"")"),"{{time}} ಹಿಂದೆ")</f>
        <v>{{time}} ಹಿಂದೆ</v>
      </c>
      <c r="W735" s="4" t="str">
        <f>IFERROR(__xludf.DUMMYFUNCTION("GOOGLETRANSLATE(B735,""en"",""ml"")"),"{{സമയം}} മുമ്പ്")</f>
        <v>{{സമയം}} മുമ്പ്</v>
      </c>
      <c r="X735" s="4" t="str">
        <f>IFERROR(__xludf.DUMMYFUNCTION("GOOGLETRANSLATE(B735,""en"",""th"")"),"{{time}} ที่ผ่านมา")</f>
        <v>{{time}} ที่ผ่านมา</v>
      </c>
      <c r="Y735" s="4" t="str">
        <f>IFERROR(__xludf.DUMMYFUNCTION("GOOGLETRANSLATE(B735,""en"",""ko"")"),"{{time}} 전")</f>
        <v>{{time}} 전</v>
      </c>
      <c r="Z735" s="4" t="str">
        <f>IFERROR(__xludf.DUMMYFUNCTION("GOOGLETRANSLATE(B735,""en"",""zh"")"),"{{time}} 前")</f>
        <v>{{time}} 前</v>
      </c>
      <c r="AA735" s="4" t="str">
        <f>IFERROR(__xludf.DUMMYFUNCTION("GOOGLETRANSLATE(B735,""en"",""zh-TW"")"),"{{time}} 前")</f>
        <v>{{time}} 前</v>
      </c>
      <c r="AB735" s="4" t="str">
        <f>IFERROR(__xludf.DUMMYFUNCTION("GOOGLETRANSLATE(B735,""en"",""ja"")"),"{{時間}}前")</f>
        <v>{{時間}}前</v>
      </c>
      <c r="AC735" s="4" t="str">
        <f>IFERROR(__xludf.DUMMYFUNCTION("GOOGLETRANSLATE(B735,""en"",""bg"")"),"преди {{time}}")</f>
        <v>преди {{time}}</v>
      </c>
      <c r="AD735" s="4" t="str">
        <f>IFERROR(__xludf.DUMMYFUNCTION("GOOGLETRANSLATE(B735,""en"",""cs"")"),"před {{time}}")</f>
        <v>před {{time}}</v>
      </c>
      <c r="AE735" s="4" t="str">
        <f>IFERROR(__xludf.DUMMYFUNCTION("GOOGLETRANSLATE(B735,""en"",""da"")"),"for {{time}} siden")</f>
        <v>for {{time}} siden</v>
      </c>
      <c r="AF735" s="4" t="str">
        <f>IFERROR(__xludf.DUMMYFUNCTION("GOOGLETRANSLATE(B735,""en"",""el"")"),"{{time}} πριν")</f>
        <v>{{time}} πριν</v>
      </c>
      <c r="AG735" s="4" t="str">
        <f>IFERROR(__xludf.DUMMYFUNCTION("GOOGLETRANSLATE(B735,""en"",""et"")"),"{{time}} tagasi")</f>
        <v>{{time}} tagasi</v>
      </c>
      <c r="AH735" s="4" t="str">
        <f>IFERROR(__xludf.DUMMYFUNCTION("GOOGLETRANSLATE(B735,""en"",""fi"")"),"{{time}} sitten")</f>
        <v>{{time}} sitten</v>
      </c>
      <c r="AI735" s="4" t="str">
        <f>IFERROR(__xludf.DUMMYFUNCTION("GOOGLETRANSLATE(B735,""en"",""hr"")"),"Prije {{time}}")</f>
        <v>Prije {{time}}</v>
      </c>
      <c r="AJ735" s="4" t="str">
        <f>IFERROR(__xludf.DUMMYFUNCTION("GOOGLETRANSLATE(B735,""en"",""hu"")"),"{{time}} ezelőtt")</f>
        <v>{{time}} ezelőtt</v>
      </c>
      <c r="AK735" s="4" t="str">
        <f>IFERROR(__xludf.DUMMYFUNCTION("GOOGLETRANSLATE(B735,""en"",""hy"")"),"{{time}} առաջ")</f>
        <v>{{time}} առաջ</v>
      </c>
      <c r="AL735" s="4" t="str">
        <f>IFERROR(__xludf.DUMMYFUNCTION("GOOGLETRANSLATE(B735,""en"",""ca"")"),"Fa {{time}}")</f>
        <v>Fa {{time}}</v>
      </c>
      <c r="AM735" s="4" t="str">
        <f>IFERROR(__xludf.DUMMYFUNCTION("GOOGLETRANSLATE(B735,""en"",""nl"")"),"{{time}} geleden")</f>
        <v>{{time}} geleden</v>
      </c>
      <c r="AN735" s="4" t="str">
        <f>IFERROR(__xludf.DUMMYFUNCTION("GOOGLETRANSLATE(B735,""en"",""he"")"),"לפני {{time}}")</f>
        <v>לפני {{time}}</v>
      </c>
      <c r="AO735" s="4" t="str">
        <f>IFERROR(__xludf.DUMMYFUNCTION("GOOGLETRANSLATE(B735,""en"",""is"")"),"fyrir {{time}} síðan")</f>
        <v>fyrir {{time}} síðan</v>
      </c>
      <c r="AP735" s="4" t="str">
        <f>IFERROR(__xludf.DUMMYFUNCTION("GOOGLETRANSLATE(B735,""en"",""no"")"),"for {{time}} siden")</f>
        <v>for {{time}} siden</v>
      </c>
      <c r="AQ735" s="4" t="str">
        <f>IFERROR(__xludf.DUMMYFUNCTION("GOOGLETRANSLATE(B735,""en"",""fa"")"),"{{time}} پیش")</f>
        <v>{{time}} پیش</v>
      </c>
      <c r="AR735" s="4" t="str">
        <f>IFERROR(__xludf.DUMMYFUNCTION("GOOGLETRANSLATE(B735,""en"",""pl"")"),"{{czas}} temu")</f>
        <v>{{czas}} temu</v>
      </c>
      <c r="AS735" s="4" t="str">
        <f>IFERROR(__xludf.DUMMYFUNCTION("GOOGLETRANSLATE(B735,""en"",""sv"")"),"för {{time}} sedan")</f>
        <v>för {{time}} sedan</v>
      </c>
      <c r="AT735" s="4" t="str">
        <f>IFERROR(__xludf.DUMMYFUNCTION("GOOGLETRANSLATE(B735,""en"",""uk"")"),"{{time}} тому")</f>
        <v>{{time}} тому</v>
      </c>
      <c r="AU735" s="4" t="str">
        <f>IFERROR(__xludf.DUMMYFUNCTION("GOOGLETRANSLATE(B735,""en"",""zu"")"),"{{time}} edlule")</f>
        <v>{{time}} edlule</v>
      </c>
      <c r="AV735" s="4" t="str">
        <f>IFERROR(__xludf.DUMMYFUNCTION("GOOGLETRANSLATE(B735,""en"",""sr"")"),"пре {{тиме}}")</f>
        <v>пре {{тиме}}</v>
      </c>
    </row>
    <row r="736">
      <c r="A736" s="3" t="s">
        <v>1391</v>
      </c>
      <c r="B736" s="3" t="s">
        <v>1392</v>
      </c>
      <c r="C736" s="4" t="str">
        <f>IFERROR(__xludf.DUMMYFUNCTION("GOOGLETRANSLATE(B736,""en"",""ta"")"),"{{count}} விருப்பங்கள்")</f>
        <v>{{count}} விருப்பங்கள்</v>
      </c>
      <c r="D736" s="4" t="str">
        <f>IFERROR(__xludf.DUMMYFUNCTION("GOOGLETRANSLATE(B736,""en"",""hi"")"),"{{count}} लाइक")</f>
        <v>{{count}} लाइक</v>
      </c>
      <c r="E736" s="4" t="str">
        <f>IFERROR(__xludf.DUMMYFUNCTION("GOOGLETRANSLATE(B736,""en"",""id"")"),"{{count}} suka")</f>
        <v>{{count}} suka</v>
      </c>
      <c r="F736" s="4" t="str">
        <f>IFERROR(__xludf.DUMMYFUNCTION("GOOGLETRANSLATE(B736,""en"",""ms"")"),"{{count}} suka")</f>
        <v>{{count}} suka</v>
      </c>
      <c r="G736" s="4" t="str">
        <f>IFERROR(__xludf.DUMMYFUNCTION("GOOGLETRANSLATE(B736,""en"",""de"")"),"{{count}} „Gefällt mir“-Angaben")</f>
        <v>{{count}} „Gefällt mir“-Angaben</v>
      </c>
      <c r="H736" s="4" t="str">
        <f>IFERROR(__xludf.DUMMYFUNCTION("GOOGLETRANSLATE(B736,""en"",""es"")"),"A {{count}} me gusta")</f>
        <v>A {{count}} me gusta</v>
      </c>
      <c r="I736" s="4" t="str">
        <f>IFERROR(__xludf.DUMMYFUNCTION("GOOGLETRANSLATE(B736,""en"",""fr"")"),"{{count}} mentions J'aime")</f>
        <v>{{count}} mentions J'aime</v>
      </c>
      <c r="J736" s="4" t="str">
        <f>IFERROR(__xludf.DUMMYFUNCTION("GOOGLETRANSLATE(B736,""en"",""it"")"),"{{count}} Mi piace")</f>
        <v>{{count}} Mi piace</v>
      </c>
      <c r="K736" s="4" t="str">
        <f>IFERROR(__xludf.DUMMYFUNCTION("GOOGLETRANSLATE(B736,""en"",""pt"")"),"{{count}} curtidas")</f>
        <v>{{count}} curtidas</v>
      </c>
      <c r="L736" s="4" t="str">
        <f>IFERROR(__xludf.DUMMYFUNCTION("GOOGLETRANSLATE(B736,""en"",""ro"")"),"{{count}} aprecieri")</f>
        <v>{{count}} aprecieri</v>
      </c>
      <c r="M736" s="4" t="str">
        <f>IFERROR(__xludf.DUMMYFUNCTION("GOOGLETRANSLATE(B736,""en"",""vi"")"),"{{count}} lượt thích")</f>
        <v>{{count}} lượt thích</v>
      </c>
      <c r="N736" s="4" t="str">
        <f>IFERROR(__xludf.DUMMYFUNCTION("GOOGLETRANSLATE(B736,""en"",""ru"")"),"{{count}} нравится")</f>
        <v>{{count}} нравится</v>
      </c>
      <c r="O736" s="4" t="str">
        <f>IFERROR(__xludf.DUMMYFUNCTION("GOOGLETRANSLATE(B736,""en"",""tr"")"),"{{count}} beğeni")</f>
        <v>{{count}} beğeni</v>
      </c>
      <c r="P736" s="4" t="str">
        <f>IFERROR(__xludf.DUMMYFUNCTION("GOOGLETRANSLATE(B736,""en"",""ar"")"),"{{count}} إعجابات")</f>
        <v>{{count}} إعجابات</v>
      </c>
      <c r="Q736" s="4" t="str">
        <f>IFERROR(__xludf.DUMMYFUNCTION("GOOGLETRANSLATE(B736,""en"",""mr"")"),"{{count}} लाइक")</f>
        <v>{{count}} लाइक</v>
      </c>
      <c r="R736" s="4" t="str">
        <f>IFERROR(__xludf.DUMMYFUNCTION("GOOGLETRANSLATE(B736,""en"",""gu"")"),"{{count}} પસંદ")</f>
        <v>{{count}} પસંદ</v>
      </c>
      <c r="S736" s="4" t="str">
        <f>IFERROR(__xludf.DUMMYFUNCTION("GOOGLETRANSLATE(B736,""en"",""bn"")"),"{{count}}টি লাইক")</f>
        <v>{{count}}টি লাইক</v>
      </c>
      <c r="T736" s="4" t="str">
        <f>IFERROR(__xludf.DUMMYFUNCTION("GOOGLETRANSLATE(B736,""en"",""pa"")"),"{{count}} ਪਸੰਦ")</f>
        <v>{{count}} ਪਸੰਦ</v>
      </c>
      <c r="U736" s="4" t="str">
        <f>IFERROR(__xludf.DUMMYFUNCTION("GOOGLETRANSLATE(B736,""en"",""te"")"),"{{count}} ఇష్టాలు")</f>
        <v>{{count}} ఇష్టాలు</v>
      </c>
      <c r="V736" s="4" t="str">
        <f>IFERROR(__xludf.DUMMYFUNCTION("GOOGLETRANSLATE(B736,""en"",""kn"")"),"{{count}} ಇಷ್ಟಗಳು")</f>
        <v>{{count}} ಇಷ್ಟಗಳು</v>
      </c>
      <c r="W736" s="4" t="str">
        <f>IFERROR(__xludf.DUMMYFUNCTION("GOOGLETRANSLATE(B736,""en"",""ml"")"),"{{count}} ലൈക്കുകൾ")</f>
        <v>{{count}} ലൈക്കുകൾ</v>
      </c>
      <c r="X736" s="4" t="str">
        <f>IFERROR(__xludf.DUMMYFUNCTION("GOOGLETRANSLATE(B736,""en"",""th"")"),"{{จำนวน}} ไลค์")</f>
        <v>{{จำนวน}} ไลค์</v>
      </c>
      <c r="Y736" s="4" t="str">
        <f>IFERROR(__xludf.DUMMYFUNCTION("GOOGLETRANSLATE(B736,""en"",""ko"")"),"{{count}}개 좋아요")</f>
        <v>{{count}}개 좋아요</v>
      </c>
      <c r="Z736" s="4" t="str">
        <f>IFERROR(__xludf.DUMMYFUNCTION("GOOGLETRANSLATE(B736,""en"",""zh"")"),"{{count}} 个赞")</f>
        <v>{{count}} 个赞</v>
      </c>
      <c r="AA736" s="4" t="str">
        <f>IFERROR(__xludf.DUMMYFUNCTION("GOOGLETRANSLATE(B736,""en"",""zh-TW"")"),"{{count}} 個贊")</f>
        <v>{{count}} 個贊</v>
      </c>
      <c r="AB736" s="4" t="str">
        <f>IFERROR(__xludf.DUMMYFUNCTION("GOOGLETRANSLATE(B736,""en"",""ja"")"),"{{count}}件のいいね！")</f>
        <v>{{count}}件のいいね！</v>
      </c>
      <c r="AC736" s="4" t="str">
        <f>IFERROR(__xludf.DUMMYFUNCTION("GOOGLETRANSLATE(B736,""en"",""bg"")"),"{{count}} харесвания")</f>
        <v>{{count}} харесвания</v>
      </c>
      <c r="AD736" s="4" t="str">
        <f>IFERROR(__xludf.DUMMYFUNCTION("GOOGLETRANSLATE(B736,""en"",""cs"")"),"{{count}} lajků")</f>
        <v>{{count}} lajků</v>
      </c>
      <c r="AE736" s="4" t="str">
        <f>IFERROR(__xludf.DUMMYFUNCTION("GOOGLETRANSLATE(B736,""en"",""da"")"),"{{count}} synes godt om")</f>
        <v>{{count}} synes godt om</v>
      </c>
      <c r="AF736" s="4" t="str">
        <f>IFERROR(__xludf.DUMMYFUNCTION("GOOGLETRANSLATE(B736,""en"",""el"")"),"{{count}} μου αρέσει")</f>
        <v>{{count}} μου αρέσει</v>
      </c>
      <c r="AG736" s="4" t="str">
        <f>IFERROR(__xludf.DUMMYFUNCTION("GOOGLETRANSLATE(B736,""en"",""et"")"),"{{count}} meeldimist")</f>
        <v>{{count}} meeldimist</v>
      </c>
      <c r="AH736" s="4" t="str">
        <f>IFERROR(__xludf.DUMMYFUNCTION("GOOGLETRANSLATE(B736,""en"",""fi"")"),"{{count}} tykkää")</f>
        <v>{{count}} tykkää</v>
      </c>
      <c r="AI736" s="4" t="str">
        <f>IFERROR(__xludf.DUMMYFUNCTION("GOOGLETRANSLATE(B736,""en"",""hr"")"),"{{count}} sviđanja")</f>
        <v>{{count}} sviđanja</v>
      </c>
      <c r="AJ736" s="4" t="str">
        <f>IFERROR(__xludf.DUMMYFUNCTION("GOOGLETRANSLATE(B736,""en"",""hu"")"),"{{count}} kedvelés")</f>
        <v>{{count}} kedvelés</v>
      </c>
      <c r="AK736" s="4" t="str">
        <f>IFERROR(__xludf.DUMMYFUNCTION("GOOGLETRANSLATE(B736,""en"",""hy"")"),"{{count}} հավանումներ")</f>
        <v>{{count}} հավանումներ</v>
      </c>
      <c r="AL736" s="4" t="str">
        <f>IFERROR(__xludf.DUMMYFUNCTION("GOOGLETRANSLATE(B736,""en"",""ca"")"),"{{count}} m'agrada")</f>
        <v>{{count}} m'agrada</v>
      </c>
      <c r="AM736" s="4" t="str">
        <f>IFERROR(__xludf.DUMMYFUNCTION("GOOGLETRANSLATE(B736,""en"",""nl"")"),"{{count}} vind-ik-leuks")</f>
        <v>{{count}} vind-ik-leuks</v>
      </c>
      <c r="AN736" s="4" t="str">
        <f>IFERROR(__xludf.DUMMYFUNCTION("GOOGLETRANSLATE(B736,""en"",""he"")"),"{{count}} לייקים")</f>
        <v>{{count}} לייקים</v>
      </c>
      <c r="AO736" s="4" t="str">
        <f>IFERROR(__xludf.DUMMYFUNCTION("GOOGLETRANSLATE(B736,""en"",""is"")"),"{{count}} líkar við")</f>
        <v>{{count}} líkar við</v>
      </c>
      <c r="AP736" s="4" t="str">
        <f>IFERROR(__xludf.DUMMYFUNCTION("GOOGLETRANSLATE(B736,""en"",""no"")"),"{{count}} liker")</f>
        <v>{{count}} liker</v>
      </c>
      <c r="AQ736" s="4" t="str">
        <f>IFERROR(__xludf.DUMMYFUNCTION("GOOGLETRANSLATE(B736,""en"",""fa"")"),"{{count}} پسند")</f>
        <v>{{count}} پسند</v>
      </c>
      <c r="AR736" s="4" t="str">
        <f>IFERROR(__xludf.DUMMYFUNCTION("GOOGLETRANSLATE(B736,""en"",""pl"")"),"{{count}} polubień")</f>
        <v>{{count}} polubień</v>
      </c>
      <c r="AS736" s="4" t="str">
        <f>IFERROR(__xludf.DUMMYFUNCTION("GOOGLETRANSLATE(B736,""en"",""sv"")"),"{{count}} gillar")</f>
        <v>{{count}} gillar</v>
      </c>
      <c r="AT736" s="4" t="str">
        <f>IFERROR(__xludf.DUMMYFUNCTION("GOOGLETRANSLATE(B736,""en"",""uk"")"),"{{count}} лайків")</f>
        <v>{{count}} лайків</v>
      </c>
      <c r="AU736" s="4" t="str">
        <f>IFERROR(__xludf.DUMMYFUNCTION("GOOGLETRANSLATE(B736,""en"",""zu"")"),"{{count}} ukuthandwa")</f>
        <v>{{count}} ukuthandwa</v>
      </c>
      <c r="AV736" s="4" t="str">
        <f>IFERROR(__xludf.DUMMYFUNCTION("GOOGLETRANSLATE(B736,""en"",""sr"")"),"{{цоунт}} свиђања")</f>
        <v>{{цоунт}} свиђања</v>
      </c>
    </row>
    <row r="737">
      <c r="A737" s="3" t="s">
        <v>1393</v>
      </c>
      <c r="B737" s="3" t="s">
        <v>1394</v>
      </c>
      <c r="C737" s="4" t="str">
        <f>IFERROR(__xludf.DUMMYFUNCTION("GOOGLETRANSLATE(B737,""en"",""ta"")"),"{{count}} பதிவிறக்கங்கள்")</f>
        <v>{{count}} பதிவிறக்கங்கள்</v>
      </c>
      <c r="D737" s="4" t="str">
        <f>IFERROR(__xludf.DUMMYFUNCTION("GOOGLETRANSLATE(B737,""en"",""hi"")"),"{{count}} डाउनलोड")</f>
        <v>{{count}} डाउनलोड</v>
      </c>
      <c r="E737" s="4" t="str">
        <f>IFERROR(__xludf.DUMMYFUNCTION("GOOGLETRANSLATE(B737,""en"",""id"")"),"{{jumlah}} unduhan")</f>
        <v>{{jumlah}} unduhan</v>
      </c>
      <c r="F737" s="4" t="str">
        <f>IFERROR(__xludf.DUMMYFUNCTION("GOOGLETRANSLATE(B737,""en"",""ms"")"),"{{count}} muat turun")</f>
        <v>{{count}} muat turun</v>
      </c>
      <c r="G737" s="4" t="str">
        <f>IFERROR(__xludf.DUMMYFUNCTION("GOOGLETRANSLATE(B737,""en"",""de"")"),"{{count}} Downloads")</f>
        <v>{{count}} Downloads</v>
      </c>
      <c r="H737" s="4" t="str">
        <f>IFERROR(__xludf.DUMMYFUNCTION("GOOGLETRANSLATE(B737,""en"",""es"")"),"{{count}} descargas")</f>
        <v>{{count}} descargas</v>
      </c>
      <c r="I737" s="4" t="str">
        <f>IFERROR(__xludf.DUMMYFUNCTION("GOOGLETRANSLATE(B737,""en"",""fr"")"),"{{count}} téléchargements")</f>
        <v>{{count}} téléchargements</v>
      </c>
      <c r="J737" s="4" t="str">
        <f>IFERROR(__xludf.DUMMYFUNCTION("GOOGLETRANSLATE(B737,""en"",""it"")"),"{{count}} download")</f>
        <v>{{count}} download</v>
      </c>
      <c r="K737" s="4" t="str">
        <f>IFERROR(__xludf.DUMMYFUNCTION("GOOGLETRANSLATE(B737,""en"",""pt"")"),"{{count}} downloads")</f>
        <v>{{count}} downloads</v>
      </c>
      <c r="L737" s="4" t="str">
        <f>IFERROR(__xludf.DUMMYFUNCTION("GOOGLETRANSLATE(B737,""en"",""ro"")"),"{{count}} descărcări")</f>
        <v>{{count}} descărcări</v>
      </c>
      <c r="M737" s="4" t="str">
        <f>IFERROR(__xludf.DUMMYFUNCTION("GOOGLETRANSLATE(B737,""en"",""vi"")"),"{{count}} lượt tải xuống")</f>
        <v>{{count}} lượt tải xuống</v>
      </c>
      <c r="N737" s="4" t="str">
        <f>IFERROR(__xludf.DUMMYFUNCTION("GOOGLETRANSLATE(B737,""en"",""ru"")"),"{{count}} загрузок")</f>
        <v>{{count}} загрузок</v>
      </c>
      <c r="O737" s="4" t="str">
        <f>IFERROR(__xludf.DUMMYFUNCTION("GOOGLETRANSLATE(B737,""en"",""tr"")"),"{{count}} indirme")</f>
        <v>{{count}} indirme</v>
      </c>
      <c r="P737" s="4" t="str">
        <f>IFERROR(__xludf.DUMMYFUNCTION("GOOGLETRANSLATE(B737,""en"",""ar"")"),"{{count}} تنزيلات")</f>
        <v>{{count}} تنزيلات</v>
      </c>
      <c r="Q737" s="4" t="str">
        <f>IFERROR(__xludf.DUMMYFUNCTION("GOOGLETRANSLATE(B737,""en"",""mr"")"),"{{count}} डाउनलोड")</f>
        <v>{{count}} डाउनलोड</v>
      </c>
      <c r="R737" s="4" t="str">
        <f>IFERROR(__xludf.DUMMYFUNCTION("GOOGLETRANSLATE(B737,""en"",""gu"")"),"{{count}} ડાઉનલોડ")</f>
        <v>{{count}} ડાઉનલોડ</v>
      </c>
      <c r="S737" s="4" t="str">
        <f>IFERROR(__xludf.DUMMYFUNCTION("GOOGLETRANSLATE(B737,""en"",""bn"")"),"{{count}}টি ডাউনলোড")</f>
        <v>{{count}}টি ডাউনলোড</v>
      </c>
      <c r="T737" s="4" t="str">
        <f>IFERROR(__xludf.DUMMYFUNCTION("GOOGLETRANSLATE(B737,""en"",""pa"")"),"{{count}} ਡਾਊਨਲੋਡ")</f>
        <v>{{count}} ਡਾਊਨਲੋਡ</v>
      </c>
      <c r="U737" s="4" t="str">
        <f>IFERROR(__xludf.DUMMYFUNCTION("GOOGLETRANSLATE(B737,""en"",""te"")"),"{{count}} డౌన్‌లోడ్‌లు")</f>
        <v>{{count}} డౌన్‌లోడ్‌లు</v>
      </c>
      <c r="V737" s="4" t="str">
        <f>IFERROR(__xludf.DUMMYFUNCTION("GOOGLETRANSLATE(B737,""en"",""kn"")"),"{{count}} ಡೌನ್‌ಲೋಡ್‌ಗಳು")</f>
        <v>{{count}} ಡೌನ್‌ಲೋಡ್‌ಗಳು</v>
      </c>
      <c r="W737" s="4" t="str">
        <f>IFERROR(__xludf.DUMMYFUNCTION("GOOGLETRANSLATE(B737,""en"",""ml"")"),"{{count}} ഡൗൺലോഡുകൾ")</f>
        <v>{{count}} ഡൗൺലോഡുകൾ</v>
      </c>
      <c r="X737" s="4" t="str">
        <f>IFERROR(__xludf.DUMMYFUNCTION("GOOGLETRANSLATE(B737,""en"",""th"")"),"{{จำนวน}} ดาวน์โหลด")</f>
        <v>{{จำนวน}} ดาวน์โหลด</v>
      </c>
      <c r="Y737" s="4" t="str">
        <f>IFERROR(__xludf.DUMMYFUNCTION("GOOGLETRANSLATE(B737,""en"",""ko"")"),"{{count}}회 다운로드")</f>
        <v>{{count}}회 다운로드</v>
      </c>
      <c r="Z737" s="4" t="str">
        <f>IFERROR(__xludf.DUMMYFUNCTION("GOOGLETRANSLATE(B737,""en"",""zh"")"),"{{count}} 次下载")</f>
        <v>{{count}} 次下载</v>
      </c>
      <c r="AA737" s="4" t="str">
        <f>IFERROR(__xludf.DUMMYFUNCTION("GOOGLETRANSLATE(B737,""en"",""zh-TW"")"),"{{count}} 次下載")</f>
        <v>{{count}} 次下載</v>
      </c>
      <c r="AB737" s="4" t="str">
        <f>IFERROR(__xludf.DUMMYFUNCTION("GOOGLETRANSLATE(B737,""en"",""ja"")"),"{{count}} ダウンロード")</f>
        <v>{{count}} ダウンロード</v>
      </c>
      <c r="AC737" s="4" t="str">
        <f>IFERROR(__xludf.DUMMYFUNCTION("GOOGLETRANSLATE(B737,""en"",""bg"")"),"{{count}} изтегляния")</f>
        <v>{{count}} изтегляния</v>
      </c>
      <c r="AD737" s="4" t="str">
        <f>IFERROR(__xludf.DUMMYFUNCTION("GOOGLETRANSLATE(B737,""en"",""cs"")"),"Počet stažení: {{count}}")</f>
        <v>Počet stažení: {{count}}</v>
      </c>
      <c r="AE737" s="4" t="str">
        <f>IFERROR(__xludf.DUMMYFUNCTION("GOOGLETRANSLATE(B737,""en"",""da"")"),"{{count}} downloads")</f>
        <v>{{count}} downloads</v>
      </c>
      <c r="AF737" s="4" t="str">
        <f>IFERROR(__xludf.DUMMYFUNCTION("GOOGLETRANSLATE(B737,""en"",""el"")"),"{{count}} λήψεις")</f>
        <v>{{count}} λήψεις</v>
      </c>
      <c r="AG737" s="4" t="str">
        <f>IFERROR(__xludf.DUMMYFUNCTION("GOOGLETRANSLATE(B737,""en"",""et"")"),"{{count}} allalaadimist")</f>
        <v>{{count}} allalaadimist</v>
      </c>
      <c r="AH737" s="4" t="str">
        <f>IFERROR(__xludf.DUMMYFUNCTION("GOOGLETRANSLATE(B737,""en"",""fi"")"),"{{count}} latausta")</f>
        <v>{{count}} latausta</v>
      </c>
      <c r="AI737" s="4" t="str">
        <f>IFERROR(__xludf.DUMMYFUNCTION("GOOGLETRANSLATE(B737,""en"",""hr"")"),"{{count}} preuzimanja")</f>
        <v>{{count}} preuzimanja</v>
      </c>
      <c r="AJ737" s="4" t="str">
        <f>IFERROR(__xludf.DUMMYFUNCTION("GOOGLETRANSLATE(B737,""en"",""hu"")"),"{{count}} letöltés")</f>
        <v>{{count}} letöltés</v>
      </c>
      <c r="AK737" s="4" t="str">
        <f>IFERROR(__xludf.DUMMYFUNCTION("GOOGLETRANSLATE(B737,""en"",""hy"")"),"{{count}} ներբեռնումներ")</f>
        <v>{{count}} ներբեռնումներ</v>
      </c>
      <c r="AL737" s="4" t="str">
        <f>IFERROR(__xludf.DUMMYFUNCTION("GOOGLETRANSLATE(B737,""en"",""ca"")"),"{{count}} baixades")</f>
        <v>{{count}} baixades</v>
      </c>
      <c r="AM737" s="4" t="str">
        <f>IFERROR(__xludf.DUMMYFUNCTION("GOOGLETRANSLATE(B737,""en"",""nl"")"),"{{count}} downloads")</f>
        <v>{{count}} downloads</v>
      </c>
      <c r="AN737" s="4" t="str">
        <f>IFERROR(__xludf.DUMMYFUNCTION("GOOGLETRANSLATE(B737,""en"",""he"")"),"{{count}} הורדות")</f>
        <v>{{count}} הורדות</v>
      </c>
      <c r="AO737" s="4" t="str">
        <f>IFERROR(__xludf.DUMMYFUNCTION("GOOGLETRANSLATE(B737,""en"",""is"")"),"{{count}} niðurhal")</f>
        <v>{{count}} niðurhal</v>
      </c>
      <c r="AP737" s="4" t="str">
        <f>IFERROR(__xludf.DUMMYFUNCTION("GOOGLETRANSLATE(B737,""en"",""no"")"),"{{count}} nedlastinger")</f>
        <v>{{count}} nedlastinger</v>
      </c>
      <c r="AQ737" s="4" t="str">
        <f>IFERROR(__xludf.DUMMYFUNCTION("GOOGLETRANSLATE(B737,""en"",""fa"")"),"{{count}} دانلود")</f>
        <v>{{count}} دانلود</v>
      </c>
      <c r="AR737" s="4" t="str">
        <f>IFERROR(__xludf.DUMMYFUNCTION("GOOGLETRANSLATE(B737,""en"",""pl"")"),"{{count}} pobrań")</f>
        <v>{{count}} pobrań</v>
      </c>
      <c r="AS737" s="4" t="str">
        <f>IFERROR(__xludf.DUMMYFUNCTION("GOOGLETRANSLATE(B737,""en"",""sv"")"),"{{count}} nedladdningar")</f>
        <v>{{count}} nedladdningar</v>
      </c>
      <c r="AT737" s="4" t="str">
        <f>IFERROR(__xludf.DUMMYFUNCTION("GOOGLETRANSLATE(B737,""en"",""uk"")"),"{{count}} завантажень")</f>
        <v>{{count}} завантажень</v>
      </c>
      <c r="AU737" s="4" t="str">
        <f>IFERROR(__xludf.DUMMYFUNCTION("GOOGLETRANSLATE(B737,""en"",""zu"")"),"{{count}} okulandiwe")</f>
        <v>{{count}} okulandiwe</v>
      </c>
      <c r="AV737" s="4" t="str">
        <f>IFERROR(__xludf.DUMMYFUNCTION("GOOGLETRANSLATE(B737,""en"",""sr"")"),"Број преузимања: {{цоунт}}")</f>
        <v>Број преузимања: {{цоунт}}</v>
      </c>
    </row>
    <row r="738">
      <c r="A738" s="3" t="s">
        <v>1395</v>
      </c>
      <c r="B738" s="3" t="s">
        <v>731</v>
      </c>
      <c r="C738" s="4" t="str">
        <f>IFERROR(__xludf.DUMMYFUNCTION("GOOGLETRANSLATE(B738,""en"",""ta"")"),"நீக்கு")</f>
        <v>நீக்கு</v>
      </c>
      <c r="D738" s="4" t="str">
        <f>IFERROR(__xludf.DUMMYFUNCTION("GOOGLETRANSLATE(B738,""en"",""hi"")"),"मिटाना")</f>
        <v>मिटाना</v>
      </c>
      <c r="E738" s="4" t="str">
        <f>IFERROR(__xludf.DUMMYFUNCTION("GOOGLETRANSLATE(B738,""en"",""id"")"),"Menghapus")</f>
        <v>Menghapus</v>
      </c>
      <c r="F738" s="4" t="str">
        <f>IFERROR(__xludf.DUMMYFUNCTION("GOOGLETRANSLATE(B738,""en"",""ms"")"),"Padam")</f>
        <v>Padam</v>
      </c>
      <c r="G738" s="4" t="str">
        <f>IFERROR(__xludf.DUMMYFUNCTION("GOOGLETRANSLATE(B738,""en"",""de"")"),"Löschen")</f>
        <v>Löschen</v>
      </c>
      <c r="H738" s="4" t="str">
        <f>IFERROR(__xludf.DUMMYFUNCTION("GOOGLETRANSLATE(B738,""en"",""es"")"),"Borrar")</f>
        <v>Borrar</v>
      </c>
      <c r="I738" s="4" t="str">
        <f>IFERROR(__xludf.DUMMYFUNCTION("GOOGLETRANSLATE(B738,""en"",""fr"")"),"Supprimer")</f>
        <v>Supprimer</v>
      </c>
      <c r="J738" s="4" t="str">
        <f>IFERROR(__xludf.DUMMYFUNCTION("GOOGLETRANSLATE(B738,""en"",""it"")"),"Eliminare")</f>
        <v>Eliminare</v>
      </c>
      <c r="K738" s="4" t="str">
        <f>IFERROR(__xludf.DUMMYFUNCTION("GOOGLETRANSLATE(B738,""en"",""pt"")"),"Excluir")</f>
        <v>Excluir</v>
      </c>
      <c r="L738" s="4" t="str">
        <f>IFERROR(__xludf.DUMMYFUNCTION("GOOGLETRANSLATE(B738,""en"",""ro"")"),"Şterge")</f>
        <v>Şterge</v>
      </c>
      <c r="M738" s="4" t="str">
        <f>IFERROR(__xludf.DUMMYFUNCTION("GOOGLETRANSLATE(B738,""en"",""vi"")"),"Xóa bỏ")</f>
        <v>Xóa bỏ</v>
      </c>
      <c r="N738" s="4" t="str">
        <f>IFERROR(__xludf.DUMMYFUNCTION("GOOGLETRANSLATE(B738,""en"",""ru"")"),"Удалить")</f>
        <v>Удалить</v>
      </c>
      <c r="O738" s="4" t="str">
        <f>IFERROR(__xludf.DUMMYFUNCTION("GOOGLETRANSLATE(B738,""en"",""tr"")"),"Silmek")</f>
        <v>Silmek</v>
      </c>
      <c r="P738" s="4" t="str">
        <f>IFERROR(__xludf.DUMMYFUNCTION("GOOGLETRANSLATE(B738,""en"",""ar"")"),"يمسح")</f>
        <v>يمسح</v>
      </c>
      <c r="Q738" s="4" t="str">
        <f>IFERROR(__xludf.DUMMYFUNCTION("GOOGLETRANSLATE(B738,""en"",""mr"")"),"हटवा")</f>
        <v>हटवा</v>
      </c>
      <c r="R738" s="4" t="str">
        <f>IFERROR(__xludf.DUMMYFUNCTION("GOOGLETRANSLATE(B738,""en"",""gu"")"),"કાઢી નાખો")</f>
        <v>કાઢી નાખો</v>
      </c>
      <c r="S738" s="4" t="str">
        <f>IFERROR(__xludf.DUMMYFUNCTION("GOOGLETRANSLATE(B738,""en"",""bn"")"),"মুছে দিন")</f>
        <v>মুছে দিন</v>
      </c>
      <c r="T738" s="4" t="str">
        <f>IFERROR(__xludf.DUMMYFUNCTION("GOOGLETRANSLATE(B738,""en"",""pa"")"),"ਮਿਟਾਓ")</f>
        <v>ਮਿਟਾਓ</v>
      </c>
      <c r="U738" s="4" t="str">
        <f>IFERROR(__xludf.DUMMYFUNCTION("GOOGLETRANSLATE(B738,""en"",""te"")"),"తొలగించు")</f>
        <v>తొలగించు</v>
      </c>
      <c r="V738" s="4" t="str">
        <f>IFERROR(__xludf.DUMMYFUNCTION("GOOGLETRANSLATE(B738,""en"",""kn"")"),"ಅಳಿಸಿ")</f>
        <v>ಅಳಿಸಿ</v>
      </c>
      <c r="W738" s="4" t="str">
        <f>IFERROR(__xludf.DUMMYFUNCTION("GOOGLETRANSLATE(B738,""en"",""ml"")"),"ഇല്ലാതാക്കുക")</f>
        <v>ഇല്ലാതാക്കുക</v>
      </c>
      <c r="X738" s="4" t="str">
        <f>IFERROR(__xludf.DUMMYFUNCTION("GOOGLETRANSLATE(B738,""en"",""th"")"),"ลบ")</f>
        <v>ลบ</v>
      </c>
      <c r="Y738" s="4" t="str">
        <f>IFERROR(__xludf.DUMMYFUNCTION("GOOGLETRANSLATE(B738,""en"",""ko"")"),"삭제")</f>
        <v>삭제</v>
      </c>
      <c r="Z738" s="4" t="str">
        <f>IFERROR(__xludf.DUMMYFUNCTION("GOOGLETRANSLATE(B738,""en"",""zh"")"),"删除")</f>
        <v>删除</v>
      </c>
      <c r="AA738" s="4" t="str">
        <f>IFERROR(__xludf.DUMMYFUNCTION("GOOGLETRANSLATE(B738,""en"",""zh-TW"")"),"刪除")</f>
        <v>刪除</v>
      </c>
      <c r="AB738" s="4" t="str">
        <f>IFERROR(__xludf.DUMMYFUNCTION("GOOGLETRANSLATE(B738,""en"",""ja"")"),"消去")</f>
        <v>消去</v>
      </c>
      <c r="AC738" s="4" t="str">
        <f>IFERROR(__xludf.DUMMYFUNCTION("GOOGLETRANSLATE(B738,""en"",""bg"")"),"Изтриване")</f>
        <v>Изтриване</v>
      </c>
      <c r="AD738" s="4" t="str">
        <f>IFERROR(__xludf.DUMMYFUNCTION("GOOGLETRANSLATE(B738,""en"",""cs"")"),"Vymazat")</f>
        <v>Vymazat</v>
      </c>
      <c r="AE738" s="4" t="str">
        <f>IFERROR(__xludf.DUMMYFUNCTION("GOOGLETRANSLATE(B738,""en"",""da"")"),"Slet")</f>
        <v>Slet</v>
      </c>
      <c r="AF738" s="4" t="str">
        <f>IFERROR(__xludf.DUMMYFUNCTION("GOOGLETRANSLATE(B738,""en"",""el"")"),"Διαγράφω")</f>
        <v>Διαγράφω</v>
      </c>
      <c r="AG738" s="4" t="str">
        <f>IFERROR(__xludf.DUMMYFUNCTION("GOOGLETRANSLATE(B738,""en"",""et"")"),"Kustuta")</f>
        <v>Kustuta</v>
      </c>
      <c r="AH738" s="4" t="str">
        <f>IFERROR(__xludf.DUMMYFUNCTION("GOOGLETRANSLATE(B738,""en"",""fi"")"),"Poistaa")</f>
        <v>Poistaa</v>
      </c>
      <c r="AI738" s="4" t="str">
        <f>IFERROR(__xludf.DUMMYFUNCTION("GOOGLETRANSLATE(B738,""en"",""hr"")"),"Izbrisati")</f>
        <v>Izbrisati</v>
      </c>
      <c r="AJ738" s="4" t="str">
        <f>IFERROR(__xludf.DUMMYFUNCTION("GOOGLETRANSLATE(B738,""en"",""hu"")"),"Töröl")</f>
        <v>Töröl</v>
      </c>
      <c r="AK738" s="4" t="str">
        <f>IFERROR(__xludf.DUMMYFUNCTION("GOOGLETRANSLATE(B738,""en"",""hy"")"),"Ջնջել")</f>
        <v>Ջնջել</v>
      </c>
      <c r="AL738" s="4" t="str">
        <f>IFERROR(__xludf.DUMMYFUNCTION("GOOGLETRANSLATE(B738,""en"",""ca"")"),"Suprimeix")</f>
        <v>Suprimeix</v>
      </c>
      <c r="AM738" s="4" t="str">
        <f>IFERROR(__xludf.DUMMYFUNCTION("GOOGLETRANSLATE(B738,""en"",""nl"")"),"Verwijderen")</f>
        <v>Verwijderen</v>
      </c>
      <c r="AN738" s="4" t="str">
        <f>IFERROR(__xludf.DUMMYFUNCTION("GOOGLETRANSLATE(B738,""en"",""he"")"),"לִמְחוֹק")</f>
        <v>לִמְחוֹק</v>
      </c>
      <c r="AO738" s="4" t="str">
        <f>IFERROR(__xludf.DUMMYFUNCTION("GOOGLETRANSLATE(B738,""en"",""is"")"),"Eyða")</f>
        <v>Eyða</v>
      </c>
      <c r="AP738" s="4" t="str">
        <f>IFERROR(__xludf.DUMMYFUNCTION("GOOGLETRANSLATE(B738,""en"",""no"")"),"Slett")</f>
        <v>Slett</v>
      </c>
      <c r="AQ738" s="4" t="str">
        <f>IFERROR(__xludf.DUMMYFUNCTION("GOOGLETRANSLATE(B738,""en"",""fa"")"),"حذف کنید")</f>
        <v>حذف کنید</v>
      </c>
      <c r="AR738" s="4" t="str">
        <f>IFERROR(__xludf.DUMMYFUNCTION("GOOGLETRANSLATE(B738,""en"",""pl"")"),"Usuwać")</f>
        <v>Usuwać</v>
      </c>
      <c r="AS738" s="4" t="str">
        <f>IFERROR(__xludf.DUMMYFUNCTION("GOOGLETRANSLATE(B738,""en"",""sv"")"),"Radera")</f>
        <v>Radera</v>
      </c>
      <c r="AT738" s="4" t="str">
        <f>IFERROR(__xludf.DUMMYFUNCTION("GOOGLETRANSLATE(B738,""en"",""uk"")"),"Видалити")</f>
        <v>Видалити</v>
      </c>
      <c r="AU738" s="4" t="str">
        <f>IFERROR(__xludf.DUMMYFUNCTION("GOOGLETRANSLATE(B738,""en"",""zu"")"),"Susa")</f>
        <v>Susa</v>
      </c>
      <c r="AV738" s="4" t="str">
        <f>IFERROR(__xludf.DUMMYFUNCTION("GOOGLETRANSLATE(B738,""en"",""sr"")"),"Избриши")</f>
        <v>Избриши</v>
      </c>
    </row>
    <row r="739">
      <c r="A739" s="3" t="s">
        <v>1396</v>
      </c>
      <c r="B739" s="3" t="s">
        <v>1397</v>
      </c>
      <c r="C739" s="4" t="str">
        <f>IFERROR(__xludf.DUMMYFUNCTION("GOOGLETRANSLATE(B739,""en"",""ta"")"),"பதிவிறக்கவும்")</f>
        <v>பதிவிறக்கவும்</v>
      </c>
      <c r="D739" s="4" t="str">
        <f>IFERROR(__xludf.DUMMYFUNCTION("GOOGLETRANSLATE(B739,""en"",""hi"")"),"डाउनलोड करना")</f>
        <v>डाउनलोड करना</v>
      </c>
      <c r="E739" s="4" t="str">
        <f>IFERROR(__xludf.DUMMYFUNCTION("GOOGLETRANSLATE(B739,""en"",""id"")"),"Unduh")</f>
        <v>Unduh</v>
      </c>
      <c r="F739" s="4" t="str">
        <f>IFERROR(__xludf.DUMMYFUNCTION("GOOGLETRANSLATE(B739,""en"",""ms"")"),"Muat turun")</f>
        <v>Muat turun</v>
      </c>
      <c r="G739" s="4" t="str">
        <f>IFERROR(__xludf.DUMMYFUNCTION("GOOGLETRANSLATE(B739,""en"",""de"")"),"Herunterladen")</f>
        <v>Herunterladen</v>
      </c>
      <c r="H739" s="4" t="str">
        <f>IFERROR(__xludf.DUMMYFUNCTION("GOOGLETRANSLATE(B739,""en"",""es"")"),"Descargar")</f>
        <v>Descargar</v>
      </c>
      <c r="I739" s="4" t="str">
        <f>IFERROR(__xludf.DUMMYFUNCTION("GOOGLETRANSLATE(B739,""en"",""fr"")"),"Télécharger")</f>
        <v>Télécharger</v>
      </c>
      <c r="J739" s="4" t="str">
        <f>IFERROR(__xludf.DUMMYFUNCTION("GOOGLETRANSLATE(B739,""en"",""it"")"),"Scaricamento")</f>
        <v>Scaricamento</v>
      </c>
      <c r="K739" s="4" t="str">
        <f>IFERROR(__xludf.DUMMYFUNCTION("GOOGLETRANSLATE(B739,""en"",""pt"")"),"Download")</f>
        <v>Download</v>
      </c>
      <c r="L739" s="4" t="str">
        <f>IFERROR(__xludf.DUMMYFUNCTION("GOOGLETRANSLATE(B739,""en"",""ro"")"),"Descărcați")</f>
        <v>Descărcați</v>
      </c>
      <c r="M739" s="4" t="str">
        <f>IFERROR(__xludf.DUMMYFUNCTION("GOOGLETRANSLATE(B739,""en"",""vi"")"),"Tải về")</f>
        <v>Tải về</v>
      </c>
      <c r="N739" s="4" t="str">
        <f>IFERROR(__xludf.DUMMYFUNCTION("GOOGLETRANSLATE(B739,""en"",""ru"")"),"Скачать")</f>
        <v>Скачать</v>
      </c>
      <c r="O739" s="4" t="str">
        <f>IFERROR(__xludf.DUMMYFUNCTION("GOOGLETRANSLATE(B739,""en"",""tr"")"),"İndirmek")</f>
        <v>İndirmek</v>
      </c>
      <c r="P739" s="4" t="str">
        <f>IFERROR(__xludf.DUMMYFUNCTION("GOOGLETRANSLATE(B739,""en"",""ar"")"),"تحميل")</f>
        <v>تحميل</v>
      </c>
      <c r="Q739" s="4" t="str">
        <f>IFERROR(__xludf.DUMMYFUNCTION("GOOGLETRANSLATE(B739,""en"",""mr"")"),"डाउनलोड करा")</f>
        <v>डाउनलोड करा</v>
      </c>
      <c r="R739" s="4" t="str">
        <f>IFERROR(__xludf.DUMMYFUNCTION("GOOGLETRANSLATE(B739,""en"",""gu"")"),"ડાઉનલોડ કરો")</f>
        <v>ડાઉનલોડ કરો</v>
      </c>
      <c r="S739" s="4" t="str">
        <f>IFERROR(__xludf.DUMMYFUNCTION("GOOGLETRANSLATE(B739,""en"",""bn"")"),"ডাউনলোড করুন")</f>
        <v>ডাউনলোড করুন</v>
      </c>
      <c r="T739" s="4" t="str">
        <f>IFERROR(__xludf.DUMMYFUNCTION("GOOGLETRANSLATE(B739,""en"",""pa"")"),"ਡਾਊਨਲੋਡ ਕਰੋ")</f>
        <v>ਡਾਊਨਲੋਡ ਕਰੋ</v>
      </c>
      <c r="U739" s="4" t="str">
        <f>IFERROR(__xludf.DUMMYFUNCTION("GOOGLETRANSLATE(B739,""en"",""te"")"),"డౌన్‌లోడ్ చేయండి")</f>
        <v>డౌన్‌లోడ్ చేయండి</v>
      </c>
      <c r="V739" s="4" t="str">
        <f>IFERROR(__xludf.DUMMYFUNCTION("GOOGLETRANSLATE(B739,""en"",""kn"")"),"ಡೌನ್‌ಲೋಡ್ ಮಾಡಿ")</f>
        <v>ಡೌನ್‌ಲೋಡ್ ಮಾಡಿ</v>
      </c>
      <c r="W739" s="4" t="str">
        <f>IFERROR(__xludf.DUMMYFUNCTION("GOOGLETRANSLATE(B739,""en"",""ml"")"),"ഡൗൺലോഡ് ചെയ്യുക")</f>
        <v>ഡൗൺലോഡ് ചെയ്യുക</v>
      </c>
      <c r="X739" s="4" t="str">
        <f>IFERROR(__xludf.DUMMYFUNCTION("GOOGLETRANSLATE(B739,""en"",""th"")"),"ดาวน์โหลด")</f>
        <v>ดาวน์โหลด</v>
      </c>
      <c r="Y739" s="4" t="str">
        <f>IFERROR(__xludf.DUMMYFUNCTION("GOOGLETRANSLATE(B739,""en"",""ko"")"),"다운로드")</f>
        <v>다운로드</v>
      </c>
      <c r="Z739" s="4" t="str">
        <f>IFERROR(__xludf.DUMMYFUNCTION("GOOGLETRANSLATE(B739,""en"",""zh"")"),"下载")</f>
        <v>下载</v>
      </c>
      <c r="AA739" s="4" t="str">
        <f>IFERROR(__xludf.DUMMYFUNCTION("GOOGLETRANSLATE(B739,""en"",""zh-TW"")"),"下載")</f>
        <v>下載</v>
      </c>
      <c r="AB739" s="4" t="str">
        <f>IFERROR(__xludf.DUMMYFUNCTION("GOOGLETRANSLATE(B739,""en"",""ja"")"),"ダウンロード")</f>
        <v>ダウンロード</v>
      </c>
      <c r="AC739" s="4" t="str">
        <f>IFERROR(__xludf.DUMMYFUNCTION("GOOGLETRANSLATE(B739,""en"",""bg"")"),"Изтегляне")</f>
        <v>Изтегляне</v>
      </c>
      <c r="AD739" s="4" t="str">
        <f>IFERROR(__xludf.DUMMYFUNCTION("GOOGLETRANSLATE(B739,""en"",""cs"")"),"Stáhnout")</f>
        <v>Stáhnout</v>
      </c>
      <c r="AE739" s="4" t="str">
        <f>IFERROR(__xludf.DUMMYFUNCTION("GOOGLETRANSLATE(B739,""en"",""da"")"),"Download")</f>
        <v>Download</v>
      </c>
      <c r="AF739" s="4" t="str">
        <f>IFERROR(__xludf.DUMMYFUNCTION("GOOGLETRANSLATE(B739,""en"",""el"")"),"Λήψη")</f>
        <v>Λήψη</v>
      </c>
      <c r="AG739" s="4" t="str">
        <f>IFERROR(__xludf.DUMMYFUNCTION("GOOGLETRANSLATE(B739,""en"",""et"")"),"Laadi alla")</f>
        <v>Laadi alla</v>
      </c>
      <c r="AH739" s="4" t="str">
        <f>IFERROR(__xludf.DUMMYFUNCTION("GOOGLETRANSLATE(B739,""en"",""fi"")"),"Lataa")</f>
        <v>Lataa</v>
      </c>
      <c r="AI739" s="4" t="str">
        <f>IFERROR(__xludf.DUMMYFUNCTION("GOOGLETRANSLATE(B739,""en"",""hr"")"),"preuzimanje")</f>
        <v>preuzimanje</v>
      </c>
      <c r="AJ739" s="4" t="str">
        <f>IFERROR(__xludf.DUMMYFUNCTION("GOOGLETRANSLATE(B739,""en"",""hu"")"),"Letöltés")</f>
        <v>Letöltés</v>
      </c>
      <c r="AK739" s="4" t="str">
        <f>IFERROR(__xludf.DUMMYFUNCTION("GOOGLETRANSLATE(B739,""en"",""hy"")"),"Բեռնել")</f>
        <v>Բեռնել</v>
      </c>
      <c r="AL739" s="4" t="str">
        <f>IFERROR(__xludf.DUMMYFUNCTION("GOOGLETRANSLATE(B739,""en"",""ca"")"),"Descarregar")</f>
        <v>Descarregar</v>
      </c>
      <c r="AM739" s="4" t="str">
        <f>IFERROR(__xludf.DUMMYFUNCTION("GOOGLETRANSLATE(B739,""en"",""nl"")"),"Download")</f>
        <v>Download</v>
      </c>
      <c r="AN739" s="4" t="str">
        <f>IFERROR(__xludf.DUMMYFUNCTION("GOOGLETRANSLATE(B739,""en"",""he"")"),"הורד")</f>
        <v>הורד</v>
      </c>
      <c r="AO739" s="4" t="str">
        <f>IFERROR(__xludf.DUMMYFUNCTION("GOOGLETRANSLATE(B739,""en"",""is"")"),"Sækja")</f>
        <v>Sækja</v>
      </c>
      <c r="AP739" s="4" t="str">
        <f>IFERROR(__xludf.DUMMYFUNCTION("GOOGLETRANSLATE(B739,""en"",""no"")"),"Last ned")</f>
        <v>Last ned</v>
      </c>
      <c r="AQ739" s="4" t="str">
        <f>IFERROR(__xludf.DUMMYFUNCTION("GOOGLETRANSLATE(B739,""en"",""fa"")"),"دانلود کنید")</f>
        <v>دانلود کنید</v>
      </c>
      <c r="AR739" s="4" t="str">
        <f>IFERROR(__xludf.DUMMYFUNCTION("GOOGLETRANSLATE(B739,""en"",""pl"")"),"Pobierać")</f>
        <v>Pobierać</v>
      </c>
      <c r="AS739" s="4" t="str">
        <f>IFERROR(__xludf.DUMMYFUNCTION("GOOGLETRANSLATE(B739,""en"",""sv"")"),"Ladda ner")</f>
        <v>Ladda ner</v>
      </c>
      <c r="AT739" s="4" t="str">
        <f>IFERROR(__xludf.DUMMYFUNCTION("GOOGLETRANSLATE(B739,""en"",""uk"")"),"Завантажити")</f>
        <v>Завантажити</v>
      </c>
      <c r="AU739" s="4" t="str">
        <f>IFERROR(__xludf.DUMMYFUNCTION("GOOGLETRANSLATE(B739,""en"",""zu"")"),"Landa")</f>
        <v>Landa</v>
      </c>
      <c r="AV739" s="4" t="str">
        <f>IFERROR(__xludf.DUMMYFUNCTION("GOOGLETRANSLATE(B739,""en"",""sr"")"),"Преузми")</f>
        <v>Преузми</v>
      </c>
    </row>
    <row r="740">
      <c r="A740" s="3" t="s">
        <v>1398</v>
      </c>
      <c r="B740" s="3" t="s">
        <v>1399</v>
      </c>
      <c r="C740" s="4" t="str">
        <f>IFERROR(__xludf.DUMMYFUNCTION("GOOGLETRANSLATE(B740,""en"",""ta"")"),"பிடிக்கும்")</f>
        <v>பிடிக்கும்</v>
      </c>
      <c r="D740" s="4" t="str">
        <f>IFERROR(__xludf.DUMMYFUNCTION("GOOGLETRANSLATE(B740,""en"",""hi"")"),"पसंद")</f>
        <v>पसंद</v>
      </c>
      <c r="E740" s="4" t="str">
        <f>IFERROR(__xludf.DUMMYFUNCTION("GOOGLETRANSLATE(B740,""en"",""id"")"),"Menyukai")</f>
        <v>Menyukai</v>
      </c>
      <c r="F740" s="4" t="str">
        <f>IFERROR(__xludf.DUMMYFUNCTION("GOOGLETRANSLATE(B740,""en"",""ms"")"),"Suka")</f>
        <v>Suka</v>
      </c>
      <c r="G740" s="4" t="str">
        <f>IFERROR(__xludf.DUMMYFUNCTION("GOOGLETRANSLATE(B740,""en"",""de"")"),"Wie")</f>
        <v>Wie</v>
      </c>
      <c r="H740" s="4" t="str">
        <f>IFERROR(__xludf.DUMMYFUNCTION("GOOGLETRANSLATE(B740,""en"",""es"")"),"Como")</f>
        <v>Como</v>
      </c>
      <c r="I740" s="4" t="str">
        <f>IFERROR(__xludf.DUMMYFUNCTION("GOOGLETRANSLATE(B740,""en"",""fr"")"),"Comme")</f>
        <v>Comme</v>
      </c>
      <c r="J740" s="4" t="str">
        <f>IFERROR(__xludf.DUMMYFUNCTION("GOOGLETRANSLATE(B740,""en"",""it"")"),"Come")</f>
        <v>Come</v>
      </c>
      <c r="K740" s="4" t="str">
        <f>IFERROR(__xludf.DUMMYFUNCTION("GOOGLETRANSLATE(B740,""en"",""pt"")"),"Como")</f>
        <v>Como</v>
      </c>
      <c r="L740" s="4" t="str">
        <f>IFERROR(__xludf.DUMMYFUNCTION("GOOGLETRANSLATE(B740,""en"",""ro"")"),"Ca")</f>
        <v>Ca</v>
      </c>
      <c r="M740" s="4" t="str">
        <f>IFERROR(__xludf.DUMMYFUNCTION("GOOGLETRANSLATE(B740,""en"",""vi"")"),"Giống")</f>
        <v>Giống</v>
      </c>
      <c r="N740" s="4" t="str">
        <f>IFERROR(__xludf.DUMMYFUNCTION("GOOGLETRANSLATE(B740,""en"",""ru"")"),"Нравиться")</f>
        <v>Нравиться</v>
      </c>
      <c r="O740" s="4" t="str">
        <f>IFERROR(__xludf.DUMMYFUNCTION("GOOGLETRANSLATE(B740,""en"",""tr"")"),"Beğenmek")</f>
        <v>Beğenmek</v>
      </c>
      <c r="P740" s="4" t="str">
        <f>IFERROR(__xludf.DUMMYFUNCTION("GOOGLETRANSLATE(B740,""en"",""ar"")"),"يحب")</f>
        <v>يحب</v>
      </c>
      <c r="Q740" s="4" t="str">
        <f>IFERROR(__xludf.DUMMYFUNCTION("GOOGLETRANSLATE(B740,""en"",""mr"")"),"आवडले")</f>
        <v>आवडले</v>
      </c>
      <c r="R740" s="4" t="str">
        <f>IFERROR(__xludf.DUMMYFUNCTION("GOOGLETRANSLATE(B740,""en"",""gu"")"),"ગમે છે")</f>
        <v>ગમે છે</v>
      </c>
      <c r="S740" s="4" t="str">
        <f>IFERROR(__xludf.DUMMYFUNCTION("GOOGLETRANSLATE(B740,""en"",""bn"")"),"লাইক")</f>
        <v>লাইক</v>
      </c>
      <c r="T740" s="4" t="str">
        <f>IFERROR(__xludf.DUMMYFUNCTION("GOOGLETRANSLATE(B740,""en"",""pa"")"),"ਪਸੰਦ ਹੈ")</f>
        <v>ਪਸੰਦ ਹੈ</v>
      </c>
      <c r="U740" s="4" t="str">
        <f>IFERROR(__xludf.DUMMYFUNCTION("GOOGLETRANSLATE(B740,""en"",""te"")"),"ఇష్టం")</f>
        <v>ఇష్టం</v>
      </c>
      <c r="V740" s="4" t="str">
        <f>IFERROR(__xludf.DUMMYFUNCTION("GOOGLETRANSLATE(B740,""en"",""kn"")"),"ಇಷ್ಟ")</f>
        <v>ಇಷ್ಟ</v>
      </c>
      <c r="W740" s="4" t="str">
        <f>IFERROR(__xludf.DUMMYFUNCTION("GOOGLETRANSLATE(B740,""en"",""ml"")"),"ഇഷ്ടപ്പെടുക")</f>
        <v>ഇഷ്ടപ്പെടുക</v>
      </c>
      <c r="X740" s="4" t="str">
        <f>IFERROR(__xludf.DUMMYFUNCTION("GOOGLETRANSLATE(B740,""en"",""th"")"),"ชอบ")</f>
        <v>ชอบ</v>
      </c>
      <c r="Y740" s="4" t="str">
        <f>IFERROR(__xludf.DUMMYFUNCTION("GOOGLETRANSLATE(B740,""en"",""ko"")"),"좋다")</f>
        <v>좋다</v>
      </c>
      <c r="Z740" s="4" t="str">
        <f>IFERROR(__xludf.DUMMYFUNCTION("GOOGLETRANSLATE(B740,""en"",""zh"")"),"喜欢")</f>
        <v>喜欢</v>
      </c>
      <c r="AA740" s="4" t="str">
        <f>IFERROR(__xludf.DUMMYFUNCTION("GOOGLETRANSLATE(B740,""en"",""zh-TW"")"),"喜歡")</f>
        <v>喜歡</v>
      </c>
      <c r="AB740" s="4" t="str">
        <f>IFERROR(__xludf.DUMMYFUNCTION("GOOGLETRANSLATE(B740,""en"",""ja"")"),"のように")</f>
        <v>のように</v>
      </c>
      <c r="AC740" s="4" t="str">
        <f>IFERROR(__xludf.DUMMYFUNCTION("GOOGLETRANSLATE(B740,""en"",""bg"")"),"като")</f>
        <v>като</v>
      </c>
      <c r="AD740" s="4" t="str">
        <f>IFERROR(__xludf.DUMMYFUNCTION("GOOGLETRANSLATE(B740,""en"",""cs"")"),"Jako")</f>
        <v>Jako</v>
      </c>
      <c r="AE740" s="4" t="str">
        <f>IFERROR(__xludf.DUMMYFUNCTION("GOOGLETRANSLATE(B740,""en"",""da"")"),"Ligesom")</f>
        <v>Ligesom</v>
      </c>
      <c r="AF740" s="4" t="str">
        <f>IFERROR(__xludf.DUMMYFUNCTION("GOOGLETRANSLATE(B740,""en"",""el"")"),"Σαν")</f>
        <v>Σαν</v>
      </c>
      <c r="AG740" s="4" t="str">
        <f>IFERROR(__xludf.DUMMYFUNCTION("GOOGLETRANSLATE(B740,""en"",""et"")"),"meeldib")</f>
        <v>meeldib</v>
      </c>
      <c r="AH740" s="4" t="str">
        <f>IFERROR(__xludf.DUMMYFUNCTION("GOOGLETRANSLATE(B740,""en"",""fi"")"),"Pitää")</f>
        <v>Pitää</v>
      </c>
      <c r="AI740" s="4" t="str">
        <f>IFERROR(__xludf.DUMMYFUNCTION("GOOGLETRANSLATE(B740,""en"",""hr"")"),"Kao")</f>
        <v>Kao</v>
      </c>
      <c r="AJ740" s="4" t="str">
        <f>IFERROR(__xludf.DUMMYFUNCTION("GOOGLETRANSLATE(B740,""en"",""hu"")"),"Mint")</f>
        <v>Mint</v>
      </c>
      <c r="AK740" s="4" t="str">
        <f>IFERROR(__xludf.DUMMYFUNCTION("GOOGLETRANSLATE(B740,""en"",""hy"")"),"Հավանել")</f>
        <v>Հավանել</v>
      </c>
      <c r="AL740" s="4" t="str">
        <f>IFERROR(__xludf.DUMMYFUNCTION("GOOGLETRANSLATE(B740,""en"",""ca"")"),"M'agrada")</f>
        <v>M'agrada</v>
      </c>
      <c r="AM740" s="4" t="str">
        <f>IFERROR(__xludf.DUMMYFUNCTION("GOOGLETRANSLATE(B740,""en"",""nl"")"),"Leuk vinden")</f>
        <v>Leuk vinden</v>
      </c>
      <c r="AN740" s="4" t="str">
        <f>IFERROR(__xludf.DUMMYFUNCTION("GOOGLETRANSLATE(B740,""en"",""he"")"),"כְּמוֹ")</f>
        <v>כְּמוֹ</v>
      </c>
      <c r="AO740" s="4" t="str">
        <f>IFERROR(__xludf.DUMMYFUNCTION("GOOGLETRANSLATE(B740,""en"",""is"")"),"Eins og")</f>
        <v>Eins og</v>
      </c>
      <c r="AP740" s="4" t="str">
        <f>IFERROR(__xludf.DUMMYFUNCTION("GOOGLETRANSLATE(B740,""en"",""no"")"),"Like")</f>
        <v>Like</v>
      </c>
      <c r="AQ740" s="4" t="str">
        <f>IFERROR(__xludf.DUMMYFUNCTION("GOOGLETRANSLATE(B740,""en"",""fa"")"),"مانند")</f>
        <v>مانند</v>
      </c>
      <c r="AR740" s="4" t="str">
        <f>IFERROR(__xludf.DUMMYFUNCTION("GOOGLETRANSLATE(B740,""en"",""pl"")"),"Tak jak")</f>
        <v>Tak jak</v>
      </c>
      <c r="AS740" s="4" t="str">
        <f>IFERROR(__xludf.DUMMYFUNCTION("GOOGLETRANSLATE(B740,""en"",""sv"")"),"Som")</f>
        <v>Som</v>
      </c>
      <c r="AT740" s="4" t="str">
        <f>IFERROR(__xludf.DUMMYFUNCTION("GOOGLETRANSLATE(B740,""en"",""uk"")"),"Подобається")</f>
        <v>Подобається</v>
      </c>
      <c r="AU740" s="4" t="str">
        <f>IFERROR(__xludf.DUMMYFUNCTION("GOOGLETRANSLATE(B740,""en"",""zu"")"),"Thanda")</f>
        <v>Thanda</v>
      </c>
      <c r="AV740" s="4" t="str">
        <f>IFERROR(__xludf.DUMMYFUNCTION("GOOGLETRANSLATE(B740,""en"",""sr"")"),"Лике")</f>
        <v>Лике</v>
      </c>
    </row>
    <row r="741">
      <c r="A741" s="3" t="s">
        <v>1400</v>
      </c>
      <c r="B741" s="3" t="s">
        <v>1401</v>
      </c>
      <c r="C741" s="4" t="str">
        <f>IFERROR(__xludf.DUMMYFUNCTION("GOOGLETRANSLATE(B741,""en"",""ta"")"),"--")</f>
        <v>--</v>
      </c>
      <c r="D741" s="3" t="s">
        <v>1401</v>
      </c>
      <c r="E741" s="4" t="str">
        <f>IFERROR(__xludf.DUMMYFUNCTION("GOOGLETRANSLATE(B741,""en"",""id"")"),"--")</f>
        <v>--</v>
      </c>
      <c r="F741" s="4" t="str">
        <f>IFERROR(__xludf.DUMMYFUNCTION("GOOGLETRANSLATE(B741,""en"",""ms"")"),"--")</f>
        <v>--</v>
      </c>
      <c r="G741" s="4" t="str">
        <f>IFERROR(__xludf.DUMMYFUNCTION("GOOGLETRANSLATE(B741,""en"",""de"")"),"--")</f>
        <v>--</v>
      </c>
      <c r="H741" s="4" t="str">
        <f>IFERROR(__xludf.DUMMYFUNCTION("GOOGLETRANSLATE(B741,""en"",""es"")"),"--")</f>
        <v>--</v>
      </c>
      <c r="I741" s="4" t="str">
        <f>IFERROR(__xludf.DUMMYFUNCTION("GOOGLETRANSLATE(B741,""en"",""fr"")"),"--")</f>
        <v>--</v>
      </c>
      <c r="J741" s="4" t="str">
        <f>IFERROR(__xludf.DUMMYFUNCTION("GOOGLETRANSLATE(B741,""en"",""it"")"),"--")</f>
        <v>--</v>
      </c>
      <c r="K741" s="4" t="str">
        <f>IFERROR(__xludf.DUMMYFUNCTION("GOOGLETRANSLATE(B741,""en"",""pt"")"),"--")</f>
        <v>--</v>
      </c>
      <c r="L741" s="4" t="str">
        <f>IFERROR(__xludf.DUMMYFUNCTION("GOOGLETRANSLATE(B741,""en"",""ro"")"),"--")</f>
        <v>--</v>
      </c>
      <c r="M741" s="4" t="str">
        <f>IFERROR(__xludf.DUMMYFUNCTION("GOOGLETRANSLATE(B741,""en"",""vi"")"),"--")</f>
        <v>--</v>
      </c>
      <c r="N741" s="4" t="str">
        <f>IFERROR(__xludf.DUMMYFUNCTION("GOOGLETRANSLATE(B741,""en"",""ru"")"),"--")</f>
        <v>--</v>
      </c>
      <c r="O741" s="4" t="str">
        <f>IFERROR(__xludf.DUMMYFUNCTION("GOOGLETRANSLATE(B741,""en"",""tr"")"),"--")</f>
        <v>--</v>
      </c>
      <c r="P741" s="4" t="str">
        <f>IFERROR(__xludf.DUMMYFUNCTION("GOOGLETRANSLATE(B741,""en"",""ar"")"),"--")</f>
        <v>--</v>
      </c>
      <c r="Q741" s="4" t="str">
        <f>IFERROR(__xludf.DUMMYFUNCTION("GOOGLETRANSLATE(B741,""en"",""mr"")"),"--")</f>
        <v>--</v>
      </c>
      <c r="R741" s="4" t="str">
        <f>IFERROR(__xludf.DUMMYFUNCTION("GOOGLETRANSLATE(B741,""en"",""gu"")"),"--")</f>
        <v>--</v>
      </c>
      <c r="S741" s="4" t="str">
        <f>IFERROR(__xludf.DUMMYFUNCTION("GOOGLETRANSLATE(B741,""en"",""bn"")"),"--")</f>
        <v>--</v>
      </c>
      <c r="T741" s="4" t="str">
        <f>IFERROR(__xludf.DUMMYFUNCTION("GOOGLETRANSLATE(B741,""en"",""pa"")"),"--")</f>
        <v>--</v>
      </c>
      <c r="U741" s="4" t="str">
        <f>IFERROR(__xludf.DUMMYFUNCTION("GOOGLETRANSLATE(B741,""en"",""te"")"),"--")</f>
        <v>--</v>
      </c>
      <c r="V741" s="4" t="str">
        <f>IFERROR(__xludf.DUMMYFUNCTION("GOOGLETRANSLATE(B741,""en"",""kn"")"),"--")</f>
        <v>--</v>
      </c>
      <c r="W741" s="4" t="str">
        <f>IFERROR(__xludf.DUMMYFUNCTION("GOOGLETRANSLATE(B741,""en"",""ml"")"),"--")</f>
        <v>--</v>
      </c>
      <c r="X741" s="4" t="str">
        <f>IFERROR(__xludf.DUMMYFUNCTION("GOOGLETRANSLATE(B741,""en"",""th"")"),"-")</f>
        <v>-</v>
      </c>
      <c r="Y741" s="4" t="str">
        <f>IFERROR(__xludf.DUMMYFUNCTION("GOOGLETRANSLATE(B741,""en"",""ko"")"),"--")</f>
        <v>--</v>
      </c>
      <c r="Z741" s="4" t="str">
        <f>IFERROR(__xludf.DUMMYFUNCTION("GOOGLETRANSLATE(B741,""en"",""zh"")"),"--")</f>
        <v>--</v>
      </c>
      <c r="AA741" s="4" t="str">
        <f>IFERROR(__xludf.DUMMYFUNCTION("GOOGLETRANSLATE(B741,""en"",""zh-TW"")"),"--")</f>
        <v>--</v>
      </c>
      <c r="AB741" s="4" t="str">
        <f>IFERROR(__xludf.DUMMYFUNCTION("GOOGLETRANSLATE(B741,""en"",""ja"")"),"--")</f>
        <v>--</v>
      </c>
      <c r="AC741" s="4" t="str">
        <f>IFERROR(__xludf.DUMMYFUNCTION("GOOGLETRANSLATE(B741,""en"",""bg"")"),"--")</f>
        <v>--</v>
      </c>
      <c r="AD741" s="4" t="str">
        <f>IFERROR(__xludf.DUMMYFUNCTION("GOOGLETRANSLATE(B741,""en"",""cs"")"),"--")</f>
        <v>--</v>
      </c>
      <c r="AE741" s="4" t="str">
        <f>IFERROR(__xludf.DUMMYFUNCTION("GOOGLETRANSLATE(B741,""en"",""da"")"),"--")</f>
        <v>--</v>
      </c>
      <c r="AF741" s="4" t="str">
        <f>IFERROR(__xludf.DUMMYFUNCTION("GOOGLETRANSLATE(B741,""en"",""el"")"),"--")</f>
        <v>--</v>
      </c>
      <c r="AG741" s="4" t="str">
        <f>IFERROR(__xludf.DUMMYFUNCTION("GOOGLETRANSLATE(B741,""en"",""et"")"),"--")</f>
        <v>--</v>
      </c>
      <c r="AH741" s="4" t="str">
        <f>IFERROR(__xludf.DUMMYFUNCTION("GOOGLETRANSLATE(B741,""en"",""fi"")"),"--")</f>
        <v>--</v>
      </c>
      <c r="AI741" s="4" t="str">
        <f>IFERROR(__xludf.DUMMYFUNCTION("GOOGLETRANSLATE(B741,""en"",""hr"")"),"--")</f>
        <v>--</v>
      </c>
      <c r="AJ741" s="4" t="str">
        <f>IFERROR(__xludf.DUMMYFUNCTION("GOOGLETRANSLATE(B741,""en"",""hu"")"),"--")</f>
        <v>--</v>
      </c>
      <c r="AK741" s="4" t="str">
        <f>IFERROR(__xludf.DUMMYFUNCTION("GOOGLETRANSLATE(B741,""en"",""hy"")"),"--")</f>
        <v>--</v>
      </c>
      <c r="AL741" s="4" t="str">
        <f>IFERROR(__xludf.DUMMYFUNCTION("GOOGLETRANSLATE(B741,""en"",""ca"")"),"--")</f>
        <v>--</v>
      </c>
      <c r="AM741" s="4" t="str">
        <f>IFERROR(__xludf.DUMMYFUNCTION("GOOGLETRANSLATE(B741,""en"",""nl"")"),"--")</f>
        <v>--</v>
      </c>
      <c r="AN741" s="4" t="str">
        <f>IFERROR(__xludf.DUMMYFUNCTION("GOOGLETRANSLATE(B741,""en"",""he"")"),"--")</f>
        <v>--</v>
      </c>
      <c r="AO741" s="4" t="str">
        <f>IFERROR(__xludf.DUMMYFUNCTION("GOOGLETRANSLATE(B741,""en"",""is"")"),"--")</f>
        <v>--</v>
      </c>
      <c r="AP741" s="4" t="str">
        <f>IFERROR(__xludf.DUMMYFUNCTION("GOOGLETRANSLATE(B741,""en"",""no"")"),"--")</f>
        <v>--</v>
      </c>
      <c r="AQ741" s="4" t="str">
        <f>IFERROR(__xludf.DUMMYFUNCTION("GOOGLETRANSLATE(B741,""en"",""fa"")"),"--")</f>
        <v>--</v>
      </c>
      <c r="AR741" s="4" t="str">
        <f>IFERROR(__xludf.DUMMYFUNCTION("GOOGLETRANSLATE(B741,""en"",""pl"")"),"--")</f>
        <v>--</v>
      </c>
      <c r="AS741" s="4" t="str">
        <f>IFERROR(__xludf.DUMMYFUNCTION("GOOGLETRANSLATE(B741,""en"",""sv"")"),"--")</f>
        <v>--</v>
      </c>
      <c r="AT741" s="4" t="str">
        <f>IFERROR(__xludf.DUMMYFUNCTION("GOOGLETRANSLATE(B741,""en"",""uk"")"),"--")</f>
        <v>--</v>
      </c>
      <c r="AU741" s="4" t="str">
        <f>IFERROR(__xludf.DUMMYFUNCTION("GOOGLETRANSLATE(B741,""en"",""zu"")"),"--")</f>
        <v>--</v>
      </c>
      <c r="AV741" s="4" t="str">
        <f>IFERROR(__xludf.DUMMYFUNCTION("GOOGLETRANSLATE(B741,""en"",""sr"")"),"--")</f>
        <v>--</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