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iwo/Desktop/MostSimilarTrinucleotidesForSpeciesLevelGenomes/MostSimilarTrinucleotidesProcessedCountsTable/"/>
    </mc:Choice>
  </mc:AlternateContent>
  <xr:revisionPtr revIDLastSave="0" documentId="13_ncr:1_{9D729D98-58FB-BF48-881F-0D495B34C80F}" xr6:coauthVersionLast="36" xr6:coauthVersionMax="36" xr10:uidLastSave="{00000000-0000-0000-0000-000000000000}"/>
  <bookViews>
    <workbookView xWindow="14320" yWindow="460" windowWidth="36100" windowHeight="17120" xr2:uid="{39B40F04-9B85-CF41-B728-7B2A3CDAB172}"/>
  </bookViews>
  <sheets>
    <sheet name="TripletCodeNetwork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G65" i="1"/>
  <c r="G64" i="1"/>
  <c r="G63" i="1"/>
  <c r="G62" i="1"/>
  <c r="G61" i="1"/>
  <c r="G60" i="1"/>
  <c r="H60" i="1" s="1"/>
  <c r="G59" i="1"/>
  <c r="G58" i="1"/>
  <c r="H58" i="1" s="1"/>
  <c r="G57" i="1"/>
  <c r="G56" i="1"/>
  <c r="G55" i="1"/>
  <c r="H55" i="1" s="1"/>
  <c r="E55" i="1"/>
  <c r="G54" i="1"/>
  <c r="G53" i="1"/>
  <c r="H53" i="1" s="1"/>
  <c r="G52" i="1"/>
  <c r="G51" i="1"/>
  <c r="G50" i="1"/>
  <c r="H50" i="1" s="1"/>
  <c r="G49" i="1"/>
  <c r="H49" i="1" s="1"/>
  <c r="G48" i="1"/>
  <c r="G47" i="1"/>
  <c r="G46" i="1"/>
  <c r="G45" i="1"/>
  <c r="H45" i="1" s="1"/>
  <c r="G44" i="1"/>
  <c r="H44" i="1" s="1"/>
  <c r="G43" i="1"/>
  <c r="G42" i="1"/>
  <c r="H42" i="1" s="1"/>
  <c r="G41" i="1"/>
  <c r="H41" i="1" s="1"/>
  <c r="G40" i="1"/>
  <c r="G39" i="1"/>
  <c r="G38" i="1"/>
  <c r="H38" i="1" s="1"/>
  <c r="G37" i="1"/>
  <c r="G36" i="1"/>
  <c r="G35" i="1"/>
  <c r="G34" i="1"/>
  <c r="G33" i="1"/>
  <c r="H33" i="1" s="1"/>
  <c r="G32" i="1"/>
  <c r="H32" i="1" s="1"/>
  <c r="G31" i="1"/>
  <c r="G30" i="1"/>
  <c r="H30" i="1" s="1"/>
  <c r="G29" i="1"/>
  <c r="G28" i="1"/>
  <c r="G27" i="1"/>
  <c r="G26" i="1"/>
  <c r="G25" i="1"/>
  <c r="H25" i="1" s="1"/>
  <c r="G24" i="1"/>
  <c r="G22" i="1"/>
  <c r="G23" i="1"/>
  <c r="H22" i="1"/>
  <c r="G21" i="1"/>
  <c r="G20" i="1"/>
  <c r="G19" i="1"/>
  <c r="H19" i="1" s="1"/>
  <c r="M8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G18" i="1"/>
  <c r="G17" i="1"/>
  <c r="H17" i="1" s="1"/>
  <c r="G16" i="1"/>
  <c r="G15" i="1"/>
  <c r="H15" i="1" s="1"/>
  <c r="G14" i="1"/>
  <c r="H14" i="1" s="1"/>
  <c r="G13" i="1"/>
  <c r="G12" i="1"/>
  <c r="G11" i="1"/>
  <c r="G10" i="1"/>
  <c r="G9" i="1"/>
  <c r="G8" i="1"/>
  <c r="G7" i="1"/>
  <c r="H7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G6" i="1"/>
  <c r="H6" i="1" s="1"/>
  <c r="G5" i="1"/>
  <c r="H5" i="1" s="1"/>
  <c r="G4" i="1"/>
  <c r="H3" i="1"/>
  <c r="H4" i="1"/>
  <c r="H8" i="1"/>
  <c r="H9" i="1"/>
  <c r="H10" i="1"/>
  <c r="H11" i="1"/>
  <c r="H12" i="1"/>
  <c r="H13" i="1"/>
  <c r="H16" i="1"/>
  <c r="H18" i="1"/>
  <c r="H20" i="1"/>
  <c r="H21" i="1"/>
  <c r="H23" i="1"/>
  <c r="H24" i="1"/>
  <c r="H26" i="1"/>
  <c r="H27" i="1"/>
  <c r="H28" i="1"/>
  <c r="H29" i="1"/>
  <c r="H31" i="1"/>
  <c r="H34" i="1"/>
  <c r="H35" i="1"/>
  <c r="H36" i="1"/>
  <c r="H37" i="1"/>
  <c r="H39" i="1"/>
  <c r="H40" i="1"/>
  <c r="H43" i="1"/>
  <c r="H46" i="1"/>
  <c r="H47" i="1"/>
  <c r="H48" i="1"/>
  <c r="H51" i="1"/>
  <c r="H52" i="1"/>
  <c r="H54" i="1"/>
  <c r="H56" i="1"/>
  <c r="H57" i="1"/>
  <c r="H59" i="1"/>
  <c r="H61" i="1"/>
  <c r="H62" i="1"/>
  <c r="H63" i="1"/>
  <c r="H64" i="1"/>
  <c r="H65" i="1"/>
  <c r="G3" i="1"/>
  <c r="H2" i="1"/>
  <c r="G2" i="1"/>
  <c r="D34" i="1" l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D11" i="1"/>
  <c r="E11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Siwo</author>
  </authors>
  <commentList>
    <comment ref="E1" authorId="0" shapeId="0" xr:uid="{13850637-9812-6C46-A5A5-D196DD10E0B8}">
      <text>
        <r>
          <rPr>
            <b/>
            <sz val="10"/>
            <color rgb="FF000000"/>
            <rFont val="Tahoma"/>
            <family val="2"/>
          </rPr>
          <t>Geoffrey Siwo: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use chi-square to compare proportion observed vs. expeected (1/64= 0.016)
</t>
        </r>
      </text>
    </comment>
  </commentList>
</comments>
</file>

<file path=xl/sharedStrings.xml><?xml version="1.0" encoding="utf-8"?>
<sst xmlns="http://schemas.openxmlformats.org/spreadsheetml/2006/main" count="269" uniqueCount="101">
  <si>
    <t>Source Triplet</t>
  </si>
  <si>
    <t>Most Similar Triplet</t>
  </si>
  <si>
    <t>No. of metagenomes observed in</t>
  </si>
  <si>
    <t>AAA</t>
  </si>
  <si>
    <t>AAT</t>
  </si>
  <si>
    <t>Proprotion of genomes where triplet is most similar to source triplet 4930 metagenomes</t>
  </si>
  <si>
    <t>AAC</t>
  </si>
  <si>
    <t>AAG</t>
  </si>
  <si>
    <t>Enrichment out of 64 triplets (compared to 1/64)</t>
  </si>
  <si>
    <t>ACA</t>
  </si>
  <si>
    <t>GCA</t>
  </si>
  <si>
    <t>ACC</t>
  </si>
  <si>
    <t>ATC</t>
  </si>
  <si>
    <t>ACG</t>
  </si>
  <si>
    <t>ATG</t>
  </si>
  <si>
    <t>ACT</t>
  </si>
  <si>
    <t>TCT</t>
  </si>
  <si>
    <t>AGA</t>
  </si>
  <si>
    <t>AGG</t>
  </si>
  <si>
    <t>AGC</t>
  </si>
  <si>
    <t>TGG</t>
  </si>
  <si>
    <t>AGT</t>
  </si>
  <si>
    <t>ATA</t>
  </si>
  <si>
    <t>GTA</t>
  </si>
  <si>
    <t>GTG</t>
  </si>
  <si>
    <t>ATT</t>
  </si>
  <si>
    <t>TTT</t>
  </si>
  <si>
    <t>CAA</t>
  </si>
  <si>
    <t>CGA</t>
  </si>
  <si>
    <t>CAC</t>
  </si>
  <si>
    <t>CAT</t>
  </si>
  <si>
    <t>CAG</t>
  </si>
  <si>
    <t>CTG</t>
  </si>
  <si>
    <t>CCA</t>
  </si>
  <si>
    <t>CCT</t>
  </si>
  <si>
    <t>CCC</t>
  </si>
  <si>
    <t>TCC</t>
  </si>
  <si>
    <t>CCG</t>
  </si>
  <si>
    <t>TCG</t>
  </si>
  <si>
    <t>CGC</t>
  </si>
  <si>
    <t>CGT</t>
  </si>
  <si>
    <t>CGG</t>
  </si>
  <si>
    <t>CTA</t>
  </si>
  <si>
    <t>CTC</t>
  </si>
  <si>
    <t>GTC</t>
  </si>
  <si>
    <t>CTT</t>
  </si>
  <si>
    <t>GTT</t>
  </si>
  <si>
    <t>GAA</t>
  </si>
  <si>
    <t>GAT</t>
  </si>
  <si>
    <t>GAC</t>
  </si>
  <si>
    <t>GGC</t>
  </si>
  <si>
    <t>GAG</t>
  </si>
  <si>
    <t>GGT</t>
  </si>
  <si>
    <t>GCC</t>
  </si>
  <si>
    <t>GCG</t>
  </si>
  <si>
    <t>GCT</t>
  </si>
  <si>
    <t>GGA</t>
  </si>
  <si>
    <t>GGG</t>
  </si>
  <si>
    <t>TAA</t>
  </si>
  <si>
    <t>TTA</t>
  </si>
  <si>
    <t>TAC</t>
  </si>
  <si>
    <t>TAG</t>
  </si>
  <si>
    <t>TTG</t>
  </si>
  <si>
    <t>TAT</t>
  </si>
  <si>
    <t>TCA</t>
  </si>
  <si>
    <t>TGA</t>
  </si>
  <si>
    <t>TGT</t>
  </si>
  <si>
    <t>TGC</t>
  </si>
  <si>
    <t>TTC</t>
  </si>
  <si>
    <t>K</t>
  </si>
  <si>
    <t>N</t>
  </si>
  <si>
    <t>T</t>
  </si>
  <si>
    <t>Coded Amino Acid by Source Triplet</t>
  </si>
  <si>
    <t>R</t>
  </si>
  <si>
    <t>S</t>
  </si>
  <si>
    <t>I</t>
  </si>
  <si>
    <t>M</t>
  </si>
  <si>
    <t>Q</t>
  </si>
  <si>
    <t>H</t>
  </si>
  <si>
    <t>P</t>
  </si>
  <si>
    <t>L</t>
  </si>
  <si>
    <t>E</t>
  </si>
  <si>
    <t>D</t>
  </si>
  <si>
    <t>A</t>
  </si>
  <si>
    <t>G</t>
  </si>
  <si>
    <t>V</t>
  </si>
  <si>
    <t>STOP</t>
  </si>
  <si>
    <t>Y</t>
  </si>
  <si>
    <t>C</t>
  </si>
  <si>
    <t>W</t>
  </si>
  <si>
    <t>F</t>
  </si>
  <si>
    <t>Late</t>
  </si>
  <si>
    <t>Early or Late (Koonin 2017 consensus)</t>
  </si>
  <si>
    <t>Early</t>
  </si>
  <si>
    <t>Stop</t>
  </si>
  <si>
    <t>Top K Triplets with &gt; 95 instances as neighbor of Source Triplet (binomial P &lt;0.05)</t>
  </si>
  <si>
    <t>Number of genomes at Top K</t>
  </si>
  <si>
    <t>Proportion  of genomes at Top K</t>
  </si>
  <si>
    <t>TopK Triplets- Triplets 1 base change away</t>
  </si>
  <si>
    <t>TopK Triplets/Triplets 1 base change away</t>
  </si>
  <si>
    <t>NumberOfConsecutiveTriplets 1baseChangeAway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</si>
</sst>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49BC-AA61-8544-8B39-DD799DD588F4}">
  <dimension ref="A1:M65"/>
  <sheetViews>
    <sheetView tabSelected="1" topLeftCell="C1" workbookViewId="0">
      <selection activeCell="K1" sqref="K1"/>
    </sheetView>
  </sheetViews>
  <sheetFormatPr baseColWidth="10" defaultRowHeight="16" x14ac:dyDescent="0.2"/>
  <cols>
    <col min="1" max="1" width="23.5" customWidth="1"/>
    <col min="2" max="2" width="20" customWidth="1"/>
    <col min="3" max="3" width="18.1640625" customWidth="1"/>
    <col min="4" max="4" width="27.6640625" customWidth="1"/>
    <col min="5" max="6" width="26.83203125" customWidth="1"/>
    <col min="7" max="7" width="15.6640625" customWidth="1"/>
    <col min="8" max="8" width="18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95</v>
      </c>
      <c r="G1" s="1" t="s">
        <v>96</v>
      </c>
      <c r="H1" s="1" t="s">
        <v>97</v>
      </c>
      <c r="I1" s="1" t="s">
        <v>100</v>
      </c>
      <c r="J1" s="1" t="s">
        <v>72</v>
      </c>
      <c r="K1" s="1" t="s">
        <v>92</v>
      </c>
      <c r="L1" s="1" t="s">
        <v>98</v>
      </c>
      <c r="M1" s="1" t="s">
        <v>99</v>
      </c>
    </row>
    <row r="2" spans="1:13" x14ac:dyDescent="0.2">
      <c r="A2" t="s">
        <v>3</v>
      </c>
      <c r="B2" t="s">
        <v>4</v>
      </c>
      <c r="C2">
        <v>2093</v>
      </c>
      <c r="D2">
        <f t="shared" ref="D2:D33" si="0">C2/4930</f>
        <v>0.42454361054766732</v>
      </c>
      <c r="E2">
        <f t="shared" ref="E2:E33" si="1">D2/0.016</f>
        <v>26.533975659229206</v>
      </c>
      <c r="F2">
        <v>9</v>
      </c>
      <c r="G2">
        <f>SUM(2093,478,402,304,297,234,195,153,141)</f>
        <v>4297</v>
      </c>
      <c r="H2">
        <f>G2/4930</f>
        <v>0.87160243407707916</v>
      </c>
      <c r="I2">
        <v>8</v>
      </c>
      <c r="J2" t="s">
        <v>69</v>
      </c>
      <c r="K2" t="s">
        <v>91</v>
      </c>
      <c r="L2">
        <f>F2-I2</f>
        <v>1</v>
      </c>
      <c r="M2">
        <f>F2/I2</f>
        <v>1.125</v>
      </c>
    </row>
    <row r="3" spans="1:13" x14ac:dyDescent="0.2">
      <c r="A3" t="s">
        <v>6</v>
      </c>
      <c r="B3" t="s">
        <v>7</v>
      </c>
      <c r="C3">
        <v>1232</v>
      </c>
      <c r="D3">
        <f t="shared" si="0"/>
        <v>0.24989858012170385</v>
      </c>
      <c r="E3">
        <f t="shared" si="1"/>
        <v>15.61866125760649</v>
      </c>
      <c r="F3">
        <v>7</v>
      </c>
      <c r="G3">
        <f>SUM(1232,858,576,522,298,287,261)</f>
        <v>4034</v>
      </c>
      <c r="H3">
        <f t="shared" ref="H3:H65" si="2">G3/4930</f>
        <v>0.81825557809330629</v>
      </c>
      <c r="I3">
        <v>7</v>
      </c>
      <c r="J3" t="s">
        <v>70</v>
      </c>
      <c r="K3" t="s">
        <v>91</v>
      </c>
      <c r="L3">
        <f t="shared" ref="L3:L65" si="3">F3-I3</f>
        <v>0</v>
      </c>
      <c r="M3">
        <f t="shared" ref="M3:M65" si="4">F3/I3</f>
        <v>1</v>
      </c>
    </row>
    <row r="4" spans="1:13" x14ac:dyDescent="0.2">
      <c r="A4" t="s">
        <v>7</v>
      </c>
      <c r="B4" t="s">
        <v>6</v>
      </c>
      <c r="C4" s="2">
        <v>1541</v>
      </c>
      <c r="D4">
        <f t="shared" si="0"/>
        <v>0.31257606490872208</v>
      </c>
      <c r="E4">
        <f t="shared" si="1"/>
        <v>19.536004056795129</v>
      </c>
      <c r="F4">
        <v>9</v>
      </c>
      <c r="G4">
        <f>SUM(1541,984,358,335,247,243,164,134,95)</f>
        <v>4101</v>
      </c>
      <c r="H4">
        <f t="shared" si="2"/>
        <v>0.83184584178498988</v>
      </c>
      <c r="I4">
        <v>8</v>
      </c>
      <c r="J4" t="s">
        <v>69</v>
      </c>
      <c r="K4" t="s">
        <v>91</v>
      </c>
      <c r="L4">
        <f t="shared" si="3"/>
        <v>1</v>
      </c>
      <c r="M4">
        <f t="shared" si="4"/>
        <v>1.125</v>
      </c>
    </row>
    <row r="5" spans="1:13" x14ac:dyDescent="0.2">
      <c r="A5" t="s">
        <v>4</v>
      </c>
      <c r="B5" t="s">
        <v>3</v>
      </c>
      <c r="C5" s="2">
        <v>1619</v>
      </c>
      <c r="D5">
        <f t="shared" si="0"/>
        <v>0.32839756592292091</v>
      </c>
      <c r="E5">
        <f t="shared" si="1"/>
        <v>20.524847870182555</v>
      </c>
      <c r="F5">
        <v>9</v>
      </c>
      <c r="G5">
        <f>SUM(1619,921,369,358,223,199,198,120,106)</f>
        <v>4113</v>
      </c>
      <c r="H5">
        <f t="shared" si="2"/>
        <v>0.83427991886409736</v>
      </c>
      <c r="I5">
        <v>4</v>
      </c>
      <c r="J5" t="s">
        <v>70</v>
      </c>
      <c r="K5" t="s">
        <v>91</v>
      </c>
      <c r="L5">
        <f t="shared" si="3"/>
        <v>5</v>
      </c>
      <c r="M5">
        <f t="shared" si="4"/>
        <v>2.25</v>
      </c>
    </row>
    <row r="6" spans="1:13" x14ac:dyDescent="0.2">
      <c r="A6" t="s">
        <v>9</v>
      </c>
      <c r="B6" t="s">
        <v>10</v>
      </c>
      <c r="C6" s="2">
        <v>1296</v>
      </c>
      <c r="D6">
        <f t="shared" si="0"/>
        <v>0.26288032454361054</v>
      </c>
      <c r="E6">
        <f t="shared" si="1"/>
        <v>16.430020283975658</v>
      </c>
      <c r="F6">
        <v>9</v>
      </c>
      <c r="G6">
        <f>SUM(1296,1100,685,274,184,170,124,119,116)</f>
        <v>4068</v>
      </c>
      <c r="H6">
        <f t="shared" si="2"/>
        <v>0.82515212981744424</v>
      </c>
      <c r="I6">
        <v>5</v>
      </c>
      <c r="J6" t="s">
        <v>71</v>
      </c>
      <c r="K6" t="s">
        <v>93</v>
      </c>
      <c r="L6">
        <f t="shared" si="3"/>
        <v>4</v>
      </c>
      <c r="M6">
        <f t="shared" si="4"/>
        <v>1.8</v>
      </c>
    </row>
    <row r="7" spans="1:13" x14ac:dyDescent="0.2">
      <c r="A7" t="s">
        <v>11</v>
      </c>
      <c r="B7" t="s">
        <v>12</v>
      </c>
      <c r="C7" s="2">
        <v>1473</v>
      </c>
      <c r="D7">
        <f t="shared" si="0"/>
        <v>0.29878296146044625</v>
      </c>
      <c r="E7">
        <f t="shared" si="1"/>
        <v>18.67393509127789</v>
      </c>
      <c r="F7">
        <v>10</v>
      </c>
      <c r="G7">
        <f>SUM(1473,795,781,358,300,259,160,130,107,103)</f>
        <v>4466</v>
      </c>
      <c r="H7">
        <f t="shared" si="2"/>
        <v>0.90588235294117647</v>
      </c>
      <c r="I7">
        <v>7</v>
      </c>
      <c r="J7" t="s">
        <v>71</v>
      </c>
      <c r="K7" t="s">
        <v>93</v>
      </c>
      <c r="L7">
        <f t="shared" si="3"/>
        <v>3</v>
      </c>
      <c r="M7">
        <f t="shared" si="4"/>
        <v>1.4285714285714286</v>
      </c>
    </row>
    <row r="8" spans="1:13" x14ac:dyDescent="0.2">
      <c r="A8" t="s">
        <v>13</v>
      </c>
      <c r="B8" t="s">
        <v>14</v>
      </c>
      <c r="C8" s="2">
        <v>961</v>
      </c>
      <c r="D8">
        <f t="shared" si="0"/>
        <v>0.1949290060851927</v>
      </c>
      <c r="E8">
        <f t="shared" si="1"/>
        <v>12.183062880324544</v>
      </c>
      <c r="F8">
        <v>12</v>
      </c>
      <c r="G8">
        <f>SUM(961,736,674,353,304,297,149,127,123,116,98,95)</f>
        <v>4033</v>
      </c>
      <c r="H8">
        <f t="shared" si="2"/>
        <v>0.81805273833671399</v>
      </c>
      <c r="I8">
        <v>3</v>
      </c>
      <c r="J8" t="s">
        <v>71</v>
      </c>
      <c r="K8" t="s">
        <v>93</v>
      </c>
      <c r="L8">
        <f t="shared" si="3"/>
        <v>9</v>
      </c>
      <c r="M8">
        <f>F8/I8</f>
        <v>4</v>
      </c>
    </row>
    <row r="9" spans="1:13" x14ac:dyDescent="0.2">
      <c r="A9" t="s">
        <v>15</v>
      </c>
      <c r="B9" t="s">
        <v>16</v>
      </c>
      <c r="C9" s="2">
        <v>1021</v>
      </c>
      <c r="D9">
        <f t="shared" si="0"/>
        <v>0.20709939148073023</v>
      </c>
      <c r="E9">
        <f t="shared" si="1"/>
        <v>12.943711967545639</v>
      </c>
      <c r="F9">
        <v>12</v>
      </c>
      <c r="G9">
        <f>SUM(1021,857,546,442,314,242,195,125,113,111,108,102)</f>
        <v>4176</v>
      </c>
      <c r="H9">
        <f t="shared" si="2"/>
        <v>0.84705882352941175</v>
      </c>
      <c r="I9">
        <v>5</v>
      </c>
      <c r="J9" t="s">
        <v>71</v>
      </c>
      <c r="K9" t="s">
        <v>93</v>
      </c>
      <c r="L9">
        <f t="shared" si="3"/>
        <v>7</v>
      </c>
      <c r="M9">
        <f t="shared" si="4"/>
        <v>2.4</v>
      </c>
    </row>
    <row r="10" spans="1:13" x14ac:dyDescent="0.2">
      <c r="A10" t="s">
        <v>17</v>
      </c>
      <c r="B10" t="s">
        <v>18</v>
      </c>
      <c r="C10" s="2">
        <v>1246</v>
      </c>
      <c r="D10">
        <f t="shared" si="0"/>
        <v>0.25273833671399593</v>
      </c>
      <c r="E10">
        <f t="shared" si="1"/>
        <v>15.796146044624745</v>
      </c>
      <c r="F10">
        <v>9</v>
      </c>
      <c r="G10">
        <f>SUM(1246,793,766,632,361,222,192,148,114)</f>
        <v>4474</v>
      </c>
      <c r="H10">
        <f t="shared" si="2"/>
        <v>0.90750507099391475</v>
      </c>
      <c r="I10">
        <v>6</v>
      </c>
      <c r="J10" t="s">
        <v>73</v>
      </c>
      <c r="K10" t="s">
        <v>91</v>
      </c>
      <c r="L10">
        <f t="shared" si="3"/>
        <v>3</v>
      </c>
      <c r="M10">
        <f t="shared" si="4"/>
        <v>1.5</v>
      </c>
    </row>
    <row r="11" spans="1:13" x14ac:dyDescent="0.2">
      <c r="A11" t="s">
        <v>19</v>
      </c>
      <c r="B11" t="s">
        <v>6</v>
      </c>
      <c r="C11" s="2">
        <v>875</v>
      </c>
      <c r="D11">
        <f t="shared" si="0"/>
        <v>0.17748478701825557</v>
      </c>
      <c r="E11">
        <f t="shared" si="1"/>
        <v>11.092799188640972</v>
      </c>
      <c r="F11">
        <v>7</v>
      </c>
      <c r="G11">
        <f>SUM(875,679,602,578,545,428,374)</f>
        <v>4081</v>
      </c>
      <c r="H11">
        <f t="shared" si="2"/>
        <v>0.82778904665314401</v>
      </c>
      <c r="I11">
        <v>4</v>
      </c>
      <c r="J11" t="s">
        <v>74</v>
      </c>
      <c r="K11" t="s">
        <v>93</v>
      </c>
      <c r="L11">
        <f t="shared" si="3"/>
        <v>3</v>
      </c>
      <c r="M11">
        <f t="shared" si="4"/>
        <v>1.75</v>
      </c>
    </row>
    <row r="12" spans="1:13" x14ac:dyDescent="0.2">
      <c r="A12" t="s">
        <v>18</v>
      </c>
      <c r="B12" t="s">
        <v>20</v>
      </c>
      <c r="C12" s="2">
        <v>1439</v>
      </c>
      <c r="D12">
        <f t="shared" si="0"/>
        <v>0.29188640973630831</v>
      </c>
      <c r="E12">
        <f t="shared" si="1"/>
        <v>18.242900608519268</v>
      </c>
      <c r="F12">
        <v>9</v>
      </c>
      <c r="G12">
        <f>SUM(1439,1133,439,239,234,179,137,128,126)</f>
        <v>4054</v>
      </c>
      <c r="H12">
        <f t="shared" si="2"/>
        <v>0.82231237322515216</v>
      </c>
      <c r="I12">
        <v>4</v>
      </c>
      <c r="J12" t="s">
        <v>73</v>
      </c>
      <c r="K12" t="s">
        <v>91</v>
      </c>
      <c r="L12">
        <f t="shared" si="3"/>
        <v>5</v>
      </c>
      <c r="M12">
        <f t="shared" si="4"/>
        <v>2.25</v>
      </c>
    </row>
    <row r="13" spans="1:13" x14ac:dyDescent="0.2">
      <c r="A13" t="s">
        <v>21</v>
      </c>
      <c r="B13" t="s">
        <v>17</v>
      </c>
      <c r="C13" s="2">
        <v>1015</v>
      </c>
      <c r="D13">
        <f t="shared" si="0"/>
        <v>0.20588235294117646</v>
      </c>
      <c r="E13">
        <f t="shared" si="1"/>
        <v>12.867647058823529</v>
      </c>
      <c r="F13">
        <v>12</v>
      </c>
      <c r="G13">
        <f>SUM(1015,875,516,412,317,244,230,142,117,106,101,100)</f>
        <v>4175</v>
      </c>
      <c r="H13">
        <f t="shared" si="2"/>
        <v>0.84685598377281945</v>
      </c>
      <c r="I13">
        <v>5</v>
      </c>
      <c r="J13" t="s">
        <v>74</v>
      </c>
      <c r="K13" t="s">
        <v>93</v>
      </c>
      <c r="L13">
        <f t="shared" si="3"/>
        <v>7</v>
      </c>
      <c r="M13">
        <f t="shared" si="4"/>
        <v>2.4</v>
      </c>
    </row>
    <row r="14" spans="1:13" x14ac:dyDescent="0.2">
      <c r="A14" t="s">
        <v>22</v>
      </c>
      <c r="B14" t="s">
        <v>23</v>
      </c>
      <c r="C14" s="2">
        <v>723</v>
      </c>
      <c r="D14">
        <f t="shared" si="0"/>
        <v>0.14665314401622717</v>
      </c>
      <c r="E14">
        <f t="shared" si="1"/>
        <v>9.1658215010141983</v>
      </c>
      <c r="F14">
        <v>13</v>
      </c>
      <c r="G14">
        <f>SUM(723,526,455,451,309,278,267,253,224,220,210,134,96)</f>
        <v>4146</v>
      </c>
      <c r="H14">
        <f t="shared" si="2"/>
        <v>0.840973630831643</v>
      </c>
      <c r="I14">
        <v>5</v>
      </c>
      <c r="J14" t="s">
        <v>75</v>
      </c>
      <c r="K14" t="s">
        <v>93</v>
      </c>
      <c r="L14">
        <f t="shared" si="3"/>
        <v>8</v>
      </c>
      <c r="M14">
        <f t="shared" si="4"/>
        <v>2.6</v>
      </c>
    </row>
    <row r="15" spans="1:13" x14ac:dyDescent="0.2">
      <c r="A15" t="s">
        <v>12</v>
      </c>
      <c r="B15" t="s">
        <v>11</v>
      </c>
      <c r="C15" s="2">
        <v>1284</v>
      </c>
      <c r="D15">
        <f t="shared" si="0"/>
        <v>0.26044624746450307</v>
      </c>
      <c r="E15">
        <f t="shared" si="1"/>
        <v>16.277890466531442</v>
      </c>
      <c r="F15">
        <v>10</v>
      </c>
      <c r="G15">
        <f>SUM(1284,984,674,577,212,196,149,126,110,95)</f>
        <v>4407</v>
      </c>
      <c r="H15">
        <f t="shared" si="2"/>
        <v>0.89391480730223127</v>
      </c>
      <c r="I15">
        <v>4</v>
      </c>
      <c r="J15" t="s">
        <v>75</v>
      </c>
      <c r="K15" t="s">
        <v>93</v>
      </c>
      <c r="L15">
        <f t="shared" si="3"/>
        <v>6</v>
      </c>
      <c r="M15">
        <f t="shared" si="4"/>
        <v>2.5</v>
      </c>
    </row>
    <row r="16" spans="1:13" x14ac:dyDescent="0.2">
      <c r="A16" t="s">
        <v>14</v>
      </c>
      <c r="B16" t="s">
        <v>24</v>
      </c>
      <c r="C16" s="2">
        <v>1561</v>
      </c>
      <c r="D16">
        <f t="shared" si="0"/>
        <v>0.31663286004056795</v>
      </c>
      <c r="E16">
        <f t="shared" si="1"/>
        <v>19.789553752535497</v>
      </c>
      <c r="F16">
        <v>9</v>
      </c>
      <c r="G16">
        <f>SUM(1561,981,589,451,211,153,139,112,96)</f>
        <v>4293</v>
      </c>
      <c r="H16">
        <f t="shared" si="2"/>
        <v>0.87079107505070996</v>
      </c>
      <c r="I16">
        <v>4</v>
      </c>
      <c r="J16" t="s">
        <v>76</v>
      </c>
      <c r="K16" t="s">
        <v>91</v>
      </c>
      <c r="L16">
        <f t="shared" si="3"/>
        <v>5</v>
      </c>
      <c r="M16">
        <f t="shared" si="4"/>
        <v>2.25</v>
      </c>
    </row>
    <row r="17" spans="1:13" x14ac:dyDescent="0.2">
      <c r="A17" t="s">
        <v>25</v>
      </c>
      <c r="B17" t="s">
        <v>26</v>
      </c>
      <c r="C17" s="2">
        <v>1645</v>
      </c>
      <c r="D17">
        <f t="shared" si="0"/>
        <v>0.33367139959432046</v>
      </c>
      <c r="E17">
        <f t="shared" si="1"/>
        <v>20.854462474645029</v>
      </c>
      <c r="F17">
        <v>9</v>
      </c>
      <c r="G17">
        <f>SUM(1645,893,393,347,225,213,183,118,114)</f>
        <v>4131</v>
      </c>
      <c r="H17">
        <f t="shared" si="2"/>
        <v>0.83793103448275863</v>
      </c>
      <c r="I17">
        <v>4</v>
      </c>
      <c r="J17" t="s">
        <v>75</v>
      </c>
      <c r="K17" t="s">
        <v>93</v>
      </c>
      <c r="L17">
        <f t="shared" si="3"/>
        <v>5</v>
      </c>
      <c r="M17">
        <f t="shared" si="4"/>
        <v>2.25</v>
      </c>
    </row>
    <row r="18" spans="1:13" x14ac:dyDescent="0.2">
      <c r="A18" t="s">
        <v>27</v>
      </c>
      <c r="B18" t="s">
        <v>28</v>
      </c>
      <c r="C18" s="2">
        <v>1110</v>
      </c>
      <c r="D18">
        <f t="shared" si="0"/>
        <v>0.22515212981744423</v>
      </c>
      <c r="E18">
        <f t="shared" si="1"/>
        <v>14.072008113590265</v>
      </c>
      <c r="F18">
        <v>11</v>
      </c>
      <c r="G18">
        <f>SUM(1110,779,642,418,394,156,147,143,141,108)</f>
        <v>4038</v>
      </c>
      <c r="H18">
        <f t="shared" si="2"/>
        <v>0.81906693711967549</v>
      </c>
      <c r="I18">
        <v>6</v>
      </c>
      <c r="J18" t="s">
        <v>77</v>
      </c>
      <c r="K18" t="s">
        <v>91</v>
      </c>
      <c r="L18">
        <f t="shared" si="3"/>
        <v>5</v>
      </c>
      <c r="M18">
        <f t="shared" si="4"/>
        <v>1.8333333333333333</v>
      </c>
    </row>
    <row r="19" spans="1:13" x14ac:dyDescent="0.2">
      <c r="A19" t="s">
        <v>29</v>
      </c>
      <c r="B19" t="s">
        <v>30</v>
      </c>
      <c r="C19" s="2">
        <v>1672</v>
      </c>
      <c r="D19">
        <f t="shared" si="0"/>
        <v>0.33914807302231237</v>
      </c>
      <c r="E19">
        <f t="shared" si="1"/>
        <v>21.196754563894523</v>
      </c>
      <c r="F19">
        <v>9</v>
      </c>
      <c r="G19">
        <f>SUM(1672,691,679,502,358,189,112,107,101)</f>
        <v>4411</v>
      </c>
      <c r="H19">
        <f t="shared" si="2"/>
        <v>0.89472616632860036</v>
      </c>
      <c r="I19">
        <v>5</v>
      </c>
      <c r="J19" t="s">
        <v>78</v>
      </c>
      <c r="K19" t="s">
        <v>91</v>
      </c>
      <c r="L19">
        <f t="shared" si="3"/>
        <v>4</v>
      </c>
      <c r="M19">
        <f t="shared" si="4"/>
        <v>1.8</v>
      </c>
    </row>
    <row r="20" spans="1:13" x14ac:dyDescent="0.2">
      <c r="A20" t="s">
        <v>31</v>
      </c>
      <c r="B20" t="s">
        <v>32</v>
      </c>
      <c r="C20" s="2">
        <v>1889</v>
      </c>
      <c r="D20">
        <f t="shared" si="0"/>
        <v>0.38316430020283976</v>
      </c>
      <c r="E20">
        <f t="shared" si="1"/>
        <v>23.947768762677484</v>
      </c>
      <c r="F20">
        <v>8</v>
      </c>
      <c r="G20">
        <f>SUM(1889,621,555,374,328,173,106,95)</f>
        <v>4141</v>
      </c>
      <c r="H20">
        <f t="shared" si="2"/>
        <v>0.83995943204868151</v>
      </c>
      <c r="I20">
        <v>2</v>
      </c>
      <c r="J20" t="s">
        <v>77</v>
      </c>
      <c r="K20" t="s">
        <v>91</v>
      </c>
      <c r="L20">
        <f t="shared" si="3"/>
        <v>6</v>
      </c>
      <c r="M20">
        <f t="shared" si="4"/>
        <v>4</v>
      </c>
    </row>
    <row r="21" spans="1:13" x14ac:dyDescent="0.2">
      <c r="A21" t="s">
        <v>30</v>
      </c>
      <c r="B21" t="s">
        <v>29</v>
      </c>
      <c r="C21" s="2">
        <v>1482</v>
      </c>
      <c r="D21">
        <f t="shared" si="0"/>
        <v>0.30060851926977689</v>
      </c>
      <c r="E21">
        <f t="shared" si="1"/>
        <v>18.788032454361055</v>
      </c>
      <c r="F21">
        <v>11</v>
      </c>
      <c r="G21">
        <f>SUM(1482,994,580,468,218,160,155,124,99,96,95)</f>
        <v>4471</v>
      </c>
      <c r="H21">
        <f t="shared" si="2"/>
        <v>0.90689655172413797</v>
      </c>
      <c r="I21">
        <v>4</v>
      </c>
      <c r="J21" t="s">
        <v>78</v>
      </c>
      <c r="K21" t="s">
        <v>91</v>
      </c>
      <c r="L21">
        <f t="shared" si="3"/>
        <v>7</v>
      </c>
      <c r="M21">
        <f t="shared" si="4"/>
        <v>2.75</v>
      </c>
    </row>
    <row r="22" spans="1:13" x14ac:dyDescent="0.2">
      <c r="A22" t="s">
        <v>33</v>
      </c>
      <c r="B22" t="s">
        <v>34</v>
      </c>
      <c r="C22" s="2">
        <v>1626</v>
      </c>
      <c r="D22">
        <f t="shared" si="0"/>
        <v>0.32981744421906695</v>
      </c>
      <c r="E22">
        <f t="shared" si="1"/>
        <v>20.613590263691684</v>
      </c>
      <c r="F22">
        <v>9</v>
      </c>
      <c r="G22">
        <f>SUM(1626,590,465,341,241,163,129,119,106)</f>
        <v>3780</v>
      </c>
      <c r="H22">
        <f t="shared" si="2"/>
        <v>0.76673427991886411</v>
      </c>
      <c r="I22">
        <v>5</v>
      </c>
      <c r="J22" t="s">
        <v>79</v>
      </c>
      <c r="K22" t="s">
        <v>93</v>
      </c>
      <c r="L22">
        <f t="shared" si="3"/>
        <v>4</v>
      </c>
      <c r="M22">
        <f t="shared" si="4"/>
        <v>1.8</v>
      </c>
    </row>
    <row r="23" spans="1:13" x14ac:dyDescent="0.2">
      <c r="A23" t="s">
        <v>35</v>
      </c>
      <c r="B23" t="s">
        <v>36</v>
      </c>
      <c r="C23" s="2">
        <v>1301</v>
      </c>
      <c r="D23">
        <f t="shared" si="0"/>
        <v>0.26389452332657198</v>
      </c>
      <c r="E23">
        <f t="shared" si="1"/>
        <v>16.493407707910748</v>
      </c>
      <c r="F23">
        <v>14</v>
      </c>
      <c r="G23">
        <f>SUM(1301,393,359,211,193,153,150,132,132,120,114,109,98)</f>
        <v>3465</v>
      </c>
      <c r="H23">
        <f t="shared" si="2"/>
        <v>0.70283975659229214</v>
      </c>
      <c r="I23">
        <v>3</v>
      </c>
      <c r="J23" t="s">
        <v>79</v>
      </c>
      <c r="K23" t="s">
        <v>93</v>
      </c>
      <c r="L23">
        <f t="shared" si="3"/>
        <v>11</v>
      </c>
      <c r="M23">
        <f t="shared" si="4"/>
        <v>4.666666666666667</v>
      </c>
    </row>
    <row r="24" spans="1:13" x14ac:dyDescent="0.2">
      <c r="A24" t="s">
        <v>37</v>
      </c>
      <c r="B24" t="s">
        <v>38</v>
      </c>
      <c r="C24" s="2">
        <v>853</v>
      </c>
      <c r="D24">
        <f t="shared" si="0"/>
        <v>0.17302231237322516</v>
      </c>
      <c r="E24">
        <f t="shared" si="1"/>
        <v>10.813894523326573</v>
      </c>
      <c r="F24">
        <v>12</v>
      </c>
      <c r="G24">
        <f>SUM(853,742,576,429,317,300,282,203,196,193,116,115)</f>
        <v>4322</v>
      </c>
      <c r="H24">
        <f t="shared" si="2"/>
        <v>0.87667342799188641</v>
      </c>
      <c r="I24">
        <v>3</v>
      </c>
      <c r="J24" t="s">
        <v>79</v>
      </c>
      <c r="K24" t="s">
        <v>93</v>
      </c>
      <c r="L24">
        <f t="shared" si="3"/>
        <v>9</v>
      </c>
      <c r="M24">
        <f t="shared" si="4"/>
        <v>4</v>
      </c>
    </row>
    <row r="25" spans="1:13" x14ac:dyDescent="0.2">
      <c r="A25" t="s">
        <v>34</v>
      </c>
      <c r="B25" t="s">
        <v>33</v>
      </c>
      <c r="C25" s="2">
        <v>1425</v>
      </c>
      <c r="D25">
        <f t="shared" si="0"/>
        <v>0.28904665314401623</v>
      </c>
      <c r="E25">
        <f t="shared" si="1"/>
        <v>18.065415821501013</v>
      </c>
      <c r="F25">
        <v>9</v>
      </c>
      <c r="G25">
        <f>SUM(1425,1145,418,241,240,154,138,128,119)</f>
        <v>4008</v>
      </c>
      <c r="H25">
        <f t="shared" si="2"/>
        <v>0.81298174442190674</v>
      </c>
      <c r="I25">
        <v>3</v>
      </c>
      <c r="J25" t="s">
        <v>79</v>
      </c>
      <c r="K25" t="s">
        <v>93</v>
      </c>
      <c r="L25">
        <f t="shared" si="3"/>
        <v>6</v>
      </c>
      <c r="M25">
        <f t="shared" si="4"/>
        <v>3</v>
      </c>
    </row>
    <row r="26" spans="1:13" x14ac:dyDescent="0.2">
      <c r="A26" t="s">
        <v>28</v>
      </c>
      <c r="B26" t="s">
        <v>27</v>
      </c>
      <c r="C26" s="2">
        <v>908</v>
      </c>
      <c r="D26">
        <f t="shared" si="0"/>
        <v>0.18417849898580121</v>
      </c>
      <c r="E26">
        <f t="shared" si="1"/>
        <v>11.511156186612576</v>
      </c>
      <c r="F26">
        <v>9</v>
      </c>
      <c r="G26">
        <f>SUM(908,829,792,730,188,171,145,104,103)</f>
        <v>3970</v>
      </c>
      <c r="H26">
        <f t="shared" si="2"/>
        <v>0.8052738336713996</v>
      </c>
      <c r="I26">
        <v>4</v>
      </c>
      <c r="J26" t="s">
        <v>73</v>
      </c>
      <c r="K26" t="s">
        <v>91</v>
      </c>
      <c r="L26">
        <f t="shared" si="3"/>
        <v>5</v>
      </c>
      <c r="M26">
        <f t="shared" si="4"/>
        <v>2.25</v>
      </c>
    </row>
    <row r="27" spans="1:13" x14ac:dyDescent="0.2">
      <c r="A27" t="s">
        <v>39</v>
      </c>
      <c r="B27" t="s">
        <v>40</v>
      </c>
      <c r="C27" s="2">
        <v>1085</v>
      </c>
      <c r="D27">
        <f t="shared" si="0"/>
        <v>0.22008113590263692</v>
      </c>
      <c r="E27">
        <f t="shared" si="1"/>
        <v>13.755070993914808</v>
      </c>
      <c r="F27">
        <v>8</v>
      </c>
      <c r="G27">
        <f>SUM(1085,910,606,513,323,137,137,115,99)</f>
        <v>3925</v>
      </c>
      <c r="H27">
        <f t="shared" si="2"/>
        <v>0.79614604462474647</v>
      </c>
      <c r="I27">
        <v>4</v>
      </c>
      <c r="J27" t="s">
        <v>73</v>
      </c>
      <c r="K27" t="s">
        <v>91</v>
      </c>
      <c r="L27">
        <f t="shared" si="3"/>
        <v>4</v>
      </c>
      <c r="M27">
        <f t="shared" si="4"/>
        <v>2</v>
      </c>
    </row>
    <row r="28" spans="1:13" x14ac:dyDescent="0.2">
      <c r="A28" t="s">
        <v>41</v>
      </c>
      <c r="B28" t="s">
        <v>28</v>
      </c>
      <c r="C28" s="2">
        <v>845</v>
      </c>
      <c r="D28">
        <f t="shared" si="0"/>
        <v>0.17139959432048682</v>
      </c>
      <c r="E28">
        <f t="shared" si="1"/>
        <v>10.712474645030426</v>
      </c>
      <c r="F28">
        <v>12</v>
      </c>
      <c r="G28">
        <f>SUM(845,757,567,426,319,279,277,231,219,179,124,112)</f>
        <v>4335</v>
      </c>
      <c r="H28">
        <f t="shared" si="2"/>
        <v>0.87931034482758619</v>
      </c>
      <c r="I28">
        <v>3</v>
      </c>
      <c r="J28" t="s">
        <v>73</v>
      </c>
      <c r="K28" t="s">
        <v>91</v>
      </c>
      <c r="L28">
        <f t="shared" si="3"/>
        <v>9</v>
      </c>
      <c r="M28">
        <f t="shared" si="4"/>
        <v>4</v>
      </c>
    </row>
    <row r="29" spans="1:13" x14ac:dyDescent="0.2">
      <c r="A29" t="s">
        <v>40</v>
      </c>
      <c r="B29" t="s">
        <v>30</v>
      </c>
      <c r="C29" s="2">
        <v>980</v>
      </c>
      <c r="D29">
        <f t="shared" si="0"/>
        <v>0.19878296146044624</v>
      </c>
      <c r="E29">
        <f t="shared" si="1"/>
        <v>12.42393509127789</v>
      </c>
      <c r="F29">
        <v>11</v>
      </c>
      <c r="G29">
        <f>SUM(980,699,692,375,301,292,159,126,114,104,97)</f>
        <v>3939</v>
      </c>
      <c r="H29">
        <f t="shared" si="2"/>
        <v>0.79898580121703855</v>
      </c>
      <c r="I29">
        <v>3</v>
      </c>
      <c r="J29" t="s">
        <v>73</v>
      </c>
      <c r="K29" t="s">
        <v>91</v>
      </c>
      <c r="L29">
        <f t="shared" si="3"/>
        <v>8</v>
      </c>
      <c r="M29">
        <f t="shared" si="4"/>
        <v>3.6666666666666665</v>
      </c>
    </row>
    <row r="30" spans="1:13" x14ac:dyDescent="0.2">
      <c r="A30" t="s">
        <v>42</v>
      </c>
      <c r="B30" t="s">
        <v>27</v>
      </c>
      <c r="C30" s="2">
        <v>1166</v>
      </c>
      <c r="D30">
        <f t="shared" si="0"/>
        <v>0.23651115618661259</v>
      </c>
      <c r="E30">
        <f t="shared" si="1"/>
        <v>14.781947261663287</v>
      </c>
      <c r="F30">
        <v>12</v>
      </c>
      <c r="G30">
        <f>SUM(1166,537,404,352,301,270,248,231,175,145,125,)</f>
        <v>3954</v>
      </c>
      <c r="H30">
        <f t="shared" si="2"/>
        <v>0.80202839756592292</v>
      </c>
      <c r="I30">
        <v>3</v>
      </c>
      <c r="J30" t="s">
        <v>80</v>
      </c>
      <c r="K30" t="s">
        <v>93</v>
      </c>
      <c r="L30">
        <f t="shared" si="3"/>
        <v>9</v>
      </c>
      <c r="M30">
        <f t="shared" si="4"/>
        <v>4</v>
      </c>
    </row>
    <row r="31" spans="1:13" x14ac:dyDescent="0.2">
      <c r="A31" t="s">
        <v>43</v>
      </c>
      <c r="B31" s="2" t="s">
        <v>44</v>
      </c>
      <c r="C31" s="2">
        <v>945</v>
      </c>
      <c r="D31">
        <f t="shared" si="0"/>
        <v>0.19168356997971603</v>
      </c>
      <c r="E31">
        <f t="shared" si="1"/>
        <v>11.980223123732252</v>
      </c>
      <c r="F31">
        <v>11</v>
      </c>
      <c r="G31">
        <f>SUM(945,902,711,410,285,277,222,183,141,132,130)</f>
        <v>4338</v>
      </c>
      <c r="H31">
        <f t="shared" si="2"/>
        <v>0.87991886409736308</v>
      </c>
      <c r="I31">
        <v>3</v>
      </c>
      <c r="J31" t="s">
        <v>80</v>
      </c>
      <c r="K31" t="s">
        <v>93</v>
      </c>
      <c r="L31">
        <f t="shared" si="3"/>
        <v>8</v>
      </c>
      <c r="M31">
        <f t="shared" si="4"/>
        <v>3.6666666666666665</v>
      </c>
    </row>
    <row r="32" spans="1:13" x14ac:dyDescent="0.2">
      <c r="A32" t="s">
        <v>32</v>
      </c>
      <c r="B32" t="s">
        <v>31</v>
      </c>
      <c r="C32" s="2">
        <v>1859</v>
      </c>
      <c r="D32">
        <f t="shared" si="0"/>
        <v>0.37707910750507101</v>
      </c>
      <c r="E32">
        <f t="shared" si="1"/>
        <v>23.567444219066939</v>
      </c>
      <c r="F32">
        <v>9</v>
      </c>
      <c r="G32">
        <f>SUM(1859,619,578,374,319,174,121,103,102)</f>
        <v>4249</v>
      </c>
      <c r="H32">
        <f t="shared" si="2"/>
        <v>0.86186612576064914</v>
      </c>
      <c r="I32">
        <v>2</v>
      </c>
      <c r="J32" t="s">
        <v>80</v>
      </c>
      <c r="K32" t="s">
        <v>93</v>
      </c>
      <c r="L32">
        <f t="shared" si="3"/>
        <v>7</v>
      </c>
      <c r="M32">
        <f t="shared" si="4"/>
        <v>4.5</v>
      </c>
    </row>
    <row r="33" spans="1:13" x14ac:dyDescent="0.2">
      <c r="A33" t="s">
        <v>45</v>
      </c>
      <c r="B33" t="s">
        <v>46</v>
      </c>
      <c r="C33" s="2">
        <v>1503</v>
      </c>
      <c r="D33">
        <f t="shared" si="0"/>
        <v>0.304868154158215</v>
      </c>
      <c r="E33">
        <f t="shared" si="1"/>
        <v>19.054259634888439</v>
      </c>
      <c r="F33">
        <v>10</v>
      </c>
      <c r="G33">
        <f>SUM(1503,1023,348,336,252,204,175,131,111,100)</f>
        <v>4183</v>
      </c>
      <c r="H33">
        <f t="shared" si="2"/>
        <v>0.84847870182555785</v>
      </c>
      <c r="I33">
        <v>8</v>
      </c>
      <c r="J33" t="s">
        <v>80</v>
      </c>
      <c r="K33" t="s">
        <v>93</v>
      </c>
      <c r="L33">
        <f t="shared" si="3"/>
        <v>2</v>
      </c>
      <c r="M33">
        <f t="shared" si="4"/>
        <v>1.25</v>
      </c>
    </row>
    <row r="34" spans="1:13" x14ac:dyDescent="0.2">
      <c r="A34" t="s">
        <v>47</v>
      </c>
      <c r="B34" t="s">
        <v>48</v>
      </c>
      <c r="C34" s="2">
        <v>1415</v>
      </c>
      <c r="D34">
        <f t="shared" ref="D34:D65" si="5">C34/4930</f>
        <v>0.2870182555780933</v>
      </c>
      <c r="E34">
        <f t="shared" ref="E34:E65" si="6">D34/0.016</f>
        <v>17.938640973630832</v>
      </c>
      <c r="F34">
        <v>8</v>
      </c>
      <c r="G34">
        <f>SUM(1415,1014,688,307,218,197,180,119)</f>
        <v>4138</v>
      </c>
      <c r="H34">
        <f t="shared" si="2"/>
        <v>0.83935091277890461</v>
      </c>
      <c r="I34">
        <v>4</v>
      </c>
      <c r="J34" t="s">
        <v>81</v>
      </c>
      <c r="K34" t="s">
        <v>93</v>
      </c>
      <c r="L34">
        <f t="shared" si="3"/>
        <v>4</v>
      </c>
      <c r="M34">
        <f t="shared" si="4"/>
        <v>2</v>
      </c>
    </row>
    <row r="35" spans="1:13" x14ac:dyDescent="0.2">
      <c r="A35" t="s">
        <v>49</v>
      </c>
      <c r="B35" t="s">
        <v>50</v>
      </c>
      <c r="C35" s="2">
        <v>1165</v>
      </c>
      <c r="D35">
        <f t="shared" si="5"/>
        <v>0.23630831643002029</v>
      </c>
      <c r="E35">
        <f t="shared" si="6"/>
        <v>14.769269776876268</v>
      </c>
      <c r="F35">
        <v>11</v>
      </c>
      <c r="G35">
        <f>SUM(1165,790,596,582,243,170,146,143,124,121,97)</f>
        <v>4177</v>
      </c>
      <c r="H35">
        <f t="shared" si="2"/>
        <v>0.84726166328600405</v>
      </c>
      <c r="I35">
        <v>5</v>
      </c>
      <c r="J35" t="s">
        <v>82</v>
      </c>
      <c r="K35" t="s">
        <v>93</v>
      </c>
      <c r="L35">
        <f t="shared" si="3"/>
        <v>6</v>
      </c>
      <c r="M35">
        <f t="shared" si="4"/>
        <v>2.2000000000000002</v>
      </c>
    </row>
    <row r="36" spans="1:13" x14ac:dyDescent="0.2">
      <c r="A36" t="s">
        <v>51</v>
      </c>
      <c r="B36" t="s">
        <v>49</v>
      </c>
      <c r="C36" s="2">
        <v>954</v>
      </c>
      <c r="D36">
        <f t="shared" si="5"/>
        <v>0.19350912778904666</v>
      </c>
      <c r="E36">
        <f t="shared" si="6"/>
        <v>12.094320486815416</v>
      </c>
      <c r="F36">
        <v>11</v>
      </c>
      <c r="G36">
        <f>SUM(954,886,707,390,292,279,224,166,155,132,132)</f>
        <v>4317</v>
      </c>
      <c r="H36">
        <f t="shared" si="2"/>
        <v>0.87565922920892492</v>
      </c>
      <c r="I36">
        <v>3</v>
      </c>
      <c r="J36" t="s">
        <v>81</v>
      </c>
      <c r="K36" t="s">
        <v>93</v>
      </c>
      <c r="L36">
        <f t="shared" si="3"/>
        <v>8</v>
      </c>
      <c r="M36">
        <f t="shared" si="4"/>
        <v>3.6666666666666665</v>
      </c>
    </row>
    <row r="37" spans="1:13" x14ac:dyDescent="0.2">
      <c r="A37" t="s">
        <v>48</v>
      </c>
      <c r="B37" t="s">
        <v>52</v>
      </c>
      <c r="C37" s="2">
        <v>1283</v>
      </c>
      <c r="D37">
        <f t="shared" si="5"/>
        <v>0.26024340770791077</v>
      </c>
      <c r="E37">
        <f t="shared" si="6"/>
        <v>16.265212981744423</v>
      </c>
      <c r="F37">
        <v>9</v>
      </c>
      <c r="G37">
        <f>SUM(1283,965,636,584,194,190,156,149,115)</f>
        <v>4272</v>
      </c>
      <c r="H37">
        <f t="shared" si="2"/>
        <v>0.86653144016227179</v>
      </c>
      <c r="I37">
        <v>4</v>
      </c>
      <c r="J37" t="s">
        <v>82</v>
      </c>
      <c r="K37" t="s">
        <v>93</v>
      </c>
      <c r="L37">
        <f t="shared" si="3"/>
        <v>5</v>
      </c>
      <c r="M37">
        <f t="shared" si="4"/>
        <v>2.25</v>
      </c>
    </row>
    <row r="38" spans="1:13" x14ac:dyDescent="0.2">
      <c r="A38" t="s">
        <v>10</v>
      </c>
      <c r="B38" t="s">
        <v>9</v>
      </c>
      <c r="C38" s="2">
        <v>1249</v>
      </c>
      <c r="D38">
        <f t="shared" si="5"/>
        <v>0.25334685598377282</v>
      </c>
      <c r="E38">
        <f t="shared" si="6"/>
        <v>15.834178498985802</v>
      </c>
      <c r="F38">
        <v>9</v>
      </c>
      <c r="G38">
        <f>SUM(1249,762,534,520,298,214,182,146,109)</f>
        <v>4014</v>
      </c>
      <c r="H38">
        <f t="shared" si="2"/>
        <v>0.81419878296146042</v>
      </c>
      <c r="I38">
        <v>6</v>
      </c>
      <c r="J38" t="s">
        <v>83</v>
      </c>
      <c r="K38" t="s">
        <v>93</v>
      </c>
      <c r="L38">
        <f t="shared" si="3"/>
        <v>3</v>
      </c>
      <c r="M38">
        <f t="shared" si="4"/>
        <v>1.5</v>
      </c>
    </row>
    <row r="39" spans="1:13" x14ac:dyDescent="0.2">
      <c r="A39" t="s">
        <v>53</v>
      </c>
      <c r="B39" t="s">
        <v>44</v>
      </c>
      <c r="C39" s="2">
        <v>1770</v>
      </c>
      <c r="D39">
        <f t="shared" si="5"/>
        <v>0.35902636916835701</v>
      </c>
      <c r="E39">
        <f t="shared" si="6"/>
        <v>22.439148073022313</v>
      </c>
      <c r="F39">
        <v>8</v>
      </c>
      <c r="G39">
        <f>SUM(1770,924,387,282,248,243,111,96)</f>
        <v>4061</v>
      </c>
      <c r="H39">
        <f t="shared" si="2"/>
        <v>0.82373225152129814</v>
      </c>
      <c r="I39">
        <v>4</v>
      </c>
      <c r="J39" t="s">
        <v>83</v>
      </c>
      <c r="K39" t="s">
        <v>93</v>
      </c>
      <c r="L39">
        <f t="shared" si="3"/>
        <v>4</v>
      </c>
      <c r="M39">
        <f t="shared" si="4"/>
        <v>2</v>
      </c>
    </row>
    <row r="40" spans="1:13" x14ac:dyDescent="0.2">
      <c r="A40" t="s">
        <v>54</v>
      </c>
      <c r="B40" t="s">
        <v>13</v>
      </c>
      <c r="C40" s="2">
        <v>1185</v>
      </c>
      <c r="D40">
        <f t="shared" si="5"/>
        <v>0.24036511156186613</v>
      </c>
      <c r="E40">
        <f t="shared" si="6"/>
        <v>15.022819472616632</v>
      </c>
      <c r="F40">
        <v>8</v>
      </c>
      <c r="G40">
        <f>SUM(1185,857,593,472,305,176,142,118)</f>
        <v>3848</v>
      </c>
      <c r="H40">
        <f t="shared" si="2"/>
        <v>0.78052738336714</v>
      </c>
      <c r="I40">
        <v>4</v>
      </c>
      <c r="J40" t="s">
        <v>83</v>
      </c>
      <c r="K40" t="s">
        <v>93</v>
      </c>
      <c r="L40">
        <f t="shared" si="3"/>
        <v>4</v>
      </c>
      <c r="M40">
        <f t="shared" si="4"/>
        <v>2</v>
      </c>
    </row>
    <row r="41" spans="1:13" x14ac:dyDescent="0.2">
      <c r="A41" t="s">
        <v>55</v>
      </c>
      <c r="B41" t="s">
        <v>46</v>
      </c>
      <c r="C41" s="2">
        <v>870</v>
      </c>
      <c r="D41">
        <f t="shared" si="5"/>
        <v>0.17647058823529413</v>
      </c>
      <c r="E41">
        <f t="shared" si="6"/>
        <v>11.029411764705882</v>
      </c>
      <c r="F41">
        <v>7</v>
      </c>
      <c r="G41">
        <f>SUM(870,709,601,583,513,477,363)</f>
        <v>4116</v>
      </c>
      <c r="H41">
        <f t="shared" si="2"/>
        <v>0.83488843813387426</v>
      </c>
      <c r="I41">
        <v>4</v>
      </c>
      <c r="J41" t="s">
        <v>83</v>
      </c>
      <c r="K41" t="s">
        <v>93</v>
      </c>
      <c r="L41">
        <f t="shared" si="3"/>
        <v>3</v>
      </c>
      <c r="M41">
        <f t="shared" si="4"/>
        <v>1.75</v>
      </c>
    </row>
    <row r="42" spans="1:13" x14ac:dyDescent="0.2">
      <c r="A42" t="s">
        <v>56</v>
      </c>
      <c r="B42" t="s">
        <v>52</v>
      </c>
      <c r="C42" s="2">
        <v>1204</v>
      </c>
      <c r="D42">
        <f t="shared" si="5"/>
        <v>0.24421906693711967</v>
      </c>
      <c r="E42">
        <f t="shared" si="6"/>
        <v>15.263691683569979</v>
      </c>
      <c r="F42">
        <v>11</v>
      </c>
      <c r="G42">
        <f>SUM(1204,994,364,319,308,210,183,153,124,119,104)</f>
        <v>4082</v>
      </c>
      <c r="H42">
        <f t="shared" si="2"/>
        <v>0.82799188640973631</v>
      </c>
      <c r="I42">
        <v>3</v>
      </c>
      <c r="J42" t="s">
        <v>84</v>
      </c>
      <c r="K42" t="s">
        <v>93</v>
      </c>
      <c r="L42">
        <f t="shared" si="3"/>
        <v>8</v>
      </c>
      <c r="M42">
        <f t="shared" si="4"/>
        <v>3.6666666666666665</v>
      </c>
    </row>
    <row r="43" spans="1:13" x14ac:dyDescent="0.2">
      <c r="A43" s="2" t="s">
        <v>50</v>
      </c>
      <c r="B43" t="s">
        <v>49</v>
      </c>
      <c r="C43" s="2">
        <v>1775</v>
      </c>
      <c r="D43">
        <f t="shared" si="5"/>
        <v>0.36004056795131845</v>
      </c>
      <c r="E43">
        <f t="shared" si="6"/>
        <v>22.502535496957403</v>
      </c>
      <c r="F43">
        <v>8</v>
      </c>
      <c r="G43">
        <f>SUM(1775,932,377,259,238,235,126,95)</f>
        <v>4037</v>
      </c>
      <c r="H43">
        <f t="shared" si="2"/>
        <v>0.81886409736308319</v>
      </c>
      <c r="I43">
        <v>4</v>
      </c>
      <c r="J43" t="s">
        <v>84</v>
      </c>
      <c r="K43" t="s">
        <v>93</v>
      </c>
      <c r="L43">
        <f t="shared" si="3"/>
        <v>4</v>
      </c>
      <c r="M43">
        <f t="shared" si="4"/>
        <v>2</v>
      </c>
    </row>
    <row r="44" spans="1:13" x14ac:dyDescent="0.2">
      <c r="A44" t="s">
        <v>57</v>
      </c>
      <c r="B44" t="s">
        <v>56</v>
      </c>
      <c r="C44" s="2">
        <v>1301</v>
      </c>
      <c r="D44">
        <f t="shared" si="5"/>
        <v>0.26389452332657198</v>
      </c>
      <c r="E44">
        <f t="shared" si="6"/>
        <v>16.493407707910748</v>
      </c>
      <c r="F44">
        <v>13</v>
      </c>
      <c r="G44">
        <f>SUM(1301,396,361,233,201,169,151,130,125,116,112,111,106)</f>
        <v>3512</v>
      </c>
      <c r="H44">
        <f t="shared" si="2"/>
        <v>0.71237322515212986</v>
      </c>
      <c r="I44">
        <v>3</v>
      </c>
      <c r="J44" t="s">
        <v>84</v>
      </c>
      <c r="K44" t="s">
        <v>93</v>
      </c>
      <c r="L44">
        <f t="shared" si="3"/>
        <v>10</v>
      </c>
      <c r="M44">
        <f t="shared" si="4"/>
        <v>4.333333333333333</v>
      </c>
    </row>
    <row r="45" spans="1:13" x14ac:dyDescent="0.2">
      <c r="A45" t="s">
        <v>52</v>
      </c>
      <c r="B45" t="s">
        <v>48</v>
      </c>
      <c r="C45" s="2">
        <v>1490</v>
      </c>
      <c r="D45">
        <f t="shared" si="5"/>
        <v>0.30223123732251522</v>
      </c>
      <c r="E45">
        <f t="shared" si="6"/>
        <v>18.8894523326572</v>
      </c>
      <c r="F45">
        <v>8</v>
      </c>
      <c r="G45">
        <f>SUM(1490,779,766,394,307,275,182,127)</f>
        <v>4320</v>
      </c>
      <c r="H45">
        <f t="shared" si="2"/>
        <v>0.87626774847870181</v>
      </c>
      <c r="I45">
        <v>7</v>
      </c>
      <c r="J45" t="s">
        <v>84</v>
      </c>
      <c r="K45" t="s">
        <v>93</v>
      </c>
      <c r="L45">
        <f t="shared" si="3"/>
        <v>1</v>
      </c>
      <c r="M45">
        <f t="shared" si="4"/>
        <v>1.1428571428571428</v>
      </c>
    </row>
    <row r="46" spans="1:13" x14ac:dyDescent="0.2">
      <c r="A46" t="s">
        <v>23</v>
      </c>
      <c r="B46" t="s">
        <v>46</v>
      </c>
      <c r="C46" s="2">
        <v>991</v>
      </c>
      <c r="D46">
        <f t="shared" si="5"/>
        <v>0.20101419878296145</v>
      </c>
      <c r="E46">
        <f t="shared" si="6"/>
        <v>12.56338742393509</v>
      </c>
      <c r="F46">
        <v>12</v>
      </c>
      <c r="G46">
        <f>SUM(991,483,459,294,291,280,242,239,170,164,147,120)</f>
        <v>3880</v>
      </c>
      <c r="H46">
        <f t="shared" si="2"/>
        <v>0.78701825557809335</v>
      </c>
      <c r="I46">
        <v>5</v>
      </c>
      <c r="J46" t="s">
        <v>85</v>
      </c>
      <c r="K46" t="s">
        <v>93</v>
      </c>
      <c r="L46">
        <f t="shared" si="3"/>
        <v>7</v>
      </c>
      <c r="M46">
        <f t="shared" si="4"/>
        <v>2.4</v>
      </c>
    </row>
    <row r="47" spans="1:13" x14ac:dyDescent="0.2">
      <c r="A47" t="s">
        <v>44</v>
      </c>
      <c r="B47" t="s">
        <v>53</v>
      </c>
      <c r="C47" s="2">
        <v>1089</v>
      </c>
      <c r="D47">
        <f t="shared" si="5"/>
        <v>0.22089249492900609</v>
      </c>
      <c r="E47">
        <f t="shared" si="6"/>
        <v>13.805780933062881</v>
      </c>
      <c r="F47">
        <v>10</v>
      </c>
      <c r="G47">
        <f>SUM(1089,833,627,620,243,175,150,131,127,107)</f>
        <v>4102</v>
      </c>
      <c r="H47">
        <f t="shared" si="2"/>
        <v>0.83204868154158218</v>
      </c>
      <c r="I47">
        <v>5</v>
      </c>
      <c r="J47" t="s">
        <v>85</v>
      </c>
      <c r="K47" t="s">
        <v>93</v>
      </c>
      <c r="L47">
        <f t="shared" si="3"/>
        <v>5</v>
      </c>
      <c r="M47">
        <f t="shared" si="4"/>
        <v>2</v>
      </c>
    </row>
    <row r="48" spans="1:13" x14ac:dyDescent="0.2">
      <c r="A48" t="s">
        <v>24</v>
      </c>
      <c r="B48" t="s">
        <v>14</v>
      </c>
      <c r="C48" s="2">
        <v>1708</v>
      </c>
      <c r="D48">
        <f t="shared" si="5"/>
        <v>0.34645030425963491</v>
      </c>
      <c r="E48">
        <f t="shared" si="6"/>
        <v>21.653144016227181</v>
      </c>
      <c r="F48">
        <v>9</v>
      </c>
      <c r="G48">
        <f>SUM(1708,686,662,481,356,193,118,109,102)</f>
        <v>4415</v>
      </c>
      <c r="H48">
        <f t="shared" si="2"/>
        <v>0.89553752535496955</v>
      </c>
      <c r="I48">
        <v>6</v>
      </c>
      <c r="J48" t="s">
        <v>85</v>
      </c>
      <c r="K48" t="s">
        <v>93</v>
      </c>
      <c r="L48">
        <f t="shared" si="3"/>
        <v>3</v>
      </c>
      <c r="M48">
        <f t="shared" si="4"/>
        <v>1.5</v>
      </c>
    </row>
    <row r="49" spans="1:13" x14ac:dyDescent="0.2">
      <c r="A49" t="s">
        <v>46</v>
      </c>
      <c r="B49" t="s">
        <v>45</v>
      </c>
      <c r="C49" s="2">
        <v>1261</v>
      </c>
      <c r="D49">
        <f t="shared" si="5"/>
        <v>0.2557809330628803</v>
      </c>
      <c r="E49">
        <f t="shared" si="6"/>
        <v>15.986308316430019</v>
      </c>
      <c r="F49">
        <v>8</v>
      </c>
      <c r="G49">
        <f>SUM(1261,883,538,504,306,283,270,95)</f>
        <v>4140</v>
      </c>
      <c r="H49">
        <f t="shared" si="2"/>
        <v>0.83975659229208921</v>
      </c>
      <c r="I49">
        <v>7</v>
      </c>
      <c r="J49" t="s">
        <v>85</v>
      </c>
      <c r="K49" t="s">
        <v>93</v>
      </c>
      <c r="L49">
        <f t="shared" si="3"/>
        <v>1</v>
      </c>
      <c r="M49">
        <f t="shared" si="4"/>
        <v>1.1428571428571428</v>
      </c>
    </row>
    <row r="50" spans="1:13" x14ac:dyDescent="0.2">
      <c r="A50" t="s">
        <v>58</v>
      </c>
      <c r="B50" t="s">
        <v>59</v>
      </c>
      <c r="C50" s="2">
        <v>1363</v>
      </c>
      <c r="D50">
        <f t="shared" si="5"/>
        <v>0.27647058823529413</v>
      </c>
      <c r="E50">
        <f t="shared" si="6"/>
        <v>17.279411764705884</v>
      </c>
      <c r="F50">
        <v>12</v>
      </c>
      <c r="G50">
        <f>SUM(1363,625,555,277,265,167,160,160,159,107,98,96)</f>
        <v>4032</v>
      </c>
      <c r="H50">
        <f t="shared" si="2"/>
        <v>0.81784989858012169</v>
      </c>
      <c r="I50">
        <v>6</v>
      </c>
      <c r="J50" t="s">
        <v>86</v>
      </c>
      <c r="K50" t="s">
        <v>94</v>
      </c>
      <c r="L50">
        <f t="shared" si="3"/>
        <v>6</v>
      </c>
      <c r="M50">
        <f t="shared" si="4"/>
        <v>2</v>
      </c>
    </row>
    <row r="51" spans="1:13" x14ac:dyDescent="0.2">
      <c r="A51" t="s">
        <v>60</v>
      </c>
      <c r="B51" t="s">
        <v>6</v>
      </c>
      <c r="C51" s="2">
        <v>1036</v>
      </c>
      <c r="D51">
        <f t="shared" si="5"/>
        <v>0.2101419878296146</v>
      </c>
      <c r="E51">
        <f t="shared" si="6"/>
        <v>13.133874239350913</v>
      </c>
      <c r="F51">
        <v>12</v>
      </c>
      <c r="G51">
        <f>SUM(1036,486,439,309,300,299,246,235,170,168,142,116)</f>
        <v>3946</v>
      </c>
      <c r="H51">
        <f t="shared" si="2"/>
        <v>0.80040567951318453</v>
      </c>
      <c r="I51">
        <v>3</v>
      </c>
      <c r="J51" t="s">
        <v>87</v>
      </c>
      <c r="K51" t="s">
        <v>91</v>
      </c>
      <c r="L51">
        <f t="shared" si="3"/>
        <v>9</v>
      </c>
      <c r="M51">
        <f t="shared" si="4"/>
        <v>4</v>
      </c>
    </row>
    <row r="52" spans="1:13" x14ac:dyDescent="0.2">
      <c r="A52" t="s">
        <v>61</v>
      </c>
      <c r="B52" t="s">
        <v>62</v>
      </c>
      <c r="C52" s="2">
        <v>1178</v>
      </c>
      <c r="D52">
        <f t="shared" si="5"/>
        <v>0.23894523326572009</v>
      </c>
      <c r="E52">
        <f t="shared" si="6"/>
        <v>14.934077079107505</v>
      </c>
      <c r="F52">
        <v>12</v>
      </c>
      <c r="G52">
        <f>SUM(1178,532,417,337,325,275,261,242,226,174,163,120)</f>
        <v>4250</v>
      </c>
      <c r="H52">
        <f t="shared" si="2"/>
        <v>0.86206896551724133</v>
      </c>
      <c r="I52">
        <v>3</v>
      </c>
      <c r="J52" t="s">
        <v>86</v>
      </c>
      <c r="K52" t="s">
        <v>94</v>
      </c>
      <c r="L52">
        <f t="shared" si="3"/>
        <v>9</v>
      </c>
      <c r="M52">
        <f t="shared" si="4"/>
        <v>4</v>
      </c>
    </row>
    <row r="53" spans="1:13" x14ac:dyDescent="0.2">
      <c r="A53" t="s">
        <v>63</v>
      </c>
      <c r="B53" t="s">
        <v>60</v>
      </c>
      <c r="C53" s="2">
        <v>711</v>
      </c>
      <c r="D53">
        <f t="shared" si="5"/>
        <v>0.14421906693711967</v>
      </c>
      <c r="E53">
        <f t="shared" si="6"/>
        <v>9.013691683569979</v>
      </c>
      <c r="F53">
        <v>12</v>
      </c>
      <c r="G53">
        <f>SUM(711,514,471,446,307,278,272,243,222,220,205,136)</f>
        <v>4025</v>
      </c>
      <c r="H53">
        <f t="shared" si="2"/>
        <v>0.81643002028397571</v>
      </c>
      <c r="I53">
        <v>5</v>
      </c>
      <c r="J53" t="s">
        <v>87</v>
      </c>
      <c r="K53" t="s">
        <v>91</v>
      </c>
      <c r="L53">
        <f t="shared" si="3"/>
        <v>7</v>
      </c>
      <c r="M53">
        <f t="shared" si="4"/>
        <v>2.4</v>
      </c>
    </row>
    <row r="54" spans="1:13" x14ac:dyDescent="0.2">
      <c r="A54" t="s">
        <v>64</v>
      </c>
      <c r="B54" t="s">
        <v>9</v>
      </c>
      <c r="C54" s="2">
        <v>1153</v>
      </c>
      <c r="D54">
        <f t="shared" si="5"/>
        <v>0.23387423935091278</v>
      </c>
      <c r="E54">
        <f t="shared" si="6"/>
        <v>14.617139959432048</v>
      </c>
      <c r="F54">
        <v>11</v>
      </c>
      <c r="G54">
        <f>SUM(1153,850,550,429,424,340,206,162,131,117,99)</f>
        <v>4461</v>
      </c>
      <c r="H54">
        <f t="shared" si="2"/>
        <v>0.90486815415821498</v>
      </c>
      <c r="I54">
        <v>6</v>
      </c>
      <c r="J54" t="s">
        <v>74</v>
      </c>
      <c r="K54" t="s">
        <v>93</v>
      </c>
      <c r="L54">
        <f t="shared" si="3"/>
        <v>5</v>
      </c>
      <c r="M54">
        <f t="shared" si="4"/>
        <v>1.8333333333333333</v>
      </c>
    </row>
    <row r="55" spans="1:13" x14ac:dyDescent="0.2">
      <c r="A55" t="s">
        <v>36</v>
      </c>
      <c r="B55" t="s">
        <v>11</v>
      </c>
      <c r="C55" s="2">
        <v>1200</v>
      </c>
      <c r="D55">
        <f t="shared" si="5"/>
        <v>0.2434077079107505</v>
      </c>
      <c r="E55">
        <f>D55/0.016</f>
        <v>15.212981744421906</v>
      </c>
      <c r="F55">
        <v>11</v>
      </c>
      <c r="G55">
        <f>SUM(1200,992,381,307,304,196,180,151,120,119,102)</f>
        <v>4052</v>
      </c>
      <c r="H55">
        <f t="shared" si="2"/>
        <v>0.82190669371196756</v>
      </c>
      <c r="I55">
        <v>5</v>
      </c>
      <c r="J55" t="s">
        <v>74</v>
      </c>
      <c r="K55" t="s">
        <v>93</v>
      </c>
      <c r="L55">
        <f t="shared" si="3"/>
        <v>6</v>
      </c>
      <c r="M55">
        <f t="shared" si="4"/>
        <v>2.2000000000000002</v>
      </c>
    </row>
    <row r="56" spans="1:13" x14ac:dyDescent="0.2">
      <c r="A56" t="s">
        <v>38</v>
      </c>
      <c r="B56" t="s">
        <v>62</v>
      </c>
      <c r="C56" s="2">
        <v>896</v>
      </c>
      <c r="D56">
        <f t="shared" si="5"/>
        <v>0.18174442190669371</v>
      </c>
      <c r="E56">
        <f t="shared" si="6"/>
        <v>11.359026369168356</v>
      </c>
      <c r="F56">
        <v>8</v>
      </c>
      <c r="G56">
        <f>SUM(896,795,768,760,203,188,134,106)</f>
        <v>3850</v>
      </c>
      <c r="H56">
        <f t="shared" si="2"/>
        <v>0.78093306288032449</v>
      </c>
      <c r="I56">
        <v>4</v>
      </c>
      <c r="J56" t="s">
        <v>74</v>
      </c>
      <c r="K56" t="s">
        <v>93</v>
      </c>
      <c r="L56">
        <f t="shared" si="3"/>
        <v>4</v>
      </c>
      <c r="M56">
        <f t="shared" si="4"/>
        <v>2</v>
      </c>
    </row>
    <row r="57" spans="1:13" x14ac:dyDescent="0.2">
      <c r="A57" t="s">
        <v>16</v>
      </c>
      <c r="B57" t="s">
        <v>34</v>
      </c>
      <c r="C57" s="2">
        <v>1259</v>
      </c>
      <c r="D57">
        <f t="shared" si="5"/>
        <v>0.25537525354969576</v>
      </c>
      <c r="E57">
        <f t="shared" si="6"/>
        <v>15.960953346855984</v>
      </c>
      <c r="F57">
        <v>10</v>
      </c>
      <c r="G57">
        <f>SUM(1259,747,724,627,347,232,217,163,133,97)</f>
        <v>4546</v>
      </c>
      <c r="H57">
        <f t="shared" si="2"/>
        <v>0.92210953346855984</v>
      </c>
      <c r="I57">
        <v>6</v>
      </c>
      <c r="J57" t="s">
        <v>74</v>
      </c>
      <c r="K57" t="s">
        <v>93</v>
      </c>
      <c r="L57">
        <f t="shared" si="3"/>
        <v>4</v>
      </c>
      <c r="M57">
        <f t="shared" si="4"/>
        <v>1.6666666666666667</v>
      </c>
    </row>
    <row r="58" spans="1:13" x14ac:dyDescent="0.2">
      <c r="A58" t="s">
        <v>65</v>
      </c>
      <c r="B58" t="s">
        <v>66</v>
      </c>
      <c r="C58" s="2">
        <v>1135</v>
      </c>
      <c r="D58">
        <f t="shared" si="5"/>
        <v>0.23022312373225151</v>
      </c>
      <c r="E58">
        <f t="shared" si="6"/>
        <v>14.388945233265719</v>
      </c>
      <c r="F58">
        <v>11</v>
      </c>
      <c r="G58">
        <f>SUM(1135,887,543,440,412,313,213,182,149,115,101)</f>
        <v>4490</v>
      </c>
      <c r="H58">
        <f t="shared" si="2"/>
        <v>0.91075050709939143</v>
      </c>
      <c r="I58">
        <v>6</v>
      </c>
      <c r="J58" t="s">
        <v>86</v>
      </c>
      <c r="K58" t="s">
        <v>94</v>
      </c>
      <c r="L58">
        <f t="shared" si="3"/>
        <v>5</v>
      </c>
      <c r="M58">
        <f t="shared" si="4"/>
        <v>1.8333333333333333</v>
      </c>
    </row>
    <row r="59" spans="1:13" x14ac:dyDescent="0.2">
      <c r="A59" t="s">
        <v>67</v>
      </c>
      <c r="B59" t="s">
        <v>66</v>
      </c>
      <c r="C59" s="2">
        <v>1244</v>
      </c>
      <c r="D59">
        <f t="shared" si="5"/>
        <v>0.25233265720081138</v>
      </c>
      <c r="E59">
        <f t="shared" si="6"/>
        <v>15.770791075050711</v>
      </c>
      <c r="F59">
        <v>9</v>
      </c>
      <c r="G59">
        <f>SUM(1244,745,557,517,311,211,176,123,114)</f>
        <v>3998</v>
      </c>
      <c r="H59">
        <f t="shared" si="2"/>
        <v>0.81095334685598375</v>
      </c>
      <c r="I59">
        <v>6</v>
      </c>
      <c r="J59" t="s">
        <v>88</v>
      </c>
      <c r="K59" t="s">
        <v>91</v>
      </c>
      <c r="L59">
        <f t="shared" si="3"/>
        <v>3</v>
      </c>
      <c r="M59">
        <f t="shared" si="4"/>
        <v>1.5</v>
      </c>
    </row>
    <row r="60" spans="1:13" x14ac:dyDescent="0.2">
      <c r="A60" t="s">
        <v>20</v>
      </c>
      <c r="B60" t="s">
        <v>18</v>
      </c>
      <c r="C60" s="2">
        <v>1688</v>
      </c>
      <c r="D60">
        <f t="shared" si="5"/>
        <v>0.34239350912778904</v>
      </c>
      <c r="E60">
        <f t="shared" si="6"/>
        <v>21.399594320486816</v>
      </c>
      <c r="F60">
        <v>10</v>
      </c>
      <c r="G60">
        <f>SUM(1688,545,462,330,253,153,142,135,106,96)</f>
        <v>3910</v>
      </c>
      <c r="H60">
        <f t="shared" si="2"/>
        <v>0.7931034482758621</v>
      </c>
      <c r="I60">
        <v>5</v>
      </c>
      <c r="J60" t="s">
        <v>89</v>
      </c>
      <c r="K60" t="s">
        <v>91</v>
      </c>
      <c r="L60">
        <f t="shared" si="3"/>
        <v>5</v>
      </c>
      <c r="M60">
        <f t="shared" si="4"/>
        <v>2</v>
      </c>
    </row>
    <row r="61" spans="1:13" x14ac:dyDescent="0.2">
      <c r="A61" t="s">
        <v>66</v>
      </c>
      <c r="B61" t="s">
        <v>67</v>
      </c>
      <c r="C61" s="2">
        <v>1304</v>
      </c>
      <c r="D61">
        <f t="shared" si="5"/>
        <v>0.26450304259634888</v>
      </c>
      <c r="E61">
        <f t="shared" si="6"/>
        <v>16.531440162271803</v>
      </c>
      <c r="F61">
        <v>10</v>
      </c>
      <c r="G61">
        <f>SUM(1304,1108,693,255,180,156,124,109,109,104)</f>
        <v>4142</v>
      </c>
      <c r="H61">
        <f t="shared" si="2"/>
        <v>0.84016227180527381</v>
      </c>
      <c r="I61">
        <v>5</v>
      </c>
      <c r="J61" t="s">
        <v>88</v>
      </c>
      <c r="K61" t="s">
        <v>91</v>
      </c>
      <c r="L61">
        <f t="shared" si="3"/>
        <v>5</v>
      </c>
      <c r="M61">
        <f t="shared" si="4"/>
        <v>2</v>
      </c>
    </row>
    <row r="62" spans="1:13" x14ac:dyDescent="0.2">
      <c r="A62" t="s">
        <v>59</v>
      </c>
      <c r="B62" t="s">
        <v>58</v>
      </c>
      <c r="C62" s="2">
        <v>1348</v>
      </c>
      <c r="D62">
        <f t="shared" si="5"/>
        <v>0.27342799188640976</v>
      </c>
      <c r="E62">
        <f t="shared" si="6"/>
        <v>17.08924949290061</v>
      </c>
      <c r="F62">
        <v>13</v>
      </c>
      <c r="G62">
        <f>SUM(1348,624,551,268,254,191,180,169,166,117,104,101,100)</f>
        <v>4173</v>
      </c>
      <c r="H62">
        <f t="shared" si="2"/>
        <v>0.84645030425963486</v>
      </c>
      <c r="I62">
        <v>5</v>
      </c>
      <c r="J62" t="s">
        <v>80</v>
      </c>
      <c r="K62" t="s">
        <v>93</v>
      </c>
      <c r="L62">
        <f t="shared" si="3"/>
        <v>8</v>
      </c>
      <c r="M62">
        <f t="shared" si="4"/>
        <v>2.6</v>
      </c>
    </row>
    <row r="63" spans="1:13" x14ac:dyDescent="0.2">
      <c r="A63" t="s">
        <v>68</v>
      </c>
      <c r="B63" t="s">
        <v>12</v>
      </c>
      <c r="C63" s="2">
        <v>1404</v>
      </c>
      <c r="D63">
        <f t="shared" si="5"/>
        <v>0.28478701825557812</v>
      </c>
      <c r="E63">
        <f t="shared" si="6"/>
        <v>17.799188640973632</v>
      </c>
      <c r="F63">
        <v>8</v>
      </c>
      <c r="G63">
        <f>SUM(1404,1018,720,305,206,198,151,124)</f>
        <v>4126</v>
      </c>
      <c r="H63">
        <f t="shared" si="2"/>
        <v>0.83691683569979713</v>
      </c>
      <c r="I63">
        <v>9</v>
      </c>
      <c r="J63" t="s">
        <v>90</v>
      </c>
      <c r="K63" t="s">
        <v>91</v>
      </c>
      <c r="L63">
        <f t="shared" si="3"/>
        <v>-1</v>
      </c>
      <c r="M63">
        <f t="shared" si="4"/>
        <v>0.88888888888888884</v>
      </c>
    </row>
    <row r="64" spans="1:13" x14ac:dyDescent="0.2">
      <c r="A64" t="s">
        <v>62</v>
      </c>
      <c r="B64" t="s">
        <v>38</v>
      </c>
      <c r="C64" s="2">
        <v>1123</v>
      </c>
      <c r="D64">
        <f t="shared" si="5"/>
        <v>0.22778904665314401</v>
      </c>
      <c r="E64">
        <f t="shared" si="6"/>
        <v>14.2368154158215</v>
      </c>
      <c r="F64">
        <v>11</v>
      </c>
      <c r="G64">
        <f>SUM(1123,808,657,398,378,175,137,118,111,111,103)</f>
        <v>4119</v>
      </c>
      <c r="H64">
        <f t="shared" si="2"/>
        <v>0.83549695740365115</v>
      </c>
      <c r="I64">
        <v>6</v>
      </c>
      <c r="J64" t="s">
        <v>80</v>
      </c>
      <c r="K64" t="s">
        <v>93</v>
      </c>
      <c r="L64">
        <f t="shared" si="3"/>
        <v>5</v>
      </c>
      <c r="M64">
        <f t="shared" si="4"/>
        <v>1.8333333333333333</v>
      </c>
    </row>
    <row r="65" spans="1:13" x14ac:dyDescent="0.2">
      <c r="A65" t="s">
        <v>26</v>
      </c>
      <c r="B65" t="s">
        <v>25</v>
      </c>
      <c r="C65" s="2">
        <v>2134</v>
      </c>
      <c r="D65">
        <f t="shared" si="5"/>
        <v>0.4328600405679513</v>
      </c>
      <c r="E65">
        <f t="shared" si="6"/>
        <v>27.053752535496955</v>
      </c>
      <c r="F65">
        <v>9</v>
      </c>
      <c r="G65">
        <f>SUM(2134,439,385,295,275,257,210,172,133)</f>
        <v>4300</v>
      </c>
      <c r="H65">
        <f t="shared" si="2"/>
        <v>0.87221095334685594</v>
      </c>
      <c r="I65">
        <v>8</v>
      </c>
      <c r="J65" t="s">
        <v>90</v>
      </c>
      <c r="K65" t="s">
        <v>91</v>
      </c>
      <c r="L65">
        <f t="shared" si="3"/>
        <v>1</v>
      </c>
      <c r="M65">
        <f t="shared" si="4"/>
        <v>1.125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TripletCodeNetwork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Siwo</dc:creator>
  <cp:lastModifiedBy>Geoffrey Siwo</cp:lastModifiedBy>
  <dcterms:created xsi:type="dcterms:W3CDTF">2021-08-24T20:35:51Z</dcterms:created>
  <dcterms:modified xsi:type="dcterms:W3CDTF">2021-09-09T19:02:38Z</dcterms:modified>
</cp:coreProperties>
</file>