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C:\Users\siyam\OneDrive\Documents\ALX Data Analytics\Preparing data\Week 1\Integrated Project - Access To Drinking Water (Part 1)\"/>
    </mc:Choice>
  </mc:AlternateContent>
  <xr:revisionPtr revIDLastSave="0" documentId="13_ncr:1_{FFB305BF-9E5F-466A-BB4C-EBD5749B9D15}" xr6:coauthVersionLast="47" xr6:coauthVersionMax="47" xr10:uidLastSave="{00000000-0000-0000-0000-000000000000}"/>
  <bookViews>
    <workbookView xWindow="-108" yWindow="-108" windowWidth="23256" windowHeight="13176" activeTab="3" xr2:uid="{E7F1A5DE-C7A1-4392-9F60-8D46DD08D757}"/>
  </bookViews>
  <sheets>
    <sheet name="Estimates-on-the-use-of-water-(" sheetId="2" r:id="rId1"/>
    <sheet name="Pivot Tables" sheetId="3" r:id="rId2"/>
    <sheet name="Statistical Analysis" sheetId="6" r:id="rId3"/>
    <sheet name="Dashboard" sheetId="4" r:id="rId4"/>
  </sheets>
  <definedNames>
    <definedName name="ExternalData_1" localSheetId="0" hidden="1">'Estimates-on-the-use-of-water-('!$A$1:$Q$214</definedName>
    <definedName name="Slicer_income_group">#N/A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2" i="6" l="1"/>
  <c r="O12" i="6"/>
  <c r="N12" i="6"/>
  <c r="L12" i="6"/>
  <c r="K12" i="6"/>
  <c r="J12" i="6"/>
  <c r="H12" i="6"/>
  <c r="G12" i="6"/>
  <c r="F12" i="6"/>
  <c r="D12" i="6"/>
  <c r="C12" i="6"/>
  <c r="B12" i="6"/>
  <c r="P11" i="6"/>
  <c r="O11" i="6"/>
  <c r="N11" i="6"/>
  <c r="L11" i="6"/>
  <c r="K11" i="6"/>
  <c r="J11" i="6"/>
  <c r="H11" i="6"/>
  <c r="G11" i="6"/>
  <c r="F11" i="6"/>
  <c r="D11" i="6"/>
  <c r="C11" i="6"/>
  <c r="B11" i="6"/>
  <c r="P10" i="6"/>
  <c r="O10" i="6"/>
  <c r="N10" i="6"/>
  <c r="L10" i="6"/>
  <c r="K10" i="6"/>
  <c r="J10" i="6"/>
  <c r="H10" i="6"/>
  <c r="G10" i="6"/>
  <c r="F10" i="6"/>
  <c r="D10" i="6"/>
  <c r="C10" i="6"/>
  <c r="B10" i="6"/>
  <c r="P9" i="6"/>
  <c r="O9" i="6"/>
  <c r="N9" i="6"/>
  <c r="L9" i="6"/>
  <c r="K9" i="6"/>
  <c r="J9" i="6"/>
  <c r="H9" i="6"/>
  <c r="G9" i="6"/>
  <c r="F9" i="6"/>
  <c r="D9" i="6"/>
  <c r="C9" i="6"/>
  <c r="B9" i="6"/>
  <c r="P8" i="6"/>
  <c r="O8" i="6"/>
  <c r="N8" i="6"/>
  <c r="L8" i="6"/>
  <c r="K8" i="6"/>
  <c r="J8" i="6"/>
  <c r="H8" i="6"/>
  <c r="G8" i="6"/>
  <c r="F8" i="6"/>
  <c r="D8" i="6"/>
  <c r="C8" i="6"/>
  <c r="B8" i="6"/>
  <c r="P7" i="6"/>
  <c r="O7" i="6"/>
  <c r="N7" i="6"/>
  <c r="L7" i="6"/>
  <c r="K7" i="6"/>
  <c r="J7" i="6"/>
  <c r="H7" i="6"/>
  <c r="G7" i="6"/>
  <c r="F7" i="6"/>
  <c r="D7" i="6"/>
  <c r="C7" i="6"/>
  <c r="B7" i="6"/>
  <c r="C2" i="3"/>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D215" i="2"/>
  <c r="B3" i="3" s="1"/>
  <c r="B4" i="3" s="1"/>
  <c r="C215" i="2"/>
  <c r="E215" i="2" l="1"/>
  <c r="C3" i="3"/>
  <c r="C4"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C916E8D-D00E-452B-BE40-DACF09D0B100}" keepAlive="1" name="Query - Estimates-on-the-use-of-water-(2020)-a-3712" description="Connection to the 'Estimates-on-the-use-of-water-(2020)-a-3712' query in the workbook." type="5" refreshedVersion="8" background="1" saveData="1">
    <dbPr connection="Provider=Microsoft.Mashup.OleDb.1;Data Source=$Workbook$;Location=Estimates-on-the-use-of-water-(2020)-a-3712;Extended Properties=&quot;&quot;" command="SELECT * FROM [Estimates-on-the-use-of-water-(2020)-a-3712]"/>
  </connection>
</connections>
</file>

<file path=xl/sharedStrings.xml><?xml version="1.0" encoding="utf-8"?>
<sst xmlns="http://schemas.openxmlformats.org/spreadsheetml/2006/main" count="899" uniqueCount="275">
  <si>
    <t>Tokelau</t>
  </si>
  <si>
    <t>NAN</t>
  </si>
  <si>
    <t>Niue</t>
  </si>
  <si>
    <t>Falkland Islands (Malvinas)</t>
  </si>
  <si>
    <t>Montserrat</t>
  </si>
  <si>
    <t>Saint Pierre and Miquelon</t>
  </si>
  <si>
    <t>Saint Helena</t>
  </si>
  <si>
    <t>Saint Barthelemy</t>
  </si>
  <si>
    <t>Nauru</t>
  </si>
  <si>
    <t>High income</t>
  </si>
  <si>
    <t>Wallis and Futuna Islands</t>
  </si>
  <si>
    <t>Tuvalu</t>
  </si>
  <si>
    <t>Upper middle income</t>
  </si>
  <si>
    <t>Cook Islands</t>
  </si>
  <si>
    <t>Palau</t>
  </si>
  <si>
    <t>British Virgin Islands</t>
  </si>
  <si>
    <t>Gibraltar</t>
  </si>
  <si>
    <t>San Marino</t>
  </si>
  <si>
    <t>Liechtenstein</t>
  </si>
  <si>
    <t>Saint Martin (French part)</t>
  </si>
  <si>
    <t>Monaco</t>
  </si>
  <si>
    <t>Faeroe Islands</t>
  </si>
  <si>
    <t>American Samoa</t>
  </si>
  <si>
    <t>Greenland</t>
  </si>
  <si>
    <t>Northern Mariana Islands</t>
  </si>
  <si>
    <t>Marshall Islands</t>
  </si>
  <si>
    <t>Bermuda</t>
  </si>
  <si>
    <t>Andorra</t>
  </si>
  <si>
    <t>Isle of Man</t>
  </si>
  <si>
    <t>United States Virgin Islands</t>
  </si>
  <si>
    <t>Tonga</t>
  </si>
  <si>
    <t>Kiribati</t>
  </si>
  <si>
    <t>Lower middle income</t>
  </si>
  <si>
    <t>Guam</t>
  </si>
  <si>
    <t>Saint Lucia</t>
  </si>
  <si>
    <t>Samoa</t>
  </si>
  <si>
    <t>Sao Tome and Principe</t>
  </si>
  <si>
    <t>Mayotte</t>
  </si>
  <si>
    <t>French Polynesia</t>
  </si>
  <si>
    <t>New Caledonia</t>
  </si>
  <si>
    <t>Barbados</t>
  </si>
  <si>
    <t>French Guiana</t>
  </si>
  <si>
    <t>Vanuatu</t>
  </si>
  <si>
    <t>Iceland</t>
  </si>
  <si>
    <t>Martinique</t>
  </si>
  <si>
    <t>Belize</t>
  </si>
  <si>
    <t>Guadeloupe</t>
  </si>
  <si>
    <t>Brunei Darussalam</t>
  </si>
  <si>
    <t>Malta</t>
  </si>
  <si>
    <t>Maldives</t>
  </si>
  <si>
    <t>Cabo Verde</t>
  </si>
  <si>
    <t>Suriname</t>
  </si>
  <si>
    <t>Luxembourg</t>
  </si>
  <si>
    <t>Montenegro</t>
  </si>
  <si>
    <t>China, Macao SAR</t>
  </si>
  <si>
    <t>Solomon Islands</t>
  </si>
  <si>
    <t>Bhutan</t>
  </si>
  <si>
    <t>Guyana</t>
  </si>
  <si>
    <t>Réunion</t>
  </si>
  <si>
    <t>Fiji</t>
  </si>
  <si>
    <t>Djibouti</t>
  </si>
  <si>
    <t>Eswatini</t>
  </si>
  <si>
    <t>Cyprus</t>
  </si>
  <si>
    <t>Mauritius</t>
  </si>
  <si>
    <t>Timor-Leste</t>
  </si>
  <si>
    <t>Estonia</t>
  </si>
  <si>
    <t>Trinidad and Tobago</t>
  </si>
  <si>
    <t>Bahrain</t>
  </si>
  <si>
    <t>Latvia</t>
  </si>
  <si>
    <t>Guinea-Bissau</t>
  </si>
  <si>
    <t>Low income</t>
  </si>
  <si>
    <t>Slovenia</t>
  </si>
  <si>
    <t>North Macedonia</t>
  </si>
  <si>
    <t>Lesotho</t>
  </si>
  <si>
    <t>Gabon</t>
  </si>
  <si>
    <t>Botswana</t>
  </si>
  <si>
    <t>Gambia</t>
  </si>
  <si>
    <t>Namibia</t>
  </si>
  <si>
    <t>Lithuania</t>
  </si>
  <si>
    <t>Puerto Rico</t>
  </si>
  <si>
    <t>Albania</t>
  </si>
  <si>
    <t>Qatar</t>
  </si>
  <si>
    <t>Jamaica</t>
  </si>
  <si>
    <t>Armenia</t>
  </si>
  <si>
    <t>Mongolia</t>
  </si>
  <si>
    <t>Bosnia and Herzegovina</t>
  </si>
  <si>
    <t>Uruguay</t>
  </si>
  <si>
    <t>Georgia</t>
  </si>
  <si>
    <t>Republic of Moldova</t>
  </si>
  <si>
    <t>Croatia</t>
  </si>
  <si>
    <t>Kuwait</t>
  </si>
  <si>
    <t>Panama</t>
  </si>
  <si>
    <t>Mauritania</t>
  </si>
  <si>
    <t>New Zealand</t>
  </si>
  <si>
    <t>Central African Republic</t>
  </si>
  <si>
    <t>Ireland</t>
  </si>
  <si>
    <t>Liberia</t>
  </si>
  <si>
    <t>Costa Rica</t>
  </si>
  <si>
    <t>West Bank and Gaza Strip</t>
  </si>
  <si>
    <t>Oman</t>
  </si>
  <si>
    <t>Norway</t>
  </si>
  <si>
    <t>Slovakia</t>
  </si>
  <si>
    <t>Congo</t>
  </si>
  <si>
    <t>Finland</t>
  </si>
  <si>
    <t>Denmark</t>
  </si>
  <si>
    <t>Singapore</t>
  </si>
  <si>
    <t>Turkmenistan</t>
  </si>
  <si>
    <t>El Salvador</t>
  </si>
  <si>
    <t>Kyrgyzstan</t>
  </si>
  <si>
    <t>Nicaragua</t>
  </si>
  <si>
    <t>Lebanon</t>
  </si>
  <si>
    <t>Libya</t>
  </si>
  <si>
    <t>Bulgaria</t>
  </si>
  <si>
    <t>Paraguay</t>
  </si>
  <si>
    <t>Lao People's Democratic Republic</t>
  </si>
  <si>
    <t>China, Hong Kong SAR</t>
  </si>
  <si>
    <t>Sierra Leone</t>
  </si>
  <si>
    <t>Togo</t>
  </si>
  <si>
    <t>Switzerland</t>
  </si>
  <si>
    <t>Israel</t>
  </si>
  <si>
    <t>Serbia</t>
  </si>
  <si>
    <t>Papua New Guinea</t>
  </si>
  <si>
    <t>Austria</t>
  </si>
  <si>
    <t>Belarus</t>
  </si>
  <si>
    <t>Tajikistan</t>
  </si>
  <si>
    <t>Hungary</t>
  </si>
  <si>
    <t>United Arab Emirates</t>
  </si>
  <si>
    <t>Honduras</t>
  </si>
  <si>
    <t>Sweden</t>
  </si>
  <si>
    <t>Azerbaijan</t>
  </si>
  <si>
    <t>Portugal</t>
  </si>
  <si>
    <t>Jordan</t>
  </si>
  <si>
    <t>Greece</t>
  </si>
  <si>
    <t>Czech Republic</t>
  </si>
  <si>
    <t>Dominican Republic</t>
  </si>
  <si>
    <t>South Sudan</t>
  </si>
  <si>
    <t>Cuba</t>
  </si>
  <si>
    <t>Haiti</t>
  </si>
  <si>
    <t>Belgium</t>
  </si>
  <si>
    <t>Bolivia (Plurinational State of)</t>
  </si>
  <si>
    <t>Tunisia</t>
  </si>
  <si>
    <t>Burundi</t>
  </si>
  <si>
    <t>Benin</t>
  </si>
  <si>
    <t>Rwanda</t>
  </si>
  <si>
    <t>Guinea</t>
  </si>
  <si>
    <t>Zimbabwe</t>
  </si>
  <si>
    <t>Somalia</t>
  </si>
  <si>
    <t>Chad</t>
  </si>
  <si>
    <t>Cambodia</t>
  </si>
  <si>
    <t>Senegal</t>
  </si>
  <si>
    <t>Netherlands</t>
  </si>
  <si>
    <t>Syrian Arab Republic</t>
  </si>
  <si>
    <t>Ecuador</t>
  </si>
  <si>
    <t>Guatemala</t>
  </si>
  <si>
    <t>Zambia</t>
  </si>
  <si>
    <t>Kazakhstan</t>
  </si>
  <si>
    <t>Chile</t>
  </si>
  <si>
    <t>Malawi</t>
  </si>
  <si>
    <t>Romania</t>
  </si>
  <si>
    <t>Mali</t>
  </si>
  <si>
    <t>Burkina Faso</t>
  </si>
  <si>
    <t>Sri Lanka</t>
  </si>
  <si>
    <t>Niger</t>
  </si>
  <si>
    <t>Australia</t>
  </si>
  <si>
    <t>Democratic People's Republic of Korea</t>
  </si>
  <si>
    <t>Côte d'Ivoire</t>
  </si>
  <si>
    <t>Cameroon</t>
  </si>
  <si>
    <t>Madagascar</t>
  </si>
  <si>
    <t>Venezuela (Bolivarian Republic of)</t>
  </si>
  <si>
    <t>Nepal</t>
  </si>
  <si>
    <t>Yemen</t>
  </si>
  <si>
    <t>Ghana</t>
  </si>
  <si>
    <t>Mozambique</t>
  </si>
  <si>
    <t>Malaysia</t>
  </si>
  <si>
    <t>Angola</t>
  </si>
  <si>
    <t>Peru</t>
  </si>
  <si>
    <t>Uzbekistan</t>
  </si>
  <si>
    <t>Saudi Arabia</t>
  </si>
  <si>
    <t>Morocco</t>
  </si>
  <si>
    <t>Canada</t>
  </si>
  <si>
    <t>Poland</t>
  </si>
  <si>
    <t>Afghanistan</t>
  </si>
  <si>
    <t>Iraq</t>
  </si>
  <si>
    <t>Ukraine</t>
  </si>
  <si>
    <t>Sudan</t>
  </si>
  <si>
    <t>Algeria</t>
  </si>
  <si>
    <t>Argentina</t>
  </si>
  <si>
    <t>Uganda</t>
  </si>
  <si>
    <t>Spain</t>
  </si>
  <si>
    <t>Colombia</t>
  </si>
  <si>
    <t>Republic of Korea</t>
  </si>
  <si>
    <t>Kenya</t>
  </si>
  <si>
    <t>Myanmar</t>
  </si>
  <si>
    <t>South Africa</t>
  </si>
  <si>
    <t>United Republic of Tanzania</t>
  </si>
  <si>
    <t>Italy</t>
  </si>
  <si>
    <t>France</t>
  </si>
  <si>
    <t>United Kingdom</t>
  </si>
  <si>
    <t>Thailand</t>
  </si>
  <si>
    <t>Germany</t>
  </si>
  <si>
    <t>Iran (Islamic Republic of)</t>
  </si>
  <si>
    <t>Turkey</t>
  </si>
  <si>
    <t>Democratic Republic of the Congo</t>
  </si>
  <si>
    <t>Viet Nam</t>
  </si>
  <si>
    <t>Egypt</t>
  </si>
  <si>
    <t>Philippines</t>
  </si>
  <si>
    <t>Ethiopia</t>
  </si>
  <si>
    <t>Japan</t>
  </si>
  <si>
    <t>Mexico</t>
  </si>
  <si>
    <t>Russian Federation</t>
  </si>
  <si>
    <t>Bangladesh</t>
  </si>
  <si>
    <t>Nigeria</t>
  </si>
  <si>
    <t>Brazil</t>
  </si>
  <si>
    <t>Pakistan</t>
  </si>
  <si>
    <t>Indonesia</t>
  </si>
  <si>
    <t>United States of America</t>
  </si>
  <si>
    <t>India</t>
  </si>
  <si>
    <t>China</t>
  </si>
  <si>
    <t>name</t>
  </si>
  <si>
    <t>income_group</t>
  </si>
  <si>
    <t>pop_n</t>
  </si>
  <si>
    <t>pop_u</t>
  </si>
  <si>
    <t>wat_bas_n</t>
  </si>
  <si>
    <t>wat_lim_n</t>
  </si>
  <si>
    <t>wat_unimp_n</t>
  </si>
  <si>
    <t>wat_sur_n</t>
  </si>
  <si>
    <t>wat_bas_r</t>
  </si>
  <si>
    <t>wat_lim_r</t>
  </si>
  <si>
    <t>wat_unimp_r</t>
  </si>
  <si>
    <t>wat_sur_r</t>
  </si>
  <si>
    <t>wat_bas_u</t>
  </si>
  <si>
    <t>wat_lim_u</t>
  </si>
  <si>
    <t>wat_unimp_u</t>
  </si>
  <si>
    <t>wat_sur_u</t>
  </si>
  <si>
    <t>SUMMARY OF DATASET</t>
  </si>
  <si>
    <t>pop_r</t>
  </si>
  <si>
    <t>pop_u (%)</t>
  </si>
  <si>
    <t>pop_r  (%)</t>
  </si>
  <si>
    <t>Count</t>
  </si>
  <si>
    <t>%</t>
  </si>
  <si>
    <t>pop_n  (1000)</t>
  </si>
  <si>
    <t>VISUALIZATION PAGE</t>
  </si>
  <si>
    <t>Row Labels</t>
  </si>
  <si>
    <t>Grand Total</t>
  </si>
  <si>
    <t>Income Group</t>
  </si>
  <si>
    <t>pop (1000)</t>
  </si>
  <si>
    <t>THE CENTRAL TENDENCY AND SPREADS OF THE NATIONAL SERVICES</t>
  </si>
  <si>
    <t>Min</t>
  </si>
  <si>
    <t>Max</t>
  </si>
  <si>
    <t>Lower Quartile</t>
  </si>
  <si>
    <t>Median</t>
  </si>
  <si>
    <t>Upper Quartile</t>
  </si>
  <si>
    <t>National</t>
  </si>
  <si>
    <t>Urban</t>
  </si>
  <si>
    <t>Rural</t>
  </si>
  <si>
    <t>Basic Services</t>
  </si>
  <si>
    <t>Limited Services</t>
  </si>
  <si>
    <t>Unimproved Services</t>
  </si>
  <si>
    <t>Surface Level Services</t>
  </si>
  <si>
    <t>Mean</t>
  </si>
  <si>
    <t>Average of wat_bas_u</t>
  </si>
  <si>
    <t>Average of wat_bas_r</t>
  </si>
  <si>
    <t>Average of wat_bas_n</t>
  </si>
  <si>
    <t>Average of wat_unimp_n</t>
  </si>
  <si>
    <t>Average of wat_sur_n</t>
  </si>
  <si>
    <t>Average of wat_lim_n</t>
  </si>
  <si>
    <t>Average of wat_lim_r</t>
  </si>
  <si>
    <t>Average of wat_unimp_r</t>
  </si>
  <si>
    <t>Average of wat_sur_r</t>
  </si>
  <si>
    <t>Average of wat_lim_u</t>
  </si>
  <si>
    <t>Average of wat_unimp_u</t>
  </si>
  <si>
    <t>Average of wat_sur_u</t>
  </si>
  <si>
    <t>Values</t>
  </si>
  <si>
    <t>Average of pop_u (%)</t>
  </si>
  <si>
    <t>Average of pop_r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</si>
</sst>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
    <numFmt numFmtId="165" formatCode="0.000000000"/>
  </numFmts>
  <fonts count="4">
    <font>
      <sz val="11"/>
      <color theme="1"/>
      <name val="Aptos Narrow"/>
      <family val="2"/>
      <scheme val="minor"/>
    </font>
    <font>
      <sz val="18"/>
      <color theme="1"/>
      <name val="Aptos Narrow"/>
      <family val="2"/>
      <scheme val="minor"/>
    </font>
    <font>
      <sz val="48"/>
      <color theme="1"/>
      <name val="Algerian"/>
      <family val="5"/>
    </font>
    <font>
      <sz val="14"/>
      <color theme="1"/>
      <name val="Arial Black"/>
      <family val="2"/>
    </font>
  </fonts>
  <fills count="12">
    <fill>
      <patternFill patternType="none"/>
    </fill>
    <fill>
      <patternFill patternType="gray125"/>
    </fill>
    <fill>
      <patternFill patternType="solid">
        <fgColor theme="4" tint="0.39997558519241921"/>
        <bgColor indexed="64"/>
      </patternFill>
    </fill>
    <fill>
      <patternFill patternType="solid">
        <fgColor theme="3" tint="0.749992370372631"/>
        <bgColor indexed="64"/>
      </patternFill>
    </fill>
    <fill>
      <patternFill patternType="solid">
        <fgColor theme="3" tint="0.499984740745262"/>
        <bgColor indexed="64"/>
      </patternFill>
    </fill>
    <fill>
      <patternFill patternType="solid">
        <fgColor theme="3" tint="0.249977111117893"/>
        <bgColor indexed="64"/>
      </patternFill>
    </fill>
    <fill>
      <patternFill patternType="solid">
        <fgColor theme="7" tint="0.39997558519241921"/>
        <bgColor indexed="64"/>
      </patternFill>
    </fill>
    <fill>
      <patternFill patternType="solid">
        <fgColor theme="3" tint="0.89999084444715716"/>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6" tint="0.79998168889431442"/>
        <bgColor indexed="64"/>
      </patternFill>
    </fill>
    <fill>
      <patternFill patternType="solid">
        <fgColor theme="6" tint="0.39997558519241921"/>
        <bgColor indexed="64"/>
      </patternFill>
    </fill>
  </fills>
  <borders count="1">
    <border>
      <left/>
      <right/>
      <top/>
      <bottom/>
      <diagonal/>
    </border>
  </borders>
  <cellStyleXfs count="1">
    <xf numFmtId="0" fontId="0" fillId="0" borderId="0"/>
  </cellStyleXfs>
  <cellXfs count="26">
    <xf numFmtId="0" fontId="0" fillId="0" borderId="0" xfId="0"/>
    <xf numFmtId="0" fontId="0" fillId="0" borderId="0" xfId="0" applyNumberFormat="1"/>
    <xf numFmtId="49" fontId="0" fillId="0" borderId="0" xfId="0" applyNumberFormat="1"/>
    <xf numFmtId="2" fontId="0" fillId="0" borderId="0" xfId="0" applyNumberFormat="1"/>
    <xf numFmtId="164" fontId="0" fillId="0" borderId="0" xfId="0" applyNumberFormat="1"/>
    <xf numFmtId="165" fontId="0" fillId="0" borderId="0" xfId="0" applyNumberFormat="1"/>
    <xf numFmtId="1" fontId="0" fillId="0" borderId="0" xfId="0" applyNumberFormat="1"/>
    <xf numFmtId="0" fontId="0" fillId="2" borderId="0" xfId="0" applyFill="1"/>
    <xf numFmtId="0" fontId="0" fillId="3" borderId="0" xfId="0" applyFill="1"/>
    <xf numFmtId="0" fontId="0" fillId="5" borderId="0" xfId="0" applyFill="1"/>
    <xf numFmtId="0" fontId="0" fillId="2" borderId="0" xfId="0" applyFill="1" applyAlignment="1">
      <alignment horizontal="center"/>
    </xf>
    <xf numFmtId="0" fontId="0" fillId="0" borderId="0" xfId="0" pivotButton="1"/>
    <xf numFmtId="0" fontId="0" fillId="0" borderId="0" xfId="0" applyAlignment="1">
      <alignment horizontal="left"/>
    </xf>
    <xf numFmtId="3" fontId="0" fillId="0" borderId="0" xfId="0" applyNumberFormat="1"/>
    <xf numFmtId="0" fontId="0" fillId="9" borderId="0" xfId="0" applyFill="1"/>
    <xf numFmtId="0" fontId="0" fillId="10" borderId="0" xfId="0" applyFill="1"/>
    <xf numFmtId="0" fontId="0" fillId="11" borderId="0" xfId="0" applyFill="1"/>
    <xf numFmtId="0" fontId="0" fillId="0" borderId="0" xfId="0" applyAlignment="1"/>
    <xf numFmtId="0" fontId="0" fillId="0" borderId="0" xfId="0" applyAlignment="1">
      <alignment horizontal="center"/>
    </xf>
    <xf numFmtId="0" fontId="3" fillId="0" borderId="0" xfId="0" applyFont="1" applyAlignment="1">
      <alignment horizontal="center"/>
    </xf>
    <xf numFmtId="0" fontId="0" fillId="7" borderId="0" xfId="0" applyFill="1" applyAlignment="1">
      <alignment horizontal="center" vertical="center"/>
    </xf>
    <xf numFmtId="0" fontId="1" fillId="8" borderId="0" xfId="0" applyFont="1" applyFill="1" applyAlignment="1">
      <alignment horizontal="center" vertical="center" wrapText="1"/>
    </xf>
    <xf numFmtId="0" fontId="0" fillId="5" borderId="0" xfId="0" applyFill="1" applyAlignment="1">
      <alignment horizontal="center" vertical="center"/>
    </xf>
    <xf numFmtId="0" fontId="0" fillId="4" borderId="0" xfId="0" applyFill="1" applyAlignment="1">
      <alignment horizontal="center" vertical="center"/>
    </xf>
    <xf numFmtId="0" fontId="0" fillId="3" borderId="0" xfId="0" applyFill="1" applyAlignment="1">
      <alignment horizontal="center" vertical="center"/>
    </xf>
    <xf numFmtId="0" fontId="2" fillId="6" borderId="0" xfId="0" applyFont="1" applyFill="1" applyAlignment="1">
      <alignment horizontal="center" vertical="center" wrapText="1"/>
    </xf>
  </cellXfs>
  <cellStyles count="1">
    <cellStyle name="Normal" xfId="0" builtinId="0"/>
  </cellStyles>
  <dxfs count="35">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000000"/>
    </dxf>
    <dxf>
      <numFmt numFmtId="0" formatCode="General"/>
    </dxf>
    <dxf>
      <numFmt numFmtId="164" formatCode="0.00000000"/>
    </dxf>
    <dxf>
      <numFmt numFmtId="164" formatCode="0.00000000"/>
    </dxf>
    <dxf>
      <numFmt numFmtId="164" formatCode="0.00000000"/>
    </dxf>
    <dxf>
      <numFmt numFmtId="164" formatCode="0.00000000"/>
    </dxf>
    <dxf>
      <numFmt numFmtId="165" formatCode="0.000000000"/>
    </dxf>
    <dxf>
      <numFmt numFmtId="165" formatCode="0.000000000"/>
    </dxf>
    <dxf>
      <numFmt numFmtId="30" formatCode="@"/>
    </dxf>
    <dxf>
      <numFmt numFmtId="30" formatCode="@"/>
    </dxf>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Tables!PivotTable10</c:name>
    <c:fmtId val="5"/>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Tables'!$B$15</c:f>
              <c:strCache>
                <c:ptCount val="1"/>
                <c:pt idx="0">
                  <c:v>Average of wat_bas_n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Tables'!$A$16:$A$21</c:f>
              <c:strCache>
                <c:ptCount val="5"/>
                <c:pt idx="0">
                  <c:v>High income</c:v>
                </c:pt>
                <c:pt idx="1">
                  <c:v>Low income</c:v>
                </c:pt>
                <c:pt idx="2">
                  <c:v>Lower middle income</c:v>
                </c:pt>
                <c:pt idx="3">
                  <c:v>NAN</c:v>
                </c:pt>
                <c:pt idx="4">
                  <c:v>Upper middle income</c:v>
                </c:pt>
              </c:strCache>
            </c:strRef>
          </c:cat>
          <c:val>
            <c:numRef>
              <c:f>'Pivot Tables'!$B$16:$B$21</c:f>
              <c:numCache>
                <c:formatCode>General</c:formatCode>
                <c:ptCount val="5"/>
                <c:pt idx="0">
                  <c:v>99.560197920289866</c:v>
                </c:pt>
                <c:pt idx="1">
                  <c:v>62.819373562307696</c:v>
                </c:pt>
                <c:pt idx="2">
                  <c:v>82.210492881153854</c:v>
                </c:pt>
                <c:pt idx="3">
                  <c:v>97.181466202499976</c:v>
                </c:pt>
                <c:pt idx="4">
                  <c:v>96.43047199916667</c:v>
                </c:pt>
              </c:numCache>
            </c:numRef>
          </c:val>
          <c:smooth val="0"/>
          <c:extLst>
            <c:ext xmlns:c16="http://schemas.microsoft.com/office/drawing/2014/chart" uri="{C3380CC4-5D6E-409C-BE32-E72D297353CC}">
              <c16:uniqueId val="{00000002-904C-4163-962E-DF5FE6C6731D}"/>
            </c:ext>
          </c:extLst>
        </c:ser>
        <c:ser>
          <c:idx val="1"/>
          <c:order val="1"/>
          <c:tx>
            <c:strRef>
              <c:f>'Pivot Tables'!$C$15</c:f>
              <c:strCache>
                <c:ptCount val="1"/>
                <c:pt idx="0">
                  <c:v>Average of wat_lim_n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Tables'!$A$16:$A$21</c:f>
              <c:strCache>
                <c:ptCount val="5"/>
                <c:pt idx="0">
                  <c:v>High income</c:v>
                </c:pt>
                <c:pt idx="1">
                  <c:v>Low income</c:v>
                </c:pt>
                <c:pt idx="2">
                  <c:v>Lower middle income</c:v>
                </c:pt>
                <c:pt idx="3">
                  <c:v>NAN</c:v>
                </c:pt>
                <c:pt idx="4">
                  <c:v>Upper middle income</c:v>
                </c:pt>
              </c:strCache>
            </c:strRef>
          </c:cat>
          <c:val>
            <c:numRef>
              <c:f>'Pivot Tables'!$C$16:$C$21</c:f>
              <c:numCache>
                <c:formatCode>General</c:formatCode>
                <c:ptCount val="5"/>
                <c:pt idx="0">
                  <c:v>0.1769010855043478</c:v>
                </c:pt>
                <c:pt idx="1">
                  <c:v>16.548388209046156</c:v>
                </c:pt>
                <c:pt idx="2">
                  <c:v>5.6884250737999995</c:v>
                </c:pt>
                <c:pt idx="3">
                  <c:v>0.14821981431875</c:v>
                </c:pt>
                <c:pt idx="4">
                  <c:v>1.5611895535114373</c:v>
                </c:pt>
              </c:numCache>
            </c:numRef>
          </c:val>
          <c:smooth val="0"/>
          <c:extLst>
            <c:ext xmlns:c16="http://schemas.microsoft.com/office/drawing/2014/chart" uri="{C3380CC4-5D6E-409C-BE32-E72D297353CC}">
              <c16:uniqueId val="{00000004-904C-4163-962E-DF5FE6C6731D}"/>
            </c:ext>
          </c:extLst>
        </c:ser>
        <c:ser>
          <c:idx val="2"/>
          <c:order val="2"/>
          <c:tx>
            <c:strRef>
              <c:f>'Pivot Tables'!$D$15</c:f>
              <c:strCache>
                <c:ptCount val="1"/>
                <c:pt idx="0">
                  <c:v>Average of wat_sur_n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Tables'!$A$16:$A$21</c:f>
              <c:strCache>
                <c:ptCount val="5"/>
                <c:pt idx="0">
                  <c:v>High income</c:v>
                </c:pt>
                <c:pt idx="1">
                  <c:v>Low income</c:v>
                </c:pt>
                <c:pt idx="2">
                  <c:v>Lower middle income</c:v>
                </c:pt>
                <c:pt idx="3">
                  <c:v>NAN</c:v>
                </c:pt>
                <c:pt idx="4">
                  <c:v>Upper middle income</c:v>
                </c:pt>
              </c:strCache>
            </c:strRef>
          </c:cat>
          <c:val>
            <c:numRef>
              <c:f>'Pivot Tables'!$D$16:$D$21</c:f>
              <c:numCache>
                <c:formatCode>General</c:formatCode>
                <c:ptCount val="5"/>
                <c:pt idx="0">
                  <c:v>2.2055377049999998E-2</c:v>
                </c:pt>
                <c:pt idx="1">
                  <c:v>5.4213073930807703</c:v>
                </c:pt>
                <c:pt idx="2">
                  <c:v>4.2853488130380386</c:v>
                </c:pt>
                <c:pt idx="3">
                  <c:v>0.32387942607142856</c:v>
                </c:pt>
                <c:pt idx="4">
                  <c:v>0.5726535551862274</c:v>
                </c:pt>
              </c:numCache>
            </c:numRef>
          </c:val>
          <c:smooth val="0"/>
          <c:extLst>
            <c:ext xmlns:c16="http://schemas.microsoft.com/office/drawing/2014/chart" uri="{C3380CC4-5D6E-409C-BE32-E72D297353CC}">
              <c16:uniqueId val="{00000005-904C-4163-962E-DF5FE6C6731D}"/>
            </c:ext>
          </c:extLst>
        </c:ser>
        <c:ser>
          <c:idx val="3"/>
          <c:order val="3"/>
          <c:tx>
            <c:strRef>
              <c:f>'Pivot Tables'!$E$15</c:f>
              <c:strCache>
                <c:ptCount val="1"/>
                <c:pt idx="0">
                  <c:v>Average of wat_unimp_n</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Tables'!$A$16:$A$21</c:f>
              <c:strCache>
                <c:ptCount val="5"/>
                <c:pt idx="0">
                  <c:v>High income</c:v>
                </c:pt>
                <c:pt idx="1">
                  <c:v>Low income</c:v>
                </c:pt>
                <c:pt idx="2">
                  <c:v>Lower middle income</c:v>
                </c:pt>
                <c:pt idx="3">
                  <c:v>NAN</c:v>
                </c:pt>
                <c:pt idx="4">
                  <c:v>Upper middle income</c:v>
                </c:pt>
              </c:strCache>
            </c:strRef>
          </c:cat>
          <c:val>
            <c:numRef>
              <c:f>'Pivot Tables'!$E$16:$E$21</c:f>
              <c:numCache>
                <c:formatCode>General</c:formatCode>
                <c:ptCount val="5"/>
                <c:pt idx="0">
                  <c:v>0.24084589125997588</c:v>
                </c:pt>
                <c:pt idx="1">
                  <c:v>15.210930834661536</c:v>
                </c:pt>
                <c:pt idx="2">
                  <c:v>7.898143785928653</c:v>
                </c:pt>
                <c:pt idx="3">
                  <c:v>2.3869194850437494</c:v>
                </c:pt>
                <c:pt idx="4">
                  <c:v>1.4834060647462584</c:v>
                </c:pt>
              </c:numCache>
            </c:numRef>
          </c:val>
          <c:smooth val="0"/>
          <c:extLst>
            <c:ext xmlns:c16="http://schemas.microsoft.com/office/drawing/2014/chart" uri="{C3380CC4-5D6E-409C-BE32-E72D297353CC}">
              <c16:uniqueId val="{00000006-904C-4163-962E-DF5FE6C6731D}"/>
            </c:ext>
          </c:extLst>
        </c:ser>
        <c:dLbls>
          <c:showLegendKey val="0"/>
          <c:showVal val="0"/>
          <c:showCatName val="0"/>
          <c:showSerName val="0"/>
          <c:showPercent val="0"/>
          <c:showBubbleSize val="0"/>
        </c:dLbls>
        <c:marker val="1"/>
        <c:smooth val="0"/>
        <c:axId val="58009328"/>
        <c:axId val="58006928"/>
      </c:lineChart>
      <c:catAx>
        <c:axId val="580093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06928"/>
        <c:crosses val="autoZero"/>
        <c:auto val="1"/>
        <c:lblAlgn val="ctr"/>
        <c:lblOffset val="100"/>
        <c:noMultiLvlLbl val="0"/>
      </c:catAx>
      <c:valAx>
        <c:axId val="58006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09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Tables!PivotTable2</c:name>
    <c:fmtId val="5"/>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solidFill>
                  <a:sysClr val="windowText" lastClr="000000"/>
                </a:solidFill>
              </a:rPr>
              <a:t>Populaion Per Income group</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'Pivot Tables'!$A$7:$A$12</c:f>
              <c:strCache>
                <c:ptCount val="5"/>
                <c:pt idx="0">
                  <c:v>High income</c:v>
                </c:pt>
                <c:pt idx="1">
                  <c:v>Low income</c:v>
                </c:pt>
                <c:pt idx="2">
                  <c:v>Lower middle income</c:v>
                </c:pt>
                <c:pt idx="3">
                  <c:v>NAN</c:v>
                </c:pt>
                <c:pt idx="4">
                  <c:v>Upper middle income</c:v>
                </c:pt>
              </c:strCache>
            </c:strRef>
          </c:cat>
          <c:val>
            <c:numRef>
              <c:f>'Pivot Tables'!$B$7:$B$12</c:f>
              <c:numCache>
                <c:formatCode>0</c:formatCode>
                <c:ptCount val="5"/>
                <c:pt idx="0">
                  <c:v>1212076.0675753104</c:v>
                </c:pt>
                <c:pt idx="1">
                  <c:v>590425.16206600005</c:v>
                </c:pt>
                <c:pt idx="2">
                  <c:v>3399310.2309557004</c:v>
                </c:pt>
                <c:pt idx="3">
                  <c:v>37264.340285111997</c:v>
                </c:pt>
                <c:pt idx="4">
                  <c:v>2547619.3068691096</c:v>
                </c:pt>
              </c:numCache>
            </c:numRef>
          </c:val>
          <c:extLst>
            <c:ext xmlns:c16="http://schemas.microsoft.com/office/drawing/2014/chart" uri="{C3380CC4-5D6E-409C-BE32-E72D297353CC}">
              <c16:uniqueId val="{00000000-3643-4D89-A492-EFBEA3AD188E}"/>
            </c:ext>
          </c:extLst>
        </c:ser>
        <c:dLbls>
          <c:showLegendKey val="0"/>
          <c:showVal val="0"/>
          <c:showCatName val="0"/>
          <c:showSerName val="0"/>
          <c:showPercent val="0"/>
          <c:showBubbleSize val="0"/>
        </c:dLbls>
        <c:gapWidth val="100"/>
        <c:overlap val="-24"/>
        <c:axId val="1558328639"/>
        <c:axId val="1788149039"/>
      </c:barChart>
      <c:catAx>
        <c:axId val="1558328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788149039"/>
        <c:crosses val="autoZero"/>
        <c:auto val="1"/>
        <c:lblAlgn val="ctr"/>
        <c:lblOffset val="100"/>
        <c:noMultiLvlLbl val="0"/>
      </c:catAx>
      <c:valAx>
        <c:axId val="17881490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58328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Tables!PivotTable10</c:name>
    <c:fmtId val="63"/>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GB" sz="1200">
                <a:solidFill>
                  <a:sysClr val="windowText" lastClr="000000"/>
                </a:solidFill>
                <a:latin typeface="Arial Black" panose="020B0A04020102020204" pitchFamily="34" charset="0"/>
              </a:rPr>
              <a:t>National Average</a:t>
            </a:r>
            <a:r>
              <a:rPr lang="en-GB" sz="1200" baseline="0">
                <a:solidFill>
                  <a:sysClr val="windowText" lastClr="000000"/>
                </a:solidFill>
                <a:latin typeface="Arial Black" panose="020B0A04020102020204" pitchFamily="34" charset="0"/>
              </a:rPr>
              <a:t> water Access per Income Group</a:t>
            </a:r>
            <a:endParaRPr lang="en-GB" sz="1200">
              <a:solidFill>
                <a:sysClr val="windowText" lastClr="000000"/>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Tables'!$B$15</c:f>
              <c:strCache>
                <c:ptCount val="1"/>
                <c:pt idx="0">
                  <c:v>Average of wat_bas_n</c:v>
                </c:pt>
              </c:strCache>
            </c:strRef>
          </c:tx>
          <c:spPr>
            <a:solidFill>
              <a:schemeClr val="accent1"/>
            </a:solidFill>
            <a:ln>
              <a:noFill/>
            </a:ln>
            <a:effectLst/>
          </c:spPr>
          <c:invertIfNegative val="0"/>
          <c:cat>
            <c:strRef>
              <c:f>'Pivot Tables'!$A$16:$A$21</c:f>
              <c:strCache>
                <c:ptCount val="5"/>
                <c:pt idx="0">
                  <c:v>High income</c:v>
                </c:pt>
                <c:pt idx="1">
                  <c:v>Low income</c:v>
                </c:pt>
                <c:pt idx="2">
                  <c:v>Lower middle income</c:v>
                </c:pt>
                <c:pt idx="3">
                  <c:v>NAN</c:v>
                </c:pt>
                <c:pt idx="4">
                  <c:v>Upper middle income</c:v>
                </c:pt>
              </c:strCache>
            </c:strRef>
          </c:cat>
          <c:val>
            <c:numRef>
              <c:f>'Pivot Tables'!$B$16:$B$21</c:f>
              <c:numCache>
                <c:formatCode>General</c:formatCode>
                <c:ptCount val="5"/>
                <c:pt idx="0">
                  <c:v>99.560197920289866</c:v>
                </c:pt>
                <c:pt idx="1">
                  <c:v>62.819373562307696</c:v>
                </c:pt>
                <c:pt idx="2">
                  <c:v>82.210492881153854</c:v>
                </c:pt>
                <c:pt idx="3">
                  <c:v>97.181466202499976</c:v>
                </c:pt>
                <c:pt idx="4">
                  <c:v>96.43047199916667</c:v>
                </c:pt>
              </c:numCache>
            </c:numRef>
          </c:val>
          <c:extLst>
            <c:ext xmlns:c16="http://schemas.microsoft.com/office/drawing/2014/chart" uri="{C3380CC4-5D6E-409C-BE32-E72D297353CC}">
              <c16:uniqueId val="{00000004-116D-45D2-AFBB-6E6F84828418}"/>
            </c:ext>
          </c:extLst>
        </c:ser>
        <c:ser>
          <c:idx val="1"/>
          <c:order val="1"/>
          <c:tx>
            <c:strRef>
              <c:f>'Pivot Tables'!$C$15</c:f>
              <c:strCache>
                <c:ptCount val="1"/>
                <c:pt idx="0">
                  <c:v>Average of wat_lim_n</c:v>
                </c:pt>
              </c:strCache>
            </c:strRef>
          </c:tx>
          <c:spPr>
            <a:solidFill>
              <a:schemeClr val="accent2"/>
            </a:solidFill>
            <a:ln>
              <a:noFill/>
            </a:ln>
            <a:effectLst/>
          </c:spPr>
          <c:invertIfNegative val="0"/>
          <c:cat>
            <c:strRef>
              <c:f>'Pivot Tables'!$A$16:$A$21</c:f>
              <c:strCache>
                <c:ptCount val="5"/>
                <c:pt idx="0">
                  <c:v>High income</c:v>
                </c:pt>
                <c:pt idx="1">
                  <c:v>Low income</c:v>
                </c:pt>
                <c:pt idx="2">
                  <c:v>Lower middle income</c:v>
                </c:pt>
                <c:pt idx="3">
                  <c:v>NAN</c:v>
                </c:pt>
                <c:pt idx="4">
                  <c:v>Upper middle income</c:v>
                </c:pt>
              </c:strCache>
            </c:strRef>
          </c:cat>
          <c:val>
            <c:numRef>
              <c:f>'Pivot Tables'!$C$16:$C$21</c:f>
              <c:numCache>
                <c:formatCode>General</c:formatCode>
                <c:ptCount val="5"/>
                <c:pt idx="0">
                  <c:v>0.1769010855043478</c:v>
                </c:pt>
                <c:pt idx="1">
                  <c:v>16.548388209046156</c:v>
                </c:pt>
                <c:pt idx="2">
                  <c:v>5.6884250737999995</c:v>
                </c:pt>
                <c:pt idx="3">
                  <c:v>0.14821981431875</c:v>
                </c:pt>
                <c:pt idx="4">
                  <c:v>1.5611895535114373</c:v>
                </c:pt>
              </c:numCache>
            </c:numRef>
          </c:val>
          <c:extLst>
            <c:ext xmlns:c16="http://schemas.microsoft.com/office/drawing/2014/chart" uri="{C3380CC4-5D6E-409C-BE32-E72D297353CC}">
              <c16:uniqueId val="{00000006-116D-45D2-AFBB-6E6F84828418}"/>
            </c:ext>
          </c:extLst>
        </c:ser>
        <c:ser>
          <c:idx val="2"/>
          <c:order val="2"/>
          <c:tx>
            <c:strRef>
              <c:f>'Pivot Tables'!$D$15</c:f>
              <c:strCache>
                <c:ptCount val="1"/>
                <c:pt idx="0">
                  <c:v>Average of wat_sur_n</c:v>
                </c:pt>
              </c:strCache>
            </c:strRef>
          </c:tx>
          <c:spPr>
            <a:solidFill>
              <a:schemeClr val="accent3"/>
            </a:solidFill>
            <a:ln>
              <a:noFill/>
            </a:ln>
            <a:effectLst/>
          </c:spPr>
          <c:invertIfNegative val="0"/>
          <c:cat>
            <c:strRef>
              <c:f>'Pivot Tables'!$A$16:$A$21</c:f>
              <c:strCache>
                <c:ptCount val="5"/>
                <c:pt idx="0">
                  <c:v>High income</c:v>
                </c:pt>
                <c:pt idx="1">
                  <c:v>Low income</c:v>
                </c:pt>
                <c:pt idx="2">
                  <c:v>Lower middle income</c:v>
                </c:pt>
                <c:pt idx="3">
                  <c:v>NAN</c:v>
                </c:pt>
                <c:pt idx="4">
                  <c:v>Upper middle income</c:v>
                </c:pt>
              </c:strCache>
            </c:strRef>
          </c:cat>
          <c:val>
            <c:numRef>
              <c:f>'Pivot Tables'!$D$16:$D$21</c:f>
              <c:numCache>
                <c:formatCode>General</c:formatCode>
                <c:ptCount val="5"/>
                <c:pt idx="0">
                  <c:v>2.2055377049999998E-2</c:v>
                </c:pt>
                <c:pt idx="1">
                  <c:v>5.4213073930807703</c:v>
                </c:pt>
                <c:pt idx="2">
                  <c:v>4.2853488130380386</c:v>
                </c:pt>
                <c:pt idx="3">
                  <c:v>0.32387942607142856</c:v>
                </c:pt>
                <c:pt idx="4">
                  <c:v>0.5726535551862274</c:v>
                </c:pt>
              </c:numCache>
            </c:numRef>
          </c:val>
          <c:extLst>
            <c:ext xmlns:c16="http://schemas.microsoft.com/office/drawing/2014/chart" uri="{C3380CC4-5D6E-409C-BE32-E72D297353CC}">
              <c16:uniqueId val="{00000007-116D-45D2-AFBB-6E6F84828418}"/>
            </c:ext>
          </c:extLst>
        </c:ser>
        <c:ser>
          <c:idx val="3"/>
          <c:order val="3"/>
          <c:tx>
            <c:strRef>
              <c:f>'Pivot Tables'!$E$15</c:f>
              <c:strCache>
                <c:ptCount val="1"/>
                <c:pt idx="0">
                  <c:v>Average of wat_unimp_n</c:v>
                </c:pt>
              </c:strCache>
            </c:strRef>
          </c:tx>
          <c:spPr>
            <a:solidFill>
              <a:schemeClr val="accent4"/>
            </a:solidFill>
            <a:ln>
              <a:noFill/>
            </a:ln>
            <a:effectLst/>
          </c:spPr>
          <c:invertIfNegative val="0"/>
          <c:cat>
            <c:strRef>
              <c:f>'Pivot Tables'!$A$16:$A$21</c:f>
              <c:strCache>
                <c:ptCount val="5"/>
                <c:pt idx="0">
                  <c:v>High income</c:v>
                </c:pt>
                <c:pt idx="1">
                  <c:v>Low income</c:v>
                </c:pt>
                <c:pt idx="2">
                  <c:v>Lower middle income</c:v>
                </c:pt>
                <c:pt idx="3">
                  <c:v>NAN</c:v>
                </c:pt>
                <c:pt idx="4">
                  <c:v>Upper middle income</c:v>
                </c:pt>
              </c:strCache>
            </c:strRef>
          </c:cat>
          <c:val>
            <c:numRef>
              <c:f>'Pivot Tables'!$E$16:$E$21</c:f>
              <c:numCache>
                <c:formatCode>General</c:formatCode>
                <c:ptCount val="5"/>
                <c:pt idx="0">
                  <c:v>0.24084589125997588</c:v>
                </c:pt>
                <c:pt idx="1">
                  <c:v>15.210930834661536</c:v>
                </c:pt>
                <c:pt idx="2">
                  <c:v>7.898143785928653</c:v>
                </c:pt>
                <c:pt idx="3">
                  <c:v>2.3869194850437494</c:v>
                </c:pt>
                <c:pt idx="4">
                  <c:v>1.4834060647462584</c:v>
                </c:pt>
              </c:numCache>
            </c:numRef>
          </c:val>
          <c:extLst>
            <c:ext xmlns:c16="http://schemas.microsoft.com/office/drawing/2014/chart" uri="{C3380CC4-5D6E-409C-BE32-E72D297353CC}">
              <c16:uniqueId val="{00000008-116D-45D2-AFBB-6E6F84828418}"/>
            </c:ext>
          </c:extLst>
        </c:ser>
        <c:dLbls>
          <c:showLegendKey val="0"/>
          <c:showVal val="0"/>
          <c:showCatName val="0"/>
          <c:showSerName val="0"/>
          <c:showPercent val="0"/>
          <c:showBubbleSize val="0"/>
        </c:dLbls>
        <c:gapWidth val="182"/>
        <c:overlap val="100"/>
        <c:axId val="108435440"/>
        <c:axId val="108435920"/>
      </c:barChart>
      <c:catAx>
        <c:axId val="1084354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35920"/>
        <c:crosses val="autoZero"/>
        <c:auto val="1"/>
        <c:lblAlgn val="ctr"/>
        <c:lblOffset val="100"/>
        <c:noMultiLvlLbl val="0"/>
      </c:catAx>
      <c:valAx>
        <c:axId val="10843592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35440"/>
        <c:crosses val="autoZero"/>
        <c:crossBetween val="between"/>
      </c:valAx>
      <c:spPr>
        <a:noFill/>
        <a:ln>
          <a:noFill/>
        </a:ln>
        <a:effectLst/>
      </c:spPr>
    </c:plotArea>
    <c:legend>
      <c:legendPos val="r"/>
      <c:layout>
        <c:manualLayout>
          <c:xMode val="edge"/>
          <c:yMode val="edge"/>
          <c:x val="0.83057548960797278"/>
          <c:y val="0.13522668197472509"/>
          <c:w val="0.15269989485272564"/>
          <c:h val="0.72495855372084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a:latin typeface="Arial Black" panose="020B0A04020102020204" pitchFamily="34" charset="0"/>
              </a:rPr>
              <a:t>Rural Average Water</a:t>
            </a:r>
            <a:r>
              <a:rPr lang="en-GB" sz="1200" baseline="0">
                <a:latin typeface="Arial Black" panose="020B0A04020102020204" pitchFamily="34" charset="0"/>
              </a:rPr>
              <a:t> Access per Income Group</a:t>
            </a:r>
            <a:endParaRPr lang="en-GB" sz="1200">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Tables'!$B$24</c:f>
              <c:strCache>
                <c:ptCount val="1"/>
                <c:pt idx="0">
                  <c:v>Average of wat_bas_r</c:v>
                </c:pt>
              </c:strCache>
            </c:strRef>
          </c:tx>
          <c:spPr>
            <a:solidFill>
              <a:schemeClr val="accent1"/>
            </a:solidFill>
            <a:ln>
              <a:noFill/>
            </a:ln>
            <a:effectLst/>
          </c:spPr>
          <c:invertIfNegative val="0"/>
          <c:cat>
            <c:strRef>
              <c:f>'Pivot Tables'!$A$25:$A$30</c:f>
              <c:strCache>
                <c:ptCount val="5"/>
                <c:pt idx="0">
                  <c:v>High income</c:v>
                </c:pt>
                <c:pt idx="1">
                  <c:v>Low income</c:v>
                </c:pt>
                <c:pt idx="2">
                  <c:v>Lower middle income</c:v>
                </c:pt>
                <c:pt idx="3">
                  <c:v>NAN</c:v>
                </c:pt>
                <c:pt idx="4">
                  <c:v>Upper middle income</c:v>
                </c:pt>
              </c:strCache>
            </c:strRef>
          </c:cat>
          <c:val>
            <c:numRef>
              <c:f>'Pivot Tables'!$B$25:$B$30</c:f>
              <c:numCache>
                <c:formatCode>General</c:formatCode>
                <c:ptCount val="5"/>
                <c:pt idx="0">
                  <c:v>98.508639202162186</c:v>
                </c:pt>
                <c:pt idx="1">
                  <c:v>52.760128536153843</c:v>
                </c:pt>
                <c:pt idx="2">
                  <c:v>72.629934899215684</c:v>
                </c:pt>
                <c:pt idx="3">
                  <c:v>91.070583957500006</c:v>
                </c:pt>
                <c:pt idx="4">
                  <c:v>92.480403221086959</c:v>
                </c:pt>
              </c:numCache>
            </c:numRef>
          </c:val>
          <c:extLst>
            <c:ext xmlns:c16="http://schemas.microsoft.com/office/drawing/2014/chart" uri="{C3380CC4-5D6E-409C-BE32-E72D297353CC}">
              <c16:uniqueId val="{00000000-6A24-4D55-8756-540C604AFA3E}"/>
            </c:ext>
          </c:extLst>
        </c:ser>
        <c:ser>
          <c:idx val="1"/>
          <c:order val="1"/>
          <c:tx>
            <c:strRef>
              <c:f>'Pivot Tables'!$C$24</c:f>
              <c:strCache>
                <c:ptCount val="1"/>
                <c:pt idx="0">
                  <c:v>Average of wat_lim_r</c:v>
                </c:pt>
              </c:strCache>
            </c:strRef>
          </c:tx>
          <c:spPr>
            <a:solidFill>
              <a:schemeClr val="accent2"/>
            </a:solidFill>
            <a:ln>
              <a:noFill/>
            </a:ln>
            <a:effectLst/>
          </c:spPr>
          <c:invertIfNegative val="0"/>
          <c:cat>
            <c:strRef>
              <c:f>'Pivot Tables'!$A$25:$A$30</c:f>
              <c:strCache>
                <c:ptCount val="5"/>
                <c:pt idx="0">
                  <c:v>High income</c:v>
                </c:pt>
                <c:pt idx="1">
                  <c:v>Low income</c:v>
                </c:pt>
                <c:pt idx="2">
                  <c:v>Lower middle income</c:v>
                </c:pt>
                <c:pt idx="3">
                  <c:v>NAN</c:v>
                </c:pt>
                <c:pt idx="4">
                  <c:v>Upper middle income</c:v>
                </c:pt>
              </c:strCache>
            </c:strRef>
          </c:cat>
          <c:val>
            <c:numRef>
              <c:f>'Pivot Tables'!$C$25:$C$30</c:f>
              <c:numCache>
                <c:formatCode>General</c:formatCode>
                <c:ptCount val="5"/>
                <c:pt idx="0">
                  <c:v>0.76008847872972973</c:v>
                </c:pt>
                <c:pt idx="1">
                  <c:v>18.359570261484617</c:v>
                </c:pt>
                <c:pt idx="2">
                  <c:v>6.7852828771156872</c:v>
                </c:pt>
                <c:pt idx="3">
                  <c:v>0.65151762125000001</c:v>
                </c:pt>
                <c:pt idx="4">
                  <c:v>2.240623046415696</c:v>
                </c:pt>
              </c:numCache>
            </c:numRef>
          </c:val>
          <c:extLst>
            <c:ext xmlns:c16="http://schemas.microsoft.com/office/drawing/2014/chart" uri="{C3380CC4-5D6E-409C-BE32-E72D297353CC}">
              <c16:uniqueId val="{00000001-6A24-4D55-8756-540C604AFA3E}"/>
            </c:ext>
          </c:extLst>
        </c:ser>
        <c:ser>
          <c:idx val="2"/>
          <c:order val="2"/>
          <c:tx>
            <c:strRef>
              <c:f>'Pivot Tables'!$D$24</c:f>
              <c:strCache>
                <c:ptCount val="1"/>
                <c:pt idx="0">
                  <c:v>Average of wat_sur_r</c:v>
                </c:pt>
              </c:strCache>
            </c:strRef>
          </c:tx>
          <c:spPr>
            <a:solidFill>
              <a:schemeClr val="accent3"/>
            </a:solidFill>
            <a:ln>
              <a:noFill/>
            </a:ln>
            <a:effectLst/>
          </c:spPr>
          <c:invertIfNegative val="0"/>
          <c:cat>
            <c:strRef>
              <c:f>'Pivot Tables'!$A$25:$A$30</c:f>
              <c:strCache>
                <c:ptCount val="5"/>
                <c:pt idx="0">
                  <c:v>High income</c:v>
                </c:pt>
                <c:pt idx="1">
                  <c:v>Low income</c:v>
                </c:pt>
                <c:pt idx="2">
                  <c:v>Lower middle income</c:v>
                </c:pt>
                <c:pt idx="3">
                  <c:v>NAN</c:v>
                </c:pt>
                <c:pt idx="4">
                  <c:v>Upper middle income</c:v>
                </c:pt>
              </c:strCache>
            </c:strRef>
          </c:cat>
          <c:val>
            <c:numRef>
              <c:f>'Pivot Tables'!$D$25:$D$30</c:f>
              <c:numCache>
                <c:formatCode>General</c:formatCode>
                <c:ptCount val="5"/>
                <c:pt idx="0">
                  <c:v>0.13357458239189191</c:v>
                </c:pt>
                <c:pt idx="1">
                  <c:v>8.2467702616884608</c:v>
                </c:pt>
                <c:pt idx="2">
                  <c:v>7.5154409726744005</c:v>
                </c:pt>
                <c:pt idx="3">
                  <c:v>1.7952267079999999</c:v>
                </c:pt>
                <c:pt idx="4">
                  <c:v>1.6502633469626189</c:v>
                </c:pt>
              </c:numCache>
            </c:numRef>
          </c:val>
          <c:extLst>
            <c:ext xmlns:c16="http://schemas.microsoft.com/office/drawing/2014/chart" uri="{C3380CC4-5D6E-409C-BE32-E72D297353CC}">
              <c16:uniqueId val="{00000002-6A24-4D55-8756-540C604AFA3E}"/>
            </c:ext>
          </c:extLst>
        </c:ser>
        <c:ser>
          <c:idx val="3"/>
          <c:order val="3"/>
          <c:tx>
            <c:strRef>
              <c:f>'Pivot Tables'!$E$24</c:f>
              <c:strCache>
                <c:ptCount val="1"/>
                <c:pt idx="0">
                  <c:v>Average of wat_unimp_r</c:v>
                </c:pt>
              </c:strCache>
            </c:strRef>
          </c:tx>
          <c:spPr>
            <a:solidFill>
              <a:schemeClr val="accent4"/>
            </a:solidFill>
            <a:ln>
              <a:noFill/>
            </a:ln>
            <a:effectLst/>
          </c:spPr>
          <c:invertIfNegative val="0"/>
          <c:cat>
            <c:strRef>
              <c:f>'Pivot Tables'!$A$25:$A$30</c:f>
              <c:strCache>
                <c:ptCount val="5"/>
                <c:pt idx="0">
                  <c:v>High income</c:v>
                </c:pt>
                <c:pt idx="1">
                  <c:v>Low income</c:v>
                </c:pt>
                <c:pt idx="2">
                  <c:v>Lower middle income</c:v>
                </c:pt>
                <c:pt idx="3">
                  <c:v>NAN</c:v>
                </c:pt>
                <c:pt idx="4">
                  <c:v>Upper middle income</c:v>
                </c:pt>
              </c:strCache>
            </c:strRef>
          </c:cat>
          <c:val>
            <c:numRef>
              <c:f>'Pivot Tables'!$E$25:$E$30</c:f>
              <c:numCache>
                <c:formatCode>General</c:formatCode>
                <c:ptCount val="5"/>
                <c:pt idx="0">
                  <c:v>0.59769773679189186</c:v>
                </c:pt>
                <c:pt idx="1">
                  <c:v>20.633530941999997</c:v>
                </c:pt>
                <c:pt idx="2">
                  <c:v>13.216702838</c:v>
                </c:pt>
                <c:pt idx="3">
                  <c:v>6.4826717122250006</c:v>
                </c:pt>
                <c:pt idx="4">
                  <c:v>3.7722115458391308</c:v>
                </c:pt>
              </c:numCache>
            </c:numRef>
          </c:val>
          <c:extLst>
            <c:ext xmlns:c16="http://schemas.microsoft.com/office/drawing/2014/chart" uri="{C3380CC4-5D6E-409C-BE32-E72D297353CC}">
              <c16:uniqueId val="{00000003-6A24-4D55-8756-540C604AFA3E}"/>
            </c:ext>
          </c:extLst>
        </c:ser>
        <c:dLbls>
          <c:showLegendKey val="0"/>
          <c:showVal val="0"/>
          <c:showCatName val="0"/>
          <c:showSerName val="0"/>
          <c:showPercent val="0"/>
          <c:showBubbleSize val="0"/>
        </c:dLbls>
        <c:gapWidth val="219"/>
        <c:overlap val="100"/>
        <c:axId val="790867136"/>
        <c:axId val="790867616"/>
      </c:barChart>
      <c:catAx>
        <c:axId val="790867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867616"/>
        <c:crosses val="autoZero"/>
        <c:auto val="1"/>
        <c:lblAlgn val="ctr"/>
        <c:lblOffset val="100"/>
        <c:noMultiLvlLbl val="0"/>
      </c:catAx>
      <c:valAx>
        <c:axId val="7908676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867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Tables!PivotTable3</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Urban Average Water Access per Income Group</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dLbl>
          <c:idx val="0"/>
          <c:showLegendKey val="1"/>
          <c:showVal val="1"/>
          <c:showCatName val="1"/>
          <c:showSerName val="1"/>
          <c:showPercent val="1"/>
          <c:showBubbleSize val="1"/>
          <c:extLst>
            <c:ext xmlns:c15="http://schemas.microsoft.com/office/drawing/2012/chart" uri="{CE6537A1-D6FC-4f65-9D91-7224C49458BB}"/>
          </c:extLst>
        </c:dLbl>
      </c:pivotFmt>
      <c:pivotFmt>
        <c:idx val="3"/>
        <c:dLbl>
          <c:idx val="0"/>
          <c:showLegendKey val="1"/>
          <c:showVal val="1"/>
          <c:showCatName val="1"/>
          <c:showSerName val="1"/>
          <c:showPercent val="1"/>
          <c:showBubbleSize val="1"/>
          <c:extLst>
            <c:ext xmlns:c15="http://schemas.microsoft.com/office/drawing/2012/chart" uri="{CE6537A1-D6FC-4f65-9D91-7224C49458BB}"/>
          </c:extLst>
        </c:dLbl>
      </c:pivotFmt>
      <c:pivotFmt>
        <c:idx val="4"/>
        <c:dLbl>
          <c:idx val="0"/>
          <c:showLegendKey val="1"/>
          <c:showVal val="1"/>
          <c:showCatName val="1"/>
          <c:showSerName val="1"/>
          <c:showPercent val="1"/>
          <c:showBubbleSize val="1"/>
          <c:extLst>
            <c:ext xmlns:c15="http://schemas.microsoft.com/office/drawing/2012/chart" uri="{CE6537A1-D6FC-4f65-9D91-7224C49458BB}"/>
          </c:extLst>
        </c:dLbl>
      </c:pivotFmt>
      <c:pivotFmt>
        <c:idx val="5"/>
        <c:dLbl>
          <c:idx val="0"/>
          <c:showLegendKey val="1"/>
          <c:showVal val="1"/>
          <c:showCatName val="1"/>
          <c:showSerName val="1"/>
          <c:showPercent val="1"/>
          <c:showBubbleSize val="1"/>
          <c:extLst>
            <c:ext xmlns:c15="http://schemas.microsoft.com/office/drawing/2012/chart" uri="{CE6537A1-D6FC-4f65-9D91-7224C49458BB}"/>
          </c:extLst>
        </c:dLbl>
      </c:pivotFmt>
      <c:pivotFmt>
        <c:idx val="6"/>
        <c:dLbl>
          <c:idx val="0"/>
          <c:showLegendKey val="1"/>
          <c:showVal val="1"/>
          <c:showCatName val="1"/>
          <c:showSerName val="1"/>
          <c:showPercent val="1"/>
          <c:showBubbleSize val="1"/>
          <c:extLst>
            <c:ext xmlns:c15="http://schemas.microsoft.com/office/drawing/2012/chart" uri="{CE6537A1-D6FC-4f65-9D91-7224C49458BB}"/>
          </c:extLst>
        </c:dLbl>
      </c:pivotFmt>
      <c:pivotFmt>
        <c:idx val="7"/>
        <c:dLbl>
          <c:idx val="0"/>
          <c:showLegendKey val="1"/>
          <c:showVal val="1"/>
          <c:showCatName val="1"/>
          <c:showSerName val="1"/>
          <c:showPercent val="1"/>
          <c:showBubbleSize val="1"/>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Tables'!$B$32</c:f>
              <c:strCache>
                <c:ptCount val="1"/>
                <c:pt idx="0">
                  <c:v>Average of wat_bas_u</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Tables'!$A$33:$A$38</c:f>
              <c:strCache>
                <c:ptCount val="5"/>
                <c:pt idx="0">
                  <c:v>High income</c:v>
                </c:pt>
                <c:pt idx="1">
                  <c:v>Low income</c:v>
                </c:pt>
                <c:pt idx="2">
                  <c:v>Lower middle income</c:v>
                </c:pt>
                <c:pt idx="3">
                  <c:v>NAN</c:v>
                </c:pt>
                <c:pt idx="4">
                  <c:v>Upper middle income</c:v>
                </c:pt>
              </c:strCache>
            </c:strRef>
          </c:cat>
          <c:val>
            <c:numRef>
              <c:f>'Pivot Tables'!$B$33:$B$38</c:f>
              <c:numCache>
                <c:formatCode>General</c:formatCode>
                <c:ptCount val="5"/>
                <c:pt idx="0">
                  <c:v>99.707385133750009</c:v>
                </c:pt>
                <c:pt idx="1">
                  <c:v>82.920122014615373</c:v>
                </c:pt>
                <c:pt idx="2">
                  <c:v>92.54865443078431</c:v>
                </c:pt>
                <c:pt idx="3">
                  <c:v>99.769230769999993</c:v>
                </c:pt>
                <c:pt idx="4">
                  <c:v>98.075643166383017</c:v>
                </c:pt>
              </c:numCache>
            </c:numRef>
          </c:val>
          <c:extLst>
            <c:ext xmlns:c16="http://schemas.microsoft.com/office/drawing/2014/chart" uri="{C3380CC4-5D6E-409C-BE32-E72D297353CC}">
              <c16:uniqueId val="{00000000-5BB5-44DE-B04C-A939E7D63EB1}"/>
            </c:ext>
          </c:extLst>
        </c:ser>
        <c:ser>
          <c:idx val="1"/>
          <c:order val="1"/>
          <c:tx>
            <c:strRef>
              <c:f>'Pivot Tables'!$C$32</c:f>
              <c:strCache>
                <c:ptCount val="1"/>
                <c:pt idx="0">
                  <c:v>Average of wat_lim_u</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Tables'!$A$33:$A$38</c:f>
              <c:strCache>
                <c:ptCount val="5"/>
                <c:pt idx="0">
                  <c:v>High income</c:v>
                </c:pt>
                <c:pt idx="1">
                  <c:v>Low income</c:v>
                </c:pt>
                <c:pt idx="2">
                  <c:v>Lower middle income</c:v>
                </c:pt>
                <c:pt idx="3">
                  <c:v>NAN</c:v>
                </c:pt>
                <c:pt idx="4">
                  <c:v>Upper middle income</c:v>
                </c:pt>
              </c:strCache>
            </c:strRef>
          </c:cat>
          <c:val>
            <c:numRef>
              <c:f>'Pivot Tables'!$C$33:$C$38</c:f>
              <c:numCache>
                <c:formatCode>General</c:formatCode>
                <c:ptCount val="5"/>
                <c:pt idx="0">
                  <c:v>0.18566740931666667</c:v>
                </c:pt>
                <c:pt idx="1">
                  <c:v>11.555656644073078</c:v>
                </c:pt>
                <c:pt idx="2">
                  <c:v>4.0351937150307844</c:v>
                </c:pt>
                <c:pt idx="3">
                  <c:v>0.23076923076666667</c:v>
                </c:pt>
                <c:pt idx="4">
                  <c:v>1.2441589118127658</c:v>
                </c:pt>
              </c:numCache>
            </c:numRef>
          </c:val>
          <c:extLst>
            <c:ext xmlns:c16="http://schemas.microsoft.com/office/drawing/2014/chart" uri="{C3380CC4-5D6E-409C-BE32-E72D297353CC}">
              <c16:uniqueId val="{00000001-5BB5-44DE-B04C-A939E7D63EB1}"/>
            </c:ext>
          </c:extLst>
        </c:ser>
        <c:ser>
          <c:idx val="2"/>
          <c:order val="2"/>
          <c:tx>
            <c:strRef>
              <c:f>'Pivot Tables'!$D$32</c:f>
              <c:strCache>
                <c:ptCount val="1"/>
                <c:pt idx="0">
                  <c:v>Average of wat_sur_u</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'Pivot Tables'!$A$33:$A$38</c:f>
              <c:strCache>
                <c:ptCount val="5"/>
                <c:pt idx="0">
                  <c:v>High income</c:v>
                </c:pt>
                <c:pt idx="1">
                  <c:v>Low income</c:v>
                </c:pt>
                <c:pt idx="2">
                  <c:v>Lower middle income</c:v>
                </c:pt>
                <c:pt idx="3">
                  <c:v>NAN</c:v>
                </c:pt>
                <c:pt idx="4">
                  <c:v>Upper middle income</c:v>
                </c:pt>
              </c:strCache>
            </c:strRef>
          </c:cat>
          <c:val>
            <c:numRef>
              <c:f>'Pivot Tables'!$D$33:$D$38</c:f>
              <c:numCache>
                <c:formatCode>General</c:formatCode>
                <c:ptCount val="5"/>
                <c:pt idx="0">
                  <c:v>0</c:v>
                </c:pt>
                <c:pt idx="1">
                  <c:v>0.59588558344423082</c:v>
                </c:pt>
                <c:pt idx="2">
                  <c:v>0.71651424053050006</c:v>
                </c:pt>
                <c:pt idx="3">
                  <c:v>0</c:v>
                </c:pt>
                <c:pt idx="4">
                  <c:v>6.1959366603695651E-2</c:v>
                </c:pt>
              </c:numCache>
            </c:numRef>
          </c:val>
          <c:extLst>
            <c:ext xmlns:c16="http://schemas.microsoft.com/office/drawing/2014/chart" uri="{C3380CC4-5D6E-409C-BE32-E72D297353CC}">
              <c16:uniqueId val="{00000002-5BB5-44DE-B04C-A939E7D63EB1}"/>
            </c:ext>
          </c:extLst>
        </c:ser>
        <c:ser>
          <c:idx val="3"/>
          <c:order val="3"/>
          <c:tx>
            <c:strRef>
              <c:f>'Pivot Tables'!$E$32</c:f>
              <c:strCache>
                <c:ptCount val="1"/>
                <c:pt idx="0">
                  <c:v>Average of wat_unimp_u</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'Pivot Tables'!$A$33:$A$38</c:f>
              <c:strCache>
                <c:ptCount val="5"/>
                <c:pt idx="0">
                  <c:v>High income</c:v>
                </c:pt>
                <c:pt idx="1">
                  <c:v>Low income</c:v>
                </c:pt>
                <c:pt idx="2">
                  <c:v>Lower middle income</c:v>
                </c:pt>
                <c:pt idx="3">
                  <c:v>NAN</c:v>
                </c:pt>
                <c:pt idx="4">
                  <c:v>Upper middle income</c:v>
                </c:pt>
              </c:strCache>
            </c:strRef>
          </c:cat>
          <c:val>
            <c:numRef>
              <c:f>'Pivot Tables'!$E$33:$E$38</c:f>
              <c:numCache>
                <c:formatCode>General</c:formatCode>
                <c:ptCount val="5"/>
                <c:pt idx="0">
                  <c:v>0.10694745691605627</c:v>
                </c:pt>
                <c:pt idx="1">
                  <c:v>4.9283357578615377</c:v>
                </c:pt>
                <c:pt idx="2">
                  <c:v>2.7136869125332543</c:v>
                </c:pt>
                <c:pt idx="3">
                  <c:v>0</c:v>
                </c:pt>
                <c:pt idx="4">
                  <c:v>0.61955684021291502</c:v>
                </c:pt>
              </c:numCache>
            </c:numRef>
          </c:val>
          <c:extLst>
            <c:ext xmlns:c16="http://schemas.microsoft.com/office/drawing/2014/chart" uri="{C3380CC4-5D6E-409C-BE32-E72D297353CC}">
              <c16:uniqueId val="{00000003-5BB5-44DE-B04C-A939E7D63EB1}"/>
            </c:ext>
          </c:extLst>
        </c:ser>
        <c:dLbls>
          <c:showLegendKey val="0"/>
          <c:showVal val="0"/>
          <c:showCatName val="0"/>
          <c:showSerName val="0"/>
          <c:showPercent val="0"/>
          <c:showBubbleSize val="0"/>
        </c:dLbls>
        <c:gapWidth val="150"/>
        <c:overlap val="100"/>
        <c:axId val="790870016"/>
        <c:axId val="790873376"/>
      </c:barChart>
      <c:catAx>
        <c:axId val="79087001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90873376"/>
        <c:crosses val="autoZero"/>
        <c:auto val="1"/>
        <c:lblAlgn val="ctr"/>
        <c:lblOffset val="100"/>
        <c:noMultiLvlLbl val="0"/>
      </c:catAx>
      <c:valAx>
        <c:axId val="79087337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90870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Tables!PivotTable4</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Arial Black" panose="020B0A04020102020204" pitchFamily="34" charset="0"/>
              </a:rPr>
              <a:t>National</a:t>
            </a:r>
            <a:r>
              <a:rPr lang="en-US" sz="1200" baseline="0">
                <a:latin typeface="Arial Black" panose="020B0A04020102020204" pitchFamily="34" charset="0"/>
              </a:rPr>
              <a:t> Average Water Access DIstribution</a:t>
            </a:r>
            <a:endParaRPr lang="en-US" sz="1200">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chemeClr val="accent3">
                <a:lumMod val="20000"/>
                <a:lumOff val="80000"/>
              </a:schemeClr>
            </a:solidFill>
            <a:ln>
              <a:solidFill>
                <a:schemeClr val="tx2">
                  <a:lumMod val="75000"/>
                  <a:lumOff val="2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Basic</a:t>
                </a:r>
                <a:r>
                  <a:rPr lang="en-US" baseline="0"/>
                  <a:t>, </a:t>
                </a:r>
                <a:fld id="{FC34A7CE-2E09-400B-AEF1-BAFB00C908BB}"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rgbClr val="196B24">
                <a:lumMod val="20000"/>
                <a:lumOff val="80000"/>
              </a:srgbClr>
            </a:solidFill>
            <a:ln w="9525" cap="flat" cmpd="sng" algn="ctr">
              <a:solidFill>
                <a:srgbClr val="0E2841">
                  <a:lumMod val="75000"/>
                  <a:lumOff val="25000"/>
                </a:srgb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51026"/>
                    <a:gd name="adj2" fmla="val -190322"/>
                  </a:avLst>
                </a:prstGeom>
                <a:noFill/>
                <a:ln>
                  <a:noFill/>
                </a:ln>
              </c15:spPr>
              <c15:dlblFieldTable/>
              <c15:showDataLabelsRange val="0"/>
            </c:ext>
          </c:extLst>
        </c:dLbl>
      </c:pivotFmt>
      <c:pivotFmt>
        <c:idx val="8"/>
        <c:spPr>
          <a:solidFill>
            <a:schemeClr val="accent1"/>
          </a:solidFill>
          <a:ln w="19050">
            <a:solidFill>
              <a:schemeClr val="lt1"/>
            </a:solidFill>
          </a:ln>
          <a:effectLst/>
        </c:spPr>
        <c:dLbl>
          <c:idx val="0"/>
          <c:layout>
            <c:manualLayout>
              <c:x val="-6.6782594063382342E-2"/>
              <c:y val="0.11076923076923077"/>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Limited</a:t>
                </a:r>
                <a:r>
                  <a:rPr lang="en-US" baseline="0"/>
                  <a:t>, </a:t>
                </a:r>
                <a:fld id="{4F307A02-A872-45DF-9B27-B19F4F1E6B43}"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rgbClr val="196B24">
                <a:lumMod val="20000"/>
                <a:lumOff val="80000"/>
              </a:srgbClr>
            </a:solidFill>
            <a:ln w="9525" cap="flat" cmpd="sng" algn="ctr">
              <a:solidFill>
                <a:srgbClr val="0E2841">
                  <a:lumMod val="75000"/>
                  <a:lumOff val="25000"/>
                </a:srgb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30860"/>
                    <a:gd name="adj2" fmla="val -41698"/>
                  </a:avLst>
                </a:prstGeom>
                <a:noFill/>
                <a:ln>
                  <a:noFill/>
                </a:ln>
              </c15:spPr>
              <c15:dlblFieldTable/>
              <c15:showDataLabelsRange val="0"/>
            </c:ext>
          </c:extLst>
        </c:dLbl>
      </c:pivotFmt>
      <c:pivotFmt>
        <c:idx val="9"/>
        <c:spPr>
          <a:solidFill>
            <a:schemeClr val="accent1"/>
          </a:solidFill>
          <a:ln w="19050">
            <a:solidFill>
              <a:schemeClr val="lt1"/>
            </a:solidFill>
          </a:ln>
          <a:effectLst/>
        </c:spPr>
        <c:dLbl>
          <c:idx val="0"/>
          <c:layout>
            <c:manualLayout>
              <c:x val="-2.9217384902729772E-2"/>
              <c:y val="3.0769230769230626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Surface</a:t>
                </a:r>
                <a:r>
                  <a:rPr lang="en-US" baseline="0"/>
                  <a:t>, </a:t>
                </a:r>
                <a:fld id="{D407CD12-0031-4344-8D62-83F5834FBC1D}"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rgbClr val="196B24">
                <a:lumMod val="20000"/>
                <a:lumOff val="80000"/>
              </a:srgbClr>
            </a:solidFill>
            <a:ln w="9525" cap="flat" cmpd="sng" algn="ctr">
              <a:solidFill>
                <a:srgbClr val="0E2841">
                  <a:lumMod val="75000"/>
                  <a:lumOff val="25000"/>
                </a:srgb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93444"/>
                    <a:gd name="adj2" fmla="val 159112"/>
                  </a:avLst>
                </a:prstGeom>
                <a:noFill/>
                <a:ln>
                  <a:noFill/>
                </a:ln>
              </c15:spPr>
              <c15:dlblFieldTable/>
              <c15:showDataLabelsRange val="0"/>
            </c:ext>
          </c:extLst>
        </c:dLbl>
      </c:pivotFmt>
      <c:pivotFmt>
        <c:idx val="10"/>
        <c:spPr>
          <a:solidFill>
            <a:schemeClr val="accent1"/>
          </a:solidFill>
          <a:ln w="19050">
            <a:solidFill>
              <a:schemeClr val="lt1"/>
            </a:solidFill>
          </a:ln>
          <a:effectLst/>
        </c:spPr>
        <c:dLbl>
          <c:idx val="0"/>
          <c:layout>
            <c:manualLayout>
              <c:x val="0.16303036417776973"/>
              <c:y val="-2.9106281008634206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r>
                  <a:rPr lang="en-US" baseline="0"/>
                  <a:t>Unimproved, </a:t>
                </a:r>
                <a:fld id="{E2A3F9D4-54F1-4BBA-B750-A64E4F99D3CD}"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xfrm>
              <a:off x="3104499" y="308017"/>
              <a:ext cx="1056729" cy="232846"/>
            </a:xfrm>
            <a:solidFill>
              <a:srgbClr val="196B24">
                <a:lumMod val="20000"/>
                <a:lumOff val="80000"/>
              </a:srgbClr>
            </a:solidFill>
            <a:ln w="9525" cap="flat" cmpd="sng" algn="ctr">
              <a:solidFill>
                <a:srgbClr val="0E2841">
                  <a:lumMod val="75000"/>
                  <a:lumOff val="25000"/>
                </a:srgb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69031"/>
                    <a:gd name="adj2" fmla="val 173345"/>
                  </a:avLst>
                </a:prstGeom>
                <a:noFill/>
                <a:ln>
                  <a:noFill/>
                </a:ln>
              </c15:spPr>
              <c15:layout>
                <c:manualLayout>
                  <c:w val="0.17168598749377739"/>
                  <c:h val="5.6145158987970768E-2"/>
                </c:manualLayout>
              </c15:layout>
              <c15:dlblFieldTable/>
              <c15:showDataLabelsRange val="0"/>
            </c:ext>
          </c:extLst>
        </c:dLbl>
      </c:pivotFmt>
      <c:pivotFmt>
        <c:idx val="11"/>
        <c:spPr>
          <a:solidFill>
            <a:schemeClr val="accent1"/>
          </a:solidFill>
          <a:ln w="19050">
            <a:solidFill>
              <a:schemeClr val="lt1"/>
            </a:solidFill>
          </a:ln>
          <a:effectLst/>
        </c:spPr>
        <c:marker>
          <c:symbol val="none"/>
        </c:marker>
        <c:dLbl>
          <c:idx val="0"/>
          <c:spPr>
            <a:solidFill>
              <a:schemeClr val="accent3">
                <a:lumMod val="20000"/>
                <a:lumOff val="80000"/>
              </a:schemeClr>
            </a:solidFill>
            <a:ln>
              <a:solidFill>
                <a:schemeClr val="tx2">
                  <a:lumMod val="75000"/>
                  <a:lumOff val="2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Basic</a:t>
                </a:r>
                <a:r>
                  <a:rPr lang="en-US" baseline="0"/>
                  <a:t>, </a:t>
                </a:r>
                <a:fld id="{FC34A7CE-2E09-400B-AEF1-BAFB00C908BB}"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rgbClr val="196B24">
                <a:lumMod val="20000"/>
                <a:lumOff val="80000"/>
              </a:srgbClr>
            </a:solidFill>
            <a:ln w="9525" cap="flat" cmpd="sng" algn="ctr">
              <a:solidFill>
                <a:srgbClr val="0E2841">
                  <a:lumMod val="75000"/>
                  <a:lumOff val="25000"/>
                </a:srgb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51026"/>
                    <a:gd name="adj2" fmla="val -190322"/>
                  </a:avLst>
                </a:prstGeom>
                <a:noFill/>
                <a:ln>
                  <a:noFill/>
                </a:ln>
              </c15:spPr>
              <c15:dlblFieldTable/>
              <c15:showDataLabelsRange val="0"/>
            </c:ext>
          </c:extLst>
        </c:dLbl>
      </c:pivotFmt>
      <c:pivotFmt>
        <c:idx val="13"/>
        <c:spPr>
          <a:solidFill>
            <a:schemeClr val="accent1"/>
          </a:solidFill>
          <a:ln w="19050">
            <a:solidFill>
              <a:schemeClr val="lt1"/>
            </a:solidFill>
          </a:ln>
          <a:effectLst/>
        </c:spPr>
        <c:dLbl>
          <c:idx val="0"/>
          <c:layout>
            <c:manualLayout>
              <c:x val="-6.6782594063382342E-2"/>
              <c:y val="0.11076923076923077"/>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Limited</a:t>
                </a:r>
                <a:r>
                  <a:rPr lang="en-US" baseline="0"/>
                  <a:t>, </a:t>
                </a:r>
                <a:fld id="{4F307A02-A872-45DF-9B27-B19F4F1E6B43}"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rgbClr val="196B24">
                <a:lumMod val="20000"/>
                <a:lumOff val="80000"/>
              </a:srgbClr>
            </a:solidFill>
            <a:ln w="9525" cap="flat" cmpd="sng" algn="ctr">
              <a:solidFill>
                <a:srgbClr val="0E2841">
                  <a:lumMod val="75000"/>
                  <a:lumOff val="25000"/>
                </a:srgb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30860"/>
                    <a:gd name="adj2" fmla="val -41698"/>
                  </a:avLst>
                </a:prstGeom>
                <a:noFill/>
                <a:ln>
                  <a:noFill/>
                </a:ln>
              </c15:spPr>
              <c15:dlblFieldTable/>
              <c15:showDataLabelsRange val="0"/>
            </c:ext>
          </c:extLst>
        </c:dLbl>
      </c:pivotFmt>
      <c:pivotFmt>
        <c:idx val="14"/>
        <c:spPr>
          <a:solidFill>
            <a:schemeClr val="accent1"/>
          </a:solidFill>
          <a:ln w="19050">
            <a:solidFill>
              <a:schemeClr val="lt1"/>
            </a:solidFill>
          </a:ln>
          <a:effectLst/>
        </c:spPr>
        <c:dLbl>
          <c:idx val="0"/>
          <c:layout>
            <c:manualLayout>
              <c:x val="-2.9217384902729772E-2"/>
              <c:y val="3.0769230769230626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Surface</a:t>
                </a:r>
                <a:r>
                  <a:rPr lang="en-US" baseline="0"/>
                  <a:t>, </a:t>
                </a:r>
                <a:fld id="{D407CD12-0031-4344-8D62-83F5834FBC1D}"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rgbClr val="196B24">
                <a:lumMod val="20000"/>
                <a:lumOff val="80000"/>
              </a:srgbClr>
            </a:solidFill>
            <a:ln w="9525" cap="flat" cmpd="sng" algn="ctr">
              <a:solidFill>
                <a:srgbClr val="0E2841">
                  <a:lumMod val="75000"/>
                  <a:lumOff val="25000"/>
                </a:srgb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93444"/>
                    <a:gd name="adj2" fmla="val 159112"/>
                  </a:avLst>
                </a:prstGeom>
                <a:noFill/>
                <a:ln>
                  <a:noFill/>
                </a:ln>
              </c15:spPr>
              <c15:dlblFieldTable/>
              <c15:showDataLabelsRange val="0"/>
            </c:ext>
          </c:extLst>
        </c:dLbl>
      </c:pivotFmt>
      <c:pivotFmt>
        <c:idx val="15"/>
        <c:spPr>
          <a:solidFill>
            <a:schemeClr val="accent1"/>
          </a:solidFill>
          <a:ln w="19050">
            <a:solidFill>
              <a:schemeClr val="lt1"/>
            </a:solidFill>
          </a:ln>
          <a:effectLst/>
        </c:spPr>
        <c:dLbl>
          <c:idx val="0"/>
          <c:layout>
            <c:manualLayout>
              <c:x val="0.16303036417776973"/>
              <c:y val="-2.9106281008634206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r>
                  <a:rPr lang="en-US" baseline="0"/>
                  <a:t>Unimproved, </a:t>
                </a:r>
                <a:fld id="{E2A3F9D4-54F1-4BBA-B750-A64E4F99D3CD}"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xfrm>
              <a:off x="3104499" y="308017"/>
              <a:ext cx="1056729" cy="232846"/>
            </a:xfrm>
            <a:solidFill>
              <a:srgbClr val="196B24">
                <a:lumMod val="20000"/>
                <a:lumOff val="80000"/>
              </a:srgbClr>
            </a:solidFill>
            <a:ln w="9525" cap="flat" cmpd="sng" algn="ctr">
              <a:solidFill>
                <a:srgbClr val="0E2841">
                  <a:lumMod val="75000"/>
                  <a:lumOff val="25000"/>
                </a:srgb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69031"/>
                    <a:gd name="adj2" fmla="val 173345"/>
                  </a:avLst>
                </a:prstGeom>
                <a:noFill/>
                <a:ln>
                  <a:noFill/>
                </a:ln>
              </c15:spPr>
              <c15:layout>
                <c:manualLayout>
                  <c:w val="0.17168598749377739"/>
                  <c:h val="5.6145158987970768E-2"/>
                </c:manualLayout>
              </c15:layout>
              <c15:dlblFieldTable/>
              <c15:showDataLabelsRange val="0"/>
            </c:ext>
          </c:extLst>
        </c:dLbl>
      </c:pivotFmt>
      <c:pivotFmt>
        <c:idx val="16"/>
        <c:spPr>
          <a:solidFill>
            <a:schemeClr val="accent1"/>
          </a:solidFill>
          <a:ln w="19050">
            <a:solidFill>
              <a:schemeClr val="lt1"/>
            </a:solidFill>
          </a:ln>
          <a:effectLst/>
        </c:spPr>
        <c:marker>
          <c:symbol val="none"/>
        </c:marke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'Pivot Tables'!$B$41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ADF-4A05-9BE9-916E0F14EC7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ADF-4A05-9BE9-916E0F14EC7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ADF-4A05-9BE9-916E0F14EC7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ADF-4A05-9BE9-916E0F14EC76}"/>
              </c:ext>
            </c:extLst>
          </c:dPt>
          <c:cat>
            <c:strRef>
              <c:f>'Pivot Tables'!$A$42:$A$45</c:f>
              <c:strCache>
                <c:ptCount val="4"/>
                <c:pt idx="0">
                  <c:v>Average of wat_bas_n</c:v>
                </c:pt>
                <c:pt idx="1">
                  <c:v>Average of wat_lim_n</c:v>
                </c:pt>
                <c:pt idx="2">
                  <c:v>Average of wat_sur_n</c:v>
                </c:pt>
                <c:pt idx="3">
                  <c:v>Average of wat_unimp_n</c:v>
                </c:pt>
              </c:strCache>
            </c:strRef>
          </c:cat>
          <c:val>
            <c:numRef>
              <c:f>'Pivot Tables'!$B$42:$B$45</c:f>
              <c:numCache>
                <c:formatCode>General</c:formatCode>
                <c:ptCount val="4"/>
                <c:pt idx="0">
                  <c:v>89.864782531469189</c:v>
                </c:pt>
                <c:pt idx="1">
                  <c:v>3.8652653448826966</c:v>
                </c:pt>
                <c:pt idx="2">
                  <c:v>1.9154885837974707</c:v>
                </c:pt>
                <c:pt idx="3">
                  <c:v>4.4180106537201365</c:v>
                </c:pt>
              </c:numCache>
            </c:numRef>
          </c:val>
          <c:extLst>
            <c:ext xmlns:c16="http://schemas.microsoft.com/office/drawing/2014/chart" uri="{C3380CC4-5D6E-409C-BE32-E72D297353CC}">
              <c16:uniqueId val="{00000008-1ADF-4A05-9BE9-916E0F14EC76}"/>
            </c:ext>
          </c:extLst>
        </c:ser>
        <c:dLbls>
          <c:dLblPos val="bestFit"/>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Tables!PivotTable8</c:name>
    <c:fmtId val="6"/>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a:t>Urban </a:t>
                </a:r>
                <a:r>
                  <a:rPr lang="en-US" baseline="0"/>
                  <a:t>
</a:t>
                </a:r>
                <a:fld id="{099EEE56-4852-4700-B38D-215F7A079407}" type="PERCENTAGE">
                  <a:rPr lang="en-US" baseline="0"/>
                  <a:pPr>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a:t>Rural</a:t>
                </a:r>
                <a:r>
                  <a:rPr lang="en-US" baseline="0"/>
                  <a:t>
</a:t>
                </a:r>
                <a:fld id="{689DC8E3-69D6-4450-8169-6ED357533B2F}" type="PERCENTAGE">
                  <a:rPr lang="en-US" baseline="0"/>
                  <a:pPr>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Tables'!$B$56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EC0-43F4-A201-49CA6FE404D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EC0-43F4-A201-49CA6FE404D7}"/>
              </c:ext>
            </c:extLst>
          </c:dPt>
          <c:dLbls>
            <c:dLbl>
              <c:idx val="0"/>
              <c:tx>
                <c:rich>
                  <a:bodyPr/>
                  <a:lstStyle/>
                  <a:p>
                    <a:r>
                      <a:rPr lang="en-US"/>
                      <a:t>Urban </a:t>
                    </a:r>
                    <a:r>
                      <a:rPr lang="en-US" baseline="0"/>
                      <a:t>
</a:t>
                    </a:r>
                    <a:fld id="{099EEE56-4852-4700-B38D-215F7A079407}" type="PERCENTAGE">
                      <a:rPr lang="en-US" baseline="0"/>
                      <a:pPr/>
                      <a:t>[PERCENTAGE]</a:t>
                    </a:fld>
                    <a:endParaRPr lang="en-US" baseline="0"/>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FEC0-43F4-A201-49CA6FE404D7}"/>
                </c:ext>
              </c:extLst>
            </c:dLbl>
            <c:dLbl>
              <c:idx val="1"/>
              <c:tx>
                <c:rich>
                  <a:bodyPr/>
                  <a:lstStyle/>
                  <a:p>
                    <a:r>
                      <a:rPr lang="en-US"/>
                      <a:t>Rural</a:t>
                    </a:r>
                    <a:r>
                      <a:rPr lang="en-US" baseline="0"/>
                      <a:t>
</a:t>
                    </a:r>
                    <a:fld id="{689DC8E3-69D6-4450-8169-6ED357533B2F}" type="PERCENTAGE">
                      <a:rPr lang="en-US" baseline="0"/>
                      <a:pPr/>
                      <a:t>[PERCENTAGE]</a:t>
                    </a:fld>
                    <a:endParaRPr lang="en-US" baseline="0"/>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FEC0-43F4-A201-49CA6FE404D7}"/>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Tables'!$A$57:$A$58</c:f>
              <c:strCache>
                <c:ptCount val="2"/>
                <c:pt idx="0">
                  <c:v>Average of pop_u (%)</c:v>
                </c:pt>
                <c:pt idx="1">
                  <c:v>Average of pop_r  (%)</c:v>
                </c:pt>
              </c:strCache>
            </c:strRef>
          </c:cat>
          <c:val>
            <c:numRef>
              <c:f>'Pivot Tables'!$B$57:$B$58</c:f>
              <c:numCache>
                <c:formatCode>General</c:formatCode>
                <c:ptCount val="2"/>
                <c:pt idx="0">
                  <c:v>61.887723291600928</c:v>
                </c:pt>
                <c:pt idx="1">
                  <c:v>38.112276708399072</c:v>
                </c:pt>
              </c:numCache>
            </c:numRef>
          </c:val>
          <c:extLst>
            <c:ext xmlns:c16="http://schemas.microsoft.com/office/drawing/2014/chart" uri="{C3380CC4-5D6E-409C-BE32-E72D297353CC}">
              <c16:uniqueId val="{00000004-FEC0-43F4-A201-49CA6FE404D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160020</xdr:colOff>
      <xdr:row>178</xdr:row>
      <xdr:rowOff>171450</xdr:rowOff>
    </xdr:from>
    <xdr:to>
      <xdr:col>28</xdr:col>
      <xdr:colOff>457200</xdr:colOff>
      <xdr:row>194</xdr:row>
      <xdr:rowOff>110490</xdr:rowOff>
    </xdr:to>
    <xdr:graphicFrame macro="">
      <xdr:nvGraphicFramePr>
        <xdr:cNvPr id="4" name="Chart 3">
          <a:extLst>
            <a:ext uri="{FF2B5EF4-FFF2-40B4-BE49-F238E27FC236}">
              <a16:creationId xmlns:a16="http://schemas.microsoft.com/office/drawing/2014/main" id="{01A2170E-EACD-C373-9801-B585FF1AB6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657411</xdr:colOff>
      <xdr:row>4</xdr:row>
      <xdr:rowOff>0</xdr:rowOff>
    </xdr:from>
    <xdr:to>
      <xdr:col>14</xdr:col>
      <xdr:colOff>7620</xdr:colOff>
      <xdr:row>21</xdr:row>
      <xdr:rowOff>0</xdr:rowOff>
    </xdr:to>
    <xdr:graphicFrame macro="">
      <xdr:nvGraphicFramePr>
        <xdr:cNvPr id="3" name="Chart 2">
          <a:extLst>
            <a:ext uri="{FF2B5EF4-FFF2-40B4-BE49-F238E27FC236}">
              <a16:creationId xmlns:a16="http://schemas.microsoft.com/office/drawing/2014/main" id="{9C3E7DB7-9E8D-4470-9D1C-29710C3FC1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15240</xdr:colOff>
      <xdr:row>20</xdr:row>
      <xdr:rowOff>164353</xdr:rowOff>
    </xdr:from>
    <xdr:to>
      <xdr:col>13</xdr:col>
      <xdr:colOff>663388</xdr:colOff>
      <xdr:row>37</xdr:row>
      <xdr:rowOff>8966</xdr:rowOff>
    </xdr:to>
    <xdr:graphicFrame macro="">
      <xdr:nvGraphicFramePr>
        <xdr:cNvPr id="4" name="Chart 3">
          <a:extLst>
            <a:ext uri="{FF2B5EF4-FFF2-40B4-BE49-F238E27FC236}">
              <a16:creationId xmlns:a16="http://schemas.microsoft.com/office/drawing/2014/main" id="{3DBFA4FA-DBAB-4496-9C4A-469BE5908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37</xdr:row>
      <xdr:rowOff>0</xdr:rowOff>
    </xdr:from>
    <xdr:to>
      <xdr:col>13</xdr:col>
      <xdr:colOff>663389</xdr:colOff>
      <xdr:row>53</xdr:row>
      <xdr:rowOff>161365</xdr:rowOff>
    </xdr:to>
    <xdr:graphicFrame macro="">
      <xdr:nvGraphicFramePr>
        <xdr:cNvPr id="7" name="Chart 6">
          <a:extLst>
            <a:ext uri="{FF2B5EF4-FFF2-40B4-BE49-F238E27FC236}">
              <a16:creationId xmlns:a16="http://schemas.microsoft.com/office/drawing/2014/main" id="{46412394-0614-438C-9E1F-5203DA5F48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53</xdr:row>
      <xdr:rowOff>149413</xdr:rowOff>
    </xdr:from>
    <xdr:to>
      <xdr:col>13</xdr:col>
      <xdr:colOff>672352</xdr:colOff>
      <xdr:row>72</xdr:row>
      <xdr:rowOff>8965</xdr:rowOff>
    </xdr:to>
    <xdr:graphicFrame macro="">
      <xdr:nvGraphicFramePr>
        <xdr:cNvPr id="8" name="Chart 7">
          <a:extLst>
            <a:ext uri="{FF2B5EF4-FFF2-40B4-BE49-F238E27FC236}">
              <a16:creationId xmlns:a16="http://schemas.microsoft.com/office/drawing/2014/main" id="{B900CBD6-927D-4142-99A5-DFE4CB5B9E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670923</xdr:colOff>
      <xdr:row>4</xdr:row>
      <xdr:rowOff>5872</xdr:rowOff>
    </xdr:from>
    <xdr:to>
      <xdr:col>27</xdr:col>
      <xdr:colOff>649111</xdr:colOff>
      <xdr:row>30</xdr:row>
      <xdr:rowOff>141111</xdr:rowOff>
    </xdr:to>
    <xdr:graphicFrame macro="">
      <xdr:nvGraphicFramePr>
        <xdr:cNvPr id="5" name="Chart 4">
          <a:extLst>
            <a:ext uri="{FF2B5EF4-FFF2-40B4-BE49-F238E27FC236}">
              <a16:creationId xmlns:a16="http://schemas.microsoft.com/office/drawing/2014/main" id="{A86FA349-6BD2-42ED-9C88-F36B2EA853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672193</xdr:colOff>
      <xdr:row>31</xdr:row>
      <xdr:rowOff>22014</xdr:rowOff>
    </xdr:from>
    <xdr:to>
      <xdr:col>16</xdr:col>
      <xdr:colOff>483326</xdr:colOff>
      <xdr:row>41</xdr:row>
      <xdr:rowOff>1814</xdr:rowOff>
    </xdr:to>
    <mc:AlternateContent xmlns:mc="http://schemas.openxmlformats.org/markup-compatibility/2006" xmlns:a14="http://schemas.microsoft.com/office/drawing/2010/main">
      <mc:Choice Requires="a14">
        <xdr:graphicFrame macro="">
          <xdr:nvGraphicFramePr>
            <xdr:cNvPr id="6" name="income_group">
              <a:extLst>
                <a:ext uri="{FF2B5EF4-FFF2-40B4-BE49-F238E27FC236}">
                  <a16:creationId xmlns:a16="http://schemas.microsoft.com/office/drawing/2014/main" id="{A70BFE38-DAB7-51BA-B2C4-578527D165EE}"/>
                </a:ext>
              </a:extLst>
            </xdr:cNvPr>
            <xdr:cNvGraphicFramePr/>
          </xdr:nvGraphicFramePr>
          <xdr:xfrm>
            <a:off x="0" y="0"/>
            <a:ext cx="0" cy="0"/>
          </xdr:xfrm>
          <a:graphic>
            <a:graphicData uri="http://schemas.microsoft.com/office/drawing/2010/slicer">
              <sle:slicer xmlns:sle="http://schemas.microsoft.com/office/drawing/2010/slicer" name="income_group"/>
            </a:graphicData>
          </a:graphic>
        </xdr:graphicFrame>
      </mc:Choice>
      <mc:Fallback xmlns="">
        <xdr:sp macro="" textlink="">
          <xdr:nvSpPr>
            <xdr:cNvPr id="0" name=""/>
            <xdr:cNvSpPr>
              <a:spLocks noTextEdit="1"/>
            </xdr:cNvSpPr>
          </xdr:nvSpPr>
          <xdr:spPr>
            <a:xfrm>
              <a:off x="9452511" y="5390650"/>
              <a:ext cx="1837360" cy="17116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xdr:row>
      <xdr:rowOff>175907</xdr:rowOff>
    </xdr:from>
    <xdr:to>
      <xdr:col>5</xdr:col>
      <xdr:colOff>662608</xdr:colOff>
      <xdr:row>20</xdr:row>
      <xdr:rowOff>165652</xdr:rowOff>
    </xdr:to>
    <xdr:graphicFrame macro="">
      <xdr:nvGraphicFramePr>
        <xdr:cNvPr id="12" name="Chart 11">
          <a:extLst>
            <a:ext uri="{FF2B5EF4-FFF2-40B4-BE49-F238E27FC236}">
              <a16:creationId xmlns:a16="http://schemas.microsoft.com/office/drawing/2014/main" id="{471592A6-0384-4BDB-ADB2-96B4865EE5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ya Mabunda" refreshedDate="45534.516142361113" createdVersion="8" refreshedVersion="8" minRefreshableVersion="3" recordCount="213" xr:uid="{39AD1ADF-87E3-4E0B-864D-00AB691A060A}">
  <cacheSource type="worksheet">
    <worksheetSource name="Estimates_on_the_use_of_water__2020__a_3712"/>
  </cacheSource>
  <cacheFields count="17">
    <cacheField name="name" numFmtId="49">
      <sharedItems count="213">
        <s v="Afghanistan"/>
        <s v="Albania"/>
        <s v="Algeria"/>
        <s v="American Samoa"/>
        <s v="Andorra"/>
        <s v="Angola"/>
        <s v="Argentina"/>
        <s v="Armenia"/>
        <s v="Australia"/>
        <s v="Austria"/>
        <s v="Azerbaijan"/>
        <s v="Bahrain"/>
        <s v="Bangladesh"/>
        <s v="Barbados"/>
        <s v="Belarus"/>
        <s v="Belgium"/>
        <s v="Belize"/>
        <s v="Benin"/>
        <s v="Bermuda"/>
        <s v="Bhutan"/>
        <s v="Bolivia (Plurinational State of)"/>
        <s v="Bosnia and Herzegovina"/>
        <s v="Botswana"/>
        <s v="Brazil"/>
        <s v="British Virgin Islands"/>
        <s v="Brunei Darussalam"/>
        <s v="Bulgaria"/>
        <s v="Burkina Faso"/>
        <s v="Burundi"/>
        <s v="Cabo Verde"/>
        <s v="Cambodia"/>
        <s v="Cameroon"/>
        <s v="Canada"/>
        <s v="Central African Republic"/>
        <s v="Chad"/>
        <s v="Chile"/>
        <s v="China"/>
        <s v="China, Hong Kong SAR"/>
        <s v="China, Macao SAR"/>
        <s v="Colombia"/>
        <s v="Congo"/>
        <s v="Cook Islands"/>
        <s v="Costa Rica"/>
        <s v="Côte d'Ivoire"/>
        <s v="Croatia"/>
        <s v="Cuba"/>
        <s v="Cyprus"/>
        <s v="Czech Republic"/>
        <s v="Democratic People's Republic of Korea"/>
        <s v="Democratic Republic of the Congo"/>
        <s v="Denmark"/>
        <s v="Djibouti"/>
        <s v="Dominican Republic"/>
        <s v="Ecuador"/>
        <s v="Egypt"/>
        <s v="El Salvador"/>
        <s v="Estonia"/>
        <s v="Eswatini"/>
        <s v="Ethiopia"/>
        <s v="Faeroe Islands"/>
        <s v="Falkland Islands (Malvinas)"/>
        <s v="Fiji"/>
        <s v="Finland"/>
        <s v="France"/>
        <s v="French Guiana"/>
        <s v="French Polynesia"/>
        <s v="Gabon"/>
        <s v="Gambia"/>
        <s v="Georgia"/>
        <s v="Germany"/>
        <s v="Ghana"/>
        <s v="Gibraltar"/>
        <s v="Greece"/>
        <s v="Greenland"/>
        <s v="Guadeloupe"/>
        <s v="Guam"/>
        <s v="Guatemala"/>
        <s v="Guinea"/>
        <s v="Guinea-Bissau"/>
        <s v="Guyana"/>
        <s v="Haiti"/>
        <s v="Honduras"/>
        <s v="Hungary"/>
        <s v="Iceland"/>
        <s v="India"/>
        <s v="Indonesia"/>
        <s v="Iran (Islamic Republic of)"/>
        <s v="Iraq"/>
        <s v="Ireland"/>
        <s v="Isle of Man"/>
        <s v="Israel"/>
        <s v="Italy"/>
        <s v="Jamaica"/>
        <s v="Japan"/>
        <s v="Jordan"/>
        <s v="Kazakhstan"/>
        <s v="Kenya"/>
        <s v="Kiribati"/>
        <s v="Kuwait"/>
        <s v="Kyrgyzstan"/>
        <s v="Lao People's Democratic Republic"/>
        <s v="Latvia"/>
        <s v="Lebanon"/>
        <s v="Lesotho"/>
        <s v="Liberia"/>
        <s v="Libya"/>
        <s v="Liechtenstein"/>
        <s v="Lithuania"/>
        <s v="Luxembourg"/>
        <s v="Madagascar"/>
        <s v="Malawi"/>
        <s v="Malaysia"/>
        <s v="Maldives"/>
        <s v="Mali"/>
        <s v="Malta"/>
        <s v="Marshall Islands"/>
        <s v="Martinique"/>
        <s v="Mauritania"/>
        <s v="Mauritius"/>
        <s v="Mayotte"/>
        <s v="Mexico"/>
        <s v="Monaco"/>
        <s v="Mongolia"/>
        <s v="Montenegro"/>
        <s v="Montserrat"/>
        <s v="Morocco"/>
        <s v="Mozambique"/>
        <s v="Myanmar"/>
        <s v="Namibia"/>
        <s v="Nauru"/>
        <s v="Nepal"/>
        <s v="Netherlands"/>
        <s v="New Caledonia"/>
        <s v="New Zealand"/>
        <s v="Nicaragua"/>
        <s v="Niger"/>
        <s v="Nigeria"/>
        <s v="Niue"/>
        <s v="North Macedonia"/>
        <s v="Northern Mariana Islands"/>
        <s v="Norway"/>
        <s v="Oman"/>
        <s v="Pakistan"/>
        <s v="Palau"/>
        <s v="Panama"/>
        <s v="Papua New Guinea"/>
        <s v="Paraguay"/>
        <s v="Peru"/>
        <s v="Philippines"/>
        <s v="Poland"/>
        <s v="Portugal"/>
        <s v="Puerto Rico"/>
        <s v="Qatar"/>
        <s v="Republic of Korea"/>
        <s v="Republic of Moldova"/>
        <s v="Réunion"/>
        <s v="Romania"/>
        <s v="Russian Federation"/>
        <s v="Rwanda"/>
        <s v="Saint Barthelemy"/>
        <s v="Saint Helena"/>
        <s v="Saint Lucia"/>
        <s v="Saint Martin (French part)"/>
        <s v="Saint Pierre and Miquelon"/>
        <s v="Samoa"/>
        <s v="San Marino"/>
        <s v="Sao Tome and Principe"/>
        <s v="Saudi Arabia"/>
        <s v="Senegal"/>
        <s v="Serbia"/>
        <s v="Sierra Leone"/>
        <s v="Singapore"/>
        <s v="Slovakia"/>
        <s v="Slovenia"/>
        <s v="Solomon Islands"/>
        <s v="Somalia"/>
        <s v="South Africa"/>
        <s v="South Sudan"/>
        <s v="Spain"/>
        <s v="Sri Lanka"/>
        <s v="Sudan"/>
        <s v="Suriname"/>
        <s v="Sweden"/>
        <s v="Switzerland"/>
        <s v="Syrian Arab Republic"/>
        <s v="Tajikistan"/>
        <s v="Thailand"/>
        <s v="Timor-Leste"/>
        <s v="Togo"/>
        <s v="Tokelau"/>
        <s v="Tonga"/>
        <s v="Trinidad and Tobago"/>
        <s v="Tunisia"/>
        <s v="Turkey"/>
        <s v="Turkmenistan"/>
        <s v="Tuvalu"/>
        <s v="Uganda"/>
        <s v="Ukraine"/>
        <s v="United Arab Emirates"/>
        <s v="United Kingdom"/>
        <s v="United Republic of Tanzania"/>
        <s v="United States of America"/>
        <s v="United States Virgin Islands"/>
        <s v="Uruguay"/>
        <s v="Uzbekistan"/>
        <s v="Vanuatu"/>
        <s v="Venezuela (Bolivarian Republic of)"/>
        <s v="Viet Nam"/>
        <s v="Wallis and Futuna Islands"/>
        <s v="West Bank and Gaza Strip"/>
        <s v="Yemen"/>
        <s v="Zambia"/>
        <s v="Zimbabwe"/>
      </sharedItems>
    </cacheField>
    <cacheField name="income_group" numFmtId="49">
      <sharedItems count="5">
        <s v="Low income"/>
        <s v="Upper middle income"/>
        <s v="Lower middle income"/>
        <s v="High income"/>
        <s v="NAN"/>
      </sharedItems>
    </cacheField>
    <cacheField name="pop_n  (1000)" numFmtId="165">
      <sharedItems containsSemiMixedTypes="0" containsString="0" containsNumber="1" minValue="1.3500000240000001" maxValue="1463140.5" count="213">
        <n v="38928.339840000001"/>
        <n v="2877.8000489999999"/>
        <n v="43851.042970000002"/>
        <n v="55.196998600000001"/>
        <n v="77.26499939"/>
        <n v="32866.269529999998"/>
        <n v="45195.777340000001"/>
        <n v="2963.2338869999999"/>
        <n v="25499.880860000001"/>
        <n v="9006.4003909999992"/>
        <n v="10139.174800000001"/>
        <n v="1701.5830080000001"/>
        <n v="164689.39060000001"/>
        <n v="287.37100220000002"/>
        <n v="9449.3212889999995"/>
        <n v="11589.61621"/>
        <n v="397.62100220000002"/>
        <n v="12123.19824"/>
        <n v="62.272998809999997"/>
        <n v="771.61199950000002"/>
        <n v="11673.0293"/>
        <n v="3280.8149410000001"/>
        <n v="2351.625"/>
        <n v="212559.4063"/>
        <n v="30.23699951"/>
        <n v="437.48300169999999"/>
        <n v="6948.4448240000002"/>
        <n v="20903.277340000001"/>
        <n v="11890.78125"/>
        <n v="555.98797609999997"/>
        <n v="16718.970700000002"/>
        <n v="26545.863280000001"/>
        <n v="37742.15625"/>
        <n v="4829.7641599999997"/>
        <n v="16425.859380000002"/>
        <n v="19116.208979999999"/>
        <n v="1463140.5"/>
        <n v="7496.9877930000002"/>
        <n v="649.34198000000004"/>
        <n v="50882.882810000003"/>
        <n v="5518.091797"/>
        <n v="17.56399918"/>
        <n v="5094.1137699999999"/>
        <n v="26378.275389999999"/>
        <n v="4105.2680659999996"/>
        <n v="11326.61621"/>
        <n v="1207.360962"/>
        <n v="10708.98242"/>
        <n v="25778.814450000002"/>
        <n v="89561.40625"/>
        <n v="5792.203125"/>
        <n v="988.00201419999996"/>
        <n v="10847.9043"/>
        <n v="17643.060549999998"/>
        <n v="102334.4063"/>
        <n v="6486.201172"/>
        <n v="1326.5389399999999"/>
        <n v="1160.1639399999999"/>
        <n v="114963.58590000001"/>
        <n v="48.865001679999999"/>
        <n v="3.4830000399999999"/>
        <n v="896.44396970000003"/>
        <n v="5540.7177730000003"/>
        <n v="65273.511720000002"/>
        <n v="298.68200680000001"/>
        <n v="280.90399170000001"/>
        <n v="2225.7280270000001"/>
        <n v="2416.6640630000002"/>
        <n v="3989.1750489999999"/>
        <n v="83783.945309999996"/>
        <n v="31072.945309999999"/>
        <n v="33.691001890000003"/>
        <n v="10423.05566"/>
        <n v="56.771999360000002"/>
        <n v="400.12701420000002"/>
        <n v="168.78300479999999"/>
        <n v="17915.566409999999"/>
        <n v="13132.79199"/>
        <n v="1967.998047"/>
        <n v="786.55902100000003"/>
        <n v="11402.5332"/>
        <n v="9904.6083980000003"/>
        <n v="9660.3496090000008"/>
        <n v="341.25"/>
        <n v="1380004.375"/>
        <n v="273523.625"/>
        <n v="83992.953129999994"/>
        <n v="40222.503909999999"/>
        <n v="4937.7958980000003"/>
        <n v="85.031997680000003"/>
        <n v="8655.5410159999992"/>
        <n v="60461.828130000002"/>
        <n v="2961.1608890000002"/>
        <n v="126476.46090000001"/>
        <n v="10203.139649999999"/>
        <n v="18776.707030000001"/>
        <n v="53771.300779999998"/>
        <n v="119.44599909999999"/>
        <n v="4270.5629879999997"/>
        <n v="6524.1909180000002"/>
        <n v="7275.5561520000001"/>
        <n v="1886.2020259999999"/>
        <n v="6825.4418949999999"/>
        <n v="2142.251953"/>
        <n v="5057.6767579999996"/>
        <n v="6871.2871089999999"/>
        <n v="38.137001040000001"/>
        <n v="2722.2910160000001"/>
        <n v="625.97601320000001"/>
        <n v="27691.019530000001"/>
        <n v="19129.95508"/>
        <n v="32365.998049999998"/>
        <n v="540.54199219999998"/>
        <n v="20250.833979999999"/>
        <n v="441.53900149999998"/>
        <n v="59.194000240000001"/>
        <n v="375.26501459999997"/>
        <n v="4649.6601559999999"/>
        <n v="1271.7669679999999"/>
        <n v="272.81298829999997"/>
        <n v="128932.75"/>
        <n v="39.243999479999999"/>
        <n v="3278.2919919999999"/>
        <n v="628.06201169999997"/>
        <n v="4.9990000720000003"/>
        <n v="36910.558590000001"/>
        <n v="31255.435549999998"/>
        <n v="54409.792970000002"/>
        <n v="2540.9160160000001"/>
        <n v="10.833999629999999"/>
        <n v="29136.808590000001"/>
        <n v="17134.873049999998"/>
        <n v="285.4909973"/>
        <n v="4822.2329099999997"/>
        <n v="6624.5541990000002"/>
        <n v="24206.636719999999"/>
        <n v="206139.5938"/>
        <n v="1.618000031"/>
        <n v="2083.3798830000001"/>
        <n v="57.556999210000001"/>
        <n v="5421.2421880000002"/>
        <n v="5106.6220700000003"/>
        <n v="220892.32810000001"/>
        <n v="18.091999049999998"/>
        <n v="4314.7680659999996"/>
        <n v="8947.0273440000001"/>
        <n v="7132.5297849999997"/>
        <n v="32971.847659999999"/>
        <n v="109581.08590000001"/>
        <n v="37846.605470000002"/>
        <n v="10196.70703"/>
        <n v="2860.8400879999999"/>
        <n v="2881.0600589999999"/>
        <n v="51269.183590000001"/>
        <n v="4033.9628910000001"/>
        <n v="895.30798340000001"/>
        <n v="19237.681639999999"/>
        <n v="145934.45310000001"/>
        <n v="12952.208979999999"/>
        <n v="9.8849999999999998"/>
        <n v="6.0710000989999999"/>
        <n v="183.62899780000001"/>
        <n v="38.658999999999999"/>
        <n v="5.795000076"/>
        <n v="198.4100037"/>
        <n v="33.937999730000001"/>
        <n v="219.16099550000001"/>
        <n v="34813.867189999997"/>
        <n v="16743.929690000001"/>
        <n v="8737.3701170000004"/>
        <n v="7976.9848629999997"/>
        <n v="5850.3427730000003"/>
        <n v="5459.6430659999996"/>
        <n v="2078.931885"/>
        <n v="686.87799070000005"/>
        <n v="15893.21875"/>
        <n v="59308.691409999999"/>
        <n v="11193.728520000001"/>
        <n v="46754.78125"/>
        <n v="21413.25"/>
        <n v="43849.269529999998"/>
        <n v="586.63397220000002"/>
        <n v="10099.26953"/>
        <n v="8654.6181639999995"/>
        <n v="17500.65625"/>
        <n v="9537.6416019999997"/>
        <n v="69799.976559999996"/>
        <n v="1318.4420170000001"/>
        <n v="8278.7373050000006"/>
        <n v="1.3500000240000001"/>
        <n v="105.6969986"/>
        <n v="1399.490967"/>
        <n v="11818.61816"/>
        <n v="84339.070309999996"/>
        <n v="6031.1870120000003"/>
        <n v="11.791999819999999"/>
        <n v="45741"/>
        <n v="43733.757810000003"/>
        <n v="9890.4003909999992"/>
        <n v="67886.007809999996"/>
        <n v="59734.214840000001"/>
        <n v="331002.65629999997"/>
        <n v="104.4229965"/>
        <n v="3473.7270509999998"/>
        <n v="33469.199220000002"/>
        <n v="307.14999390000003"/>
        <n v="28435.943360000001"/>
        <n v="97338.585940000004"/>
        <n v="11.24600029"/>
        <n v="5101.4160160000001"/>
        <n v="29825.96875"/>
        <n v="18383.95508"/>
        <n v="14862.92676"/>
      </sharedItems>
    </cacheField>
    <cacheField name="pop_u (%)" numFmtId="164">
      <sharedItems containsSemiMixedTypes="0" containsString="0" containsNumber="1" minValue="0" maxValue="100" count="203">
        <n v="26.025999070000001"/>
        <n v="62.111999509999997"/>
        <n v="73.733001709999996"/>
        <n v="87.152999879999996"/>
        <n v="87.916000370000006"/>
        <n v="66.824996949999999"/>
        <n v="92.111000059999995"/>
        <n v="63.312999730000001"/>
        <n v="86.240997309999997"/>
        <n v="58.748001100000003"/>
        <n v="56.397003169999998"/>
        <n v="89.506004329999996"/>
        <n v="38.177001949999998"/>
        <n v="31.190999980000001"/>
        <n v="79.483001709999996"/>
        <n v="98.078994750000007"/>
        <n v="46.025001529999997"/>
        <n v="48.414997100000001"/>
        <n v="100"/>
        <n v="42.31599808"/>
        <n v="70.123001099999996"/>
        <n v="49.020000459999999"/>
        <n v="70.876998900000004"/>
        <n v="87.072998049999995"/>
        <n v="48.51499939"/>
        <n v="78.250007629999999"/>
        <n v="75.685997009999994"/>
        <n v="30.60700035"/>
        <n v="13.708000180000001"/>
        <n v="66.652000430000001"/>
        <n v="24.23200035"/>
        <n v="57.560005189999998"/>
        <n v="81.562004090000002"/>
        <n v="42.197998050000002"/>
        <n v="23.520000459999999"/>
        <n v="87.72699738"/>
        <n v="61.713088990000003"/>
        <n v="81.424995420000002"/>
        <n v="67.829002380000006"/>
        <n v="75.495002749999998"/>
        <n v="80.770996089999997"/>
        <n v="51.70599747"/>
        <n v="57.552997589999997"/>
        <n v="77.194000239999994"/>
        <n v="66.820999150000006"/>
        <n v="74.061004639999993"/>
        <n v="62.381000520000001"/>
        <n v="45.638000490000003"/>
        <n v="88.116004939999996"/>
        <n v="78.061996460000003"/>
        <n v="82.540000919999997"/>
        <n v="64.166000370000006"/>
        <n v="42.783000950000002"/>
        <n v="73.444000239999994"/>
        <n v="69.229003910000003"/>
        <n v="24.17100143"/>
        <n v="21.69499969"/>
        <n v="42.397998809999997"/>
        <n v="78.507995609999995"/>
        <n v="57.247005459999997"/>
        <n v="85.517005920000003"/>
        <n v="80.974998470000003"/>
        <n v="85.819999690000003"/>
        <n v="61.975002289999999"/>
        <n v="90.092002870000002"/>
        <n v="62.581996920000002"/>
        <n v="59.452995299999998"/>
        <n v="77.453002929999997"/>
        <n v="57.348999020000001"/>
        <n v="79.715003969999998"/>
        <n v="87.282005310000002"/>
        <n v="98.498992920000006"/>
        <n v="94.938003539999997"/>
        <n v="51.835998539999999"/>
        <n v="36.875"/>
        <n v="44.195999149999999"/>
        <n v="26.7859993"/>
        <n v="57.087997440000002"/>
        <n v="58.358997340000002"/>
        <n v="71.942001340000004"/>
        <n v="93.897994999999995"/>
        <n v="34.926002500000003"/>
        <n v="56.640998840000002"/>
        <n v="75.874000550000005"/>
        <n v="70.892997739999998"/>
        <n v="63.652999880000003"/>
        <n v="52.89800262"/>
        <n v="92.58699799"/>
        <n v="71.038993840000003"/>
        <n v="56.311000819999997"/>
        <n v="91.781997680000003"/>
        <n v="91.417999269999996"/>
        <n v="57.671001429999997"/>
        <n v="27.994998930000001"/>
        <n v="55.593997960000003"/>
        <n v="36.855998990000003"/>
        <n v="36.290000919999997"/>
        <n v="68.315002440000001"/>
        <n v="88.924995420000002"/>
        <n v="29.027999879999999"/>
        <n v="52.088996889999997"/>
        <n v="80.691001889999995"/>
        <n v="14.416000370000001"/>
        <n v="68.045997619999994"/>
        <n v="91.452995299999998"/>
        <n v="38.534000399999996"/>
        <n v="17.42700005"/>
        <n v="77.159996030000002"/>
        <n v="40.668998719999998"/>
        <n v="43.909004209999999"/>
        <n v="94.744003300000003"/>
        <n v="77.793991090000006"/>
        <n v="89.13999939"/>
        <n v="55.326995850000003"/>
        <n v="40.759998320000001"/>
        <n v="45.750999450000002"/>
        <n v="80.730995179999994"/>
        <n v="68.656997680000003"/>
        <n v="67.488006589999998"/>
        <n v="9.1149997710000008"/>
        <n v="63.531997680000003"/>
        <n v="37.073997499999997"/>
        <n v="31.14100075"/>
        <n v="52.033000950000002"/>
        <n v="20.57600021"/>
        <n v="92.236000059999995"/>
        <n v="71.517997739999998"/>
        <n v="86.698997500000004"/>
        <n v="59.012001040000001"/>
        <n v="16.625999449999998"/>
        <n v="51.958000179999999"/>
        <n v="46.202003480000002"/>
        <n v="58.481998439999998"/>
        <n v="91.797996519999998"/>
        <n v="82.973991389999995"/>
        <n v="86.275993349999993"/>
        <n v="37.165000919999997"/>
        <n v="80.987998959999999"/>
        <n v="68.414001459999994"/>
        <n v="13.34500027"/>
        <n v="62.182994839999999"/>
        <n v="78.297004700000002"/>
        <n v="47.407997129999998"/>
        <n v="60.043003079999998"/>
        <n v="66.309997559999999"/>
        <n v="93.581001279999995"/>
        <n v="99.23500061"/>
        <n v="81.414001459999994"/>
        <n v="42.849002839999997"/>
        <n v="99.659004210000006"/>
        <n v="54.194000240000001"/>
        <n v="74.754005430000007"/>
        <n v="17.432001110000002"/>
        <n v="40.082000729999997"/>
        <n v="18.8409996"/>
        <n v="89.96199799"/>
        <n v="17.888999940000001"/>
        <n v="97.499000550000005"/>
        <n v="74.354003910000003"/>
        <n v="84.287002560000005"/>
        <n v="48.122001650000001"/>
        <n v="56.445999149999999"/>
        <n v="42.923000340000002"/>
        <n v="53.759998320000001"/>
        <n v="55.118003850000001"/>
        <n v="24.670000080000001"/>
        <n v="46.140998840000002"/>
        <n v="67.354003910000003"/>
        <n v="20.198999400000002"/>
        <n v="80.809997559999999"/>
        <n v="18.71299934"/>
        <n v="35.252998349999999"/>
        <n v="66.149002080000002"/>
        <n v="87.97699738"/>
        <n v="73.915000919999997"/>
        <n v="55.475002289999999"/>
        <n v="27.505998609999999"/>
        <n v="51.430000309999997"/>
        <n v="31.31999969"/>
        <n v="42.799999239999998"/>
        <n v="0"/>
        <n v="23.098999020000001"/>
        <n v="53.2140007"/>
        <n v="69.568000789999999"/>
        <n v="76.105003359999998"/>
        <n v="52.516002659999998"/>
        <n v="64.013999940000005"/>
        <n v="24.95400047"/>
        <n v="69.608001709999996"/>
        <n v="87.047996519999998"/>
        <n v="83.902999879999996"/>
        <n v="35.227001190000003"/>
        <n v="82.664001459999994"/>
        <n v="95.939002990000006"/>
        <n v="95.51499939"/>
        <n v="50.415996550000003"/>
        <n v="25.525001530000001"/>
        <n v="88.278999330000005"/>
        <n v="37.340000150000002"/>
        <n v="76.718994140000007"/>
        <n v="37.907997129999998"/>
        <n v="44.6289978"/>
        <n v="32.242000580000003"/>
      </sharedItems>
    </cacheField>
    <cacheField name="wat_bas_n" numFmtId="0">
      <sharedItems containsMixedTypes="1" containsNumber="1" minValue="37.202402050000003" maxValue="100.00000369999999" count="189">
        <n v="75.091413250000002"/>
        <n v="95.068038830000006"/>
        <n v="94.43732996"/>
        <n v="99.773771659999994"/>
        <n v="100.00000369999999"/>
        <n v="57.167737619999997"/>
        <s v="NAN"/>
        <n v="99.971180689999997"/>
        <n v="99.969811820000004"/>
        <n v="100"/>
        <n v="96.043376129999999"/>
        <n v="97.697960249999994"/>
        <n v="98.514450420000003"/>
        <n v="96.534726079999999"/>
        <n v="99.999996449999998"/>
        <n v="98.401954630000006"/>
        <n v="65.414122989999996"/>
        <n v="99.903140019999995"/>
        <n v="97.313222629999999"/>
        <n v="93.390071629999994"/>
        <n v="96.113897620000003"/>
        <n v="92.213563070000006"/>
        <n v="99.320852990000006"/>
        <n v="99.864383559999993"/>
        <n v="99.900036799999995"/>
        <n v="99.011416940000004"/>
        <n v="47.214854459999998"/>
        <n v="62.207122249999998"/>
        <n v="88.769606420000002"/>
        <n v="71.219884969999995"/>
        <n v="65.720418179999996"/>
        <n v="99.221810660000003"/>
        <n v="37.202402050000003"/>
        <n v="46.187534790000001"/>
        <n v="99.999998719999994"/>
        <n v="94.261110590000001"/>
        <n v="97.491657110000006"/>
        <n v="73.78451158"/>
        <n v="99.971610220000002"/>
        <n v="99.810536929999998"/>
        <n v="70.909070389999997"/>
        <n v="97.002696159999999"/>
        <n v="99.765173180000005"/>
        <n v="99.880591670000001"/>
        <n v="93.843843030000002"/>
        <n v="45.952126960000001"/>
        <n v="100.00000110000001"/>
        <n v="76.049920209999996"/>
        <n v="96.686811919999997"/>
        <n v="95.359763560000005"/>
        <n v="99.440175960000005"/>
        <n v="97.946575409999994"/>
        <n v="99.59078178"/>
        <n v="70.753070949999994"/>
        <n v="49.615572739999998"/>
        <n v="95.308927400000002"/>
        <n v="94.30106524"/>
        <n v="100.0000033"/>
        <n v="99.999998500000004"/>
        <n v="93.782216349999999"/>
        <n v="85.341930599999998"/>
        <n v="80.940407140000005"/>
        <n v="97.348139700000004"/>
        <n v="100.00000230000001"/>
        <n v="85.790996649999997"/>
        <n v="100.0000017"/>
        <n v="99.803126039999995"/>
        <n v="99.6952"/>
        <n v="94.006428270000001"/>
        <n v="63.961788740000003"/>
        <n v="59.016912210000001"/>
        <n v="95.554806850000006"/>
        <n v="66.695308400000002"/>
        <n v="95.689221130000007"/>
        <n v="99.999997469999997"/>
        <n v="99.999997210000004"/>
        <n v="90.489525029999996"/>
        <n v="92.415349610000007"/>
        <n v="97.482636330000005"/>
        <n v="98.359903250000002"/>
        <n v="97.399706510000001"/>
        <n v="99.075000000000003"/>
        <n v="99.91703407"/>
        <n v="91.029944499999999"/>
        <n v="99.078912450000004"/>
        <n v="98.940302959999997"/>
        <n v="95.434970320000005"/>
        <n v="61.632891579999999"/>
        <n v="77.970920849999999"/>
        <n v="91.699305219999999"/>
        <n v="85.219743179999995"/>
        <n v="98.782601150000005"/>
        <n v="92.6"/>
        <n v="72.176039270000004"/>
        <n v="75.261791590000001"/>
        <n v="99.891523800000002"/>
        <n v="98.013347240000002"/>
        <n v="99.879932539999999"/>
        <n v="53.385884910000001"/>
        <n v="70.047728509999999"/>
        <n v="97.09990707"/>
        <n v="99.544438600000007"/>
        <n v="82.547291029999997"/>
        <n v="100.0000004"/>
        <n v="88.572046979999996"/>
        <n v="99.841970779999997"/>
        <n v="71.681049229999999"/>
        <n v="99.866254699999999"/>
        <n v="96.371179710000007"/>
        <n v="99.679568279999998"/>
        <n v="85.495625270000005"/>
        <n v="98.856916519999999"/>
        <n v="98.077482619999998"/>
        <n v="90.402344679999999"/>
        <n v="63.369425630000002"/>
        <n v="83.718191910000002"/>
        <n v="84.270036279999999"/>
        <n v="90.074541789999998"/>
        <n v="99.999999290000005"/>
        <n v="99.305320570000006"/>
        <n v="100.00000129999999"/>
        <n v="81.708753799999997"/>
        <n v="46.911797470000003"/>
        <n v="77.609053380000006"/>
        <n v="97.010876179999997"/>
        <n v="97.742815789999995"/>
        <n v="99.999995499999997"/>
        <n v="92.168024689999996"/>
        <n v="90.148965079999996"/>
        <n v="99.657545499999998"/>
        <n v="94.372544360000006"/>
        <n v="45.344017520000001"/>
        <n v="99.593466329999998"/>
        <n v="93.139366210000006"/>
        <n v="94.109034559999998"/>
        <n v="99.966591550000004"/>
        <n v="99.911993670000001"/>
        <n v="99.568101940000005"/>
        <n v="99.931396649999996"/>
        <n v="90.569962239999995"/>
        <n v="96.992548069999998"/>
        <n v="60.41450115"/>
        <n v="99.1"/>
        <n v="96.887844569999999"/>
        <n v="99.999271390000004"/>
        <n v="91.4"/>
        <n v="91.837724550000004"/>
        <n v="78.22645516"/>
        <n v="84.905237790000001"/>
        <n v="95.29552932"/>
        <n v="63.766285619999998"/>
        <n v="99.787698579999997"/>
        <n v="99.5"/>
        <n v="67.301025539999998"/>
        <n v="56.476973389999998"/>
        <n v="93.885057439999997"/>
        <n v="40.95092717"/>
        <n v="99.925612610000002"/>
        <n v="92.227579370000001"/>
        <n v="60.448675600000001"/>
        <n v="97.989631669999994"/>
        <n v="99.826867629999995"/>
        <n v="100.0000028"/>
        <n v="93.925857179999994"/>
        <n v="81.852415019999995"/>
        <n v="85.495601199999996"/>
        <n v="68.58372009"/>
        <n v="99.707676649999996"/>
        <n v="98.731080829999996"/>
        <n v="98.875170769999997"/>
        <n v="97.54330899"/>
        <n v="97.014269159999998"/>
        <n v="55.855049209999997"/>
        <n v="93.928281949999999"/>
        <n v="99.965596000000005"/>
        <n v="99.999998559999995"/>
        <n v="60.716797589999999"/>
        <n v="99.883526680000003"/>
        <n v="98.71826738"/>
        <n v="99.495757560000001"/>
        <n v="97.828784850000005"/>
        <n v="91.231190749999996"/>
        <n v="93.685800709999995"/>
        <n v="96.884356870000005"/>
        <n v="99.143287360000002"/>
        <n v="97.880397220000006"/>
        <n v="60.663569840000001"/>
        <n v="65.412383570000003"/>
        <n v="62.666457610000002"/>
      </sharedItems>
    </cacheField>
    <cacheField name="wat_lim_n" numFmtId="0">
      <sharedItems containsMixedTypes="1" containsNumber="1" minValue="0" maxValue="37.426962869999997" count="123">
        <n v="1.447541688"/>
        <n v="1.8846560919999999"/>
        <n v="4.9858808420000003"/>
        <n v="0"/>
        <n v="9.2873499190000004"/>
        <s v="NAN"/>
        <n v="1.04278118"/>
        <n v="1.1564258780000001"/>
        <n v="0.26760057609999999"/>
        <n v="3.3721195499999999"/>
        <n v="1.249110629"/>
        <n v="9.317535586"/>
        <n v="2.4607126070000001"/>
        <n v="0.13659052960000001"/>
        <n v="3.8236639380000002"/>
        <n v="4.7230389700000002"/>
        <n v="0.12654900390000001"/>
        <n v="31.2730034"/>
        <n v="19.439693139999999"/>
        <n v="7.9041508460000003"/>
        <n v="13.90222204"/>
        <n v="12.874748629999999"/>
        <n v="25.682373479999999"/>
        <n v="14.74028929"/>
        <n v="0.8147213297"/>
        <n v="0.18615215909999999"/>
        <n v="10.46117203"/>
        <n v="0.18945947460000001"/>
        <n v="8.9354217019999993"/>
        <n v="1.471384542"/>
        <n v="0.68313118719999999"/>
        <n v="13.44122447"/>
        <n v="14.7574817"/>
        <n v="0.46703865039999998"/>
        <n v="3.451463449E-3"/>
        <n v="0.23760910860000001"/>
        <n v="0.20726323190000001"/>
        <n v="9.5070671630000003"/>
        <n v="26.740719639999998"/>
        <n v="7.7352631030000003"/>
        <n v="8.5973913910000004"/>
        <n v="6.5860621129999997"/>
        <n v="1.034150511"/>
        <n v="21.281591500000001"/>
        <n v="14.03457137"/>
        <n v="1.205244408"/>
        <n v="9.8145436519999993"/>
        <n v="0.4256206085"/>
        <n v="4.9836025619999997"/>
        <n v="0.85547463349999997"/>
        <n v="1.938311229"/>
        <n v="0.89216034950000001"/>
        <n v="5.3675709139999999"/>
        <n v="0.1462147369"/>
        <n v="1.9414250390000001"/>
        <n v="9.54187005"/>
        <n v="4.0768996250000002"/>
        <n v="1.900734111"/>
        <n v="3.566857739"/>
        <n v="0.68230074240000005"/>
        <n v="7.4"/>
        <n v="10.40592597"/>
        <n v="8.7006574749999999"/>
        <n v="2.7179729799999999"/>
        <n v="21.95081497"/>
        <n v="0.35453968650000001"/>
        <n v="4.8050691299999997E-2"/>
        <n v="3.8547345270000002"/>
        <n v="11.387979"/>
        <n v="13.476891930000001"/>
        <n v="2.1464289299999999"/>
        <n v="0.54547882039999995"/>
        <n v="5.2635496010000002"/>
        <n v="9.9757845070000002"/>
        <n v="1.595436949"/>
        <n v="7.0876275099999999"/>
        <n v="3.979825725"/>
        <n v="1.506645682"/>
        <n v="21.653898699999999"/>
        <n v="4.9793993429999999"/>
        <n v="1.6349941400000001"/>
        <n v="7.5414198929999996"/>
        <n v="3.8222795249999999"/>
        <n v="1.8734805919999999"/>
        <n v="2.128564452"/>
        <n v="0.40653024389999998"/>
        <n v="0.84955935110000003"/>
        <n v="2.8564861370000001"/>
        <n v="1.519776762"/>
        <n v="0.62199637659999996"/>
        <n v="22.3207193"/>
        <n v="1.815652166"/>
        <n v="6.5208999519999997"/>
        <n v="20.237982980000002"/>
        <n v="2.3872175090000001"/>
        <n v="4.244199279"/>
        <n v="9.0233163570000006"/>
        <n v="0.2123014241"/>
        <n v="5.79547831"/>
        <n v="27.704199559999999"/>
        <n v="2.7727361859999999"/>
        <n v="37.426962869999997"/>
        <n v="0.59545814949999998"/>
        <n v="26.670019750000002"/>
        <n v="1.0672469410000001"/>
        <n v="5.8737307679999997"/>
        <n v="2.5683639349999998"/>
        <n v="1.88586597"/>
        <n v="6.065434765"/>
        <n v="0.88149729619999995"/>
        <n v="1.1248292310000001"/>
        <n v="1.63135067"/>
        <n v="2.0230780749999999"/>
        <n v="27.282859999999999"/>
        <n v="5.671978717"/>
        <n v="11.29007067"/>
        <n v="0.50424244119999995"/>
        <n v="1.0623850500000001"/>
        <n v="0.4707829181"/>
        <n v="1.029979486"/>
        <n v="28.9627418"/>
        <n v="6.1539390200000001"/>
        <n v="14.1975397"/>
      </sharedItems>
    </cacheField>
    <cacheField name="wat_unimp_n" numFmtId="0">
      <sharedItems containsMixedTypes="1" containsNumber="1" minValue="0" maxValue="33.53911377" count="176">
        <n v="14.56026288"/>
        <n v="3.0473050810000002"/>
        <n v="0.53183666380000005"/>
        <n v="0.22622834150000001"/>
        <n v="0"/>
        <n v="19.450825340000002"/>
        <s v="NAN"/>
        <n v="2.8819308009999999E-2"/>
        <n v="3.0188178730000001E-2"/>
        <n v="2.9138426879999999"/>
        <n v="0.46265570020000002"/>
        <n v="1.2179490049999999"/>
        <n v="9.3154368370000004E-2"/>
        <n v="3.5547967910000002E-6"/>
        <n v="0.3489347411"/>
        <n v="21.97254088"/>
        <n v="9.6859982940000006E-2"/>
        <n v="0.17642421829999999"/>
        <n v="1.575010843"/>
        <n v="6.2438437520000001E-2"/>
        <n v="1.7325264760000001"/>
        <n v="0.55259800989999996"/>
        <n v="0.13561643840000001"/>
        <n v="9.9963200360000004E-2"/>
        <n v="0.98858306070000002"/>
        <n v="21.15863263"/>
        <n v="14.758259689999999"/>
        <n v="3.2091477159999999"/>
        <n v="5.6772185579999999"/>
        <n v="15.00100626"/>
        <n v="0.77818933690000003"/>
        <n v="33.53911377"/>
        <n v="31.562457139999999"/>
        <n v="1.2771393330000001E-6"/>
        <n v="4.725451938"/>
        <n v="0.95361622280000002"/>
        <n v="9.5591807220000007"/>
        <n v="2.8389782700000001E-2"/>
        <n v="3.5944518969999999E-6"/>
        <n v="14.192441609999999"/>
        <n v="1.252811506"/>
        <n v="0.2348268167"/>
        <n v="0.11940833250000001"/>
        <n v="5.2096927800000001"/>
        <n v="32.542316069999998"/>
        <n v="7.0158760510000002"/>
        <n v="1.2694287829999999"/>
        <n v="2.6044853890000002"/>
        <n v="0.3222149265"/>
        <n v="0.31517399689999998"/>
        <n v="0.40921822320000001"/>
        <n v="9.8355679309999999"/>
        <n v="18.635060129999999"/>
        <n v="4.6910725959999997"/>
        <n v="3.3186027660000001"/>
        <n v="1.49610841E-6"/>
        <n v="6.2177836519999996"/>
        <n v="6.9228083570000001"/>
        <n v="10.352852070000001"/>
        <n v="2.6327613790000002"/>
        <n v="2.8122161760000002"/>
        <n v="0.19687396130000001"/>
        <n v="0.30480000000000002"/>
        <n v="3.2159118150000001"/>
        <n v="6.2961194059999999"/>
        <n v="26.6263769"/>
        <n v="1.143069849"/>
        <n v="23.490147950000001"/>
        <n v="3.8851582640000002"/>
        <n v="2.5272441919999999E-6"/>
        <n v="2.7946500150000002E-6"/>
        <n v="3.9631539450000002"/>
        <n v="5.553871666"/>
        <n v="0.51379736310000002"/>
        <n v="2.427900808E-6"/>
        <n v="2.6002934849999999"/>
        <n v="0.92500000000000004"/>
        <n v="8.2965925910000002E-2"/>
        <n v="1.8640102030000001"/>
        <n v="0.92108754670000004"/>
        <n v="0.8536474704"/>
        <n v="2.5459569339999999"/>
        <n v="9.7800875240000007"/>
        <n v="17.952179529999999"/>
        <n v="1.8656486999999999"/>
        <n v="10.62886799"/>
        <n v="0.53509810369999999"/>
        <n v="12.21725464"/>
        <n v="3.488080869"/>
        <n v="0.1084762012"/>
        <n v="1.9866527599999999"/>
        <n v="0.1200674649"/>
        <n v="32.311459669999998"/>
        <n v="5.7763044069999996"/>
        <n v="2.5455532409999999"/>
        <n v="0.40751070499999997"/>
        <n v="12.246971350000001"/>
        <n v="3.9974025849999997E-2"/>
        <n v="0.15802921580000001"/>
        <n v="14.820326809999999"/>
        <n v="0.13374530139999999"/>
        <n v="3.6288202950000001"/>
        <n v="0.3204317169"/>
        <n v="6.6333667140000001"/>
        <n v="0.59231201099999997"/>
        <n v="1.922517378"/>
        <n v="2.8776725000000001"/>
        <n v="16.726145110000001"/>
        <n v="5.1094247800000003"/>
        <n v="3.740143722"/>
        <n v="4.699081176"/>
        <n v="7.1240862099999999E-7"/>
        <n v="0.69467942780000003"/>
        <n v="13.530531140000001"/>
        <n v="27.027512439999999"/>
        <n v="11.79691148"/>
        <n v="2.9891238219999998"/>
        <n v="0.57422847619999995"/>
        <n v="4.5034074529999998E-6"/>
        <n v="0.26040520360000002"/>
        <n v="4.4133075740000001"/>
        <n v="0.34245449839999997"/>
        <n v="2.2623042469999999"/>
        <n v="22.157624949999999"/>
        <n v="3.4229177000000001E-6"/>
        <n v="4.1504683489999996"/>
        <n v="3.0344793069999998"/>
        <n v="3.3408445289999998E-2"/>
        <n v="8.8006333689999994E-2"/>
        <n v="0.4318980637"/>
        <n v="6.8603352960000002E-2"/>
        <n v="7.910260997"/>
        <n v="2.3854555500000001"/>
        <n v="13.15480415"/>
        <n v="0.9"/>
        <n v="1.296503269"/>
        <n v="7.2861055070000001E-4"/>
        <n v="8.6"/>
        <n v="1.4186234280000001"/>
        <n v="0.44351992839999999"/>
        <n v="12.60781566"/>
        <n v="0.44372047780000001"/>
        <n v="15.5639457"/>
        <n v="0.5"/>
        <n v="21.267843129999999"/>
        <n v="13.41704303"/>
        <n v="1.410816657"/>
        <n v="13.537555190000001"/>
        <n v="7.4387391420000004E-2"/>
        <n v="5.3489270639999997"/>
        <n v="3.6502178750000001"/>
        <n v="0.37933650730000001"/>
        <n v="0.17313237349999999"/>
        <n v="0.20041205419999999"/>
        <n v="3.4218570050000001"/>
        <n v="8.3600293969999999"/>
        <n v="14.16432245"/>
        <n v="0.29232334589999998"/>
        <n v="0.38742187769999997"/>
        <n v="0.82534033780000005"/>
        <n v="0.73767495449999998"/>
        <n v="12.16590654"/>
        <n v="7.5904501289999995E-2"/>
        <n v="3.4403999999999997E-2"/>
        <n v="1.4385328199999999E-6"/>
        <n v="14.51775136"/>
        <n v="0.1164733182"/>
        <n v="1.281732624"/>
        <n v="0.22384422000000001"/>
        <n v="5.8434163730000002"/>
        <n v="3.1156431260000002"/>
        <n v="0.85671263900000005"/>
        <n v="1.089623295"/>
        <n v="7.77785276"/>
        <n v="21.576840709999999"/>
        <n v="16.277855450000001"/>
      </sharedItems>
    </cacheField>
    <cacheField name="wat_sur_n" numFmtId="0">
      <sharedItems containsMixedTypes="1" containsNumber="1" minValue="0" maxValue="30.369793080000001" count="95">
        <n v="8.9007821739999997"/>
        <n v="0"/>
        <n v="4.495253272E-2"/>
        <n v="14.094087119999999"/>
        <s v="NAN"/>
        <n v="0.68295817349999999"/>
        <n v="3.2958005469999998"/>
        <n v="4.9640541420000003E-2"/>
        <n v="4.8983269969999998"/>
        <n v="1.330871481"/>
        <n v="0.35350950240000001"/>
        <n v="3.5949249129999998"/>
        <n v="0.1170950144"/>
        <n v="9.2006744339999997"/>
        <n v="6.4038269269999999"/>
        <n v="3.5761107079999999"/>
        <n v="7.5097187840000004"/>
        <n v="0.19871614409999999"/>
        <n v="1.3685745119999999"/>
        <n v="6.1951356640000004"/>
        <n v="5.9630662929999998"/>
        <n v="0.27310779629999998"/>
        <n v="0.26333300580000002"/>
        <n v="8.0643324950000004"/>
        <n v="2.1767220379999999"/>
        <n v="1.5767206439999999"/>
        <n v="2.032299589"/>
        <n v="1.530987366"/>
        <n v="9.9042939590000003"/>
        <n v="5.0086474860000001"/>
        <n v="2.380331999"/>
        <n v="0.10934939270000001"/>
        <n v="1.9098923269999998E-2"/>
        <n v="4.8107250580000001"/>
        <n v="1.7435094040000001"/>
        <n v="8.4605003540000006"/>
        <n v="0.3221395192"/>
        <n v="2.0968788969999999"/>
        <n v="0.56371846260000003"/>
        <n v="1.175304087"/>
        <n v="6.5255081849999994E-2"/>
        <n v="0.74793397129999994"/>
        <n v="1.7384743789999999"/>
        <n v="5.9834831790000001E-2"/>
        <n v="7.7647704710000001E-2"/>
        <n v="19.045150840000002"/>
        <n v="4.5343119649999997"/>
        <n v="0.58453109380000001"/>
        <n v="5.2007801159999998"/>
        <n v="12.549470060000001"/>
        <n v="11.58468244"/>
        <n v="2.2251521099999998"/>
        <n v="1.3510030900000001"/>
        <n v="2.173203433E-2"/>
        <n v="5.7245790809999999"/>
        <n v="5.2926508940000002E-3"/>
        <n v="1.456433219"/>
        <n v="9.9286447590000009"/>
        <n v="9.5769463619999993"/>
        <n v="4.9021924849999996"/>
        <n v="1.246551314"/>
        <n v="3.2540693780000001"/>
        <n v="4.4067913919999997"/>
        <n v="5.6146357939999998"/>
        <n v="4.796159706E-2"/>
        <n v="3.0150217449999999E-2"/>
        <n v="1.61544782"/>
        <n v="1.491670799"/>
        <n v="30.369793080000001"/>
        <n v="1.8606060870000001"/>
        <n v="4.1099754009999998"/>
        <n v="0.22275206789999999"/>
        <n v="1.0920419299999999"/>
        <n v="9.9729040419999998E-2"/>
        <n v="1.6550926470000001E-2"/>
        <n v="11.646452330000001"/>
        <n v="5.6356530249999999"/>
        <n v="2.4017840210000001"/>
        <n v="1.9313897120000001"/>
        <n v="8.0845547619999998"/>
        <n v="1.82803542"/>
        <n v="9.2310867739999996"/>
        <n v="0.56378488400000004"/>
        <n v="12.157364039999999"/>
        <n v="4.2585034329999996"/>
        <n v="11.18652269"/>
        <n v="0.2249778093"/>
        <n v="4.6961842520000001"/>
        <n v="0.32383483600000001"/>
        <n v="13.475380380000001"/>
        <n v="1.947370925"/>
        <n v="7.706424202"/>
        <n v="2.595835594"/>
        <n v="6.8568367060000002"/>
        <n v="6.8581472420000003"/>
      </sharedItems>
    </cacheField>
    <cacheField name="wat_bas_r" numFmtId="0">
      <sharedItems containsMixedTypes="1" containsNumber="1" minValue="21.98279234" maxValue="100" count="137">
        <n v="66.32791521"/>
        <n v="94.091358060000005"/>
        <n v="90.037537909999998"/>
        <s v="NAN"/>
        <n v="100"/>
        <n v="27.808226609999998"/>
        <n v="90.925797950000003"/>
        <n v="97.88023776"/>
        <n v="98.564122310000002"/>
        <n v="97.995207579999999"/>
        <n v="58.052267989999997"/>
        <n v="96.731193649999994"/>
        <n v="79.936642829999997"/>
        <n v="97.333333330000002"/>
        <n v="79.04372386"/>
        <n v="95.945259530000001"/>
        <n v="97.401287969999998"/>
        <n v="32.718258900000002"/>
        <n v="57.685765269999997"/>
        <n v="80.114525439999994"/>
        <n v="65.067155830000004"/>
        <n v="43.527581120000001"/>
        <n v="99.060495900000006"/>
        <n v="28.106594149999999"/>
        <n v="37.575215249999999"/>
        <n v="89.661233510000002"/>
        <n v="86.767072819999996"/>
        <n v="45.724413179999999"/>
        <n v="99.646249999999995"/>
        <n v="55.722446859999998"/>
        <n v="94.386651139999998"/>
        <n v="99.845761719999999"/>
        <n v="99.817599299999998"/>
        <n v="88.753624880000004"/>
        <n v="21.98279234"/>
        <n v="47.280732929999999"/>
        <n v="90.304464370000005"/>
        <n v="87.050744949999995"/>
        <n v="99.332835149999994"/>
        <n v="93.454395079999998"/>
        <n v="62.466448739999997"/>
        <n v="40.03013919"/>
        <n v="78.172942820000003"/>
        <n v="89.088024050000001"/>
        <n v="44.745889009999999"/>
        <n v="69.18852321"/>
        <n v="94.271884200000002"/>
        <n v="71.892750050000004"/>
        <n v="90.119329800000003"/>
        <n v="50.74817899"/>
        <n v="49.831905300000003"/>
        <n v="93.928490499999995"/>
        <n v="42.845700100000002"/>
        <n v="89.875799549999996"/>
        <n v="88.782503129999995"/>
        <n v="85.667962380000006"/>
        <n v="93.828735379999998"/>
        <n v="94.831146779999997"/>
        <n v="98.134920750000006"/>
        <n v="85.39991216"/>
        <n v="97.311478690000001"/>
        <n v="91.939252339999996"/>
        <n v="51.779978929999999"/>
        <n v="60.99418489"/>
        <n v="87.258429000000007"/>
        <n v="78.472959419999995"/>
        <n v="98.579223139999996"/>
        <n v="63.650354819999997"/>
        <n v="64.100216889999999"/>
        <n v="93.78278023"/>
        <n v="98.595238100000003"/>
        <n v="36.406420279999999"/>
        <n v="66.585043760000005"/>
        <n v="90.197448120000004"/>
        <n v="99.919012499999994"/>
        <n v="72.080895209999994"/>
        <n v="94.429720000000003"/>
        <n v="49.911338899999997"/>
        <n v="99.827682339999996"/>
        <n v="98.337068930000001"/>
        <n v="61.070751139999999"/>
        <n v="98.161887539999995"/>
        <n v="77.346128960000001"/>
        <n v="48.8666865"/>
        <n v="78.422564690000002"/>
        <n v="71.256167430000005"/>
        <n v="90.203271650000005"/>
        <n v="59.107446629999998"/>
        <n v="39.154159319999998"/>
        <n v="61.658210029999999"/>
        <n v="97.468714570000003"/>
        <n v="76.250779910000006"/>
        <n v="88.599860759999999"/>
        <n v="99.756985029999996"/>
        <n v="86.323083260000004"/>
        <n v="39.071343669999997"/>
        <n v="99.111227529999994"/>
        <n v="80.79943849"/>
        <n v="91.06193322"/>
        <n v="99.738776090000002"/>
        <n v="85.481038119999994"/>
        <n v="91.544101960000006"/>
        <n v="55.642468229999999"/>
        <n v="96.814023829999996"/>
        <n v="91.780322870000006"/>
        <n v="74.300614490000001"/>
        <n v="75.242928199999994"/>
        <n v="95.844974750000006"/>
        <n v="52.752702669999998"/>
        <n v="59.40526749"/>
        <n v="37.075862819999998"/>
        <n v="83.329481180000002"/>
        <n v="33.593628809999998"/>
        <n v="90.537435700000003"/>
        <n v="53.19902707"/>
        <n v="96.574412629999998"/>
        <n v="99.719374740000006"/>
        <n v="92.082745000000003"/>
        <n v="76.643599199999997"/>
        <n v="80.48779562"/>
        <n v="52.117552750000002"/>
        <n v="99.707676649999996"/>
        <n v="98.468078539999993"/>
        <n v="93.936231930000005"/>
        <n v="96.025169770000005"/>
        <n v="48.231189579999999"/>
        <n v="45.446965339999998"/>
        <n v="99.670787340000004"/>
        <n v="95.300830000000005"/>
        <n v="96.072582359999998"/>
        <n v="88.397201229999993"/>
        <n v="95.514538439999995"/>
        <n v="99.143287360000002"/>
        <n v="98.715556419999999"/>
        <n v="50.681334370000002"/>
        <n v="48.22728833"/>
        <n v="48.282428850000002"/>
      </sharedItems>
    </cacheField>
    <cacheField name="wat_lim_r" numFmtId="0">
      <sharedItems containsMixedTypes="1" containsNumber="1" minValue="0" maxValue="42.164380680000001"/>
    </cacheField>
    <cacheField name="wat_unimp_r" numFmtId="0">
      <sharedItems containsMixedTypes="1" containsNumber="1" minValue="0" maxValue="51.215981669999998"/>
    </cacheField>
    <cacheField name="wat_sur_r" numFmtId="0">
      <sharedItems containsMixedTypes="1" containsNumber="1" minValue="0" maxValue="40.518132420000001"/>
    </cacheField>
    <cacheField name="wat_bas_u" numFmtId="0">
      <sharedItems containsMixedTypes="1" containsNumber="1" minValue="49.661664950000002" maxValue="100" count="137">
        <n v="100"/>
        <n v="95.663809119999996"/>
        <n v="96.004735859999997"/>
        <s v="NAN"/>
        <n v="71.743148619999999"/>
        <n v="99.790420650000002"/>
        <n v="99.954481220000005"/>
        <n v="99.965000000000003"/>
        <n v="97.402777970000002"/>
        <n v="96.010873619999998"/>
        <n v="98.878960000000006"/>
        <n v="73.258000039999999"/>
        <n v="99.903140019999995"/>
        <n v="98.106628490000006"/>
        <n v="99.122118319999998"/>
        <n v="94.845704400000002"/>
        <n v="97.624980579999999"/>
        <n v="99.822001310000005"/>
        <n v="99.65"/>
        <n v="99.528670399999996"/>
        <n v="80.081918540000004"/>
        <n v="90.669110860000004"/>
        <n v="93.1"/>
        <n v="90.458077169999996"/>
        <n v="82.083584860000002"/>
        <n v="99.258277660000005"/>
        <n v="49.661664950000002"/>
        <n v="74.192223089999999"/>
        <n v="97.11488267"/>
        <n v="99.938192799999996"/>
        <n v="87.093296159999994"/>
        <n v="99.849652860000006"/>
        <n v="85.093553290000003"/>
        <n v="97.775576639999997"/>
        <n v="99.725158120000003"/>
        <n v="99.902650929999993"/>
        <n v="96.913510439999996"/>
        <n v="74.503354779999995"/>
        <n v="84.135014929999997"/>
        <n v="98.036891580000002"/>
        <n v="99.583731099999994"/>
        <n v="99.570870009999993"/>
        <n v="99.98545421"/>
        <n v="96.749763049999999"/>
        <n v="84.212828160000001"/>
        <n v="98.194244060000003"/>
        <n v="89.806539169999994"/>
        <n v="87.966904270000001"/>
        <n v="99.446153940000002"/>
        <n v="96.127259519999996"/>
        <n v="97.618169440000003"/>
        <n v="86.581690069999993"/>
        <n v="70.614347910000006"/>
        <n v="84.622621289999998"/>
        <n v="99.837282810000005"/>
        <n v="93.670036300000007"/>
        <n v="97.580512069999997"/>
        <n v="98.644486720000003"/>
        <n v="99.808731030000004"/>
        <n v="96.979886030000003"/>
        <n v="95.398015909999998"/>
        <n v="99.093212589999993"/>
        <n v="98.000731329999994"/>
        <n v="86.975231449999995"/>
        <n v="91.531174849999999"/>
        <n v="99.307692309999993"/>
        <n v="97.064262220000003"/>
        <n v="98.876924689999996"/>
        <n v="93.020908550000001"/>
        <n v="85.528109630000003"/>
        <n v="80.470006940000005"/>
        <n v="86.454698210000004"/>
        <n v="99.14309591"/>
        <n v="98.997988930000005"/>
        <n v="95.917454750000005"/>
        <n v="86.9"/>
        <n v="89.258694649999995"/>
        <n v="99.922315220000002"/>
        <n v="96.645965579999995"/>
        <n v="99.191739589999997"/>
        <n v="97.896746010000001"/>
        <n v="87.98504792"/>
        <n v="95.427886060000006"/>
        <n v="96.266965350000007"/>
        <n v="89.577633160000005"/>
        <n v="97.406956609999995"/>
        <n v="85.813839759999993"/>
        <n v="92.357705190000004"/>
        <n v="97.937402989999995"/>
        <n v="94.7"/>
        <n v="92.768049849999997"/>
        <n v="99.634201989999994"/>
        <n v="98.088892670000007"/>
        <n v="86.075271639999997"/>
        <n v="99.886748539999999"/>
        <n v="96.559844080000005"/>
        <n v="97.489332500000003"/>
        <n v="99.944354840000003"/>
        <n v="97.357444479999998"/>
        <n v="98.832599610000003"/>
        <n v="83.017599300000001"/>
        <n v="97.205822190000006"/>
        <n v="99.999271390000004"/>
        <n v="92.101190000000003"/>
        <n v="79.580542899999998"/>
        <n v="95.321700939999999"/>
        <n v="94.871569890000004"/>
        <n v="78.411637659999997"/>
        <n v="99.605094059999999"/>
        <n v="91.410776889999994"/>
        <n v="79.123305740000006"/>
        <n v="99.001264840000005"/>
        <n v="70.017704449999997"/>
        <n v="99.907945209999994"/>
        <n v="99.569380190000004"/>
        <n v="73.763659559999994"/>
        <n v="98.713853869999994"/>
        <n v="99.841557679999994"/>
        <n v="95.405164360000001"/>
        <n v="95.580623860000003"/>
        <n v="96.476957920000004"/>
        <n v="90.589910009999997"/>
        <n v="99.606658190000005"/>
        <n v="99.121197629999998"/>
        <n v="97.324817830000001"/>
        <n v="78.782851800000003"/>
        <n v="91.277270110000003"/>
        <n v="88.793924899999993"/>
        <n v="99.928144470000007"/>
        <n v="99.692734439999995"/>
        <n v="99.556005560000003"/>
        <n v="99.5"/>
        <n v="99.183040009999999"/>
        <n v="97.626964430000001"/>
        <n v="77.014129339999997"/>
        <n v="86.733854660000006"/>
        <n v="92.89512895"/>
      </sharedItems>
    </cacheField>
    <cacheField name="wat_lim_u" numFmtId="0">
      <sharedItems containsMixedTypes="1" containsNumber="1" minValue="0" maxValue="34.279780090000003" count="110">
        <n v="0"/>
        <n v="1.62808683"/>
        <n v="3.628288591"/>
        <s v="NAN"/>
        <n v="9.5588374890000001"/>
        <n v="1.6395201210000001"/>
        <n v="3.9855726439999999"/>
        <n v="1.12104"/>
        <n v="5.7080563529999999"/>
        <n v="1.3591415"/>
        <n v="9.0513289469999994E-2"/>
        <n v="5.0269222060000001"/>
        <n v="0.43662003220000001"/>
        <n v="14.60004919"/>
        <n v="8.0344628690000004"/>
        <n v="6.9"/>
        <n v="8.8509147200000005"/>
        <n v="13.023796770000001"/>
        <n v="34.279780090000003"/>
        <n v="15.99651381"/>
        <n v="0.1831784927"/>
        <n v="6.18072E-2"/>
        <n v="10.37996439"/>
        <n v="0.15034714290000001"/>
        <n v="4.8185351560000003"/>
        <n v="1.1403859000000001"/>
        <n v="0.88014287989999995"/>
        <n v="14.34445818"/>
        <n v="15.51511107"/>
        <n v="0.27279203590000001"/>
        <n v="0.10610120670000001"/>
        <n v="0.74606447310000001"/>
        <n v="14.30300858"/>
        <n v="7.4299807600000003"/>
        <n v="3.8736895219999998"/>
        <n v="2.6083424549999998"/>
        <n v="0.27686600569999997"/>
        <n v="12.957241529999999"/>
        <n v="20.03063358"/>
        <n v="7.2276738790000001"/>
        <n v="0.15370152619999999"/>
        <n v="3.2720560270000001"/>
        <n v="0.60850983449999996"/>
        <n v="1.1880066709999999"/>
        <n v="0.19126897000000001"/>
        <n v="2.944456223"/>
        <n v="0.1013669408"/>
        <n v="1.999268673"/>
        <n v="4.327944725"/>
        <n v="5.6586664610000001"/>
        <n v="0.6923076923"/>
        <n v="0.99875681510000003"/>
        <n v="2.698211997"/>
        <n v="10.69005698"/>
        <n v="4.4984302979999997"/>
        <n v="10.278948249999999"/>
        <n v="0.29832426049999999"/>
        <n v="3.947121723"/>
        <n v="13.1"/>
        <n v="9.4288080829999998"/>
        <n v="1.718335079"/>
        <n v="0.80826041280000005"/>
        <n v="1.375477117"/>
        <n v="5.4522910270000002"/>
        <n v="2.5847589649999998"/>
        <n v="3.1015814110000002"/>
        <n v="0.10755231429999999"/>
        <n v="9.9504408289999997"/>
        <n v="2.9918806500000001"/>
        <n v="1.7271369539999999"/>
        <n v="5.3"/>
        <n v="3.7715611619999998"/>
        <n v="1.9111073329999999"/>
        <n v="0.17218226079999999"/>
        <n v="0.11325146429999999"/>
        <n v="0.64239323559999995"/>
        <n v="1.632836465"/>
        <n v="1.516060408"/>
        <n v="0.29738996870000001"/>
        <n v="9.2505062509999991"/>
        <n v="2.166718886"/>
        <n v="7.8988100000000001"/>
        <n v="20.419457099999999"/>
        <n v="0.59208365669999996"/>
        <n v="4.7830378649999998"/>
        <n v="14.079277429999999"/>
        <n v="0.39490593740000002"/>
        <n v="3.5571204249999999"/>
        <n v="17.269915560000001"/>
        <n v="0.73478540299999995"/>
        <n v="18.710660919999999"/>
        <n v="0.12739779009999999"/>
        <n v="25.223439859999999"/>
        <n v="0.79446523710000005"/>
        <n v="4.2335701170000002"/>
        <n v="0.88481447629999999"/>
        <n v="1.527338152"/>
        <n v="3.2293480560000001"/>
        <n v="0.143540536"/>
        <n v="0.87880236840000003"/>
        <n v="1.8153852029999999"/>
        <n v="13.74416783"/>
        <n v="8.1484577900000001"/>
        <n v="6.3372311659999996"/>
        <n v="0.30726556170000002"/>
        <n v="0.5"/>
        <n v="1.246217358"/>
        <n v="21.481379369999999"/>
        <n v="3.4519961939999999"/>
        <n v="4.9645177570000003"/>
      </sharedItems>
    </cacheField>
    <cacheField name="wat_unimp_u" numFmtId="0">
      <sharedItems containsMixedTypes="1" containsNumber="1" minValue="0" maxValue="19.835806810000001" count="117">
        <n v="0"/>
        <n v="2.7081040540000001"/>
        <n v="0.36697554780000002"/>
        <s v="NAN"/>
        <n v="17.722034730000001"/>
        <n v="0.20957935010000001"/>
        <n v="4.5518783639999998E-2"/>
        <n v="3.5000000000000003E-2"/>
        <n v="0.69937521469999997"/>
        <n v="3.5537319770000001E-3"/>
        <n v="19.835806810000001"/>
        <n v="9.6859982940000006E-2"/>
        <n v="0.41692084750000002"/>
        <n v="0.56134538079999996"/>
        <n v="0.12737339280000001"/>
        <n v="1.788579159"/>
        <n v="0.1779986949"/>
        <n v="0.35"/>
        <n v="0.47132960070000002"/>
        <n v="4.8758364869999999"/>
        <n v="1.2964262689999999"/>
        <n v="3.8507013510000001"/>
        <n v="0.74172233710000002"/>
        <n v="15.95940214"/>
        <n v="8.9224527210000009"/>
        <n v="2.3799388399999999"/>
        <n v="2.5177899969999999"/>
        <n v="5.8023665600000003"/>
        <n v="1.059840374"/>
        <n v="0.27484188250000002"/>
        <n v="9.7349067900000003E-2"/>
        <n v="2.206346677"/>
        <n v="10.29905862"/>
        <n v="0.34987400289999998"/>
        <n v="1.3020733959999999"/>
        <n v="0.31016769430000002"/>
        <n v="0.42912999439999999"/>
        <n v="1.454579307E-2"/>
        <n v="1.6321642439999999"/>
        <n v="1.0915823549999999"/>
        <n v="1.495409344"/>
        <n v="2.7634800720000001"/>
        <n v="8.0264572780000005"/>
        <n v="0.53822074200000003"/>
        <n v="1.1856138030000001"/>
        <n v="1.94525887"/>
        <n v="0.46106839799999999"/>
        <n v="9.3406252839999997"/>
        <n v="8.1497048349999996"/>
        <n v="9.0156632960000007E-3"/>
        <n v="2.8206075230000001"/>
        <n v="1.679615139"/>
        <n v="0.1675066077"/>
        <n v="3.0201139659999998"/>
        <n v="1.317064322"/>
        <n v="0.74371047069999996"/>
        <n v="2.7351426299999999"/>
        <n v="2.8101586909999998"/>
        <n v="2.935737778"/>
        <n v="0.1243184908"/>
        <n v="3.625530038"/>
        <n v="3.58408039"/>
        <n v="13.74049434"/>
        <n v="2.8975039960000002"/>
        <n v="0.46857983190000002"/>
        <n v="1.0020110689999999"/>
        <n v="0.13542353139999999"/>
        <n v="1.3124972699999999"/>
        <n v="7.7684781189999996E-2"/>
        <n v="1.635699341"/>
        <n v="0.72777687589999995"/>
        <n v="4.9126846439999996"/>
        <n v="1.8302830059999999"/>
        <n v="0.65961026379999999"/>
        <n v="6.359123168"/>
        <n v="2.244007656"/>
        <n v="2.1346877800000001"/>
        <n v="3.356908786"/>
        <n v="0.33546005629999998"/>
        <n v="3.126184571"/>
        <n v="0.36579800779999999"/>
        <n v="7.3903855639999998"/>
        <n v="2.6364086929999999"/>
        <n v="0.87783103600000001"/>
        <n v="5.5645161290000002E-2"/>
        <n v="1.1264951110000001"/>
        <n v="0.67001042359999996"/>
        <n v="5.4623030569999997"/>
        <n v="0.6274589237"/>
        <n v="7.2861055070000001E-4"/>
        <n v="4.0862154019999997"/>
        <n v="0.3453922445"/>
        <n v="5.4857354369999998"/>
        <n v="3.8992861369999998"/>
        <n v="3.6067787029999998"/>
        <n v="0.26394975469999998"/>
        <n v="11.27163464"/>
        <n v="9.2054794519999997E-2"/>
        <n v="0.3032220202"/>
        <n v="0.49168089250000002"/>
        <n v="0.1584423157"/>
        <n v="0.36126552499999998"/>
        <n v="1.5272683229999999"/>
        <n v="1.995703929"/>
        <n v="5.3079905280000004"/>
        <n v="0.2498012758"/>
        <n v="0.72179696339999999"/>
        <n v="6.4210441329999997"/>
        <n v="0.1090456533"/>
        <n v="2.1941787860000002"/>
        <n v="7.1855529599999995E-2"/>
        <n v="0.44399444339999999"/>
        <n v="0.81695998700000005"/>
        <n v="1.126818208"/>
        <n v="1.5044912859999999"/>
        <n v="9.1304141049999998"/>
        <n v="2.1222986740000001"/>
      </sharedItems>
    </cacheField>
    <cacheField name="wat_sur_u" numFmtId="0">
      <sharedItems containsMixedTypes="1" containsNumber="1" minValue="0" maxValue="6.3621605319999999" count="60">
        <n v="0"/>
        <s v="NAN"/>
        <n v="0.97597916289999997"/>
        <n v="0.25832669339999997"/>
        <n v="1.1981367940000001"/>
        <n v="0.1173091586"/>
        <n v="0.22602301120000001"/>
        <n v="0.14982022810000001"/>
        <n v="0.44219578050000002"/>
        <n v="0.69100811439999998"/>
        <n v="1.041917019"/>
        <n v="9.915281712E-2"/>
        <n v="0.88881038430000003"/>
        <n v="0.32200000000000001"/>
        <n v="8.9494520549999994E-3"/>
        <n v="4.2855449940000003"/>
        <n v="2.4197084109999999E-2"/>
        <n v="0.85312841309999998"/>
        <n v="0.38824299220000003"/>
        <n v="0.8720082294"/>
        <n v="0.39258089600000001"/>
        <n v="0.31034659219999999"/>
        <n v="0.13294892529999999"/>
        <n v="1.5625315859999999E-2"/>
        <n v="7.8784218190000005E-2"/>
        <n v="0.15970568490000001"/>
        <n v="1.4393226929999999E-2"/>
        <n v="0.2373001538"/>
        <n v="0.13136295880000001"/>
        <n v="0.34046355"/>
        <n v="6.1710000000000001E-2"/>
        <n v="5.9616811930000004"/>
        <n v="0.65534941999999996"/>
        <n v="0.19775300060000001"/>
        <n v="1.291068417"/>
        <n v="0.36884954460000002"/>
        <n v="0.09"/>
        <n v="1.649976404"/>
        <n v="2.741830931"/>
        <n v="0.4886654211"/>
        <n v="0.96166225849999998"/>
        <n v="0.24148342289999999"/>
        <n v="2.1010316339999999"/>
        <n v="1.2935053700000001"/>
        <n v="0.33420442230000003"/>
        <n v="6.3621605319999999"/>
        <n v="0.1613539953"/>
        <n v="0.2"/>
        <n v="2.2695913939999999"/>
        <n v="2.0233494749999998"/>
        <n v="1.1328165530000001"/>
        <n v="1.012900581"/>
        <n v="2.0072933389999998"/>
        <n v="0.87275140490000003"/>
        <n v="0.13800000000000001"/>
        <n v="1.0519362379999999"/>
        <n v="0.46522644460000001"/>
        <n v="2.6746651520000002"/>
        <n v="0.68373504630000004"/>
        <n v="1.805461538E-2"/>
      </sharedItems>
    </cacheField>
    <cacheField name="pop_r  (%)" numFmtId="0">
      <sharedItems containsSemiMixedTypes="0" containsString="0" containsNumber="1" minValue="0" maxValue="100" count="203">
        <n v="73.974000930000003"/>
        <n v="37.888000490000003"/>
        <n v="26.266998290000004"/>
        <n v="12.847000120000004"/>
        <n v="12.083999629999994"/>
        <n v="33.175003050000001"/>
        <n v="7.888999940000005"/>
        <n v="36.687000269999999"/>
        <n v="13.759002690000003"/>
        <n v="41.251998899999997"/>
        <n v="43.602996830000002"/>
        <n v="10.493995670000004"/>
        <n v="61.822998050000002"/>
        <n v="68.809000019999999"/>
        <n v="20.516998290000004"/>
        <n v="1.9210052499999932"/>
        <n v="53.974998470000003"/>
        <n v="51.585002899999999"/>
        <n v="0"/>
        <n v="57.68400192"/>
        <n v="29.876998900000004"/>
        <n v="50.979999540000001"/>
        <n v="29.123001099999996"/>
        <n v="12.927001950000005"/>
        <n v="51.48500061"/>
        <n v="21.749992370000001"/>
        <n v="24.314002990000006"/>
        <n v="69.392999650000007"/>
        <n v="86.291999820000001"/>
        <n v="33.347999569999999"/>
        <n v="75.767999650000007"/>
        <n v="42.439994810000002"/>
        <n v="18.437995909999998"/>
        <n v="57.802001949999998"/>
        <n v="76.479999539999994"/>
        <n v="12.27300262"/>
        <n v="38.286911009999997"/>
        <n v="18.575004579999998"/>
        <n v="32.170997619999994"/>
        <n v="24.504997250000002"/>
        <n v="19.229003910000003"/>
        <n v="48.29400253"/>
        <n v="42.447002410000003"/>
        <n v="22.805999760000006"/>
        <n v="33.179000849999994"/>
        <n v="25.938995360000007"/>
        <n v="37.618999479999999"/>
        <n v="54.361999509999997"/>
        <n v="11.883995060000004"/>
        <n v="21.938003539999997"/>
        <n v="17.459999080000003"/>
        <n v="35.833999629999994"/>
        <n v="57.216999049999998"/>
        <n v="26.555999760000006"/>
        <n v="30.770996089999997"/>
        <n v="75.828998569999996"/>
        <n v="78.305000309999997"/>
        <n v="57.602001190000003"/>
        <n v="21.492004390000005"/>
        <n v="42.752994540000003"/>
        <n v="14.482994079999997"/>
        <n v="19.025001529999997"/>
        <n v="14.180000309999997"/>
        <n v="38.024997710000001"/>
        <n v="9.9079971299999983"/>
        <n v="37.418003079999998"/>
        <n v="40.547004700000002"/>
        <n v="22.546997070000003"/>
        <n v="42.651000979999999"/>
        <n v="20.284996030000002"/>
        <n v="12.717994689999998"/>
        <n v="1.5010070799999937"/>
        <n v="5.0619964600000031"/>
        <n v="48.164001460000001"/>
        <n v="63.125"/>
        <n v="55.804000850000001"/>
        <n v="73.2140007"/>
        <n v="42.912002559999998"/>
        <n v="41.641002659999998"/>
        <n v="28.057998659999996"/>
        <n v="6.1020050000000055"/>
        <n v="65.07399749999999"/>
        <n v="43.359001159999998"/>
        <n v="24.125999449999995"/>
        <n v="29.107002260000002"/>
        <n v="36.347000119999997"/>
        <n v="47.10199738"/>
        <n v="7.4130020099999996"/>
        <n v="28.961006159999997"/>
        <n v="43.688999180000003"/>
        <n v="8.2180023199999965"/>
        <n v="8.5820007300000043"/>
        <n v="42.328998570000003"/>
        <n v="72.005001069999992"/>
        <n v="44.406002039999997"/>
        <n v="63.144001009999997"/>
        <n v="63.709999080000003"/>
        <n v="31.684997559999999"/>
        <n v="11.075004579999998"/>
        <n v="70.972000120000004"/>
        <n v="47.911003110000003"/>
        <n v="19.308998110000005"/>
        <n v="85.583999629999994"/>
        <n v="31.954002380000006"/>
        <n v="8.5470047000000022"/>
        <n v="61.465999600000004"/>
        <n v="82.572999949999996"/>
        <n v="22.840003969999998"/>
        <n v="59.331001280000002"/>
        <n v="56.090995790000001"/>
        <n v="5.2559966999999972"/>
        <n v="22.206008909999994"/>
        <n v="10.86000061"/>
        <n v="44.673004149999997"/>
        <n v="59.240001679999999"/>
        <n v="54.249000549999998"/>
        <n v="19.269004820000006"/>
        <n v="31.343002319999997"/>
        <n v="32.511993410000002"/>
        <n v="90.885000228999999"/>
        <n v="36.468002319999997"/>
        <n v="62.926002500000003"/>
        <n v="68.858999249999997"/>
        <n v="47.966999049999998"/>
        <n v="79.423999789999996"/>
        <n v="7.763999940000005"/>
        <n v="28.482002260000002"/>
        <n v="13.301002499999996"/>
        <n v="40.987998959999999"/>
        <n v="83.374000550000005"/>
        <n v="48.041999820000001"/>
        <n v="53.797996519999998"/>
        <n v="41.518001560000002"/>
        <n v="8.2020034800000019"/>
        <n v="17.026008610000005"/>
        <n v="13.724006650000007"/>
        <n v="62.834999080000003"/>
        <n v="19.012001040000001"/>
        <n v="31.585998540000006"/>
        <n v="86.65499973"/>
        <n v="37.817005160000001"/>
        <n v="21.702995299999998"/>
        <n v="52.592002870000002"/>
        <n v="39.956996920000002"/>
        <n v="33.690002440000001"/>
        <n v="6.4189987200000047"/>
        <n v="0.76499938999999983"/>
        <n v="18.585998540000006"/>
        <n v="57.150997160000003"/>
        <n v="0.3409957899999938"/>
        <n v="45.805999759999999"/>
        <n v="25.245994569999993"/>
        <n v="82.567998889999998"/>
        <n v="59.917999270000003"/>
        <n v="81.159000399999996"/>
        <n v="10.03800201"/>
        <n v="82.111000059999995"/>
        <n v="2.5009994499999948"/>
        <n v="25.645996089999997"/>
        <n v="15.712997439999995"/>
        <n v="51.877998349999999"/>
        <n v="43.554000850000001"/>
        <n v="57.076999659999998"/>
        <n v="46.240001679999999"/>
        <n v="44.881996149999999"/>
        <n v="75.329999920000006"/>
        <n v="53.859001159999998"/>
        <n v="32.645996089999997"/>
        <n v="79.801000599999995"/>
        <n v="19.190002440000001"/>
        <n v="81.287000660000004"/>
        <n v="64.747001650000001"/>
        <n v="33.850997919999998"/>
        <n v="12.02300262"/>
        <n v="26.084999080000003"/>
        <n v="44.524997710000001"/>
        <n v="72.494001389999994"/>
        <n v="48.569999690000003"/>
        <n v="68.680000309999997"/>
        <n v="57.200000760000002"/>
        <n v="100"/>
        <n v="76.901000979999992"/>
        <n v="46.7859993"/>
        <n v="30.431999210000001"/>
        <n v="23.894996640000002"/>
        <n v="47.483997340000002"/>
        <n v="35.986000059999995"/>
        <n v="75.045999530000003"/>
        <n v="30.391998290000004"/>
        <n v="12.952003480000002"/>
        <n v="16.097000120000004"/>
        <n v="64.77299880999999"/>
        <n v="17.335998540000006"/>
        <n v="4.0609970099999941"/>
        <n v="4.4850006100000002"/>
        <n v="49.584003449999997"/>
        <n v="74.474998470000003"/>
        <n v="11.721000669999995"/>
        <n v="62.659999849999998"/>
        <n v="23.281005859999993"/>
        <n v="62.092002870000002"/>
        <n v="55.3710022"/>
        <n v="67.757999420000004"/>
      </sharedItems>
    </cacheField>
  </cacheFields>
  <extLst>
    <ext xmlns:x14="http://schemas.microsoft.com/office/spreadsheetml/2009/9/main" uri="{725AE2AE-9491-48be-B2B4-4EB974FC3084}">
      <x14:pivotCacheDefinition pivotCacheId="11711369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x v="0"/>
    <x v="0"/>
    <x v="0"/>
    <x v="0"/>
    <x v="0"/>
    <x v="0"/>
    <x v="0"/>
    <x v="0"/>
    <x v="0"/>
    <n v="1.9568248509999999"/>
    <n v="19.68294895"/>
    <n v="12.03231098"/>
    <x v="0"/>
    <x v="0"/>
    <x v="0"/>
    <x v="0"/>
    <x v="0"/>
  </r>
  <r>
    <x v="1"/>
    <x v="1"/>
    <x v="1"/>
    <x v="1"/>
    <x v="1"/>
    <x v="1"/>
    <x v="1"/>
    <x v="1"/>
    <x v="1"/>
    <n v="2.3052649550000002"/>
    <n v="3.6033769859999998"/>
    <n v="0"/>
    <x v="1"/>
    <x v="1"/>
    <x v="1"/>
    <x v="0"/>
    <x v="1"/>
  </r>
  <r>
    <x v="2"/>
    <x v="2"/>
    <x v="2"/>
    <x v="2"/>
    <x v="2"/>
    <x v="2"/>
    <x v="2"/>
    <x v="2"/>
    <x v="2"/>
    <n v="8.79672214"/>
    <n v="0.99460302810000001"/>
    <n v="0.17113692580000001"/>
    <x v="2"/>
    <x v="2"/>
    <x v="2"/>
    <x v="0"/>
    <x v="2"/>
  </r>
  <r>
    <x v="3"/>
    <x v="1"/>
    <x v="3"/>
    <x v="3"/>
    <x v="3"/>
    <x v="3"/>
    <x v="3"/>
    <x v="1"/>
    <x v="3"/>
    <s v="NAN"/>
    <s v="NAN"/>
    <s v="NAN"/>
    <x v="3"/>
    <x v="3"/>
    <x v="3"/>
    <x v="1"/>
    <x v="3"/>
  </r>
  <r>
    <x v="4"/>
    <x v="3"/>
    <x v="4"/>
    <x v="4"/>
    <x v="4"/>
    <x v="3"/>
    <x v="4"/>
    <x v="1"/>
    <x v="4"/>
    <n v="0"/>
    <n v="0"/>
    <n v="0"/>
    <x v="0"/>
    <x v="0"/>
    <x v="0"/>
    <x v="0"/>
    <x v="4"/>
  </r>
  <r>
    <x v="5"/>
    <x v="2"/>
    <x v="5"/>
    <x v="5"/>
    <x v="5"/>
    <x v="4"/>
    <x v="5"/>
    <x v="3"/>
    <x v="5"/>
    <n v="8.7404883889999994"/>
    <n v="22.933152580000002"/>
    <n v="40.518132420000001"/>
    <x v="4"/>
    <x v="4"/>
    <x v="4"/>
    <x v="2"/>
    <x v="5"/>
  </r>
  <r>
    <x v="6"/>
    <x v="1"/>
    <x v="6"/>
    <x v="6"/>
    <x v="6"/>
    <x v="5"/>
    <x v="6"/>
    <x v="4"/>
    <x v="3"/>
    <s v="NAN"/>
    <s v="NAN"/>
    <s v="NAN"/>
    <x v="5"/>
    <x v="0"/>
    <x v="5"/>
    <x v="0"/>
    <x v="6"/>
  </r>
  <r>
    <x v="7"/>
    <x v="1"/>
    <x v="7"/>
    <x v="7"/>
    <x v="7"/>
    <x v="3"/>
    <x v="7"/>
    <x v="1"/>
    <x v="4"/>
    <n v="0"/>
    <n v="0"/>
    <n v="0"/>
    <x v="6"/>
    <x v="0"/>
    <x v="6"/>
    <x v="0"/>
    <x v="7"/>
  </r>
  <r>
    <x v="8"/>
    <x v="3"/>
    <x v="8"/>
    <x v="8"/>
    <x v="8"/>
    <x v="3"/>
    <x v="8"/>
    <x v="1"/>
    <x v="4"/>
    <n v="0"/>
    <n v="0"/>
    <n v="0"/>
    <x v="7"/>
    <x v="0"/>
    <x v="7"/>
    <x v="0"/>
    <x v="8"/>
  </r>
  <r>
    <x v="9"/>
    <x v="3"/>
    <x v="9"/>
    <x v="9"/>
    <x v="9"/>
    <x v="3"/>
    <x v="4"/>
    <x v="1"/>
    <x v="4"/>
    <n v="0"/>
    <n v="0"/>
    <n v="0"/>
    <x v="0"/>
    <x v="0"/>
    <x v="0"/>
    <x v="0"/>
    <x v="9"/>
  </r>
  <r>
    <x v="10"/>
    <x v="1"/>
    <x v="10"/>
    <x v="10"/>
    <x v="10"/>
    <x v="6"/>
    <x v="9"/>
    <x v="1"/>
    <x v="6"/>
    <n v="2.3915356710000002"/>
    <n v="6.6826663770000003"/>
    <n v="0"/>
    <x v="0"/>
    <x v="0"/>
    <x v="0"/>
    <x v="0"/>
    <x v="10"/>
  </r>
  <r>
    <x v="11"/>
    <x v="3"/>
    <x v="11"/>
    <x v="11"/>
    <x v="9"/>
    <x v="3"/>
    <x v="4"/>
    <x v="1"/>
    <x v="3"/>
    <s v="NAN"/>
    <s v="NAN"/>
    <s v="NAN"/>
    <x v="3"/>
    <x v="3"/>
    <x v="3"/>
    <x v="1"/>
    <x v="11"/>
  </r>
  <r>
    <x v="12"/>
    <x v="2"/>
    <x v="12"/>
    <x v="12"/>
    <x v="11"/>
    <x v="7"/>
    <x v="10"/>
    <x v="5"/>
    <x v="7"/>
    <n v="0.85810498040000005"/>
    <n v="0.31648024139999997"/>
    <n v="0.94517701509999996"/>
    <x v="8"/>
    <x v="5"/>
    <x v="8"/>
    <x v="3"/>
    <x v="12"/>
  </r>
  <r>
    <x v="13"/>
    <x v="3"/>
    <x v="13"/>
    <x v="13"/>
    <x v="12"/>
    <x v="8"/>
    <x v="11"/>
    <x v="1"/>
    <x v="3"/>
    <s v="NAN"/>
    <s v="NAN"/>
    <s v="NAN"/>
    <x v="3"/>
    <x v="3"/>
    <x v="3"/>
    <x v="1"/>
    <x v="13"/>
  </r>
  <r>
    <x v="14"/>
    <x v="1"/>
    <x v="14"/>
    <x v="14"/>
    <x v="13"/>
    <x v="9"/>
    <x v="12"/>
    <x v="1"/>
    <x v="8"/>
    <n v="0.9955971951"/>
    <n v="0.4402804931"/>
    <n v="0"/>
    <x v="9"/>
    <x v="6"/>
    <x v="9"/>
    <x v="0"/>
    <x v="14"/>
  </r>
  <r>
    <x v="15"/>
    <x v="3"/>
    <x v="15"/>
    <x v="15"/>
    <x v="14"/>
    <x v="3"/>
    <x v="13"/>
    <x v="1"/>
    <x v="4"/>
    <n v="0"/>
    <n v="0"/>
    <n v="0"/>
    <x v="0"/>
    <x v="0"/>
    <x v="0"/>
    <x v="0"/>
    <x v="15"/>
  </r>
  <r>
    <x v="16"/>
    <x v="1"/>
    <x v="16"/>
    <x v="16"/>
    <x v="15"/>
    <x v="10"/>
    <x v="14"/>
    <x v="1"/>
    <x v="9"/>
    <n v="1.358317682"/>
    <n v="0.64647473929999999"/>
    <n v="0"/>
    <x v="10"/>
    <x v="7"/>
    <x v="0"/>
    <x v="0"/>
    <x v="16"/>
  </r>
  <r>
    <x v="17"/>
    <x v="2"/>
    <x v="17"/>
    <x v="17"/>
    <x v="16"/>
    <x v="11"/>
    <x v="15"/>
    <x v="6"/>
    <x v="10"/>
    <n v="12.705205039999999"/>
    <n v="23.977968329999999"/>
    <n v="5.2645586340000001"/>
    <x v="11"/>
    <x v="8"/>
    <x v="10"/>
    <x v="4"/>
    <x v="17"/>
  </r>
  <r>
    <x v="18"/>
    <x v="3"/>
    <x v="18"/>
    <x v="18"/>
    <x v="17"/>
    <x v="3"/>
    <x v="16"/>
    <x v="1"/>
    <x v="3"/>
    <s v="NAN"/>
    <s v="NAN"/>
    <s v="NAN"/>
    <x v="12"/>
    <x v="0"/>
    <x v="11"/>
    <x v="0"/>
    <x v="18"/>
  </r>
  <r>
    <x v="19"/>
    <x v="2"/>
    <x v="19"/>
    <x v="19"/>
    <x v="18"/>
    <x v="12"/>
    <x v="17"/>
    <x v="7"/>
    <x v="11"/>
    <n v="3.2688063509999998"/>
    <n v="0"/>
    <n v="0"/>
    <x v="13"/>
    <x v="9"/>
    <x v="12"/>
    <x v="5"/>
    <x v="19"/>
  </r>
  <r>
    <x v="20"/>
    <x v="2"/>
    <x v="20"/>
    <x v="20"/>
    <x v="19"/>
    <x v="13"/>
    <x v="18"/>
    <x v="8"/>
    <x v="12"/>
    <n v="0.24473640820000001"/>
    <n v="3.9541336930000002"/>
    <n v="15.864487069999999"/>
    <x v="14"/>
    <x v="10"/>
    <x v="13"/>
    <x v="6"/>
    <x v="20"/>
  </r>
  <r>
    <x v="21"/>
    <x v="1"/>
    <x v="21"/>
    <x v="21"/>
    <x v="20"/>
    <x v="14"/>
    <x v="19"/>
    <x v="1"/>
    <x v="13"/>
    <n v="2.6666666669999999"/>
    <n v="0"/>
    <n v="0"/>
    <x v="15"/>
    <x v="11"/>
    <x v="14"/>
    <x v="0"/>
    <x v="21"/>
  </r>
  <r>
    <x v="22"/>
    <x v="1"/>
    <x v="22"/>
    <x v="22"/>
    <x v="21"/>
    <x v="15"/>
    <x v="20"/>
    <x v="9"/>
    <x v="14"/>
    <n v="15.154947180000001"/>
    <n v="1.5961191560000001"/>
    <n v="4.2052098100000004"/>
    <x v="16"/>
    <x v="12"/>
    <x v="15"/>
    <x v="7"/>
    <x v="22"/>
  </r>
  <r>
    <x v="23"/>
    <x v="1"/>
    <x v="23"/>
    <x v="23"/>
    <x v="22"/>
    <x v="16"/>
    <x v="21"/>
    <x v="4"/>
    <x v="15"/>
    <n v="0.97895091540000001"/>
    <n v="3.0757895510000002"/>
    <s v="NAN"/>
    <x v="17"/>
    <x v="0"/>
    <x v="16"/>
    <x v="0"/>
    <x v="23"/>
  </r>
  <r>
    <x v="24"/>
    <x v="3"/>
    <x v="24"/>
    <x v="24"/>
    <x v="23"/>
    <x v="3"/>
    <x v="22"/>
    <x v="1"/>
    <x v="3"/>
    <s v="NAN"/>
    <s v="NAN"/>
    <s v="NAN"/>
    <x v="3"/>
    <x v="3"/>
    <x v="3"/>
    <x v="1"/>
    <x v="24"/>
  </r>
  <r>
    <x v="25"/>
    <x v="3"/>
    <x v="25"/>
    <x v="25"/>
    <x v="24"/>
    <x v="3"/>
    <x v="23"/>
    <x v="1"/>
    <x v="3"/>
    <s v="NAN"/>
    <s v="NAN"/>
    <s v="NAN"/>
    <x v="18"/>
    <x v="0"/>
    <x v="17"/>
    <x v="0"/>
    <x v="25"/>
  </r>
  <r>
    <x v="26"/>
    <x v="1"/>
    <x v="26"/>
    <x v="26"/>
    <x v="25"/>
    <x v="3"/>
    <x v="24"/>
    <x v="1"/>
    <x v="16"/>
    <n v="0"/>
    <n v="2.5987120309999998"/>
    <n v="0"/>
    <x v="19"/>
    <x v="0"/>
    <x v="18"/>
    <x v="0"/>
    <x v="26"/>
  </r>
  <r>
    <x v="27"/>
    <x v="0"/>
    <x v="27"/>
    <x v="27"/>
    <x v="26"/>
    <x v="17"/>
    <x v="25"/>
    <x v="10"/>
    <x v="17"/>
    <n v="38.626902540000003"/>
    <n v="28.3404457"/>
    <n v="0.31439286259999999"/>
    <x v="20"/>
    <x v="13"/>
    <x v="19"/>
    <x v="8"/>
    <x v="27"/>
  </r>
  <r>
    <x v="28"/>
    <x v="0"/>
    <x v="28"/>
    <x v="28"/>
    <x v="27"/>
    <x v="18"/>
    <x v="26"/>
    <x v="11"/>
    <x v="18"/>
    <n v="21.251482129999999"/>
    <n v="16.896752379999999"/>
    <n v="4.1660002189999998"/>
    <x v="21"/>
    <x v="14"/>
    <x v="20"/>
    <x v="0"/>
    <x v="28"/>
  </r>
  <r>
    <x v="29"/>
    <x v="2"/>
    <x v="29"/>
    <x v="29"/>
    <x v="28"/>
    <x v="19"/>
    <x v="27"/>
    <x v="12"/>
    <x v="19"/>
    <n v="9.9111270220000005"/>
    <n v="9.6232170030000006"/>
    <n v="0.35113053970000002"/>
    <x v="22"/>
    <x v="15"/>
    <x v="0"/>
    <x v="0"/>
    <x v="29"/>
  </r>
  <r>
    <x v="30"/>
    <x v="2"/>
    <x v="30"/>
    <x v="30"/>
    <x v="29"/>
    <x v="20"/>
    <x v="28"/>
    <x v="13"/>
    <x v="20"/>
    <n v="15.51772278"/>
    <n v="7.4928993070000001"/>
    <n v="11.92222209"/>
    <x v="23"/>
    <x v="16"/>
    <x v="0"/>
    <x v="9"/>
    <x v="30"/>
  </r>
  <r>
    <x v="31"/>
    <x v="2"/>
    <x v="31"/>
    <x v="31"/>
    <x v="30"/>
    <x v="21"/>
    <x v="29"/>
    <x v="14"/>
    <x v="21"/>
    <n v="12.67259943"/>
    <n v="30.12380645"/>
    <n v="13.676012999999999"/>
    <x v="24"/>
    <x v="17"/>
    <x v="21"/>
    <x v="10"/>
    <x v="31"/>
  </r>
  <r>
    <x v="32"/>
    <x v="3"/>
    <x v="32"/>
    <x v="32"/>
    <x v="31"/>
    <x v="3"/>
    <x v="30"/>
    <x v="1"/>
    <x v="22"/>
    <n v="0"/>
    <n v="0.9395041006"/>
    <n v="0"/>
    <x v="25"/>
    <x v="0"/>
    <x v="22"/>
    <x v="0"/>
    <x v="32"/>
  </r>
  <r>
    <x v="33"/>
    <x v="0"/>
    <x v="33"/>
    <x v="33"/>
    <x v="32"/>
    <x v="22"/>
    <x v="31"/>
    <x v="15"/>
    <x v="23"/>
    <n v="19.405889899999998"/>
    <n v="46.373073009999999"/>
    <n v="6.1144429440000003"/>
    <x v="26"/>
    <x v="18"/>
    <x v="23"/>
    <x v="11"/>
    <x v="33"/>
  </r>
  <r>
    <x v="34"/>
    <x v="0"/>
    <x v="34"/>
    <x v="34"/>
    <x v="33"/>
    <x v="23"/>
    <x v="32"/>
    <x v="16"/>
    <x v="24"/>
    <n v="14.35396111"/>
    <n v="38.524967609999997"/>
    <n v="9.5458560269999992"/>
    <x v="27"/>
    <x v="19"/>
    <x v="24"/>
    <x v="12"/>
    <x v="34"/>
  </r>
  <r>
    <x v="35"/>
    <x v="3"/>
    <x v="35"/>
    <x v="35"/>
    <x v="34"/>
    <x v="3"/>
    <x v="33"/>
    <x v="1"/>
    <x v="4"/>
    <n v="0"/>
    <n v="0"/>
    <n v="0"/>
    <x v="0"/>
    <x v="0"/>
    <x v="0"/>
    <x v="0"/>
    <x v="35"/>
  </r>
  <r>
    <x v="36"/>
    <x v="1"/>
    <x v="36"/>
    <x v="36"/>
    <x v="35"/>
    <x v="24"/>
    <x v="34"/>
    <x v="17"/>
    <x v="25"/>
    <n v="1.832679086"/>
    <n v="8.5060874089999992"/>
    <n v="0"/>
    <x v="28"/>
    <x v="20"/>
    <x v="25"/>
    <x v="13"/>
    <x v="36"/>
  </r>
  <r>
    <x v="37"/>
    <x v="3"/>
    <x v="37"/>
    <x v="18"/>
    <x v="9"/>
    <x v="3"/>
    <x v="4"/>
    <x v="1"/>
    <x v="3"/>
    <s v="NAN"/>
    <s v="NAN"/>
    <s v="NAN"/>
    <x v="0"/>
    <x v="0"/>
    <x v="0"/>
    <x v="0"/>
    <x v="18"/>
  </r>
  <r>
    <x v="38"/>
    <x v="3"/>
    <x v="38"/>
    <x v="18"/>
    <x v="9"/>
    <x v="3"/>
    <x v="4"/>
    <x v="1"/>
    <x v="3"/>
    <s v="NAN"/>
    <s v="NAN"/>
    <s v="NAN"/>
    <x v="0"/>
    <x v="0"/>
    <x v="0"/>
    <x v="0"/>
    <x v="18"/>
  </r>
  <r>
    <x v="39"/>
    <x v="1"/>
    <x v="39"/>
    <x v="37"/>
    <x v="36"/>
    <x v="25"/>
    <x v="35"/>
    <x v="18"/>
    <x v="26"/>
    <n v="0.73122820160000002"/>
    <n v="5.13386897"/>
    <n v="7.3678300050000001"/>
    <x v="29"/>
    <x v="21"/>
    <x v="0"/>
    <x v="0"/>
    <x v="37"/>
  </r>
  <r>
    <x v="40"/>
    <x v="2"/>
    <x v="40"/>
    <x v="38"/>
    <x v="37"/>
    <x v="26"/>
    <x v="36"/>
    <x v="19"/>
    <x v="27"/>
    <n v="10.6323901"/>
    <n v="24.405169730000001"/>
    <n v="19.238026990000002"/>
    <x v="30"/>
    <x v="22"/>
    <x v="26"/>
    <x v="14"/>
    <x v="38"/>
  </r>
  <r>
    <x v="41"/>
    <x v="4"/>
    <x v="41"/>
    <x v="39"/>
    <x v="38"/>
    <x v="3"/>
    <x v="37"/>
    <x v="1"/>
    <x v="3"/>
    <s v="NAN"/>
    <s v="NAN"/>
    <s v="NAN"/>
    <x v="3"/>
    <x v="3"/>
    <x v="3"/>
    <x v="1"/>
    <x v="39"/>
  </r>
  <r>
    <x v="42"/>
    <x v="1"/>
    <x v="42"/>
    <x v="40"/>
    <x v="39"/>
    <x v="27"/>
    <x v="38"/>
    <x v="1"/>
    <x v="28"/>
    <n v="0.35375000000000001"/>
    <n v="0"/>
    <n v="0"/>
    <x v="31"/>
    <x v="23"/>
    <x v="0"/>
    <x v="0"/>
    <x v="40"/>
  </r>
  <r>
    <x v="43"/>
    <x v="2"/>
    <x v="43"/>
    <x v="41"/>
    <x v="40"/>
    <x v="28"/>
    <x v="39"/>
    <x v="20"/>
    <x v="29"/>
    <n v="13.343168289999999"/>
    <n v="23.17527956"/>
    <n v="7.7591052889999998"/>
    <x v="32"/>
    <x v="24"/>
    <x v="27"/>
    <x v="15"/>
    <x v="41"/>
  </r>
  <r>
    <x v="44"/>
    <x v="3"/>
    <x v="44"/>
    <x v="42"/>
    <x v="6"/>
    <x v="5"/>
    <x v="6"/>
    <x v="4"/>
    <x v="3"/>
    <s v="NAN"/>
    <s v="NAN"/>
    <s v="NAN"/>
    <x v="0"/>
    <x v="0"/>
    <x v="0"/>
    <x v="0"/>
    <x v="42"/>
  </r>
  <r>
    <x v="45"/>
    <x v="1"/>
    <x v="45"/>
    <x v="43"/>
    <x v="41"/>
    <x v="29"/>
    <x v="40"/>
    <x v="21"/>
    <x v="30"/>
    <n v="2.591752445"/>
    <n v="1.9059729350000001"/>
    <n v="1.115623477"/>
    <x v="33"/>
    <x v="25"/>
    <x v="28"/>
    <x v="16"/>
    <x v="43"/>
  </r>
  <r>
    <x v="46"/>
    <x v="3"/>
    <x v="46"/>
    <x v="44"/>
    <x v="42"/>
    <x v="3"/>
    <x v="41"/>
    <x v="1"/>
    <x v="31"/>
    <n v="0"/>
    <n v="0.1542382836"/>
    <n v="0"/>
    <x v="34"/>
    <x v="0"/>
    <x v="29"/>
    <x v="0"/>
    <x v="44"/>
  </r>
  <r>
    <x v="47"/>
    <x v="3"/>
    <x v="47"/>
    <x v="45"/>
    <x v="43"/>
    <x v="3"/>
    <x v="42"/>
    <x v="1"/>
    <x v="32"/>
    <n v="0"/>
    <n v="0.18240069649999999"/>
    <n v="0"/>
    <x v="35"/>
    <x v="0"/>
    <x v="30"/>
    <x v="0"/>
    <x v="45"/>
  </r>
  <r>
    <x v="48"/>
    <x v="0"/>
    <x v="48"/>
    <x v="46"/>
    <x v="44"/>
    <x v="30"/>
    <x v="43"/>
    <x v="22"/>
    <x v="33"/>
    <n v="0.3564402606"/>
    <n v="10.189934859999999"/>
    <n v="0.7"/>
    <x v="36"/>
    <x v="26"/>
    <x v="31"/>
    <x v="0"/>
    <x v="46"/>
  </r>
  <r>
    <x v="49"/>
    <x v="2"/>
    <x v="49"/>
    <x v="47"/>
    <x v="45"/>
    <x v="31"/>
    <x v="44"/>
    <x v="23"/>
    <x v="34"/>
    <n v="12.68294146"/>
    <n v="51.215981669999998"/>
    <n v="14.11828453"/>
    <x v="37"/>
    <x v="27"/>
    <x v="32"/>
    <x v="17"/>
    <x v="47"/>
  </r>
  <r>
    <x v="50"/>
    <x v="3"/>
    <x v="50"/>
    <x v="48"/>
    <x v="46"/>
    <x v="3"/>
    <x v="4"/>
    <x v="1"/>
    <x v="4"/>
    <n v="0"/>
    <n v="0"/>
    <n v="0"/>
    <x v="0"/>
    <x v="0"/>
    <x v="0"/>
    <x v="0"/>
    <x v="48"/>
  </r>
  <r>
    <x v="51"/>
    <x v="2"/>
    <x v="51"/>
    <x v="49"/>
    <x v="47"/>
    <x v="32"/>
    <x v="45"/>
    <x v="24"/>
    <x v="35"/>
    <n v="12.061610140000001"/>
    <n v="30.735504679999998"/>
    <n v="9.9221522489999998"/>
    <x v="38"/>
    <x v="28"/>
    <x v="33"/>
    <x v="0"/>
    <x v="49"/>
  </r>
  <r>
    <x v="52"/>
    <x v="1"/>
    <x v="52"/>
    <x v="50"/>
    <x v="48"/>
    <x v="33"/>
    <x v="46"/>
    <x v="25"/>
    <x v="36"/>
    <n v="1.3853155079999999"/>
    <n v="1.1151181269999999"/>
    <n v="7.1951019909999996"/>
    <x v="39"/>
    <x v="29"/>
    <x v="34"/>
    <x v="18"/>
    <x v="50"/>
  </r>
  <r>
    <x v="53"/>
    <x v="1"/>
    <x v="53"/>
    <x v="51"/>
    <x v="49"/>
    <x v="34"/>
    <x v="47"/>
    <x v="26"/>
    <x v="37"/>
    <n v="9.6318110219999996E-3"/>
    <n v="7.2681954900000001"/>
    <n v="5.6714277470000001"/>
    <x v="0"/>
    <x v="0"/>
    <x v="0"/>
    <x v="0"/>
    <x v="51"/>
  </r>
  <r>
    <x v="54"/>
    <x v="2"/>
    <x v="54"/>
    <x v="52"/>
    <x v="50"/>
    <x v="35"/>
    <x v="48"/>
    <x v="1"/>
    <x v="38"/>
    <n v="0.33594182239999998"/>
    <n v="0.33122303190000002"/>
    <n v="0"/>
    <x v="40"/>
    <x v="30"/>
    <x v="35"/>
    <x v="0"/>
    <x v="52"/>
  </r>
  <r>
    <x v="55"/>
    <x v="2"/>
    <x v="55"/>
    <x v="53"/>
    <x v="51"/>
    <x v="36"/>
    <x v="49"/>
    <x v="27"/>
    <x v="39"/>
    <n v="0.78047620490000003"/>
    <n v="0"/>
    <n v="5.7651287120000001"/>
    <x v="41"/>
    <x v="0"/>
    <x v="36"/>
    <x v="0"/>
    <x v="53"/>
  </r>
  <r>
    <x v="56"/>
    <x v="3"/>
    <x v="56"/>
    <x v="54"/>
    <x v="52"/>
    <x v="3"/>
    <x v="50"/>
    <x v="1"/>
    <x v="3"/>
    <s v="NAN"/>
    <s v="NAN"/>
    <s v="NAN"/>
    <x v="42"/>
    <x v="0"/>
    <x v="37"/>
    <x v="0"/>
    <x v="54"/>
  </r>
  <r>
    <x v="57"/>
    <x v="2"/>
    <x v="57"/>
    <x v="55"/>
    <x v="53"/>
    <x v="37"/>
    <x v="51"/>
    <x v="28"/>
    <x v="40"/>
    <n v="12.29969513"/>
    <n v="12.45046093"/>
    <n v="12.78339519"/>
    <x v="43"/>
    <x v="31"/>
    <x v="38"/>
    <x v="19"/>
    <x v="55"/>
  </r>
  <r>
    <x v="58"/>
    <x v="0"/>
    <x v="58"/>
    <x v="56"/>
    <x v="54"/>
    <x v="38"/>
    <x v="52"/>
    <x v="29"/>
    <x v="41"/>
    <n v="30.186683339999998"/>
    <n v="23.49561327"/>
    <n v="6.2875642029999996"/>
    <x v="44"/>
    <x v="32"/>
    <x v="39"/>
    <x v="20"/>
    <x v="56"/>
  </r>
  <r>
    <x v="59"/>
    <x v="3"/>
    <x v="59"/>
    <x v="57"/>
    <x v="9"/>
    <x v="3"/>
    <x v="4"/>
    <x v="1"/>
    <x v="3"/>
    <s v="NAN"/>
    <s v="NAN"/>
    <s v="NAN"/>
    <x v="3"/>
    <x v="3"/>
    <x v="3"/>
    <x v="1"/>
    <x v="57"/>
  </r>
  <r>
    <x v="60"/>
    <x v="4"/>
    <x v="60"/>
    <x v="58"/>
    <x v="55"/>
    <x v="3"/>
    <x v="53"/>
    <x v="1"/>
    <x v="42"/>
    <n v="0"/>
    <n v="21.827057180000001"/>
    <n v="0"/>
    <x v="0"/>
    <x v="0"/>
    <x v="0"/>
    <x v="0"/>
    <x v="58"/>
  </r>
  <r>
    <x v="61"/>
    <x v="1"/>
    <x v="61"/>
    <x v="59"/>
    <x v="56"/>
    <x v="3"/>
    <x v="54"/>
    <x v="30"/>
    <x v="43"/>
    <n v="0"/>
    <n v="5.7598979379999999"/>
    <n v="5.1520780119999996"/>
    <x v="45"/>
    <x v="0"/>
    <x v="40"/>
    <x v="21"/>
    <x v="59"/>
  </r>
  <r>
    <x v="62"/>
    <x v="3"/>
    <x v="62"/>
    <x v="60"/>
    <x v="57"/>
    <x v="3"/>
    <x v="4"/>
    <x v="1"/>
    <x v="4"/>
    <n v="0"/>
    <n v="0"/>
    <n v="0"/>
    <x v="0"/>
    <x v="0"/>
    <x v="0"/>
    <x v="0"/>
    <x v="60"/>
  </r>
  <r>
    <x v="63"/>
    <x v="3"/>
    <x v="63"/>
    <x v="61"/>
    <x v="58"/>
    <x v="3"/>
    <x v="55"/>
    <x v="1"/>
    <x v="4"/>
    <n v="0"/>
    <n v="0"/>
    <n v="0"/>
    <x v="0"/>
    <x v="0"/>
    <x v="0"/>
    <x v="0"/>
    <x v="61"/>
  </r>
  <r>
    <x v="64"/>
    <x v="4"/>
    <x v="64"/>
    <x v="62"/>
    <x v="59"/>
    <x v="3"/>
    <x v="56"/>
    <x v="1"/>
    <x v="3"/>
    <s v="NAN"/>
    <s v="NAN"/>
    <s v="NAN"/>
    <x v="3"/>
    <x v="3"/>
    <x v="3"/>
    <x v="1"/>
    <x v="62"/>
  </r>
  <r>
    <x v="65"/>
    <x v="3"/>
    <x v="65"/>
    <x v="63"/>
    <x v="9"/>
    <x v="3"/>
    <x v="4"/>
    <x v="1"/>
    <x v="3"/>
    <s v="NAN"/>
    <s v="NAN"/>
    <s v="NAN"/>
    <x v="3"/>
    <x v="3"/>
    <x v="3"/>
    <x v="1"/>
    <x v="63"/>
  </r>
  <r>
    <x v="66"/>
    <x v="1"/>
    <x v="66"/>
    <x v="64"/>
    <x v="60"/>
    <x v="39"/>
    <x v="57"/>
    <x v="4"/>
    <x v="44"/>
    <n v="10.511148589999999"/>
    <n v="44.742962400000003"/>
    <s v="NAN"/>
    <x v="46"/>
    <x v="33"/>
    <x v="41"/>
    <x v="1"/>
    <x v="64"/>
  </r>
  <r>
    <x v="67"/>
    <x v="0"/>
    <x v="67"/>
    <x v="65"/>
    <x v="61"/>
    <x v="40"/>
    <x v="58"/>
    <x v="31"/>
    <x v="45"/>
    <n v="16.497832389999999"/>
    <n v="14.24376547"/>
    <n v="6.9878936799999999E-2"/>
    <x v="47"/>
    <x v="34"/>
    <x v="42"/>
    <x v="22"/>
    <x v="65"/>
  </r>
  <r>
    <x v="68"/>
    <x v="1"/>
    <x v="68"/>
    <x v="66"/>
    <x v="62"/>
    <x v="3"/>
    <x v="59"/>
    <x v="32"/>
    <x v="46"/>
    <n v="0"/>
    <n v="5.7039236180000001"/>
    <n v="2.4192183450000002E-2"/>
    <x v="48"/>
    <x v="0"/>
    <x v="43"/>
    <x v="23"/>
    <x v="66"/>
  </r>
  <r>
    <x v="69"/>
    <x v="3"/>
    <x v="69"/>
    <x v="67"/>
    <x v="63"/>
    <x v="3"/>
    <x v="4"/>
    <x v="1"/>
    <x v="4"/>
    <n v="0"/>
    <n v="0"/>
    <n v="0"/>
    <x v="0"/>
    <x v="0"/>
    <x v="0"/>
    <x v="0"/>
    <x v="67"/>
  </r>
  <r>
    <x v="70"/>
    <x v="2"/>
    <x v="70"/>
    <x v="68"/>
    <x v="64"/>
    <x v="41"/>
    <x v="60"/>
    <x v="33"/>
    <x v="47"/>
    <n v="11.934548270000001"/>
    <n v="4.9993564829999997"/>
    <n v="11.173345189999999"/>
    <x v="49"/>
    <x v="35"/>
    <x v="44"/>
    <x v="24"/>
    <x v="68"/>
  </r>
  <r>
    <x v="71"/>
    <x v="3"/>
    <x v="71"/>
    <x v="18"/>
    <x v="9"/>
    <x v="3"/>
    <x v="4"/>
    <x v="1"/>
    <x v="3"/>
    <s v="NAN"/>
    <s v="NAN"/>
    <s v="NAN"/>
    <x v="0"/>
    <x v="0"/>
    <x v="0"/>
    <x v="0"/>
    <x v="18"/>
  </r>
  <r>
    <x v="72"/>
    <x v="3"/>
    <x v="72"/>
    <x v="69"/>
    <x v="63"/>
    <x v="3"/>
    <x v="4"/>
    <x v="1"/>
    <x v="4"/>
    <n v="0"/>
    <n v="0"/>
    <n v="0"/>
    <x v="0"/>
    <x v="0"/>
    <x v="0"/>
    <x v="0"/>
    <x v="69"/>
  </r>
  <r>
    <x v="73"/>
    <x v="3"/>
    <x v="73"/>
    <x v="70"/>
    <x v="65"/>
    <x v="3"/>
    <x v="4"/>
    <x v="1"/>
    <x v="4"/>
    <n v="0"/>
    <n v="0"/>
    <n v="0"/>
    <x v="0"/>
    <x v="0"/>
    <x v="0"/>
    <x v="0"/>
    <x v="70"/>
  </r>
  <r>
    <x v="74"/>
    <x v="4"/>
    <x v="74"/>
    <x v="71"/>
    <x v="66"/>
    <x v="3"/>
    <x v="61"/>
    <x v="1"/>
    <x v="3"/>
    <s v="NAN"/>
    <s v="NAN"/>
    <s v="NAN"/>
    <x v="3"/>
    <x v="3"/>
    <x v="3"/>
    <x v="1"/>
    <x v="71"/>
  </r>
  <r>
    <x v="75"/>
    <x v="3"/>
    <x v="75"/>
    <x v="72"/>
    <x v="67"/>
    <x v="3"/>
    <x v="62"/>
    <x v="1"/>
    <x v="3"/>
    <s v="NAN"/>
    <s v="NAN"/>
    <s v="NAN"/>
    <x v="3"/>
    <x v="3"/>
    <x v="3"/>
    <x v="1"/>
    <x v="72"/>
  </r>
  <r>
    <x v="76"/>
    <x v="1"/>
    <x v="76"/>
    <x v="73"/>
    <x v="68"/>
    <x v="42"/>
    <x v="63"/>
    <x v="34"/>
    <x v="48"/>
    <n v="1.8491699989999999"/>
    <n v="4.5834386909999996"/>
    <n v="3.4480615079999999"/>
    <x v="50"/>
    <x v="36"/>
    <x v="45"/>
    <x v="25"/>
    <x v="73"/>
  </r>
  <r>
    <x v="77"/>
    <x v="0"/>
    <x v="77"/>
    <x v="74"/>
    <x v="69"/>
    <x v="43"/>
    <x v="64"/>
    <x v="35"/>
    <x v="49"/>
    <n v="26.14432944"/>
    <n v="9.7047191430000002"/>
    <n v="13.402772430000001"/>
    <x v="51"/>
    <x v="37"/>
    <x v="46"/>
    <x v="0"/>
    <x v="74"/>
  </r>
  <r>
    <x v="78"/>
    <x v="0"/>
    <x v="78"/>
    <x v="75"/>
    <x v="70"/>
    <x v="44"/>
    <x v="65"/>
    <x v="36"/>
    <x v="50"/>
    <n v="9.2857730259999993"/>
    <n v="40.316451290000003"/>
    <n v="0.56587038450000005"/>
    <x v="52"/>
    <x v="38"/>
    <x v="47"/>
    <x v="26"/>
    <x v="75"/>
  </r>
  <r>
    <x v="79"/>
    <x v="1"/>
    <x v="79"/>
    <x v="76"/>
    <x v="71"/>
    <x v="45"/>
    <x v="66"/>
    <x v="37"/>
    <x v="51"/>
    <n v="1.6461938620000001"/>
    <n v="1.5612748329999999"/>
    <n v="2.864040809"/>
    <x v="0"/>
    <x v="0"/>
    <x v="0"/>
    <x v="0"/>
    <x v="76"/>
  </r>
  <r>
    <x v="80"/>
    <x v="2"/>
    <x v="80"/>
    <x v="77"/>
    <x v="72"/>
    <x v="46"/>
    <x v="67"/>
    <x v="1"/>
    <x v="52"/>
    <n v="13.25598695"/>
    <n v="43.898312949999998"/>
    <n v="0"/>
    <x v="53"/>
    <x v="39"/>
    <x v="48"/>
    <x v="0"/>
    <x v="77"/>
  </r>
  <r>
    <x v="81"/>
    <x v="2"/>
    <x v="81"/>
    <x v="78"/>
    <x v="73"/>
    <x v="47"/>
    <x v="68"/>
    <x v="1"/>
    <x v="53"/>
    <n v="0.80670950789999996"/>
    <n v="9.3174909459999995"/>
    <n v="0"/>
    <x v="54"/>
    <x v="40"/>
    <x v="49"/>
    <x v="0"/>
    <x v="78"/>
  </r>
  <r>
    <x v="82"/>
    <x v="3"/>
    <x v="82"/>
    <x v="79"/>
    <x v="74"/>
    <x v="3"/>
    <x v="69"/>
    <x v="1"/>
    <x v="4"/>
    <n v="0"/>
    <n v="0"/>
    <n v="0"/>
    <x v="0"/>
    <x v="0"/>
    <x v="0"/>
    <x v="0"/>
    <x v="79"/>
  </r>
  <r>
    <x v="83"/>
    <x v="3"/>
    <x v="83"/>
    <x v="80"/>
    <x v="75"/>
    <x v="3"/>
    <x v="70"/>
    <x v="1"/>
    <x v="4"/>
    <n v="0"/>
    <n v="0"/>
    <n v="0"/>
    <x v="0"/>
    <x v="0"/>
    <x v="0"/>
    <x v="0"/>
    <x v="80"/>
  </r>
  <r>
    <x v="84"/>
    <x v="2"/>
    <x v="84"/>
    <x v="81"/>
    <x v="76"/>
    <x v="48"/>
    <x v="71"/>
    <x v="38"/>
    <x v="54"/>
    <n v="5.9022100540000002"/>
    <n v="4.5763757299999996"/>
    <n v="0.73891108559999996"/>
    <x v="55"/>
    <x v="41"/>
    <x v="50"/>
    <x v="27"/>
    <x v="81"/>
  </r>
  <r>
    <x v="85"/>
    <x v="2"/>
    <x v="85"/>
    <x v="82"/>
    <x v="77"/>
    <x v="49"/>
    <x v="72"/>
    <x v="39"/>
    <x v="55"/>
    <n v="1.1780912299999999"/>
    <n v="10.61491462"/>
    <n v="2.539031772"/>
    <x v="56"/>
    <x v="42"/>
    <x v="51"/>
    <x v="28"/>
    <x v="82"/>
  </r>
  <r>
    <x v="86"/>
    <x v="2"/>
    <x v="86"/>
    <x v="83"/>
    <x v="78"/>
    <x v="50"/>
    <x v="73"/>
    <x v="40"/>
    <x v="56"/>
    <n v="4.2979487650000001"/>
    <n v="1.602839669"/>
    <n v="0.27047619049999999"/>
    <x v="57"/>
    <x v="43"/>
    <x v="52"/>
    <x v="0"/>
    <x v="83"/>
  </r>
  <r>
    <x v="87"/>
    <x v="1"/>
    <x v="87"/>
    <x v="84"/>
    <x v="79"/>
    <x v="51"/>
    <x v="74"/>
    <x v="41"/>
    <x v="57"/>
    <n v="2.5992513389999998"/>
    <n v="0"/>
    <n v="2.5696018770000002"/>
    <x v="58"/>
    <x v="44"/>
    <x v="0"/>
    <x v="0"/>
    <x v="84"/>
  </r>
  <r>
    <x v="88"/>
    <x v="3"/>
    <x v="88"/>
    <x v="85"/>
    <x v="80"/>
    <x v="3"/>
    <x v="75"/>
    <x v="1"/>
    <x v="58"/>
    <n v="0"/>
    <n v="1.8650792469999999"/>
    <n v="0"/>
    <x v="59"/>
    <x v="0"/>
    <x v="53"/>
    <x v="0"/>
    <x v="85"/>
  </r>
  <r>
    <x v="89"/>
    <x v="3"/>
    <x v="89"/>
    <x v="86"/>
    <x v="81"/>
    <x v="3"/>
    <x v="76"/>
    <x v="1"/>
    <x v="3"/>
    <s v="NAN"/>
    <s v="NAN"/>
    <s v="NAN"/>
    <x v="3"/>
    <x v="3"/>
    <x v="3"/>
    <x v="1"/>
    <x v="86"/>
  </r>
  <r>
    <x v="90"/>
    <x v="3"/>
    <x v="90"/>
    <x v="87"/>
    <x v="9"/>
    <x v="3"/>
    <x v="4"/>
    <x v="1"/>
    <x v="4"/>
    <n v="0"/>
    <n v="0"/>
    <n v="0"/>
    <x v="0"/>
    <x v="0"/>
    <x v="0"/>
    <x v="0"/>
    <x v="87"/>
  </r>
  <r>
    <x v="91"/>
    <x v="3"/>
    <x v="91"/>
    <x v="88"/>
    <x v="82"/>
    <x v="3"/>
    <x v="77"/>
    <x v="1"/>
    <x v="3"/>
    <s v="NAN"/>
    <s v="NAN"/>
    <s v="NAN"/>
    <x v="3"/>
    <x v="3"/>
    <x v="3"/>
    <x v="1"/>
    <x v="88"/>
  </r>
  <r>
    <x v="92"/>
    <x v="1"/>
    <x v="92"/>
    <x v="89"/>
    <x v="83"/>
    <x v="52"/>
    <x v="78"/>
    <x v="42"/>
    <x v="59"/>
    <n v="8.4907373709999998"/>
    <n v="2.5689718949999998"/>
    <n v="3.540378574"/>
    <x v="60"/>
    <x v="45"/>
    <x v="54"/>
    <x v="29"/>
    <x v="89"/>
  </r>
  <r>
    <x v="93"/>
    <x v="3"/>
    <x v="93"/>
    <x v="90"/>
    <x v="84"/>
    <x v="3"/>
    <x v="79"/>
    <x v="1"/>
    <x v="3"/>
    <s v="NAN"/>
    <s v="NAN"/>
    <s v="NAN"/>
    <x v="3"/>
    <x v="3"/>
    <x v="3"/>
    <x v="1"/>
    <x v="90"/>
  </r>
  <r>
    <x v="94"/>
    <x v="1"/>
    <x v="94"/>
    <x v="91"/>
    <x v="85"/>
    <x v="53"/>
    <x v="80"/>
    <x v="43"/>
    <x v="60"/>
    <n v="0.62394659450000001"/>
    <n v="2.0247147160000001"/>
    <n v="3.986E-2"/>
    <x v="61"/>
    <x v="46"/>
    <x v="55"/>
    <x v="30"/>
    <x v="91"/>
  </r>
  <r>
    <x v="95"/>
    <x v="1"/>
    <x v="95"/>
    <x v="92"/>
    <x v="86"/>
    <x v="54"/>
    <x v="81"/>
    <x v="44"/>
    <x v="61"/>
    <n v="1.862616064"/>
    <n v="6.0146930489999999"/>
    <n v="0.18343854379999999"/>
    <x v="62"/>
    <x v="47"/>
    <x v="0"/>
    <x v="0"/>
    <x v="92"/>
  </r>
  <r>
    <x v="96"/>
    <x v="2"/>
    <x v="96"/>
    <x v="93"/>
    <x v="87"/>
    <x v="55"/>
    <x v="82"/>
    <x v="45"/>
    <x v="62"/>
    <n v="11.569004189999999"/>
    <n v="12.519113219999999"/>
    <n v="24.131903659999999"/>
    <x v="63"/>
    <x v="48"/>
    <x v="56"/>
    <x v="31"/>
    <x v="93"/>
  </r>
  <r>
    <x v="97"/>
    <x v="2"/>
    <x v="97"/>
    <x v="94"/>
    <x v="88"/>
    <x v="56"/>
    <x v="83"/>
    <x v="1"/>
    <x v="63"/>
    <n v="2.0966097989999999"/>
    <n v="36.909205319999998"/>
    <n v="0"/>
    <x v="64"/>
    <x v="49"/>
    <x v="57"/>
    <x v="0"/>
    <x v="94"/>
  </r>
  <r>
    <x v="98"/>
    <x v="3"/>
    <x v="98"/>
    <x v="18"/>
    <x v="9"/>
    <x v="3"/>
    <x v="4"/>
    <x v="1"/>
    <x v="3"/>
    <s v="NAN"/>
    <s v="NAN"/>
    <s v="NAN"/>
    <x v="3"/>
    <x v="3"/>
    <x v="3"/>
    <x v="1"/>
    <x v="18"/>
  </r>
  <r>
    <x v="99"/>
    <x v="4"/>
    <x v="99"/>
    <x v="95"/>
    <x v="89"/>
    <x v="57"/>
    <x v="84"/>
    <x v="46"/>
    <x v="64"/>
    <n v="2.606070485"/>
    <n v="2.9545936840000002"/>
    <n v="7.1809068319999998"/>
    <x v="65"/>
    <x v="50"/>
    <x v="0"/>
    <x v="0"/>
    <x v="95"/>
  </r>
  <r>
    <x v="100"/>
    <x v="2"/>
    <x v="100"/>
    <x v="96"/>
    <x v="90"/>
    <x v="58"/>
    <x v="85"/>
    <x v="47"/>
    <x v="65"/>
    <n v="5.5985837859999998"/>
    <n v="15.010969599999999"/>
    <n v="0.91748719570000004"/>
    <x v="66"/>
    <x v="0"/>
    <x v="58"/>
    <x v="0"/>
    <x v="96"/>
  </r>
  <r>
    <x v="101"/>
    <x v="3"/>
    <x v="101"/>
    <x v="97"/>
    <x v="91"/>
    <x v="59"/>
    <x v="86"/>
    <x v="1"/>
    <x v="66"/>
    <n v="0"/>
    <n v="1.4207768599999999"/>
    <n v="0"/>
    <x v="67"/>
    <x v="51"/>
    <x v="59"/>
    <x v="0"/>
    <x v="97"/>
  </r>
  <r>
    <x v="102"/>
    <x v="2"/>
    <x v="102"/>
    <x v="98"/>
    <x v="92"/>
    <x v="60"/>
    <x v="4"/>
    <x v="1"/>
    <x v="3"/>
    <s v="NAN"/>
    <s v="NAN"/>
    <s v="NAN"/>
    <x v="3"/>
    <x v="3"/>
    <x v="3"/>
    <x v="1"/>
    <x v="98"/>
  </r>
  <r>
    <x v="103"/>
    <x v="2"/>
    <x v="103"/>
    <x v="99"/>
    <x v="93"/>
    <x v="61"/>
    <x v="87"/>
    <x v="48"/>
    <x v="67"/>
    <n v="13.55843013"/>
    <n v="15.73132479"/>
    <n v="7.0598902539999999"/>
    <x v="68"/>
    <x v="52"/>
    <x v="60"/>
    <x v="32"/>
    <x v="99"/>
  </r>
  <r>
    <x v="104"/>
    <x v="0"/>
    <x v="104"/>
    <x v="100"/>
    <x v="94"/>
    <x v="62"/>
    <x v="88"/>
    <x v="49"/>
    <x v="68"/>
    <n v="6.5377757970000001"/>
    <n v="3.3837098750000001"/>
    <n v="25.978297439999999"/>
    <x v="69"/>
    <x v="53"/>
    <x v="61"/>
    <x v="33"/>
    <x v="100"/>
  </r>
  <r>
    <x v="105"/>
    <x v="1"/>
    <x v="105"/>
    <x v="101"/>
    <x v="95"/>
    <x v="3"/>
    <x v="89"/>
    <x v="1"/>
    <x v="3"/>
    <s v="NAN"/>
    <s v="NAN"/>
    <s v="NAN"/>
    <x v="3"/>
    <x v="3"/>
    <x v="3"/>
    <x v="1"/>
    <x v="101"/>
  </r>
  <r>
    <x v="106"/>
    <x v="3"/>
    <x v="106"/>
    <x v="102"/>
    <x v="9"/>
    <x v="3"/>
    <x v="4"/>
    <x v="1"/>
    <x v="3"/>
    <s v="NAN"/>
    <s v="NAN"/>
    <s v="NAN"/>
    <x v="3"/>
    <x v="3"/>
    <x v="3"/>
    <x v="1"/>
    <x v="102"/>
  </r>
  <r>
    <x v="107"/>
    <x v="3"/>
    <x v="107"/>
    <x v="103"/>
    <x v="96"/>
    <x v="3"/>
    <x v="90"/>
    <x v="1"/>
    <x v="69"/>
    <n v="0"/>
    <n v="6.2172197709999999"/>
    <n v="0"/>
    <x v="0"/>
    <x v="0"/>
    <x v="0"/>
    <x v="0"/>
    <x v="103"/>
  </r>
  <r>
    <x v="108"/>
    <x v="3"/>
    <x v="108"/>
    <x v="104"/>
    <x v="97"/>
    <x v="3"/>
    <x v="91"/>
    <x v="1"/>
    <x v="70"/>
    <n v="0"/>
    <n v="1.404761905"/>
    <n v="0"/>
    <x v="0"/>
    <x v="0"/>
    <x v="0"/>
    <x v="0"/>
    <x v="104"/>
  </r>
  <r>
    <x v="109"/>
    <x v="0"/>
    <x v="109"/>
    <x v="105"/>
    <x v="98"/>
    <x v="63"/>
    <x v="92"/>
    <x v="50"/>
    <x v="71"/>
    <n v="1.601776163"/>
    <n v="43.953893450000002"/>
    <n v="18.037910109999999"/>
    <x v="70"/>
    <x v="54"/>
    <x v="62"/>
    <x v="34"/>
    <x v="105"/>
  </r>
  <r>
    <x v="110"/>
    <x v="0"/>
    <x v="110"/>
    <x v="106"/>
    <x v="99"/>
    <x v="64"/>
    <x v="93"/>
    <x v="51"/>
    <x v="72"/>
    <n v="24.414158029999999"/>
    <n v="6.3838741460000001"/>
    <n v="2.6169240660000002"/>
    <x v="71"/>
    <x v="55"/>
    <x v="63"/>
    <x v="35"/>
    <x v="106"/>
  </r>
  <r>
    <x v="111"/>
    <x v="1"/>
    <x v="111"/>
    <x v="107"/>
    <x v="100"/>
    <x v="65"/>
    <x v="94"/>
    <x v="4"/>
    <x v="73"/>
    <n v="0.54445139710000001"/>
    <n v="9.2581004779999994"/>
    <s v="NAN"/>
    <x v="72"/>
    <x v="56"/>
    <x v="64"/>
    <x v="36"/>
    <x v="107"/>
  </r>
  <r>
    <x v="112"/>
    <x v="1"/>
    <x v="112"/>
    <x v="108"/>
    <x v="101"/>
    <x v="66"/>
    <x v="95"/>
    <x v="1"/>
    <x v="74"/>
    <n v="8.0987500000000004E-2"/>
    <n v="0"/>
    <n v="0"/>
    <x v="73"/>
    <x v="0"/>
    <x v="65"/>
    <x v="0"/>
    <x v="108"/>
  </r>
  <r>
    <x v="113"/>
    <x v="0"/>
    <x v="113"/>
    <x v="109"/>
    <x v="102"/>
    <x v="67"/>
    <x v="96"/>
    <x v="52"/>
    <x v="75"/>
    <n v="3.7824122299999998"/>
    <n v="21.72810084"/>
    <n v="2.4085917170000002"/>
    <x v="74"/>
    <x v="57"/>
    <x v="66"/>
    <x v="0"/>
    <x v="109"/>
  </r>
  <r>
    <x v="114"/>
    <x v="3"/>
    <x v="114"/>
    <x v="110"/>
    <x v="103"/>
    <x v="3"/>
    <x v="4"/>
    <x v="1"/>
    <x v="4"/>
    <n v="0"/>
    <n v="0"/>
    <n v="0"/>
    <x v="0"/>
    <x v="0"/>
    <x v="0"/>
    <x v="0"/>
    <x v="110"/>
  </r>
  <r>
    <x v="115"/>
    <x v="1"/>
    <x v="115"/>
    <x v="111"/>
    <x v="104"/>
    <x v="68"/>
    <x v="97"/>
    <x v="1"/>
    <x v="76"/>
    <n v="5.3902799999999997"/>
    <n v="0.18"/>
    <n v="0"/>
    <x v="75"/>
    <x v="58"/>
    <x v="0"/>
    <x v="0"/>
    <x v="111"/>
  </r>
  <r>
    <x v="116"/>
    <x v="4"/>
    <x v="116"/>
    <x v="112"/>
    <x v="105"/>
    <x v="3"/>
    <x v="98"/>
    <x v="1"/>
    <x v="3"/>
    <s v="NAN"/>
    <s v="NAN"/>
    <s v="NAN"/>
    <x v="3"/>
    <x v="3"/>
    <x v="3"/>
    <x v="1"/>
    <x v="112"/>
  </r>
  <r>
    <x v="117"/>
    <x v="2"/>
    <x v="117"/>
    <x v="113"/>
    <x v="106"/>
    <x v="69"/>
    <x v="99"/>
    <x v="53"/>
    <x v="77"/>
    <n v="18.49039689"/>
    <n v="31.549617300000001"/>
    <n v="4.8646907220000001E-2"/>
    <x v="76"/>
    <x v="59"/>
    <x v="67"/>
    <x v="0"/>
    <x v="113"/>
  </r>
  <r>
    <x v="118"/>
    <x v="1"/>
    <x v="118"/>
    <x v="114"/>
    <x v="107"/>
    <x v="3"/>
    <x v="100"/>
    <x v="1"/>
    <x v="78"/>
    <n v="0"/>
    <n v="0.17231766179999999"/>
    <n v="0"/>
    <x v="77"/>
    <x v="0"/>
    <x v="68"/>
    <x v="0"/>
    <x v="114"/>
  </r>
  <r>
    <x v="119"/>
    <x v="4"/>
    <x v="119"/>
    <x v="115"/>
    <x v="108"/>
    <x v="3"/>
    <x v="101"/>
    <x v="4"/>
    <x v="3"/>
    <s v="NAN"/>
    <s v="NAN"/>
    <s v="NAN"/>
    <x v="3"/>
    <x v="3"/>
    <x v="3"/>
    <x v="1"/>
    <x v="115"/>
  </r>
  <r>
    <x v="120"/>
    <x v="1"/>
    <x v="120"/>
    <x v="116"/>
    <x v="109"/>
    <x v="3"/>
    <x v="102"/>
    <x v="1"/>
    <x v="79"/>
    <n v="0"/>
    <n v="1.6629310669999999"/>
    <n v="0"/>
    <x v="0"/>
    <x v="0"/>
    <x v="0"/>
    <x v="0"/>
    <x v="116"/>
  </r>
  <r>
    <x v="121"/>
    <x v="3"/>
    <x v="121"/>
    <x v="18"/>
    <x v="9"/>
    <x v="3"/>
    <x v="4"/>
    <x v="1"/>
    <x v="3"/>
    <s v="NAN"/>
    <s v="NAN"/>
    <s v="NAN"/>
    <x v="0"/>
    <x v="0"/>
    <x v="0"/>
    <x v="0"/>
    <x v="18"/>
  </r>
  <r>
    <x v="122"/>
    <x v="2"/>
    <x v="122"/>
    <x v="117"/>
    <x v="110"/>
    <x v="70"/>
    <x v="103"/>
    <x v="54"/>
    <x v="80"/>
    <n v="3.0841705720000001"/>
    <n v="17.580781160000001"/>
    <n v="18.264297129999999"/>
    <x v="78"/>
    <x v="60"/>
    <x v="69"/>
    <x v="0"/>
    <x v="117"/>
  </r>
  <r>
    <x v="123"/>
    <x v="1"/>
    <x v="123"/>
    <x v="118"/>
    <x v="111"/>
    <x v="71"/>
    <x v="104"/>
    <x v="55"/>
    <x v="81"/>
    <n v="0"/>
    <n v="1.821833386"/>
    <n v="1.6279069770000001E-2"/>
    <x v="79"/>
    <x v="61"/>
    <x v="0"/>
    <x v="0"/>
    <x v="118"/>
  </r>
  <r>
    <x v="124"/>
    <x v="4"/>
    <x v="124"/>
    <x v="119"/>
    <x v="112"/>
    <x v="3"/>
    <x v="105"/>
    <x v="1"/>
    <x v="3"/>
    <s v="NAN"/>
    <s v="NAN"/>
    <s v="NAN"/>
    <x v="3"/>
    <x v="3"/>
    <x v="3"/>
    <x v="1"/>
    <x v="119"/>
  </r>
  <r>
    <x v="125"/>
    <x v="2"/>
    <x v="125"/>
    <x v="120"/>
    <x v="113"/>
    <x v="72"/>
    <x v="106"/>
    <x v="56"/>
    <x v="82"/>
    <n v="12.03707816"/>
    <n v="6.6230633729999999"/>
    <n v="3.9937295019999999"/>
    <x v="80"/>
    <x v="62"/>
    <x v="70"/>
    <x v="0"/>
    <x v="120"/>
  </r>
  <r>
    <x v="126"/>
    <x v="0"/>
    <x v="126"/>
    <x v="121"/>
    <x v="114"/>
    <x v="73"/>
    <x v="107"/>
    <x v="57"/>
    <x v="83"/>
    <n v="12.64088359"/>
    <n v="23.686256400000001"/>
    <n v="14.80617352"/>
    <x v="81"/>
    <x v="63"/>
    <x v="71"/>
    <x v="37"/>
    <x v="121"/>
  </r>
  <r>
    <x v="127"/>
    <x v="2"/>
    <x v="127"/>
    <x v="122"/>
    <x v="115"/>
    <x v="74"/>
    <x v="108"/>
    <x v="58"/>
    <x v="84"/>
    <n v="2.3169621419999999"/>
    <n v="6.5923936940000001"/>
    <n v="12.66807947"/>
    <x v="82"/>
    <x v="0"/>
    <x v="72"/>
    <x v="38"/>
    <x v="122"/>
  </r>
  <r>
    <x v="128"/>
    <x v="1"/>
    <x v="128"/>
    <x v="123"/>
    <x v="116"/>
    <x v="75"/>
    <x v="109"/>
    <x v="59"/>
    <x v="85"/>
    <n v="11.97218925"/>
    <n v="7.0818037589999996"/>
    <n v="9.6898395629999996"/>
    <x v="83"/>
    <x v="64"/>
    <x v="73"/>
    <x v="39"/>
    <x v="123"/>
  </r>
  <r>
    <x v="129"/>
    <x v="3"/>
    <x v="129"/>
    <x v="18"/>
    <x v="9"/>
    <x v="3"/>
    <x v="4"/>
    <x v="1"/>
    <x v="3"/>
    <s v="NAN"/>
    <s v="NAN"/>
    <s v="NAN"/>
    <x v="0"/>
    <x v="0"/>
    <x v="0"/>
    <x v="0"/>
    <x v="18"/>
  </r>
  <r>
    <x v="130"/>
    <x v="2"/>
    <x v="130"/>
    <x v="124"/>
    <x v="117"/>
    <x v="76"/>
    <x v="110"/>
    <x v="60"/>
    <x v="86"/>
    <n v="4.2073482459999996"/>
    <n v="4.2690239510000003"/>
    <n v="1.320356149"/>
    <x v="84"/>
    <x v="65"/>
    <x v="74"/>
    <x v="40"/>
    <x v="124"/>
  </r>
  <r>
    <x v="131"/>
    <x v="3"/>
    <x v="131"/>
    <x v="125"/>
    <x v="118"/>
    <x v="3"/>
    <x v="111"/>
    <x v="1"/>
    <x v="4"/>
    <n v="0"/>
    <n v="0"/>
    <n v="0"/>
    <x v="0"/>
    <x v="0"/>
    <x v="0"/>
    <x v="0"/>
    <x v="125"/>
  </r>
  <r>
    <x v="132"/>
    <x v="3"/>
    <x v="132"/>
    <x v="126"/>
    <x v="119"/>
    <x v="3"/>
    <x v="112"/>
    <x v="1"/>
    <x v="3"/>
    <s v="NAN"/>
    <s v="NAN"/>
    <s v="NAN"/>
    <x v="3"/>
    <x v="3"/>
    <x v="3"/>
    <x v="1"/>
    <x v="126"/>
  </r>
  <r>
    <x v="133"/>
    <x v="3"/>
    <x v="133"/>
    <x v="127"/>
    <x v="120"/>
    <x v="3"/>
    <x v="4"/>
    <x v="1"/>
    <x v="4"/>
    <n v="0"/>
    <n v="0"/>
    <n v="0"/>
    <x v="0"/>
    <x v="0"/>
    <x v="0"/>
    <x v="0"/>
    <x v="127"/>
  </r>
  <r>
    <x v="134"/>
    <x v="2"/>
    <x v="134"/>
    <x v="128"/>
    <x v="121"/>
    <x v="77"/>
    <x v="113"/>
    <x v="61"/>
    <x v="87"/>
    <n v="3.5209742849999999"/>
    <n v="29.780173680000001"/>
    <n v="7.5914054000000002"/>
    <x v="85"/>
    <x v="66"/>
    <x v="75"/>
    <x v="41"/>
    <x v="128"/>
  </r>
  <r>
    <x v="135"/>
    <x v="0"/>
    <x v="135"/>
    <x v="129"/>
    <x v="122"/>
    <x v="78"/>
    <x v="114"/>
    <x v="62"/>
    <x v="88"/>
    <n v="23.987740389999999"/>
    <n v="31.991506480000002"/>
    <n v="4.8665938129999997"/>
    <x v="86"/>
    <x v="67"/>
    <x v="76"/>
    <x v="42"/>
    <x v="129"/>
  </r>
  <r>
    <x v="136"/>
    <x v="2"/>
    <x v="136"/>
    <x v="130"/>
    <x v="123"/>
    <x v="79"/>
    <x v="115"/>
    <x v="63"/>
    <x v="89"/>
    <n v="7.1289245829999999"/>
    <n v="20.924875350000001"/>
    <n v="10.28799004"/>
    <x v="87"/>
    <x v="68"/>
    <x v="77"/>
    <x v="43"/>
    <x v="130"/>
  </r>
  <r>
    <x v="137"/>
    <x v="4"/>
    <x v="137"/>
    <x v="131"/>
    <x v="124"/>
    <x v="3"/>
    <x v="116"/>
    <x v="1"/>
    <x v="3"/>
    <s v="NAN"/>
    <s v="NAN"/>
    <s v="NAN"/>
    <x v="3"/>
    <x v="3"/>
    <x v="3"/>
    <x v="1"/>
    <x v="131"/>
  </r>
  <r>
    <x v="138"/>
    <x v="1"/>
    <x v="138"/>
    <x v="132"/>
    <x v="125"/>
    <x v="80"/>
    <x v="117"/>
    <x v="64"/>
    <x v="90"/>
    <n v="1.505202232"/>
    <n v="0.91056319819999998"/>
    <n v="0.11552"/>
    <x v="88"/>
    <x v="69"/>
    <x v="78"/>
    <x v="0"/>
    <x v="132"/>
  </r>
  <r>
    <x v="139"/>
    <x v="3"/>
    <x v="139"/>
    <x v="133"/>
    <x v="9"/>
    <x v="3"/>
    <x v="4"/>
    <x v="1"/>
    <x v="3"/>
    <s v="NAN"/>
    <s v="NAN"/>
    <s v="NAN"/>
    <x v="3"/>
    <x v="3"/>
    <x v="3"/>
    <x v="1"/>
    <x v="133"/>
  </r>
  <r>
    <x v="140"/>
    <x v="3"/>
    <x v="140"/>
    <x v="134"/>
    <x v="126"/>
    <x v="3"/>
    <x v="118"/>
    <x v="1"/>
    <x v="4"/>
    <n v="0"/>
    <n v="0"/>
    <n v="0"/>
    <x v="0"/>
    <x v="0"/>
    <x v="0"/>
    <x v="0"/>
    <x v="134"/>
  </r>
  <r>
    <x v="141"/>
    <x v="3"/>
    <x v="141"/>
    <x v="135"/>
    <x v="127"/>
    <x v="81"/>
    <x v="119"/>
    <x v="65"/>
    <x v="91"/>
    <n v="21.632121130000002"/>
    <n v="1.897409218"/>
    <n v="0.21968973750000001"/>
    <x v="89"/>
    <x v="70"/>
    <x v="0"/>
    <x v="0"/>
    <x v="135"/>
  </r>
  <r>
    <x v="142"/>
    <x v="2"/>
    <x v="142"/>
    <x v="136"/>
    <x v="128"/>
    <x v="82"/>
    <x v="120"/>
    <x v="66"/>
    <x v="92"/>
    <n v="3.852278117"/>
    <n v="5.1745965089999997"/>
    <n v="2.3732646169999998"/>
    <x v="90"/>
    <x v="71"/>
    <x v="79"/>
    <x v="44"/>
    <x v="136"/>
  </r>
  <r>
    <x v="143"/>
    <x v="1"/>
    <x v="143"/>
    <x v="137"/>
    <x v="129"/>
    <x v="3"/>
    <x v="121"/>
    <x v="1"/>
    <x v="93"/>
    <n v="0"/>
    <n v="0.2430149677"/>
    <n v="0"/>
    <x v="91"/>
    <x v="0"/>
    <x v="80"/>
    <x v="0"/>
    <x v="137"/>
  </r>
  <r>
    <x v="144"/>
    <x v="3"/>
    <x v="144"/>
    <x v="138"/>
    <x v="130"/>
    <x v="83"/>
    <x v="122"/>
    <x v="67"/>
    <x v="94"/>
    <n v="1.791982583"/>
    <n v="7.1623643420000001"/>
    <n v="4.7225698109999996"/>
    <x v="92"/>
    <x v="72"/>
    <x v="0"/>
    <x v="0"/>
    <x v="138"/>
  </r>
  <r>
    <x v="145"/>
    <x v="2"/>
    <x v="145"/>
    <x v="139"/>
    <x v="131"/>
    <x v="84"/>
    <x v="123"/>
    <x v="68"/>
    <x v="95"/>
    <n v="2.4298502929999999"/>
    <n v="24.431800859999999"/>
    <n v="34.067005170000002"/>
    <x v="93"/>
    <x v="73"/>
    <x v="81"/>
    <x v="45"/>
    <x v="139"/>
  </r>
  <r>
    <x v="146"/>
    <x v="1"/>
    <x v="146"/>
    <x v="140"/>
    <x v="132"/>
    <x v="85"/>
    <x v="124"/>
    <x v="1"/>
    <x v="96"/>
    <n v="0.88877246840000002"/>
    <n v="0"/>
    <n v="0"/>
    <x v="94"/>
    <x v="74"/>
    <x v="0"/>
    <x v="0"/>
    <x v="140"/>
  </r>
  <r>
    <x v="147"/>
    <x v="1"/>
    <x v="147"/>
    <x v="141"/>
    <x v="133"/>
    <x v="86"/>
    <x v="125"/>
    <x v="69"/>
    <x v="97"/>
    <n v="1.5969437710000001"/>
    <n v="9.6126911629999992"/>
    <n v="7.9909265779999998"/>
    <x v="95"/>
    <x v="75"/>
    <x v="82"/>
    <x v="46"/>
    <x v="141"/>
  </r>
  <r>
    <x v="148"/>
    <x v="2"/>
    <x v="148"/>
    <x v="142"/>
    <x v="134"/>
    <x v="87"/>
    <x v="126"/>
    <x v="1"/>
    <x v="98"/>
    <n v="3.9595204279999998"/>
    <n v="4.978546347"/>
    <n v="0"/>
    <x v="96"/>
    <x v="76"/>
    <x v="83"/>
    <x v="0"/>
    <x v="142"/>
  </r>
  <r>
    <x v="149"/>
    <x v="3"/>
    <x v="149"/>
    <x v="143"/>
    <x v="135"/>
    <x v="3"/>
    <x v="127"/>
    <x v="1"/>
    <x v="4"/>
    <n v="0"/>
    <n v="0"/>
    <n v="0"/>
    <x v="97"/>
    <x v="0"/>
    <x v="84"/>
    <x v="0"/>
    <x v="143"/>
  </r>
  <r>
    <x v="150"/>
    <x v="3"/>
    <x v="150"/>
    <x v="144"/>
    <x v="136"/>
    <x v="3"/>
    <x v="128"/>
    <x v="1"/>
    <x v="99"/>
    <n v="0"/>
    <n v="0.26122391220000002"/>
    <n v="0"/>
    <x v="0"/>
    <x v="0"/>
    <x v="0"/>
    <x v="0"/>
    <x v="144"/>
  </r>
  <r>
    <x v="151"/>
    <x v="3"/>
    <x v="151"/>
    <x v="145"/>
    <x v="9"/>
    <x v="3"/>
    <x v="4"/>
    <x v="1"/>
    <x v="3"/>
    <s v="NAN"/>
    <s v="NAN"/>
    <s v="NAN"/>
    <x v="3"/>
    <x v="3"/>
    <x v="3"/>
    <x v="1"/>
    <x v="145"/>
  </r>
  <r>
    <x v="152"/>
    <x v="3"/>
    <x v="152"/>
    <x v="146"/>
    <x v="137"/>
    <x v="3"/>
    <x v="129"/>
    <x v="1"/>
    <x v="3"/>
    <s v="NAN"/>
    <s v="NAN"/>
    <s v="NAN"/>
    <x v="3"/>
    <x v="3"/>
    <x v="3"/>
    <x v="1"/>
    <x v="146"/>
  </r>
  <r>
    <x v="153"/>
    <x v="3"/>
    <x v="153"/>
    <x v="147"/>
    <x v="138"/>
    <x v="3"/>
    <x v="130"/>
    <x v="1"/>
    <x v="3"/>
    <s v="NAN"/>
    <s v="NAN"/>
    <s v="NAN"/>
    <x v="3"/>
    <x v="3"/>
    <x v="3"/>
    <x v="1"/>
    <x v="147"/>
  </r>
  <r>
    <x v="154"/>
    <x v="1"/>
    <x v="154"/>
    <x v="148"/>
    <x v="139"/>
    <x v="88"/>
    <x v="131"/>
    <x v="1"/>
    <x v="100"/>
    <n v="1.52256302"/>
    <n v="12.996398859999999"/>
    <n v="0"/>
    <x v="98"/>
    <x v="77"/>
    <x v="85"/>
    <x v="0"/>
    <x v="148"/>
  </r>
  <r>
    <x v="155"/>
    <x v="4"/>
    <x v="155"/>
    <x v="149"/>
    <x v="9"/>
    <x v="3"/>
    <x v="4"/>
    <x v="1"/>
    <x v="3"/>
    <s v="NAN"/>
    <s v="NAN"/>
    <s v="NAN"/>
    <x v="3"/>
    <x v="3"/>
    <x v="3"/>
    <x v="1"/>
    <x v="149"/>
  </r>
  <r>
    <x v="156"/>
    <x v="3"/>
    <x v="156"/>
    <x v="150"/>
    <x v="9"/>
    <x v="3"/>
    <x v="4"/>
    <x v="1"/>
    <x v="4"/>
    <n v="0"/>
    <n v="0"/>
    <n v="0"/>
    <x v="0"/>
    <x v="0"/>
    <x v="0"/>
    <x v="0"/>
    <x v="150"/>
  </r>
  <r>
    <x v="157"/>
    <x v="1"/>
    <x v="157"/>
    <x v="151"/>
    <x v="140"/>
    <x v="89"/>
    <x v="132"/>
    <x v="4"/>
    <x v="101"/>
    <n v="1.5831635129999999"/>
    <n v="6.8727345309999999"/>
    <s v="NAN"/>
    <x v="99"/>
    <x v="78"/>
    <x v="86"/>
    <x v="47"/>
    <x v="151"/>
  </r>
  <r>
    <x v="158"/>
    <x v="0"/>
    <x v="158"/>
    <x v="152"/>
    <x v="141"/>
    <x v="90"/>
    <x v="133"/>
    <x v="70"/>
    <x v="102"/>
    <n v="25.08014133"/>
    <n v="14.778867719999999"/>
    <n v="4.4985227139999999"/>
    <x v="100"/>
    <x v="79"/>
    <x v="87"/>
    <x v="48"/>
    <x v="152"/>
  </r>
  <r>
    <x v="159"/>
    <x v="4"/>
    <x v="159"/>
    <x v="18"/>
    <x v="9"/>
    <x v="3"/>
    <x v="4"/>
    <x v="1"/>
    <x v="3"/>
    <s v="NAN"/>
    <s v="NAN"/>
    <s v="NAN"/>
    <x v="0"/>
    <x v="0"/>
    <x v="0"/>
    <x v="0"/>
    <x v="18"/>
  </r>
  <r>
    <x v="160"/>
    <x v="4"/>
    <x v="160"/>
    <x v="153"/>
    <x v="142"/>
    <x v="3"/>
    <x v="134"/>
    <x v="1"/>
    <x v="3"/>
    <s v="NAN"/>
    <s v="NAN"/>
    <s v="NAN"/>
    <x v="3"/>
    <x v="3"/>
    <x v="3"/>
    <x v="1"/>
    <x v="153"/>
  </r>
  <r>
    <x v="161"/>
    <x v="1"/>
    <x v="161"/>
    <x v="154"/>
    <x v="143"/>
    <x v="91"/>
    <x v="135"/>
    <x v="1"/>
    <x v="103"/>
    <n v="1.7341522549999999"/>
    <n v="1.4518239180000001"/>
    <n v="0"/>
    <x v="101"/>
    <x v="80"/>
    <x v="88"/>
    <x v="0"/>
    <x v="154"/>
  </r>
  <r>
    <x v="162"/>
    <x v="3"/>
    <x v="162"/>
    <x v="18"/>
    <x v="144"/>
    <x v="3"/>
    <x v="136"/>
    <x v="1"/>
    <x v="3"/>
    <s v="NAN"/>
    <s v="NAN"/>
    <s v="NAN"/>
    <x v="102"/>
    <x v="0"/>
    <x v="89"/>
    <x v="0"/>
    <x v="18"/>
  </r>
  <r>
    <x v="163"/>
    <x v="4"/>
    <x v="163"/>
    <x v="155"/>
    <x v="145"/>
    <x v="3"/>
    <x v="137"/>
    <x v="1"/>
    <x v="3"/>
    <s v="NAN"/>
    <s v="NAN"/>
    <s v="NAN"/>
    <x v="3"/>
    <x v="3"/>
    <x v="3"/>
    <x v="1"/>
    <x v="155"/>
  </r>
  <r>
    <x v="164"/>
    <x v="2"/>
    <x v="164"/>
    <x v="156"/>
    <x v="146"/>
    <x v="92"/>
    <x v="138"/>
    <x v="71"/>
    <x v="104"/>
    <n v="6.2207033389999999"/>
    <n v="1.7276921599999999"/>
    <n v="0.2712816327"/>
    <x v="103"/>
    <x v="81"/>
    <x v="0"/>
    <x v="0"/>
    <x v="156"/>
  </r>
  <r>
    <x v="165"/>
    <x v="3"/>
    <x v="165"/>
    <x v="157"/>
    <x v="9"/>
    <x v="3"/>
    <x v="4"/>
    <x v="1"/>
    <x v="3"/>
    <s v="NAN"/>
    <s v="NAN"/>
    <s v="NAN"/>
    <x v="3"/>
    <x v="3"/>
    <x v="3"/>
    <x v="1"/>
    <x v="157"/>
  </r>
  <r>
    <x v="166"/>
    <x v="2"/>
    <x v="166"/>
    <x v="158"/>
    <x v="147"/>
    <x v="93"/>
    <x v="139"/>
    <x v="72"/>
    <x v="105"/>
    <n v="19.711842579999999"/>
    <n v="1.7294057039999999"/>
    <n v="4.2581372279999998"/>
    <x v="104"/>
    <x v="82"/>
    <x v="0"/>
    <x v="0"/>
    <x v="158"/>
  </r>
  <r>
    <x v="167"/>
    <x v="3"/>
    <x v="167"/>
    <x v="159"/>
    <x v="9"/>
    <x v="3"/>
    <x v="4"/>
    <x v="1"/>
    <x v="3"/>
    <s v="NAN"/>
    <s v="NAN"/>
    <s v="NAN"/>
    <x v="3"/>
    <x v="3"/>
    <x v="3"/>
    <x v="1"/>
    <x v="159"/>
  </r>
  <r>
    <x v="168"/>
    <x v="2"/>
    <x v="168"/>
    <x v="160"/>
    <x v="148"/>
    <x v="94"/>
    <x v="140"/>
    <x v="73"/>
    <x v="106"/>
    <n v="4.052382433"/>
    <n v="20.512451739999999"/>
    <n v="0.1922376314"/>
    <x v="105"/>
    <x v="83"/>
    <x v="90"/>
    <x v="0"/>
    <x v="160"/>
  </r>
  <r>
    <x v="169"/>
    <x v="1"/>
    <x v="169"/>
    <x v="161"/>
    <x v="149"/>
    <x v="95"/>
    <x v="141"/>
    <x v="74"/>
    <x v="107"/>
    <n v="3.545864028"/>
    <n v="0.57116028659999996"/>
    <n v="3.8000931410000001E-2"/>
    <x v="106"/>
    <x v="84"/>
    <x v="91"/>
    <x v="0"/>
    <x v="161"/>
  </r>
  <r>
    <x v="170"/>
    <x v="0"/>
    <x v="170"/>
    <x v="162"/>
    <x v="150"/>
    <x v="96"/>
    <x v="142"/>
    <x v="75"/>
    <x v="108"/>
    <n v="5.2211368890000003"/>
    <n v="23.142949089999998"/>
    <n v="18.88321135"/>
    <x v="107"/>
    <x v="85"/>
    <x v="92"/>
    <x v="49"/>
    <x v="162"/>
  </r>
  <r>
    <x v="171"/>
    <x v="3"/>
    <x v="171"/>
    <x v="18"/>
    <x v="9"/>
    <x v="3"/>
    <x v="4"/>
    <x v="1"/>
    <x v="3"/>
    <s v="NAN"/>
    <s v="NAN"/>
    <s v="NAN"/>
    <x v="0"/>
    <x v="0"/>
    <x v="0"/>
    <x v="0"/>
    <x v="18"/>
  </r>
  <r>
    <x v="172"/>
    <x v="3"/>
    <x v="172"/>
    <x v="163"/>
    <x v="151"/>
    <x v="97"/>
    <x v="4"/>
    <x v="1"/>
    <x v="4"/>
    <n v="0"/>
    <n v="0"/>
    <n v="0"/>
    <x v="108"/>
    <x v="86"/>
    <x v="0"/>
    <x v="0"/>
    <x v="163"/>
  </r>
  <r>
    <x v="173"/>
    <x v="3"/>
    <x v="173"/>
    <x v="164"/>
    <x v="152"/>
    <x v="3"/>
    <x v="143"/>
    <x v="1"/>
    <x v="3"/>
    <s v="NAN"/>
    <s v="NAN"/>
    <s v="NAN"/>
    <x v="3"/>
    <x v="3"/>
    <x v="3"/>
    <x v="1"/>
    <x v="164"/>
  </r>
  <r>
    <x v="174"/>
    <x v="2"/>
    <x v="174"/>
    <x v="165"/>
    <x v="153"/>
    <x v="98"/>
    <x v="144"/>
    <x v="76"/>
    <x v="109"/>
    <n v="6.5285236490000003"/>
    <n v="26.955911"/>
    <n v="7.1102978569999999"/>
    <x v="109"/>
    <x v="87"/>
    <x v="93"/>
    <x v="50"/>
    <x v="165"/>
  </r>
  <r>
    <x v="175"/>
    <x v="0"/>
    <x v="175"/>
    <x v="166"/>
    <x v="154"/>
    <x v="99"/>
    <x v="145"/>
    <x v="77"/>
    <x v="110"/>
    <n v="36.643249580000003"/>
    <n v="21.821495460000001"/>
    <n v="4.4593921429999996"/>
    <x v="110"/>
    <x v="88"/>
    <x v="94"/>
    <x v="0"/>
    <x v="166"/>
  </r>
  <r>
    <x v="176"/>
    <x v="1"/>
    <x v="176"/>
    <x v="167"/>
    <x v="155"/>
    <x v="100"/>
    <x v="146"/>
    <x v="78"/>
    <x v="111"/>
    <n v="6.9773593590000003"/>
    <n v="3.7769992870000002"/>
    <n v="5.9161601729999997"/>
    <x v="111"/>
    <x v="89"/>
    <x v="95"/>
    <x v="0"/>
    <x v="167"/>
  </r>
  <r>
    <x v="177"/>
    <x v="0"/>
    <x v="177"/>
    <x v="168"/>
    <x v="156"/>
    <x v="101"/>
    <x v="147"/>
    <x v="79"/>
    <x v="112"/>
    <n v="42.164380680000001"/>
    <n v="14.111096160000001"/>
    <n v="10.13089435"/>
    <x v="112"/>
    <x v="90"/>
    <x v="96"/>
    <x v="0"/>
    <x v="168"/>
  </r>
  <r>
    <x v="178"/>
    <x v="3"/>
    <x v="178"/>
    <x v="169"/>
    <x v="157"/>
    <x v="3"/>
    <x v="148"/>
    <x v="1"/>
    <x v="4"/>
    <n v="0"/>
    <n v="0"/>
    <n v="0"/>
    <x v="113"/>
    <x v="0"/>
    <x v="97"/>
    <x v="0"/>
    <x v="169"/>
  </r>
  <r>
    <x v="179"/>
    <x v="2"/>
    <x v="179"/>
    <x v="170"/>
    <x v="158"/>
    <x v="102"/>
    <x v="149"/>
    <x v="80"/>
    <x v="113"/>
    <n v="0.70320990380000004"/>
    <n v="6.5104886119999996"/>
    <n v="2.2488657820000002"/>
    <x v="114"/>
    <x v="91"/>
    <x v="98"/>
    <x v="0"/>
    <x v="170"/>
  </r>
  <r>
    <x v="180"/>
    <x v="0"/>
    <x v="180"/>
    <x v="171"/>
    <x v="159"/>
    <x v="103"/>
    <x v="150"/>
    <x v="81"/>
    <x v="114"/>
    <n v="27.457644510000002"/>
    <n v="5.6376600080000001"/>
    <n v="13.70566842"/>
    <x v="115"/>
    <x v="92"/>
    <x v="0"/>
    <x v="51"/>
    <x v="171"/>
  </r>
  <r>
    <x v="181"/>
    <x v="1"/>
    <x v="181"/>
    <x v="172"/>
    <x v="160"/>
    <x v="104"/>
    <x v="151"/>
    <x v="82"/>
    <x v="115"/>
    <n v="1.6002958599999999"/>
    <n v="0.1598017947"/>
    <n v="1.6654897200000001"/>
    <x v="116"/>
    <x v="93"/>
    <x v="99"/>
    <x v="0"/>
    <x v="172"/>
  </r>
  <r>
    <x v="182"/>
    <x v="3"/>
    <x v="182"/>
    <x v="173"/>
    <x v="161"/>
    <x v="3"/>
    <x v="152"/>
    <x v="1"/>
    <x v="116"/>
    <n v="0"/>
    <n v="0.28062526259999998"/>
    <n v="0"/>
    <x v="117"/>
    <x v="0"/>
    <x v="100"/>
    <x v="0"/>
    <x v="173"/>
  </r>
  <r>
    <x v="183"/>
    <x v="3"/>
    <x v="183"/>
    <x v="174"/>
    <x v="162"/>
    <x v="3"/>
    <x v="4"/>
    <x v="1"/>
    <x v="4"/>
    <n v="0"/>
    <n v="0"/>
    <n v="0"/>
    <x v="0"/>
    <x v="0"/>
    <x v="0"/>
    <x v="0"/>
    <x v="174"/>
  </r>
  <r>
    <x v="184"/>
    <x v="0"/>
    <x v="184"/>
    <x v="175"/>
    <x v="163"/>
    <x v="105"/>
    <x v="153"/>
    <x v="1"/>
    <x v="117"/>
    <n v="7.9172549999999999"/>
    <n v="0"/>
    <n v="0"/>
    <x v="118"/>
    <x v="94"/>
    <x v="101"/>
    <x v="0"/>
    <x v="175"/>
  </r>
  <r>
    <x v="185"/>
    <x v="2"/>
    <x v="185"/>
    <x v="176"/>
    <x v="164"/>
    <x v="106"/>
    <x v="154"/>
    <x v="83"/>
    <x v="118"/>
    <n v="3.2071439279999998"/>
    <n v="4.1407069480000001"/>
    <n v="16.00854992"/>
    <x v="119"/>
    <x v="95"/>
    <x v="102"/>
    <x v="52"/>
    <x v="176"/>
  </r>
  <r>
    <x v="186"/>
    <x v="1"/>
    <x v="186"/>
    <x v="177"/>
    <x v="9"/>
    <x v="3"/>
    <x v="4"/>
    <x v="1"/>
    <x v="4"/>
    <n v="0"/>
    <n v="0"/>
    <n v="0"/>
    <x v="0"/>
    <x v="0"/>
    <x v="0"/>
    <x v="0"/>
    <x v="177"/>
  </r>
  <r>
    <x v="187"/>
    <x v="2"/>
    <x v="187"/>
    <x v="178"/>
    <x v="165"/>
    <x v="107"/>
    <x v="155"/>
    <x v="84"/>
    <x v="119"/>
    <n v="2.0493646750000001"/>
    <n v="11.26233968"/>
    <n v="6.2005000179999996"/>
    <x v="120"/>
    <x v="96"/>
    <x v="103"/>
    <x v="0"/>
    <x v="178"/>
  </r>
  <r>
    <x v="188"/>
    <x v="0"/>
    <x v="188"/>
    <x v="179"/>
    <x v="166"/>
    <x v="108"/>
    <x v="156"/>
    <x v="85"/>
    <x v="120"/>
    <n v="8.1875420190000003"/>
    <n v="20.7910842"/>
    <n v="18.90382103"/>
    <x v="121"/>
    <x v="97"/>
    <x v="104"/>
    <x v="53"/>
    <x v="179"/>
  </r>
  <r>
    <x v="189"/>
    <x v="4"/>
    <x v="189"/>
    <x v="180"/>
    <x v="167"/>
    <x v="3"/>
    <x v="157"/>
    <x v="1"/>
    <x v="121"/>
    <n v="0"/>
    <n v="0.29232334589999998"/>
    <n v="0"/>
    <x v="3"/>
    <x v="3"/>
    <x v="3"/>
    <x v="1"/>
    <x v="180"/>
  </r>
  <r>
    <x v="190"/>
    <x v="1"/>
    <x v="190"/>
    <x v="181"/>
    <x v="168"/>
    <x v="109"/>
    <x v="158"/>
    <x v="1"/>
    <x v="122"/>
    <n v="1.103159706"/>
    <n v="0.42876175509999997"/>
    <n v="0"/>
    <x v="122"/>
    <x v="98"/>
    <x v="105"/>
    <x v="0"/>
    <x v="181"/>
  </r>
  <r>
    <x v="191"/>
    <x v="3"/>
    <x v="191"/>
    <x v="182"/>
    <x v="169"/>
    <x v="110"/>
    <x v="4"/>
    <x v="1"/>
    <x v="3"/>
    <s v="NAN"/>
    <s v="NAN"/>
    <s v="NAN"/>
    <x v="3"/>
    <x v="3"/>
    <x v="3"/>
    <x v="1"/>
    <x v="182"/>
  </r>
  <r>
    <x v="192"/>
    <x v="2"/>
    <x v="192"/>
    <x v="183"/>
    <x v="170"/>
    <x v="111"/>
    <x v="159"/>
    <x v="1"/>
    <x v="123"/>
    <n v="3.3516873569999999"/>
    <n v="2.71208071"/>
    <n v="0"/>
    <x v="123"/>
    <x v="99"/>
    <x v="0"/>
    <x v="0"/>
    <x v="183"/>
  </r>
  <r>
    <x v="193"/>
    <x v="1"/>
    <x v="193"/>
    <x v="184"/>
    <x v="171"/>
    <x v="112"/>
    <x v="160"/>
    <x v="86"/>
    <x v="124"/>
    <n v="2.684574639"/>
    <n v="0.78825559109999999"/>
    <n v="0.502"/>
    <x v="124"/>
    <x v="100"/>
    <x v="106"/>
    <x v="54"/>
    <x v="184"/>
  </r>
  <r>
    <x v="194"/>
    <x v="1"/>
    <x v="194"/>
    <x v="185"/>
    <x v="9"/>
    <x v="3"/>
    <x v="4"/>
    <x v="1"/>
    <x v="4"/>
    <n v="0"/>
    <n v="0"/>
    <n v="0"/>
    <x v="0"/>
    <x v="0"/>
    <x v="0"/>
    <x v="0"/>
    <x v="185"/>
  </r>
  <r>
    <x v="195"/>
    <x v="1"/>
    <x v="195"/>
    <x v="186"/>
    <x v="9"/>
    <x v="3"/>
    <x v="4"/>
    <x v="1"/>
    <x v="4"/>
    <n v="0"/>
    <n v="0"/>
    <n v="0"/>
    <x v="0"/>
    <x v="0"/>
    <x v="0"/>
    <x v="0"/>
    <x v="186"/>
  </r>
  <r>
    <x v="196"/>
    <x v="0"/>
    <x v="196"/>
    <x v="187"/>
    <x v="172"/>
    <x v="113"/>
    <x v="161"/>
    <x v="87"/>
    <x v="125"/>
    <n v="31.784694259999998"/>
    <n v="14.076160610000001"/>
    <n v="5.9079555460000002"/>
    <x v="125"/>
    <x v="101"/>
    <x v="107"/>
    <x v="55"/>
    <x v="187"/>
  </r>
  <r>
    <x v="197"/>
    <x v="2"/>
    <x v="197"/>
    <x v="188"/>
    <x v="173"/>
    <x v="114"/>
    <x v="162"/>
    <x v="88"/>
    <x v="4"/>
    <n v="0"/>
    <n v="0"/>
    <n v="0"/>
    <x v="126"/>
    <x v="102"/>
    <x v="108"/>
    <x v="56"/>
    <x v="188"/>
  </r>
  <r>
    <x v="198"/>
    <x v="3"/>
    <x v="198"/>
    <x v="189"/>
    <x v="174"/>
    <x v="3"/>
    <x v="163"/>
    <x v="1"/>
    <x v="3"/>
    <s v="NAN"/>
    <s v="NAN"/>
    <s v="NAN"/>
    <x v="3"/>
    <x v="3"/>
    <x v="3"/>
    <x v="1"/>
    <x v="189"/>
  </r>
  <r>
    <x v="199"/>
    <x v="3"/>
    <x v="199"/>
    <x v="190"/>
    <x v="175"/>
    <x v="3"/>
    <x v="164"/>
    <x v="1"/>
    <x v="4"/>
    <n v="0"/>
    <n v="0"/>
    <n v="0"/>
    <x v="0"/>
    <x v="0"/>
    <x v="0"/>
    <x v="0"/>
    <x v="190"/>
  </r>
  <r>
    <x v="200"/>
    <x v="2"/>
    <x v="200"/>
    <x v="191"/>
    <x v="176"/>
    <x v="115"/>
    <x v="165"/>
    <x v="89"/>
    <x v="126"/>
    <n v="13.98368881"/>
    <n v="21.21996133"/>
    <n v="19.349384520000001"/>
    <x v="127"/>
    <x v="103"/>
    <x v="109"/>
    <x v="57"/>
    <x v="191"/>
  </r>
  <r>
    <x v="201"/>
    <x v="3"/>
    <x v="201"/>
    <x v="192"/>
    <x v="177"/>
    <x v="3"/>
    <x v="166"/>
    <x v="1"/>
    <x v="127"/>
    <n v="0"/>
    <n v="0.3292126628"/>
    <n v="0"/>
    <x v="128"/>
    <x v="0"/>
    <x v="110"/>
    <x v="0"/>
    <x v="192"/>
  </r>
  <r>
    <x v="202"/>
    <x v="3"/>
    <x v="202"/>
    <x v="193"/>
    <x v="178"/>
    <x v="3"/>
    <x v="167"/>
    <x v="1"/>
    <x v="3"/>
    <s v="NAN"/>
    <s v="NAN"/>
    <s v="NAN"/>
    <x v="3"/>
    <x v="3"/>
    <x v="3"/>
    <x v="1"/>
    <x v="193"/>
  </r>
  <r>
    <x v="203"/>
    <x v="3"/>
    <x v="203"/>
    <x v="194"/>
    <x v="179"/>
    <x v="116"/>
    <x v="4"/>
    <x v="1"/>
    <x v="128"/>
    <n v="4.6991699999999996"/>
    <n v="0"/>
    <n v="0"/>
    <x v="129"/>
    <x v="104"/>
    <x v="0"/>
    <x v="0"/>
    <x v="194"/>
  </r>
  <r>
    <x v="204"/>
    <x v="2"/>
    <x v="204"/>
    <x v="195"/>
    <x v="180"/>
    <x v="3"/>
    <x v="168"/>
    <x v="90"/>
    <x v="129"/>
    <n v="0"/>
    <n v="0"/>
    <n v="3.927417637"/>
    <x v="130"/>
    <x v="0"/>
    <x v="111"/>
    <x v="0"/>
    <x v="195"/>
  </r>
  <r>
    <x v="205"/>
    <x v="2"/>
    <x v="205"/>
    <x v="196"/>
    <x v="181"/>
    <x v="117"/>
    <x v="4"/>
    <x v="91"/>
    <x v="130"/>
    <n v="1.255132675"/>
    <n v="0"/>
    <n v="10.3476661"/>
    <x v="131"/>
    <x v="105"/>
    <x v="0"/>
    <x v="0"/>
    <x v="196"/>
  </r>
  <r>
    <x v="206"/>
    <x v="4"/>
    <x v="206"/>
    <x v="197"/>
    <x v="182"/>
    <x v="118"/>
    <x v="169"/>
    <x v="4"/>
    <x v="3"/>
    <s v="NAN"/>
    <s v="NAN"/>
    <s v="NAN"/>
    <x v="3"/>
    <x v="3"/>
    <x v="3"/>
    <x v="1"/>
    <x v="197"/>
  </r>
  <r>
    <x v="207"/>
    <x v="2"/>
    <x v="207"/>
    <x v="198"/>
    <x v="183"/>
    <x v="3"/>
    <x v="170"/>
    <x v="1"/>
    <x v="131"/>
    <n v="0"/>
    <n v="4.4854615600000001"/>
    <n v="0"/>
    <x v="132"/>
    <x v="0"/>
    <x v="112"/>
    <x v="0"/>
    <x v="198"/>
  </r>
  <r>
    <x v="208"/>
    <x v="4"/>
    <x v="208"/>
    <x v="180"/>
    <x v="184"/>
    <x v="3"/>
    <x v="171"/>
    <x v="1"/>
    <x v="132"/>
    <n v="0"/>
    <n v="0.85671263900000005"/>
    <n v="0"/>
    <x v="3"/>
    <x v="3"/>
    <x v="3"/>
    <x v="1"/>
    <x v="180"/>
  </r>
  <r>
    <x v="209"/>
    <x v="2"/>
    <x v="209"/>
    <x v="199"/>
    <x v="185"/>
    <x v="119"/>
    <x v="172"/>
    <x v="4"/>
    <x v="133"/>
    <n v="0.31740062730000002"/>
    <n v="0.96704295760000003"/>
    <s v="NAN"/>
    <x v="133"/>
    <x v="106"/>
    <x v="113"/>
    <x v="1"/>
    <x v="199"/>
  </r>
  <r>
    <x v="210"/>
    <x v="0"/>
    <x v="210"/>
    <x v="200"/>
    <x v="186"/>
    <x v="120"/>
    <x v="173"/>
    <x v="92"/>
    <x v="134"/>
    <n v="33.53021373"/>
    <n v="11.60782393"/>
    <n v="4.1806279780000004"/>
    <x v="134"/>
    <x v="107"/>
    <x v="114"/>
    <x v="0"/>
    <x v="200"/>
  </r>
  <r>
    <x v="211"/>
    <x v="0"/>
    <x v="211"/>
    <x v="201"/>
    <x v="187"/>
    <x v="121"/>
    <x v="174"/>
    <x v="93"/>
    <x v="135"/>
    <n v="8.3317036130000002"/>
    <n v="31.608654439999999"/>
    <n v="11.832353619999999"/>
    <x v="135"/>
    <x v="108"/>
    <x v="115"/>
    <x v="58"/>
    <x v="201"/>
  </r>
  <r>
    <x v="212"/>
    <x v="2"/>
    <x v="212"/>
    <x v="202"/>
    <x v="188"/>
    <x v="122"/>
    <x v="175"/>
    <x v="94"/>
    <x v="136"/>
    <n v="18.590984670000001"/>
    <n v="23.013646550000001"/>
    <n v="10.112939920000001"/>
    <x v="136"/>
    <x v="109"/>
    <x v="116"/>
    <x v="59"/>
    <x v="2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4D619A-9D15-4E33-8F83-78F81B52707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2:E38" firstHeaderRow="0" firstDataRow="1" firstDataCol="1"/>
  <pivotFields count="17">
    <pivotField showAll="0"/>
    <pivotField axis="axisRow" showAll="0">
      <items count="6">
        <item x="3"/>
        <item x="0"/>
        <item x="2"/>
        <item x="4"/>
        <item x="1"/>
        <item t="default"/>
      </items>
    </pivotField>
    <pivotField numFmtId="165" showAll="0"/>
    <pivotField numFmtId="164" showAll="0"/>
    <pivotField showAll="0"/>
    <pivotField showAll="0"/>
    <pivotField showAll="0"/>
    <pivotField showAll="0"/>
    <pivotField showAll="0"/>
    <pivotField showAll="0"/>
    <pivotField showAll="0"/>
    <pivotField showAll="0"/>
    <pivotField dataField="1" showAll="0">
      <items count="138">
        <item x="26"/>
        <item x="112"/>
        <item x="52"/>
        <item x="4"/>
        <item x="11"/>
        <item x="115"/>
        <item x="27"/>
        <item x="37"/>
        <item x="134"/>
        <item x="107"/>
        <item x="125"/>
        <item x="110"/>
        <item x="104"/>
        <item x="20"/>
        <item x="70"/>
        <item x="24"/>
        <item x="100"/>
        <item x="38"/>
        <item x="44"/>
        <item x="53"/>
        <item x="32"/>
        <item x="69"/>
        <item x="86"/>
        <item x="93"/>
        <item x="71"/>
        <item x="51"/>
        <item x="135"/>
        <item x="75"/>
        <item x="63"/>
        <item x="30"/>
        <item x="47"/>
        <item x="81"/>
        <item x="127"/>
        <item x="76"/>
        <item x="84"/>
        <item x="46"/>
        <item x="23"/>
        <item x="121"/>
        <item x="21"/>
        <item x="126"/>
        <item x="109"/>
        <item x="64"/>
        <item x="103"/>
        <item x="87"/>
        <item x="90"/>
        <item x="136"/>
        <item x="68"/>
        <item x="22"/>
        <item x="55"/>
        <item x="89"/>
        <item x="15"/>
        <item x="106"/>
        <item x="105"/>
        <item x="60"/>
        <item x="118"/>
        <item x="82"/>
        <item x="119"/>
        <item x="1"/>
        <item x="74"/>
        <item x="2"/>
        <item x="9"/>
        <item x="49"/>
        <item x="83"/>
        <item x="120"/>
        <item x="95"/>
        <item x="78"/>
        <item x="43"/>
        <item x="36"/>
        <item x="59"/>
        <item x="66"/>
        <item x="28"/>
        <item x="101"/>
        <item x="124"/>
        <item x="98"/>
        <item x="8"/>
        <item x="85"/>
        <item x="96"/>
        <item x="56"/>
        <item x="50"/>
        <item x="16"/>
        <item x="133"/>
        <item x="33"/>
        <item x="80"/>
        <item x="88"/>
        <item x="62"/>
        <item x="39"/>
        <item x="92"/>
        <item x="13"/>
        <item x="45"/>
        <item x="57"/>
        <item x="116"/>
        <item x="99"/>
        <item x="67"/>
        <item x="10"/>
        <item x="73"/>
        <item x="111"/>
        <item x="61"/>
        <item x="123"/>
        <item x="14"/>
        <item x="72"/>
        <item x="132"/>
        <item x="79"/>
        <item x="25"/>
        <item x="65"/>
        <item x="48"/>
        <item x="131"/>
        <item x="19"/>
        <item x="130"/>
        <item x="114"/>
        <item x="41"/>
        <item x="40"/>
        <item x="108"/>
        <item x="122"/>
        <item x="91"/>
        <item x="18"/>
        <item x="129"/>
        <item x="34"/>
        <item x="5"/>
        <item x="58"/>
        <item x="17"/>
        <item x="54"/>
        <item x="117"/>
        <item x="31"/>
        <item x="94"/>
        <item x="35"/>
        <item x="12"/>
        <item x="113"/>
        <item x="77"/>
        <item x="128"/>
        <item x="29"/>
        <item x="97"/>
        <item x="6"/>
        <item x="7"/>
        <item x="42"/>
        <item x="102"/>
        <item x="0"/>
        <item x="3"/>
        <item t="default"/>
      </items>
    </pivotField>
    <pivotField dataField="1" showAll="0">
      <items count="111">
        <item x="0"/>
        <item x="21"/>
        <item x="10"/>
        <item x="46"/>
        <item x="30"/>
        <item x="66"/>
        <item x="74"/>
        <item x="91"/>
        <item x="98"/>
        <item x="23"/>
        <item x="40"/>
        <item x="73"/>
        <item x="20"/>
        <item x="44"/>
        <item x="29"/>
        <item x="36"/>
        <item x="78"/>
        <item x="56"/>
        <item x="104"/>
        <item x="86"/>
        <item x="12"/>
        <item x="105"/>
        <item x="83"/>
        <item x="42"/>
        <item x="75"/>
        <item x="50"/>
        <item x="89"/>
        <item x="31"/>
        <item x="93"/>
        <item x="61"/>
        <item x="99"/>
        <item x="26"/>
        <item x="95"/>
        <item x="51"/>
        <item x="7"/>
        <item x="25"/>
        <item x="43"/>
        <item x="106"/>
        <item x="9"/>
        <item x="62"/>
        <item x="77"/>
        <item x="96"/>
        <item x="1"/>
        <item x="76"/>
        <item x="5"/>
        <item x="60"/>
        <item x="69"/>
        <item x="100"/>
        <item x="72"/>
        <item x="47"/>
        <item x="80"/>
        <item x="64"/>
        <item x="35"/>
        <item x="52"/>
        <item x="45"/>
        <item x="68"/>
        <item x="65"/>
        <item x="97"/>
        <item x="41"/>
        <item x="108"/>
        <item x="87"/>
        <item x="2"/>
        <item x="71"/>
        <item x="34"/>
        <item x="57"/>
        <item x="6"/>
        <item x="94"/>
        <item x="48"/>
        <item x="54"/>
        <item x="84"/>
        <item x="24"/>
        <item x="109"/>
        <item x="11"/>
        <item x="70"/>
        <item x="63"/>
        <item x="49"/>
        <item x="8"/>
        <item x="103"/>
        <item x="15"/>
        <item x="39"/>
        <item x="33"/>
        <item x="81"/>
        <item x="14"/>
        <item x="102"/>
        <item x="16"/>
        <item x="79"/>
        <item x="59"/>
        <item x="4"/>
        <item x="67"/>
        <item x="55"/>
        <item x="22"/>
        <item x="53"/>
        <item x="37"/>
        <item x="17"/>
        <item x="58"/>
        <item x="101"/>
        <item x="85"/>
        <item x="32"/>
        <item x="27"/>
        <item x="13"/>
        <item x="28"/>
        <item x="19"/>
        <item x="88"/>
        <item x="90"/>
        <item x="38"/>
        <item x="82"/>
        <item x="107"/>
        <item x="92"/>
        <item x="18"/>
        <item x="3"/>
        <item t="default"/>
      </items>
    </pivotField>
    <pivotField dataField="1" showAll="0">
      <items count="118">
        <item x="0"/>
        <item x="89"/>
        <item x="9"/>
        <item x="49"/>
        <item x="37"/>
        <item x="7"/>
        <item x="6"/>
        <item x="84"/>
        <item x="110"/>
        <item x="68"/>
        <item x="97"/>
        <item x="11"/>
        <item x="30"/>
        <item x="108"/>
        <item x="59"/>
        <item x="14"/>
        <item x="66"/>
        <item x="100"/>
        <item x="52"/>
        <item x="16"/>
        <item x="5"/>
        <item x="105"/>
        <item x="95"/>
        <item x="29"/>
        <item x="98"/>
        <item x="35"/>
        <item x="78"/>
        <item x="91"/>
        <item x="33"/>
        <item x="17"/>
        <item x="101"/>
        <item x="80"/>
        <item x="2"/>
        <item x="12"/>
        <item x="36"/>
        <item x="111"/>
        <item x="46"/>
        <item x="64"/>
        <item x="18"/>
        <item x="99"/>
        <item x="43"/>
        <item x="13"/>
        <item x="88"/>
        <item x="73"/>
        <item x="86"/>
        <item x="8"/>
        <item x="106"/>
        <item x="70"/>
        <item x="22"/>
        <item x="55"/>
        <item x="112"/>
        <item x="83"/>
        <item x="65"/>
        <item x="28"/>
        <item x="39"/>
        <item x="85"/>
        <item x="113"/>
        <item x="44"/>
        <item x="20"/>
        <item x="34"/>
        <item x="67"/>
        <item x="54"/>
        <item x="40"/>
        <item x="114"/>
        <item x="102"/>
        <item x="38"/>
        <item x="69"/>
        <item x="51"/>
        <item x="15"/>
        <item x="72"/>
        <item x="45"/>
        <item x="103"/>
        <item x="116"/>
        <item x="76"/>
        <item x="109"/>
        <item x="31"/>
        <item x="75"/>
        <item x="25"/>
        <item x="26"/>
        <item x="82"/>
        <item x="1"/>
        <item x="56"/>
        <item x="41"/>
        <item x="57"/>
        <item x="50"/>
        <item x="63"/>
        <item x="58"/>
        <item x="53"/>
        <item x="79"/>
        <item x="77"/>
        <item x="61"/>
        <item x="94"/>
        <item x="60"/>
        <item x="21"/>
        <item x="93"/>
        <item x="90"/>
        <item x="19"/>
        <item x="71"/>
        <item x="104"/>
        <item x="87"/>
        <item x="92"/>
        <item x="27"/>
        <item x="74"/>
        <item x="107"/>
        <item x="81"/>
        <item x="42"/>
        <item x="48"/>
        <item x="24"/>
        <item x="115"/>
        <item x="47"/>
        <item x="32"/>
        <item x="96"/>
        <item x="62"/>
        <item x="23"/>
        <item x="4"/>
        <item x="10"/>
        <item x="3"/>
        <item t="default"/>
      </items>
    </pivotField>
    <pivotField dataField="1" showAll="0">
      <items count="61">
        <item x="0"/>
        <item x="14"/>
        <item x="26"/>
        <item x="23"/>
        <item x="59"/>
        <item x="16"/>
        <item x="30"/>
        <item x="24"/>
        <item x="36"/>
        <item x="11"/>
        <item x="5"/>
        <item x="28"/>
        <item x="22"/>
        <item x="54"/>
        <item x="7"/>
        <item x="25"/>
        <item x="46"/>
        <item x="33"/>
        <item x="47"/>
        <item x="6"/>
        <item x="27"/>
        <item x="41"/>
        <item x="3"/>
        <item x="21"/>
        <item x="13"/>
        <item x="44"/>
        <item x="29"/>
        <item x="35"/>
        <item x="18"/>
        <item x="20"/>
        <item x="8"/>
        <item x="56"/>
        <item x="39"/>
        <item x="32"/>
        <item x="58"/>
        <item x="9"/>
        <item x="17"/>
        <item x="19"/>
        <item x="53"/>
        <item x="12"/>
        <item x="40"/>
        <item x="2"/>
        <item x="51"/>
        <item x="10"/>
        <item x="55"/>
        <item x="50"/>
        <item x="4"/>
        <item x="34"/>
        <item x="43"/>
        <item x="37"/>
        <item x="52"/>
        <item x="49"/>
        <item x="42"/>
        <item x="48"/>
        <item x="57"/>
        <item x="38"/>
        <item x="15"/>
        <item x="31"/>
        <item x="45"/>
        <item x="1"/>
        <item t="default"/>
      </items>
    </pivotField>
    <pivotField showAll="0"/>
  </pivotFields>
  <rowFields count="1">
    <field x="1"/>
  </rowFields>
  <rowItems count="6">
    <i>
      <x/>
    </i>
    <i>
      <x v="1"/>
    </i>
    <i>
      <x v="2"/>
    </i>
    <i>
      <x v="3"/>
    </i>
    <i>
      <x v="4"/>
    </i>
    <i t="grand">
      <x/>
    </i>
  </rowItems>
  <colFields count="1">
    <field x="-2"/>
  </colFields>
  <colItems count="4">
    <i>
      <x/>
    </i>
    <i i="1">
      <x v="1"/>
    </i>
    <i i="2">
      <x v="2"/>
    </i>
    <i i="3">
      <x v="3"/>
    </i>
  </colItems>
  <dataFields count="4">
    <dataField name="Average of wat_bas_u" fld="12" subtotal="average" baseField="1" baseItem="0"/>
    <dataField name="Average of wat_lim_u" fld="13" subtotal="average" baseField="1" baseItem="0"/>
    <dataField name="Average of wat_sur_u" fld="15" subtotal="average" baseField="1" baseItem="0"/>
    <dataField name="Average of wat_unimp_u" fld="14" subtotal="average" baseField="1" baseItem="0"/>
  </dataFields>
  <chartFormats count="4">
    <chartFormat chart="8"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1"/>
          </reference>
        </references>
      </pivotArea>
    </chartFormat>
    <chartFormat chart="8" format="10" series="1">
      <pivotArea type="data" outline="0" fieldPosition="0">
        <references count="1">
          <reference field="4294967294" count="1" selected="0">
            <x v="3"/>
          </reference>
        </references>
      </pivotArea>
    </chartFormat>
    <chartFormat chart="8"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818AC2-FACE-4B0F-A01D-F877790C818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4:E30" firstHeaderRow="0" firstDataRow="1" firstDataCol="1"/>
  <pivotFields count="17">
    <pivotField showAll="0"/>
    <pivotField axis="axisRow" showAll="0">
      <items count="6">
        <item x="3"/>
        <item x="0"/>
        <item x="2"/>
        <item x="4"/>
        <item x="1"/>
        <item t="default"/>
      </items>
    </pivotField>
    <pivotField numFmtId="165" showAll="0"/>
    <pivotField numFmtId="164" showAll="0"/>
    <pivotField showAll="0"/>
    <pivotField showAll="0"/>
    <pivotField showAll="0"/>
    <pivotField showAll="0"/>
    <pivotField dataField="1" showAll="0">
      <items count="138">
        <item x="34"/>
        <item x="5"/>
        <item x="23"/>
        <item x="17"/>
        <item x="112"/>
        <item x="71"/>
        <item x="110"/>
        <item x="24"/>
        <item x="95"/>
        <item x="88"/>
        <item x="41"/>
        <item x="52"/>
        <item x="21"/>
        <item x="44"/>
        <item x="126"/>
        <item x="27"/>
        <item x="35"/>
        <item x="135"/>
        <item x="125"/>
        <item x="136"/>
        <item x="83"/>
        <item x="50"/>
        <item x="77"/>
        <item x="134"/>
        <item x="49"/>
        <item x="62"/>
        <item x="120"/>
        <item x="108"/>
        <item x="114"/>
        <item x="102"/>
        <item x="29"/>
        <item x="18"/>
        <item x="10"/>
        <item x="87"/>
        <item x="109"/>
        <item x="63"/>
        <item x="80"/>
        <item x="89"/>
        <item x="40"/>
        <item x="67"/>
        <item x="68"/>
        <item x="20"/>
        <item x="0"/>
        <item x="72"/>
        <item x="45"/>
        <item x="85"/>
        <item x="47"/>
        <item x="75"/>
        <item x="105"/>
        <item x="106"/>
        <item x="91"/>
        <item x="118"/>
        <item x="82"/>
        <item x="42"/>
        <item x="84"/>
        <item x="65"/>
        <item x="14"/>
        <item x="12"/>
        <item x="19"/>
        <item x="119"/>
        <item x="97"/>
        <item x="111"/>
        <item x="59"/>
        <item x="100"/>
        <item x="55"/>
        <item x="94"/>
        <item x="26"/>
        <item x="37"/>
        <item x="64"/>
        <item x="130"/>
        <item x="92"/>
        <item x="33"/>
        <item x="54"/>
        <item x="43"/>
        <item x="25"/>
        <item x="53"/>
        <item x="2"/>
        <item x="48"/>
        <item x="73"/>
        <item x="86"/>
        <item x="36"/>
        <item x="113"/>
        <item x="6"/>
        <item x="98"/>
        <item x="101"/>
        <item x="104"/>
        <item x="61"/>
        <item x="117"/>
        <item x="39"/>
        <item x="69"/>
        <item x="56"/>
        <item x="51"/>
        <item x="123"/>
        <item x="1"/>
        <item x="46"/>
        <item x="30"/>
        <item x="76"/>
        <item x="57"/>
        <item x="128"/>
        <item x="131"/>
        <item x="107"/>
        <item x="15"/>
        <item x="124"/>
        <item x="129"/>
        <item x="115"/>
        <item x="11"/>
        <item x="103"/>
        <item x="60"/>
        <item x="13"/>
        <item x="16"/>
        <item x="90"/>
        <item x="7"/>
        <item x="9"/>
        <item x="58"/>
        <item x="81"/>
        <item x="79"/>
        <item x="122"/>
        <item x="8"/>
        <item x="66"/>
        <item x="70"/>
        <item x="133"/>
        <item x="22"/>
        <item x="96"/>
        <item x="132"/>
        <item x="38"/>
        <item x="28"/>
        <item x="127"/>
        <item x="121"/>
        <item x="116"/>
        <item x="99"/>
        <item x="93"/>
        <item x="32"/>
        <item x="78"/>
        <item x="31"/>
        <item x="74"/>
        <item x="4"/>
        <item x="3"/>
        <item t="default"/>
      </items>
    </pivotField>
    <pivotField dataField="1" showAll="0"/>
    <pivotField dataField="1" showAll="0"/>
    <pivotField dataField="1" showAll="0"/>
    <pivotField showAll="0"/>
    <pivotField showAll="0"/>
    <pivotField showAll="0"/>
    <pivotField showAll="0"/>
    <pivotField showAll="0"/>
  </pivotFields>
  <rowFields count="1">
    <field x="1"/>
  </rowFields>
  <rowItems count="6">
    <i>
      <x/>
    </i>
    <i>
      <x v="1"/>
    </i>
    <i>
      <x v="2"/>
    </i>
    <i>
      <x v="3"/>
    </i>
    <i>
      <x v="4"/>
    </i>
    <i t="grand">
      <x/>
    </i>
  </rowItems>
  <colFields count="1">
    <field x="-2"/>
  </colFields>
  <colItems count="4">
    <i>
      <x/>
    </i>
    <i i="1">
      <x v="1"/>
    </i>
    <i i="2">
      <x v="2"/>
    </i>
    <i i="3">
      <x v="3"/>
    </i>
  </colItems>
  <dataFields count="4">
    <dataField name="Average of wat_bas_r" fld="8" subtotal="average" baseField="1" baseItem="0"/>
    <dataField name="Average of wat_lim_r" fld="9" subtotal="average" baseField="1" baseItem="0"/>
    <dataField name="Average of wat_sur_r" fld="11" subtotal="average" baseField="1" baseItem="0"/>
    <dataField name="Average of wat_unimp_r" fld="10" subtotal="average" baseField="1" baseItem="0"/>
  </dataFields>
  <chartFormats count="4">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 chart="5" format="10" series="1">
      <pivotArea type="data" outline="0" fieldPosition="0">
        <references count="1">
          <reference field="4294967294" count="1" selected="0">
            <x v="3"/>
          </reference>
        </references>
      </pivotArea>
    </chartFormat>
    <chartFormat chart="5"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D6C254-DAD8-49D4-91C4-BB45251AFAE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Income Group">
  <location ref="A6:B12" firstHeaderRow="1" firstDataRow="1" firstDataCol="1"/>
  <pivotFields count="17">
    <pivotField showAll="0"/>
    <pivotField axis="axisRow" showAll="0">
      <items count="6">
        <item x="3"/>
        <item x="0"/>
        <item x="2"/>
        <item x="4"/>
        <item x="1"/>
        <item t="default"/>
      </items>
    </pivotField>
    <pivotField dataField="1" numFmtId="165"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6">
    <i>
      <x/>
    </i>
    <i>
      <x v="1"/>
    </i>
    <i>
      <x v="2"/>
    </i>
    <i>
      <x v="3"/>
    </i>
    <i>
      <x v="4"/>
    </i>
    <i t="grand">
      <x/>
    </i>
  </rowItems>
  <colItems count="1">
    <i/>
  </colItems>
  <dataFields count="1">
    <dataField name="pop (1000)" fld="2" baseField="1" baseItem="0" numFmtId="1"/>
  </dataFields>
  <formats count="1">
    <format dxfId="0">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F2935F-3BDA-45B7-844F-991B79D7B907}" name="PivotTable8"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56:B58" firstHeaderRow="1" firstDataRow="1" firstDataCol="1"/>
  <pivotFields count="17">
    <pivotField showAll="0"/>
    <pivotField showAll="0">
      <items count="6">
        <item x="3"/>
        <item x="0"/>
        <item x="2"/>
        <item x="4"/>
        <item x="1"/>
        <item t="default"/>
      </items>
    </pivotField>
    <pivotField numFmtId="165" showAll="0"/>
    <pivotField dataField="1" numFmtId="164"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2"/>
  </rowFields>
  <rowItems count="2">
    <i>
      <x/>
    </i>
    <i i="1">
      <x v="1"/>
    </i>
  </rowItems>
  <colItems count="1">
    <i/>
  </colItems>
  <dataFields count="2">
    <dataField name="Average of pop_u (%)" fld="3" subtotal="average" baseField="0" baseItem="1"/>
    <dataField name="Average of pop_r  (%)" fld="16" subtotal="average" baseField="0" baseItem="1"/>
  </dataFields>
  <chartFormats count="12">
    <chartFormat chart="2" format="1" series="1">
      <pivotArea type="data" outline="0" fieldPosition="0">
        <references count="1">
          <reference field="4294967294" count="1" selected="0">
            <x v="0"/>
          </reference>
        </references>
      </pivotArea>
    </chartFormat>
    <chartFormat chart="2" format="2">
      <pivotArea type="data" outline="0" fieldPosition="0">
        <references count="1">
          <reference field="4294967294" count="1" selected="0">
            <x v="0"/>
          </reference>
        </references>
      </pivotArea>
    </chartFormat>
    <chartFormat chart="2" format="3">
      <pivotArea type="data" outline="0" fieldPosition="0">
        <references count="1">
          <reference field="4294967294" count="1" selected="0">
            <x v="1"/>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1">
          <reference field="4294967294" count="1" selected="0">
            <x v="0"/>
          </reference>
        </references>
      </pivotArea>
    </chartFormat>
    <chartFormat chart="4" format="3">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1">
          <reference field="4294967294" count="1" selected="0">
            <x v="0"/>
          </reference>
        </references>
      </pivotArea>
    </chartFormat>
    <chartFormat chart="5" format="6">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1">
          <reference field="4294967294" count="1" selected="0">
            <x v="0"/>
          </reference>
        </references>
      </pivotArea>
    </chartFormat>
    <chartFormat chart="6" format="6">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D5AF93-B75A-4694-AEC5-38A81784653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8:E50" firstHeaderRow="0" firstDataRow="1" firstDataCol="1"/>
  <pivotFields count="17">
    <pivotField axis="axisRow" multipleItemSelectionAllowed="1" showAll="0" sortType="ascending">
      <items count="214">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t="default"/>
      </items>
    </pivotField>
    <pivotField showAll="0">
      <items count="6">
        <item x="3"/>
        <item x="0"/>
        <item x="2"/>
        <item x="4"/>
        <item x="1"/>
        <item t="default"/>
      </items>
    </pivotField>
    <pivotField numFmtId="165" showAll="0"/>
    <pivotField numFmtId="164" showAll="0"/>
    <pivotField dataField="1" showAll="0">
      <items count="190">
        <item x="32"/>
        <item x="156"/>
        <item x="131"/>
        <item x="45"/>
        <item x="33"/>
        <item x="122"/>
        <item x="26"/>
        <item x="54"/>
        <item x="98"/>
        <item x="172"/>
        <item x="154"/>
        <item x="5"/>
        <item x="70"/>
        <item x="141"/>
        <item x="159"/>
        <item x="186"/>
        <item x="176"/>
        <item x="87"/>
        <item x="27"/>
        <item x="188"/>
        <item x="114"/>
        <item x="150"/>
        <item x="69"/>
        <item x="187"/>
        <item x="16"/>
        <item x="30"/>
        <item x="72"/>
        <item x="153"/>
        <item x="166"/>
        <item x="99"/>
        <item x="53"/>
        <item x="40"/>
        <item x="29"/>
        <item x="106"/>
        <item x="93"/>
        <item x="37"/>
        <item x="0"/>
        <item x="94"/>
        <item x="47"/>
        <item x="123"/>
        <item x="88"/>
        <item x="147"/>
        <item x="61"/>
        <item x="121"/>
        <item x="164"/>
        <item x="102"/>
        <item x="115"/>
        <item x="116"/>
        <item x="148"/>
        <item x="90"/>
        <item x="60"/>
        <item x="165"/>
        <item x="110"/>
        <item x="64"/>
        <item x="104"/>
        <item x="28"/>
        <item x="117"/>
        <item x="128"/>
        <item x="113"/>
        <item x="76"/>
        <item x="139"/>
        <item x="83"/>
        <item x="181"/>
        <item x="145"/>
        <item x="89"/>
        <item x="146"/>
        <item x="127"/>
        <item x="21"/>
        <item x="158"/>
        <item x="77"/>
        <item x="92"/>
        <item x="133"/>
        <item x="19"/>
        <item x="182"/>
        <item x="59"/>
        <item x="44"/>
        <item x="155"/>
        <item x="163"/>
        <item x="173"/>
        <item x="68"/>
        <item x="134"/>
        <item x="35"/>
        <item x="56"/>
        <item x="130"/>
        <item x="2"/>
        <item x="1"/>
        <item x="149"/>
        <item x="55"/>
        <item x="49"/>
        <item x="86"/>
        <item x="71"/>
        <item x="73"/>
        <item x="10"/>
        <item x="20"/>
        <item x="108"/>
        <item x="13"/>
        <item x="48"/>
        <item x="183"/>
        <item x="143"/>
        <item x="140"/>
        <item x="41"/>
        <item x="124"/>
        <item x="171"/>
        <item x="100"/>
        <item x="18"/>
        <item x="62"/>
        <item x="80"/>
        <item x="78"/>
        <item x="36"/>
        <item x="170"/>
        <item x="11"/>
        <item x="125"/>
        <item x="180"/>
        <item x="185"/>
        <item x="51"/>
        <item x="160"/>
        <item x="96"/>
        <item x="112"/>
        <item x="79"/>
        <item x="15"/>
        <item x="12"/>
        <item x="178"/>
        <item x="168"/>
        <item x="91"/>
        <item x="111"/>
        <item x="169"/>
        <item x="85"/>
        <item x="25"/>
        <item x="81"/>
        <item x="84"/>
        <item x="142"/>
        <item x="184"/>
        <item x="31"/>
        <item x="119"/>
        <item x="22"/>
        <item x="50"/>
        <item x="179"/>
        <item x="152"/>
        <item x="101"/>
        <item x="137"/>
        <item x="52"/>
        <item x="132"/>
        <item x="129"/>
        <item x="109"/>
        <item x="67"/>
        <item x="167"/>
        <item x="42"/>
        <item x="3"/>
        <item x="151"/>
        <item x="66"/>
        <item x="39"/>
        <item x="161"/>
        <item x="105"/>
        <item x="23"/>
        <item x="107"/>
        <item x="97"/>
        <item x="43"/>
        <item x="177"/>
        <item x="95"/>
        <item x="24"/>
        <item x="17"/>
        <item x="136"/>
        <item x="82"/>
        <item x="157"/>
        <item x="138"/>
        <item x="174"/>
        <item x="135"/>
        <item x="8"/>
        <item x="7"/>
        <item x="38"/>
        <item x="144"/>
        <item x="126"/>
        <item x="14"/>
        <item x="75"/>
        <item x="74"/>
        <item x="58"/>
        <item x="175"/>
        <item x="34"/>
        <item x="118"/>
        <item x="9"/>
        <item x="103"/>
        <item x="46"/>
        <item x="120"/>
        <item x="65"/>
        <item x="63"/>
        <item x="162"/>
        <item x="57"/>
        <item x="4"/>
        <item x="6"/>
        <item t="default"/>
      </items>
    </pivotField>
    <pivotField dataField="1" showAll="0">
      <items count="124">
        <item x="3"/>
        <item x="34"/>
        <item x="66"/>
        <item x="16"/>
        <item x="13"/>
        <item x="53"/>
        <item x="25"/>
        <item x="27"/>
        <item x="36"/>
        <item x="97"/>
        <item x="35"/>
        <item x="8"/>
        <item x="65"/>
        <item x="85"/>
        <item x="47"/>
        <item x="33"/>
        <item x="118"/>
        <item x="116"/>
        <item x="71"/>
        <item x="102"/>
        <item x="89"/>
        <item x="59"/>
        <item x="30"/>
        <item x="24"/>
        <item x="86"/>
        <item x="49"/>
        <item x="109"/>
        <item x="51"/>
        <item x="119"/>
        <item x="42"/>
        <item x="6"/>
        <item x="117"/>
        <item x="104"/>
        <item x="110"/>
        <item x="7"/>
        <item x="45"/>
        <item x="10"/>
        <item x="0"/>
        <item x="29"/>
        <item x="77"/>
        <item x="88"/>
        <item x="74"/>
        <item x="111"/>
        <item x="80"/>
        <item x="91"/>
        <item x="83"/>
        <item x="1"/>
        <item x="107"/>
        <item x="57"/>
        <item x="50"/>
        <item x="54"/>
        <item x="112"/>
        <item x="84"/>
        <item x="70"/>
        <item x="94"/>
        <item x="12"/>
        <item x="106"/>
        <item x="63"/>
        <item x="100"/>
        <item x="87"/>
        <item x="9"/>
        <item x="58"/>
        <item x="82"/>
        <item x="14"/>
        <item x="67"/>
        <item x="76"/>
        <item x="56"/>
        <item x="95"/>
        <item x="15"/>
        <item x="79"/>
        <item x="48"/>
        <item x="2"/>
        <item x="72"/>
        <item x="52"/>
        <item x="114"/>
        <item x="98"/>
        <item x="105"/>
        <item x="108"/>
        <item x="121"/>
        <item x="92"/>
        <item x="41"/>
        <item x="75"/>
        <item x="60"/>
        <item x="81"/>
        <item x="39"/>
        <item x="19"/>
        <item x="40"/>
        <item x="62"/>
        <item x="28"/>
        <item x="96"/>
        <item x="4"/>
        <item x="11"/>
        <item x="37"/>
        <item x="55"/>
        <item x="46"/>
        <item x="73"/>
        <item x="61"/>
        <item x="26"/>
        <item x="115"/>
        <item x="68"/>
        <item x="21"/>
        <item x="31"/>
        <item x="69"/>
        <item x="20"/>
        <item x="44"/>
        <item x="122"/>
        <item x="23"/>
        <item x="32"/>
        <item x="18"/>
        <item x="93"/>
        <item x="43"/>
        <item x="78"/>
        <item x="64"/>
        <item x="90"/>
        <item x="22"/>
        <item x="103"/>
        <item x="38"/>
        <item x="113"/>
        <item x="99"/>
        <item x="120"/>
        <item x="17"/>
        <item x="101"/>
        <item x="5"/>
        <item t="default"/>
      </items>
    </pivotField>
    <pivotField dataField="1" showAll="0">
      <items count="177">
        <item x="4"/>
        <item x="111"/>
        <item x="33"/>
        <item x="164"/>
        <item x="55"/>
        <item x="74"/>
        <item x="69"/>
        <item x="70"/>
        <item x="124"/>
        <item x="13"/>
        <item x="38"/>
        <item x="118"/>
        <item x="136"/>
        <item x="37"/>
        <item x="7"/>
        <item x="8"/>
        <item x="127"/>
        <item x="163"/>
        <item x="97"/>
        <item x="19"/>
        <item x="130"/>
        <item x="148"/>
        <item x="162"/>
        <item x="77"/>
        <item x="128"/>
        <item x="12"/>
        <item x="16"/>
        <item x="23"/>
        <item x="89"/>
        <item x="166"/>
        <item x="42"/>
        <item x="91"/>
        <item x="100"/>
        <item x="22"/>
        <item x="98"/>
        <item x="152"/>
        <item x="17"/>
        <item x="61"/>
        <item x="153"/>
        <item x="168"/>
        <item x="3"/>
        <item x="41"/>
        <item x="119"/>
        <item x="157"/>
        <item x="62"/>
        <item x="49"/>
        <item x="102"/>
        <item x="48"/>
        <item x="121"/>
        <item x="14"/>
        <item x="151"/>
        <item x="158"/>
        <item x="95"/>
        <item x="50"/>
        <item x="129"/>
        <item x="139"/>
        <item x="141"/>
        <item x="10"/>
        <item x="143"/>
        <item x="73"/>
        <item x="2"/>
        <item x="86"/>
        <item x="21"/>
        <item x="117"/>
        <item x="104"/>
        <item x="112"/>
        <item x="160"/>
        <item x="30"/>
        <item x="159"/>
        <item x="80"/>
        <item x="171"/>
        <item x="134"/>
        <item x="79"/>
        <item x="76"/>
        <item x="35"/>
        <item x="24"/>
        <item x="172"/>
        <item x="66"/>
        <item x="11"/>
        <item x="40"/>
        <item x="46"/>
        <item x="167"/>
        <item x="135"/>
        <item x="146"/>
        <item x="138"/>
        <item x="18"/>
        <item x="20"/>
        <item x="78"/>
        <item x="84"/>
        <item x="105"/>
        <item x="90"/>
        <item x="122"/>
        <item x="132"/>
        <item x="94"/>
        <item x="81"/>
        <item x="75"/>
        <item x="47"/>
        <item x="59"/>
        <item x="60"/>
        <item x="106"/>
        <item x="9"/>
        <item x="116"/>
        <item x="126"/>
        <item x="1"/>
        <item x="170"/>
        <item x="27"/>
        <item x="63"/>
        <item x="54"/>
        <item x="154"/>
        <item x="88"/>
        <item x="101"/>
        <item x="150"/>
        <item x="109"/>
        <item x="68"/>
        <item x="71"/>
        <item x="125"/>
        <item x="120"/>
        <item x="53"/>
        <item x="110"/>
        <item x="34"/>
        <item x="108"/>
        <item x="43"/>
        <item x="149"/>
        <item x="72"/>
        <item x="28"/>
        <item x="93"/>
        <item x="169"/>
        <item x="56"/>
        <item x="64"/>
        <item x="103"/>
        <item x="57"/>
        <item x="45"/>
        <item x="173"/>
        <item x="131"/>
        <item x="155"/>
        <item x="137"/>
        <item x="36"/>
        <item x="82"/>
        <item x="51"/>
        <item x="58"/>
        <item x="85"/>
        <item x="115"/>
        <item x="161"/>
        <item x="87"/>
        <item x="96"/>
        <item x="140"/>
        <item x="133"/>
        <item x="145"/>
        <item x="113"/>
        <item x="147"/>
        <item x="156"/>
        <item x="39"/>
        <item x="165"/>
        <item x="0"/>
        <item x="26"/>
        <item x="99"/>
        <item x="29"/>
        <item x="142"/>
        <item x="175"/>
        <item x="107"/>
        <item x="83"/>
        <item x="52"/>
        <item x="5"/>
        <item x="25"/>
        <item x="144"/>
        <item x="174"/>
        <item x="15"/>
        <item x="123"/>
        <item x="67"/>
        <item x="65"/>
        <item x="114"/>
        <item x="32"/>
        <item x="92"/>
        <item x="44"/>
        <item x="31"/>
        <item x="6"/>
        <item t="default"/>
      </items>
    </pivotField>
    <pivotField dataField="1" showAll="0">
      <items count="96">
        <item x="1"/>
        <item x="55"/>
        <item x="74"/>
        <item x="32"/>
        <item x="53"/>
        <item x="65"/>
        <item x="2"/>
        <item x="64"/>
        <item x="7"/>
        <item x="43"/>
        <item x="40"/>
        <item x="44"/>
        <item x="73"/>
        <item x="31"/>
        <item x="12"/>
        <item x="17"/>
        <item x="71"/>
        <item x="86"/>
        <item x="22"/>
        <item x="21"/>
        <item x="36"/>
        <item x="88"/>
        <item x="10"/>
        <item x="38"/>
        <item x="82"/>
        <item x="47"/>
        <item x="5"/>
        <item x="41"/>
        <item x="72"/>
        <item x="39"/>
        <item x="60"/>
        <item x="9"/>
        <item x="52"/>
        <item x="18"/>
        <item x="56"/>
        <item x="67"/>
        <item x="27"/>
        <item x="25"/>
        <item x="66"/>
        <item x="42"/>
        <item x="34"/>
        <item x="80"/>
        <item x="69"/>
        <item x="78"/>
        <item x="90"/>
        <item x="26"/>
        <item x="37"/>
        <item x="24"/>
        <item x="51"/>
        <item x="30"/>
        <item x="77"/>
        <item x="92"/>
        <item x="61"/>
        <item x="6"/>
        <item x="15"/>
        <item x="11"/>
        <item x="70"/>
        <item x="84"/>
        <item x="62"/>
        <item x="46"/>
        <item x="87"/>
        <item x="33"/>
        <item x="8"/>
        <item x="59"/>
        <item x="29"/>
        <item x="48"/>
        <item x="63"/>
        <item x="76"/>
        <item x="54"/>
        <item x="20"/>
        <item x="19"/>
        <item x="14"/>
        <item x="93"/>
        <item x="94"/>
        <item x="16"/>
        <item x="91"/>
        <item x="23"/>
        <item x="79"/>
        <item x="35"/>
        <item x="0"/>
        <item x="13"/>
        <item x="81"/>
        <item x="58"/>
        <item x="28"/>
        <item x="57"/>
        <item x="85"/>
        <item x="50"/>
        <item x="75"/>
        <item x="83"/>
        <item x="49"/>
        <item x="89"/>
        <item x="3"/>
        <item x="45"/>
        <item x="68"/>
        <item x="4"/>
        <item t="default"/>
      </items>
    </pivotField>
    <pivotField showAll="0"/>
    <pivotField showAll="0"/>
    <pivotField showAll="0"/>
    <pivotField showAll="0"/>
    <pivotField showAll="0"/>
    <pivotField showAll="0"/>
    <pivotField showAll="0"/>
    <pivotField showAll="0"/>
    <pivotField showAll="0"/>
  </pivotFields>
  <rowFields count="1">
    <field x="0"/>
  </rowFields>
  <rowItems count="2">
    <i>
      <x/>
    </i>
    <i t="grand">
      <x/>
    </i>
  </rowItems>
  <colFields count="1">
    <field x="-2"/>
  </colFields>
  <colItems count="4">
    <i>
      <x/>
    </i>
    <i i="1">
      <x v="1"/>
    </i>
    <i i="2">
      <x v="2"/>
    </i>
    <i i="3">
      <x v="3"/>
    </i>
  </colItems>
  <dataFields count="4">
    <dataField name="Average of wat_bas_n" fld="4" subtotal="average" baseField="0" baseItem="0"/>
    <dataField name="Average of wat_unimp_n" fld="6" subtotal="average" baseField="0" baseItem="0"/>
    <dataField name="Average of wat_lim_n" fld="5" subtotal="average" baseField="0" baseItem="0"/>
    <dataField name="Average of wat_sur_n" fld="7"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7B99FE8-4622-48EC-8662-CA0C249FB9BB}"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0">
  <location ref="A15:E21" firstHeaderRow="0" firstDataRow="1" firstDataCol="1"/>
  <pivotFields count="17">
    <pivotField showAll="0"/>
    <pivotField axis="axisRow" showAll="0">
      <items count="6">
        <item x="3"/>
        <item x="0"/>
        <item x="2"/>
        <item x="4"/>
        <item x="1"/>
        <item t="default"/>
      </items>
    </pivotField>
    <pivotField numFmtId="165" showAll="0" avgSubtotal="1">
      <items count="214">
        <item x="189"/>
        <item x="137"/>
        <item x="60"/>
        <item x="124"/>
        <item x="163"/>
        <item x="160"/>
        <item x="159"/>
        <item x="129"/>
        <item x="208"/>
        <item x="195"/>
        <item x="41"/>
        <item x="143"/>
        <item x="24"/>
        <item x="71"/>
        <item x="165"/>
        <item x="106"/>
        <item x="162"/>
        <item x="121"/>
        <item x="59"/>
        <item x="3"/>
        <item x="73"/>
        <item x="139"/>
        <item x="115"/>
        <item x="18"/>
        <item x="4"/>
        <item x="89"/>
        <item x="202"/>
        <item x="190"/>
        <item x="97"/>
        <item x="75"/>
        <item x="161"/>
        <item x="164"/>
        <item x="166"/>
        <item x="119"/>
        <item x="65"/>
        <item x="132"/>
        <item x="13"/>
        <item x="64"/>
        <item x="205"/>
        <item x="83"/>
        <item x="116"/>
        <item x="16"/>
        <item x="74"/>
        <item x="25"/>
        <item x="114"/>
        <item x="112"/>
        <item x="29"/>
        <item x="181"/>
        <item x="108"/>
        <item x="123"/>
        <item x="38"/>
        <item x="174"/>
        <item x="19"/>
        <item x="79"/>
        <item x="155"/>
        <item x="61"/>
        <item x="51"/>
        <item x="57"/>
        <item x="46"/>
        <item x="118"/>
        <item x="187"/>
        <item x="56"/>
        <item x="191"/>
        <item x="11"/>
        <item x="101"/>
        <item x="78"/>
        <item x="173"/>
        <item x="138"/>
        <item x="103"/>
        <item x="66"/>
        <item x="22"/>
        <item x="67"/>
        <item x="128"/>
        <item x="107"/>
        <item x="151"/>
        <item x="1"/>
        <item x="152"/>
        <item x="92"/>
        <item x="7"/>
        <item x="122"/>
        <item x="21"/>
        <item x="203"/>
        <item x="68"/>
        <item x="154"/>
        <item x="44"/>
        <item x="98"/>
        <item x="144"/>
        <item x="117"/>
        <item x="133"/>
        <item x="33"/>
        <item x="88"/>
        <item x="104"/>
        <item x="42"/>
        <item x="209"/>
        <item x="141"/>
        <item x="140"/>
        <item x="172"/>
        <item x="40"/>
        <item x="62"/>
        <item x="50"/>
        <item x="171"/>
        <item x="194"/>
        <item x="55"/>
        <item x="99"/>
        <item x="134"/>
        <item x="102"/>
        <item x="105"/>
        <item x="26"/>
        <item x="146"/>
        <item x="100"/>
        <item x="37"/>
        <item x="170"/>
        <item x="188"/>
        <item x="183"/>
        <item x="90"/>
        <item x="169"/>
        <item x="145"/>
        <item x="9"/>
        <item x="14"/>
        <item x="185"/>
        <item x="82"/>
        <item x="198"/>
        <item x="81"/>
        <item x="182"/>
        <item x="10"/>
        <item x="150"/>
        <item x="94"/>
        <item x="72"/>
        <item x="47"/>
        <item x="52"/>
        <item x="177"/>
        <item x="45"/>
        <item x="80"/>
        <item x="15"/>
        <item x="20"/>
        <item x="192"/>
        <item x="28"/>
        <item x="17"/>
        <item x="158"/>
        <item x="77"/>
        <item x="212"/>
        <item x="175"/>
        <item x="34"/>
        <item x="30"/>
        <item x="168"/>
        <item x="131"/>
        <item x="184"/>
        <item x="53"/>
        <item x="76"/>
        <item x="211"/>
        <item x="95"/>
        <item x="35"/>
        <item x="110"/>
        <item x="156"/>
        <item x="113"/>
        <item x="27"/>
        <item x="179"/>
        <item x="135"/>
        <item x="8"/>
        <item x="48"/>
        <item x="43"/>
        <item x="31"/>
        <item x="109"/>
        <item x="206"/>
        <item x="130"/>
        <item x="210"/>
        <item x="70"/>
        <item x="126"/>
        <item x="111"/>
        <item x="5"/>
        <item x="147"/>
        <item x="204"/>
        <item x="167"/>
        <item x="125"/>
        <item x="32"/>
        <item x="149"/>
        <item x="0"/>
        <item x="87"/>
        <item x="197"/>
        <item x="180"/>
        <item x="2"/>
        <item x="6"/>
        <item x="196"/>
        <item x="178"/>
        <item x="39"/>
        <item x="153"/>
        <item x="96"/>
        <item x="127"/>
        <item x="176"/>
        <item x="200"/>
        <item x="91"/>
        <item x="63"/>
        <item x="199"/>
        <item x="186"/>
        <item x="69"/>
        <item x="86"/>
        <item x="193"/>
        <item x="49"/>
        <item x="207"/>
        <item x="54"/>
        <item x="148"/>
        <item x="58"/>
        <item x="93"/>
        <item x="120"/>
        <item x="157"/>
        <item x="12"/>
        <item x="136"/>
        <item x="23"/>
        <item x="142"/>
        <item x="85"/>
        <item x="201"/>
        <item x="84"/>
        <item x="36"/>
        <item t="avg"/>
      </items>
    </pivotField>
    <pivotField numFmtId="164" showAll="0">
      <items count="204">
        <item x="180"/>
        <item x="119"/>
        <item x="139"/>
        <item x="28"/>
        <item x="102"/>
        <item x="129"/>
        <item x="106"/>
        <item x="152"/>
        <item x="156"/>
        <item x="170"/>
        <item x="154"/>
        <item x="168"/>
        <item x="124"/>
        <item x="56"/>
        <item x="181"/>
        <item x="34"/>
        <item x="55"/>
        <item x="30"/>
        <item x="165"/>
        <item x="187"/>
        <item x="196"/>
        <item x="0"/>
        <item x="76"/>
        <item x="176"/>
        <item x="93"/>
        <item x="99"/>
        <item x="27"/>
        <item x="122"/>
        <item x="13"/>
        <item x="178"/>
        <item x="202"/>
        <item x="81"/>
        <item x="191"/>
        <item x="171"/>
        <item x="96"/>
        <item x="95"/>
        <item x="74"/>
        <item x="121"/>
        <item x="136"/>
        <item x="198"/>
        <item x="200"/>
        <item x="12"/>
        <item x="105"/>
        <item x="153"/>
        <item x="108"/>
        <item x="114"/>
        <item x="33"/>
        <item x="19"/>
        <item x="57"/>
        <item x="52"/>
        <item x="179"/>
        <item x="148"/>
        <item x="162"/>
        <item x="109"/>
        <item x="75"/>
        <item x="201"/>
        <item x="47"/>
        <item x="115"/>
        <item x="16"/>
        <item x="166"/>
        <item x="131"/>
        <item x="142"/>
        <item x="160"/>
        <item x="17"/>
        <item x="24"/>
        <item x="21"/>
        <item x="195"/>
        <item x="177"/>
        <item x="41"/>
        <item x="73"/>
        <item x="130"/>
        <item x="123"/>
        <item x="100"/>
        <item x="185"/>
        <item x="86"/>
        <item x="182"/>
        <item x="163"/>
        <item x="150"/>
        <item x="164"/>
        <item x="113"/>
        <item x="175"/>
        <item x="94"/>
        <item x="89"/>
        <item x="10"/>
        <item x="161"/>
        <item x="82"/>
        <item x="77"/>
        <item x="59"/>
        <item x="68"/>
        <item x="42"/>
        <item x="31"/>
        <item x="92"/>
        <item x="78"/>
        <item x="132"/>
        <item x="9"/>
        <item x="128"/>
        <item x="66"/>
        <item x="143"/>
        <item x="36"/>
        <item x="63"/>
        <item x="1"/>
        <item x="140"/>
        <item x="46"/>
        <item x="65"/>
        <item x="7"/>
        <item x="120"/>
        <item x="85"/>
        <item x="186"/>
        <item x="51"/>
        <item x="172"/>
        <item x="144"/>
        <item x="29"/>
        <item x="44"/>
        <item x="5"/>
        <item x="167"/>
        <item x="118"/>
        <item x="38"/>
        <item x="103"/>
        <item x="97"/>
        <item x="138"/>
        <item x="117"/>
        <item x="54"/>
        <item x="183"/>
        <item x="188"/>
        <item x="20"/>
        <item x="22"/>
        <item x="84"/>
        <item x="88"/>
        <item x="126"/>
        <item x="79"/>
        <item x="53"/>
        <item x="2"/>
        <item x="174"/>
        <item x="45"/>
        <item x="158"/>
        <item x="151"/>
        <item x="39"/>
        <item x="26"/>
        <item x="83"/>
        <item x="184"/>
        <item x="199"/>
        <item x="107"/>
        <item x="43"/>
        <item x="67"/>
        <item x="111"/>
        <item x="49"/>
        <item x="25"/>
        <item x="141"/>
        <item x="58"/>
        <item x="14"/>
        <item x="69"/>
        <item x="101"/>
        <item x="116"/>
        <item x="40"/>
        <item x="169"/>
        <item x="61"/>
        <item x="137"/>
        <item x="147"/>
        <item x="37"/>
        <item x="32"/>
        <item x="50"/>
        <item x="192"/>
        <item x="134"/>
        <item x="190"/>
        <item x="159"/>
        <item x="60"/>
        <item x="62"/>
        <item x="8"/>
        <item x="135"/>
        <item x="127"/>
        <item x="189"/>
        <item x="23"/>
        <item x="3"/>
        <item x="70"/>
        <item x="35"/>
        <item x="4"/>
        <item x="173"/>
        <item x="48"/>
        <item x="197"/>
        <item x="98"/>
        <item x="112"/>
        <item x="11"/>
        <item x="155"/>
        <item x="64"/>
        <item x="91"/>
        <item x="104"/>
        <item x="90"/>
        <item x="133"/>
        <item x="6"/>
        <item x="125"/>
        <item x="87"/>
        <item x="145"/>
        <item x="80"/>
        <item x="110"/>
        <item x="72"/>
        <item x="194"/>
        <item x="193"/>
        <item x="157"/>
        <item x="15"/>
        <item x="71"/>
        <item x="146"/>
        <item x="149"/>
        <item x="18"/>
        <item t="default"/>
      </items>
    </pivotField>
    <pivotField dataField="1" showAll="0">
      <items count="190">
        <item x="32"/>
        <item x="156"/>
        <item x="131"/>
        <item x="45"/>
        <item x="33"/>
        <item x="122"/>
        <item x="26"/>
        <item x="54"/>
        <item x="98"/>
        <item x="172"/>
        <item x="154"/>
        <item x="5"/>
        <item x="70"/>
        <item x="141"/>
        <item x="159"/>
        <item x="186"/>
        <item x="176"/>
        <item x="87"/>
        <item x="27"/>
        <item x="188"/>
        <item x="114"/>
        <item x="150"/>
        <item x="69"/>
        <item x="187"/>
        <item x="16"/>
        <item x="30"/>
        <item x="72"/>
        <item x="153"/>
        <item x="166"/>
        <item x="99"/>
        <item x="53"/>
        <item x="40"/>
        <item x="29"/>
        <item x="106"/>
        <item x="93"/>
        <item x="37"/>
        <item x="0"/>
        <item x="94"/>
        <item x="47"/>
        <item x="123"/>
        <item x="88"/>
        <item x="147"/>
        <item x="61"/>
        <item x="121"/>
        <item x="164"/>
        <item x="102"/>
        <item x="115"/>
        <item x="116"/>
        <item x="148"/>
        <item x="90"/>
        <item x="60"/>
        <item x="165"/>
        <item x="110"/>
        <item x="64"/>
        <item x="104"/>
        <item x="28"/>
        <item x="117"/>
        <item x="128"/>
        <item x="113"/>
        <item x="76"/>
        <item x="139"/>
        <item x="83"/>
        <item x="181"/>
        <item x="145"/>
        <item x="89"/>
        <item x="146"/>
        <item x="127"/>
        <item x="21"/>
        <item x="158"/>
        <item x="77"/>
        <item x="92"/>
        <item x="133"/>
        <item x="19"/>
        <item x="182"/>
        <item x="59"/>
        <item x="44"/>
        <item x="155"/>
        <item x="163"/>
        <item x="173"/>
        <item x="68"/>
        <item x="134"/>
        <item x="35"/>
        <item x="56"/>
        <item x="130"/>
        <item x="2"/>
        <item x="1"/>
        <item x="149"/>
        <item x="55"/>
        <item x="49"/>
        <item x="86"/>
        <item x="71"/>
        <item x="73"/>
        <item x="10"/>
        <item x="20"/>
        <item x="108"/>
        <item x="13"/>
        <item x="48"/>
        <item x="183"/>
        <item x="143"/>
        <item x="140"/>
        <item x="41"/>
        <item x="124"/>
        <item x="171"/>
        <item x="100"/>
        <item x="18"/>
        <item x="62"/>
        <item x="80"/>
        <item x="78"/>
        <item x="36"/>
        <item x="170"/>
        <item x="11"/>
        <item x="125"/>
        <item x="180"/>
        <item x="185"/>
        <item x="51"/>
        <item x="160"/>
        <item x="96"/>
        <item x="112"/>
        <item x="79"/>
        <item x="15"/>
        <item x="12"/>
        <item x="178"/>
        <item x="168"/>
        <item x="91"/>
        <item x="111"/>
        <item x="169"/>
        <item x="85"/>
        <item x="25"/>
        <item x="81"/>
        <item x="84"/>
        <item x="142"/>
        <item x="184"/>
        <item x="31"/>
        <item x="119"/>
        <item x="22"/>
        <item x="50"/>
        <item x="179"/>
        <item x="152"/>
        <item x="101"/>
        <item x="137"/>
        <item x="52"/>
        <item x="132"/>
        <item x="129"/>
        <item x="109"/>
        <item x="67"/>
        <item x="167"/>
        <item x="42"/>
        <item x="3"/>
        <item x="151"/>
        <item x="66"/>
        <item x="39"/>
        <item x="161"/>
        <item x="105"/>
        <item x="23"/>
        <item x="107"/>
        <item x="97"/>
        <item x="43"/>
        <item x="177"/>
        <item x="95"/>
        <item x="24"/>
        <item x="17"/>
        <item x="136"/>
        <item x="82"/>
        <item x="157"/>
        <item x="138"/>
        <item x="174"/>
        <item x="135"/>
        <item x="8"/>
        <item x="7"/>
        <item x="38"/>
        <item x="144"/>
        <item x="126"/>
        <item x="14"/>
        <item x="75"/>
        <item x="74"/>
        <item x="58"/>
        <item x="175"/>
        <item x="34"/>
        <item x="118"/>
        <item x="9"/>
        <item x="103"/>
        <item x="46"/>
        <item x="120"/>
        <item x="65"/>
        <item x="63"/>
        <item x="162"/>
        <item x="57"/>
        <item x="4"/>
        <item x="6"/>
        <item t="default"/>
      </items>
    </pivotField>
    <pivotField dataField="1" showAll="0">
      <items count="124">
        <item x="3"/>
        <item x="34"/>
        <item x="66"/>
        <item x="16"/>
        <item x="13"/>
        <item x="53"/>
        <item x="25"/>
        <item x="27"/>
        <item x="36"/>
        <item x="97"/>
        <item x="35"/>
        <item x="8"/>
        <item x="65"/>
        <item x="85"/>
        <item x="47"/>
        <item x="33"/>
        <item x="118"/>
        <item x="116"/>
        <item x="71"/>
        <item x="102"/>
        <item x="89"/>
        <item x="59"/>
        <item x="30"/>
        <item x="24"/>
        <item x="86"/>
        <item x="49"/>
        <item x="109"/>
        <item x="51"/>
        <item x="119"/>
        <item x="42"/>
        <item x="6"/>
        <item x="117"/>
        <item x="104"/>
        <item x="110"/>
        <item x="7"/>
        <item x="45"/>
        <item x="10"/>
        <item x="0"/>
        <item x="29"/>
        <item x="77"/>
        <item x="88"/>
        <item x="74"/>
        <item x="111"/>
        <item x="80"/>
        <item x="91"/>
        <item x="83"/>
        <item x="1"/>
        <item x="107"/>
        <item x="57"/>
        <item x="50"/>
        <item x="54"/>
        <item x="112"/>
        <item x="84"/>
        <item x="70"/>
        <item x="94"/>
        <item x="12"/>
        <item x="106"/>
        <item x="63"/>
        <item x="100"/>
        <item x="87"/>
        <item x="9"/>
        <item x="58"/>
        <item x="82"/>
        <item x="14"/>
        <item x="67"/>
        <item x="76"/>
        <item x="56"/>
        <item x="95"/>
        <item x="15"/>
        <item x="79"/>
        <item x="48"/>
        <item x="2"/>
        <item x="72"/>
        <item x="52"/>
        <item x="114"/>
        <item x="98"/>
        <item x="105"/>
        <item x="108"/>
        <item x="121"/>
        <item x="92"/>
        <item x="41"/>
        <item x="75"/>
        <item x="60"/>
        <item x="81"/>
        <item x="39"/>
        <item x="19"/>
        <item x="40"/>
        <item x="62"/>
        <item x="28"/>
        <item x="96"/>
        <item x="4"/>
        <item x="11"/>
        <item x="37"/>
        <item x="55"/>
        <item x="46"/>
        <item x="73"/>
        <item x="61"/>
        <item x="26"/>
        <item x="115"/>
        <item x="68"/>
        <item x="21"/>
        <item x="31"/>
        <item x="69"/>
        <item x="20"/>
        <item x="44"/>
        <item x="122"/>
        <item x="23"/>
        <item x="32"/>
        <item x="18"/>
        <item x="93"/>
        <item x="43"/>
        <item x="78"/>
        <item x="64"/>
        <item x="90"/>
        <item x="22"/>
        <item x="103"/>
        <item x="38"/>
        <item x="113"/>
        <item x="99"/>
        <item x="120"/>
        <item x="17"/>
        <item x="101"/>
        <item x="5"/>
        <item t="default"/>
      </items>
    </pivotField>
    <pivotField dataField="1" showAll="0">
      <items count="177">
        <item x="4"/>
        <item x="111"/>
        <item x="33"/>
        <item x="164"/>
        <item x="55"/>
        <item x="74"/>
        <item x="69"/>
        <item x="70"/>
        <item x="124"/>
        <item x="13"/>
        <item x="38"/>
        <item x="118"/>
        <item x="136"/>
        <item x="37"/>
        <item x="7"/>
        <item x="8"/>
        <item x="127"/>
        <item x="163"/>
        <item x="97"/>
        <item x="19"/>
        <item x="130"/>
        <item x="148"/>
        <item x="162"/>
        <item x="77"/>
        <item x="128"/>
        <item x="12"/>
        <item x="16"/>
        <item x="23"/>
        <item x="89"/>
        <item x="166"/>
        <item x="42"/>
        <item x="91"/>
        <item x="100"/>
        <item x="22"/>
        <item x="98"/>
        <item x="152"/>
        <item x="17"/>
        <item x="61"/>
        <item x="153"/>
        <item x="168"/>
        <item x="3"/>
        <item x="41"/>
        <item x="119"/>
        <item x="157"/>
        <item x="62"/>
        <item x="49"/>
        <item x="102"/>
        <item x="48"/>
        <item x="121"/>
        <item x="14"/>
        <item x="151"/>
        <item x="158"/>
        <item x="95"/>
        <item x="50"/>
        <item x="129"/>
        <item x="139"/>
        <item x="141"/>
        <item x="10"/>
        <item x="143"/>
        <item x="73"/>
        <item x="2"/>
        <item x="86"/>
        <item x="21"/>
        <item x="117"/>
        <item x="104"/>
        <item x="112"/>
        <item x="160"/>
        <item x="30"/>
        <item x="159"/>
        <item x="80"/>
        <item x="171"/>
        <item x="134"/>
        <item x="79"/>
        <item x="76"/>
        <item x="35"/>
        <item x="24"/>
        <item x="172"/>
        <item x="66"/>
        <item x="11"/>
        <item x="40"/>
        <item x="46"/>
        <item x="167"/>
        <item x="135"/>
        <item x="146"/>
        <item x="138"/>
        <item x="18"/>
        <item x="20"/>
        <item x="78"/>
        <item x="84"/>
        <item x="105"/>
        <item x="90"/>
        <item x="122"/>
        <item x="132"/>
        <item x="94"/>
        <item x="81"/>
        <item x="75"/>
        <item x="47"/>
        <item x="59"/>
        <item x="60"/>
        <item x="106"/>
        <item x="9"/>
        <item x="116"/>
        <item x="126"/>
        <item x="1"/>
        <item x="170"/>
        <item x="27"/>
        <item x="63"/>
        <item x="54"/>
        <item x="154"/>
        <item x="88"/>
        <item x="101"/>
        <item x="150"/>
        <item x="109"/>
        <item x="68"/>
        <item x="71"/>
        <item x="125"/>
        <item x="120"/>
        <item x="53"/>
        <item x="110"/>
        <item x="34"/>
        <item x="108"/>
        <item x="43"/>
        <item x="149"/>
        <item x="72"/>
        <item x="28"/>
        <item x="93"/>
        <item x="169"/>
        <item x="56"/>
        <item x="64"/>
        <item x="103"/>
        <item x="57"/>
        <item x="45"/>
        <item x="173"/>
        <item x="131"/>
        <item x="155"/>
        <item x="137"/>
        <item x="36"/>
        <item x="82"/>
        <item x="51"/>
        <item x="58"/>
        <item x="85"/>
        <item x="115"/>
        <item x="161"/>
        <item x="87"/>
        <item x="96"/>
        <item x="140"/>
        <item x="133"/>
        <item x="145"/>
        <item x="113"/>
        <item x="147"/>
        <item x="156"/>
        <item x="39"/>
        <item x="165"/>
        <item x="0"/>
        <item x="26"/>
        <item x="99"/>
        <item x="29"/>
        <item x="142"/>
        <item x="175"/>
        <item x="107"/>
        <item x="83"/>
        <item x="52"/>
        <item x="5"/>
        <item x="25"/>
        <item x="144"/>
        <item x="174"/>
        <item x="15"/>
        <item x="123"/>
        <item x="67"/>
        <item x="65"/>
        <item x="114"/>
        <item x="32"/>
        <item x="92"/>
        <item x="44"/>
        <item x="31"/>
        <item x="6"/>
        <item t="default"/>
      </items>
    </pivotField>
    <pivotField dataField="1" showAll="0">
      <items count="96">
        <item x="1"/>
        <item x="55"/>
        <item x="74"/>
        <item x="32"/>
        <item x="53"/>
        <item x="65"/>
        <item x="2"/>
        <item x="64"/>
        <item x="7"/>
        <item x="43"/>
        <item x="40"/>
        <item x="44"/>
        <item x="73"/>
        <item x="31"/>
        <item x="12"/>
        <item x="17"/>
        <item x="71"/>
        <item x="86"/>
        <item x="22"/>
        <item x="21"/>
        <item x="36"/>
        <item x="88"/>
        <item x="10"/>
        <item x="38"/>
        <item x="82"/>
        <item x="47"/>
        <item x="5"/>
        <item x="41"/>
        <item x="72"/>
        <item x="39"/>
        <item x="60"/>
        <item x="9"/>
        <item x="52"/>
        <item x="18"/>
        <item x="56"/>
        <item x="67"/>
        <item x="27"/>
        <item x="25"/>
        <item x="66"/>
        <item x="42"/>
        <item x="34"/>
        <item x="80"/>
        <item x="69"/>
        <item x="78"/>
        <item x="90"/>
        <item x="26"/>
        <item x="37"/>
        <item x="24"/>
        <item x="51"/>
        <item x="30"/>
        <item x="77"/>
        <item x="92"/>
        <item x="61"/>
        <item x="6"/>
        <item x="15"/>
        <item x="11"/>
        <item x="70"/>
        <item x="84"/>
        <item x="62"/>
        <item x="46"/>
        <item x="87"/>
        <item x="33"/>
        <item x="8"/>
        <item x="59"/>
        <item x="29"/>
        <item x="48"/>
        <item x="63"/>
        <item x="76"/>
        <item x="54"/>
        <item x="20"/>
        <item x="19"/>
        <item x="14"/>
        <item x="93"/>
        <item x="94"/>
        <item x="16"/>
        <item x="91"/>
        <item x="23"/>
        <item x="79"/>
        <item x="35"/>
        <item x="0"/>
        <item x="13"/>
        <item x="81"/>
        <item x="58"/>
        <item x="28"/>
        <item x="57"/>
        <item x="85"/>
        <item x="50"/>
        <item x="75"/>
        <item x="83"/>
        <item x="49"/>
        <item x="89"/>
        <item x="3"/>
        <item x="45"/>
        <item x="68"/>
        <item x="4"/>
        <item t="default"/>
      </items>
    </pivotField>
    <pivotField showAll="0"/>
    <pivotField showAll="0"/>
    <pivotField showAll="0"/>
    <pivotField showAll="0"/>
    <pivotField showAll="0"/>
    <pivotField showAll="0"/>
    <pivotField showAll="0"/>
    <pivotField showAll="0"/>
    <pivotField showAll="0">
      <items count="204">
        <item x="18"/>
        <item x="149"/>
        <item x="146"/>
        <item x="71"/>
        <item x="15"/>
        <item x="157"/>
        <item x="193"/>
        <item x="194"/>
        <item x="72"/>
        <item x="110"/>
        <item x="80"/>
        <item x="145"/>
        <item x="87"/>
        <item x="125"/>
        <item x="6"/>
        <item x="133"/>
        <item x="90"/>
        <item x="104"/>
        <item x="91"/>
        <item x="64"/>
        <item x="155"/>
        <item x="11"/>
        <item x="112"/>
        <item x="98"/>
        <item x="197"/>
        <item x="48"/>
        <item x="173"/>
        <item x="4"/>
        <item x="35"/>
        <item x="70"/>
        <item x="3"/>
        <item x="23"/>
        <item x="189"/>
        <item x="127"/>
        <item x="135"/>
        <item x="8"/>
        <item x="62"/>
        <item x="60"/>
        <item x="159"/>
        <item x="190"/>
        <item x="134"/>
        <item x="192"/>
        <item x="50"/>
        <item x="32"/>
        <item x="37"/>
        <item x="147"/>
        <item x="137"/>
        <item x="61"/>
        <item x="169"/>
        <item x="40"/>
        <item x="116"/>
        <item x="101"/>
        <item x="69"/>
        <item x="14"/>
        <item x="58"/>
        <item x="141"/>
        <item x="25"/>
        <item x="49"/>
        <item x="111"/>
        <item x="67"/>
        <item x="43"/>
        <item x="107"/>
        <item x="199"/>
        <item x="184"/>
        <item x="83"/>
        <item x="26"/>
        <item x="39"/>
        <item x="151"/>
        <item x="158"/>
        <item x="45"/>
        <item x="174"/>
        <item x="2"/>
        <item x="53"/>
        <item x="79"/>
        <item x="126"/>
        <item x="88"/>
        <item x="84"/>
        <item x="22"/>
        <item x="20"/>
        <item x="188"/>
        <item x="183"/>
        <item x="54"/>
        <item x="117"/>
        <item x="138"/>
        <item x="97"/>
        <item x="103"/>
        <item x="38"/>
        <item x="118"/>
        <item x="167"/>
        <item x="5"/>
        <item x="44"/>
        <item x="29"/>
        <item x="144"/>
        <item x="172"/>
        <item x="51"/>
        <item x="186"/>
        <item x="85"/>
        <item x="120"/>
        <item x="7"/>
        <item x="65"/>
        <item x="46"/>
        <item x="140"/>
        <item x="1"/>
        <item x="63"/>
        <item x="36"/>
        <item x="143"/>
        <item x="66"/>
        <item x="128"/>
        <item x="9"/>
        <item x="132"/>
        <item x="78"/>
        <item x="92"/>
        <item x="31"/>
        <item x="42"/>
        <item x="68"/>
        <item x="59"/>
        <item x="77"/>
        <item x="82"/>
        <item x="161"/>
        <item x="10"/>
        <item x="89"/>
        <item x="94"/>
        <item x="175"/>
        <item x="113"/>
        <item x="164"/>
        <item x="150"/>
        <item x="163"/>
        <item x="182"/>
        <item x="86"/>
        <item x="185"/>
        <item x="100"/>
        <item x="123"/>
        <item x="130"/>
        <item x="73"/>
        <item x="41"/>
        <item x="177"/>
        <item x="195"/>
        <item x="21"/>
        <item x="24"/>
        <item x="17"/>
        <item x="160"/>
        <item x="142"/>
        <item x="131"/>
        <item x="166"/>
        <item x="16"/>
        <item x="115"/>
        <item x="47"/>
        <item x="201"/>
        <item x="75"/>
        <item x="109"/>
        <item x="162"/>
        <item x="148"/>
        <item x="179"/>
        <item x="52"/>
        <item x="57"/>
        <item x="19"/>
        <item x="33"/>
        <item x="114"/>
        <item x="108"/>
        <item x="153"/>
        <item x="105"/>
        <item x="12"/>
        <item x="200"/>
        <item x="198"/>
        <item x="136"/>
        <item x="121"/>
        <item x="74"/>
        <item x="95"/>
        <item x="96"/>
        <item x="171"/>
        <item x="191"/>
        <item x="81"/>
        <item x="202"/>
        <item x="178"/>
        <item x="13"/>
        <item x="122"/>
        <item x="27"/>
        <item x="99"/>
        <item x="93"/>
        <item x="176"/>
        <item x="76"/>
        <item x="0"/>
        <item x="196"/>
        <item x="187"/>
        <item x="165"/>
        <item x="30"/>
        <item x="55"/>
        <item x="34"/>
        <item x="181"/>
        <item x="56"/>
        <item x="124"/>
        <item x="168"/>
        <item x="154"/>
        <item x="170"/>
        <item x="156"/>
        <item x="152"/>
        <item x="106"/>
        <item x="129"/>
        <item x="102"/>
        <item x="28"/>
        <item x="139"/>
        <item x="119"/>
        <item x="180"/>
        <item t="default"/>
      </items>
    </pivotField>
  </pivotFields>
  <rowFields count="1">
    <field x="1"/>
  </rowFields>
  <rowItems count="6">
    <i>
      <x/>
    </i>
    <i>
      <x v="1"/>
    </i>
    <i>
      <x v="2"/>
    </i>
    <i>
      <x v="3"/>
    </i>
    <i>
      <x v="4"/>
    </i>
    <i t="grand">
      <x/>
    </i>
  </rowItems>
  <colFields count="1">
    <field x="-2"/>
  </colFields>
  <colItems count="4">
    <i>
      <x/>
    </i>
    <i i="1">
      <x v="1"/>
    </i>
    <i i="2">
      <x v="2"/>
    </i>
    <i i="3">
      <x v="3"/>
    </i>
  </colItems>
  <dataFields count="4">
    <dataField name="Average of wat_bas_n" fld="4" subtotal="average" baseField="0" baseItem="0"/>
    <dataField name="Average of wat_lim_n" fld="5" subtotal="average" baseField="0" baseItem="0"/>
    <dataField name="Average of wat_sur_n" fld="7" subtotal="average" baseField="0" baseItem="0"/>
    <dataField name="Average of wat_unimp_n" fld="6" subtotal="average" baseField="0" baseItem="0"/>
  </dataFields>
  <chartFormats count="8">
    <chartFormat chart="63" format="7" series="1">
      <pivotArea type="data" outline="0" fieldPosition="0">
        <references count="1">
          <reference field="4294967294" count="1" selected="0">
            <x v="3"/>
          </reference>
        </references>
      </pivotArea>
    </chartFormat>
    <chartFormat chart="5" format="10" series="1">
      <pivotArea type="data" outline="0" fieldPosition="0">
        <references count="1">
          <reference field="4294967294" count="1" selected="0">
            <x v="3"/>
          </reference>
        </references>
      </pivotArea>
    </chartFormat>
    <chartFormat chart="63" format="8"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0"/>
          </reference>
        </references>
      </pivotArea>
    </chartFormat>
    <chartFormat chart="63" format="9" series="1">
      <pivotArea type="data" outline="0" fieldPosition="0">
        <references count="1">
          <reference field="4294967294" count="1" selected="0">
            <x v="2"/>
          </reference>
        </references>
      </pivotArea>
    </chartFormat>
    <chartFormat chart="5" format="12" series="1">
      <pivotArea type="data" outline="0" fieldPosition="0">
        <references count="1">
          <reference field="4294967294" count="1" selected="0">
            <x v="2"/>
          </reference>
        </references>
      </pivotArea>
    </chartFormat>
    <chartFormat chart="63" format="10" series="1">
      <pivotArea type="data" outline="0" fieldPosition="0">
        <references count="1">
          <reference field="4294967294" count="1" selected="0">
            <x v="1"/>
          </reference>
        </references>
      </pivotArea>
    </chartFormat>
    <chartFormat chart="5"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3300B46-7A64-4751-88F7-7652BC415C7A}" name="PivotTable4"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41:B45" firstHeaderRow="1" firstDataRow="1" firstDataCol="1"/>
  <pivotFields count="17">
    <pivotField showAll="0"/>
    <pivotField showAll="0">
      <items count="6">
        <item x="3"/>
        <item x="0"/>
        <item x="2"/>
        <item x="4"/>
        <item x="1"/>
        <item t="default"/>
      </items>
    </pivotField>
    <pivotField numFmtId="165" showAll="0">
      <items count="214">
        <item x="189"/>
        <item x="137"/>
        <item x="60"/>
        <item x="124"/>
        <item x="163"/>
        <item x="160"/>
        <item x="159"/>
        <item x="129"/>
        <item x="208"/>
        <item x="195"/>
        <item x="41"/>
        <item x="143"/>
        <item x="24"/>
        <item x="71"/>
        <item x="165"/>
        <item x="106"/>
        <item x="162"/>
        <item x="121"/>
        <item x="59"/>
        <item x="3"/>
        <item x="73"/>
        <item x="139"/>
        <item x="115"/>
        <item x="18"/>
        <item x="4"/>
        <item x="89"/>
        <item x="202"/>
        <item x="190"/>
        <item x="97"/>
        <item x="75"/>
        <item x="161"/>
        <item x="164"/>
        <item x="166"/>
        <item x="119"/>
        <item x="65"/>
        <item x="132"/>
        <item x="13"/>
        <item x="64"/>
        <item x="205"/>
        <item x="83"/>
        <item x="116"/>
        <item x="16"/>
        <item x="74"/>
        <item x="25"/>
        <item x="114"/>
        <item x="112"/>
        <item x="29"/>
        <item x="181"/>
        <item x="108"/>
        <item x="123"/>
        <item x="38"/>
        <item x="174"/>
        <item x="19"/>
        <item x="79"/>
        <item x="155"/>
        <item x="61"/>
        <item x="51"/>
        <item x="57"/>
        <item x="46"/>
        <item x="118"/>
        <item x="187"/>
        <item x="56"/>
        <item x="191"/>
        <item x="11"/>
        <item x="101"/>
        <item x="78"/>
        <item x="173"/>
        <item x="138"/>
        <item x="103"/>
        <item x="66"/>
        <item x="22"/>
        <item x="67"/>
        <item x="128"/>
        <item x="107"/>
        <item x="151"/>
        <item x="1"/>
        <item x="152"/>
        <item x="92"/>
        <item x="7"/>
        <item x="122"/>
        <item x="21"/>
        <item x="203"/>
        <item x="68"/>
        <item x="154"/>
        <item x="44"/>
        <item x="98"/>
        <item x="144"/>
        <item x="117"/>
        <item x="133"/>
        <item x="33"/>
        <item x="88"/>
        <item x="104"/>
        <item x="42"/>
        <item x="209"/>
        <item x="141"/>
        <item x="140"/>
        <item x="172"/>
        <item x="40"/>
        <item x="62"/>
        <item x="50"/>
        <item x="171"/>
        <item x="194"/>
        <item x="55"/>
        <item x="99"/>
        <item x="134"/>
        <item x="102"/>
        <item x="105"/>
        <item x="26"/>
        <item x="146"/>
        <item x="100"/>
        <item x="37"/>
        <item x="170"/>
        <item x="188"/>
        <item x="183"/>
        <item x="90"/>
        <item x="169"/>
        <item x="145"/>
        <item x="9"/>
        <item x="14"/>
        <item x="185"/>
        <item x="82"/>
        <item x="198"/>
        <item x="81"/>
        <item x="182"/>
        <item x="10"/>
        <item x="150"/>
        <item x="94"/>
        <item x="72"/>
        <item x="47"/>
        <item x="52"/>
        <item x="177"/>
        <item x="45"/>
        <item x="80"/>
        <item x="15"/>
        <item x="20"/>
        <item x="192"/>
        <item x="28"/>
        <item x="17"/>
        <item x="158"/>
        <item x="77"/>
        <item x="212"/>
        <item x="175"/>
        <item x="34"/>
        <item x="30"/>
        <item x="168"/>
        <item x="131"/>
        <item x="184"/>
        <item x="53"/>
        <item x="76"/>
        <item x="211"/>
        <item x="95"/>
        <item x="35"/>
        <item x="110"/>
        <item x="156"/>
        <item x="113"/>
        <item x="27"/>
        <item x="179"/>
        <item x="135"/>
        <item x="8"/>
        <item x="48"/>
        <item x="43"/>
        <item x="31"/>
        <item x="109"/>
        <item x="206"/>
        <item x="130"/>
        <item x="210"/>
        <item x="70"/>
        <item x="126"/>
        <item x="111"/>
        <item x="5"/>
        <item x="147"/>
        <item x="204"/>
        <item x="167"/>
        <item x="125"/>
        <item x="32"/>
        <item x="149"/>
        <item x="0"/>
        <item x="87"/>
        <item x="197"/>
        <item x="180"/>
        <item x="2"/>
        <item x="6"/>
        <item x="196"/>
        <item x="178"/>
        <item x="39"/>
        <item x="153"/>
        <item x="96"/>
        <item x="127"/>
        <item x="176"/>
        <item x="200"/>
        <item x="91"/>
        <item x="63"/>
        <item x="199"/>
        <item x="186"/>
        <item x="69"/>
        <item x="86"/>
        <item x="193"/>
        <item x="49"/>
        <item x="207"/>
        <item x="54"/>
        <item x="148"/>
        <item x="58"/>
        <item x="93"/>
        <item x="120"/>
        <item x="157"/>
        <item x="12"/>
        <item x="136"/>
        <item x="23"/>
        <item x="142"/>
        <item x="85"/>
        <item x="201"/>
        <item x="84"/>
        <item x="36"/>
        <item t="default"/>
      </items>
    </pivotField>
    <pivotField numFmtId="164" showAll="0"/>
    <pivotField dataField="1" showAll="0">
      <items count="190">
        <item x="32"/>
        <item x="156"/>
        <item x="131"/>
        <item x="45"/>
        <item x="33"/>
        <item x="122"/>
        <item x="26"/>
        <item x="54"/>
        <item x="98"/>
        <item x="172"/>
        <item x="154"/>
        <item x="5"/>
        <item x="70"/>
        <item x="141"/>
        <item x="159"/>
        <item x="186"/>
        <item x="176"/>
        <item x="87"/>
        <item x="27"/>
        <item x="188"/>
        <item x="114"/>
        <item x="150"/>
        <item x="69"/>
        <item x="187"/>
        <item x="16"/>
        <item x="30"/>
        <item x="72"/>
        <item x="153"/>
        <item x="166"/>
        <item x="99"/>
        <item x="53"/>
        <item x="40"/>
        <item x="29"/>
        <item x="106"/>
        <item x="93"/>
        <item x="37"/>
        <item x="0"/>
        <item x="94"/>
        <item x="47"/>
        <item x="123"/>
        <item x="88"/>
        <item x="147"/>
        <item x="61"/>
        <item x="121"/>
        <item x="164"/>
        <item x="102"/>
        <item x="115"/>
        <item x="116"/>
        <item x="148"/>
        <item x="90"/>
        <item x="60"/>
        <item x="165"/>
        <item x="110"/>
        <item x="64"/>
        <item x="104"/>
        <item x="28"/>
        <item x="117"/>
        <item x="128"/>
        <item x="113"/>
        <item x="76"/>
        <item x="139"/>
        <item x="83"/>
        <item x="181"/>
        <item x="145"/>
        <item x="89"/>
        <item x="146"/>
        <item x="127"/>
        <item x="21"/>
        <item x="158"/>
        <item x="77"/>
        <item x="92"/>
        <item x="133"/>
        <item x="19"/>
        <item x="182"/>
        <item x="59"/>
        <item x="44"/>
        <item x="155"/>
        <item x="163"/>
        <item x="173"/>
        <item x="68"/>
        <item x="134"/>
        <item x="35"/>
        <item x="56"/>
        <item x="130"/>
        <item x="2"/>
        <item x="1"/>
        <item x="149"/>
        <item x="55"/>
        <item x="49"/>
        <item x="86"/>
        <item x="71"/>
        <item x="73"/>
        <item x="10"/>
        <item x="20"/>
        <item x="108"/>
        <item x="13"/>
        <item x="48"/>
        <item x="183"/>
        <item x="143"/>
        <item x="140"/>
        <item x="41"/>
        <item x="124"/>
        <item x="171"/>
        <item x="100"/>
        <item x="18"/>
        <item x="62"/>
        <item x="80"/>
        <item x="78"/>
        <item x="36"/>
        <item x="170"/>
        <item x="11"/>
        <item x="125"/>
        <item x="180"/>
        <item x="185"/>
        <item x="51"/>
        <item x="160"/>
        <item x="96"/>
        <item x="112"/>
        <item x="79"/>
        <item x="15"/>
        <item x="12"/>
        <item x="178"/>
        <item x="168"/>
        <item x="91"/>
        <item x="111"/>
        <item x="169"/>
        <item x="85"/>
        <item x="25"/>
        <item x="81"/>
        <item x="84"/>
        <item x="142"/>
        <item x="184"/>
        <item x="31"/>
        <item x="119"/>
        <item x="22"/>
        <item x="50"/>
        <item x="179"/>
        <item x="152"/>
        <item x="101"/>
        <item x="137"/>
        <item x="52"/>
        <item x="132"/>
        <item x="129"/>
        <item x="109"/>
        <item x="67"/>
        <item x="167"/>
        <item x="42"/>
        <item x="3"/>
        <item x="151"/>
        <item x="66"/>
        <item x="39"/>
        <item x="161"/>
        <item x="105"/>
        <item x="23"/>
        <item x="107"/>
        <item x="97"/>
        <item x="43"/>
        <item x="177"/>
        <item x="95"/>
        <item x="24"/>
        <item x="17"/>
        <item x="136"/>
        <item x="82"/>
        <item x="157"/>
        <item x="138"/>
        <item x="174"/>
        <item x="135"/>
        <item x="8"/>
        <item x="7"/>
        <item x="38"/>
        <item x="144"/>
        <item x="126"/>
        <item x="14"/>
        <item x="75"/>
        <item x="74"/>
        <item x="58"/>
        <item x="175"/>
        <item x="34"/>
        <item x="118"/>
        <item x="9"/>
        <item x="103"/>
        <item x="46"/>
        <item x="120"/>
        <item x="65"/>
        <item x="63"/>
        <item x="162"/>
        <item x="57"/>
        <item x="4"/>
        <item x="6"/>
        <item t="default"/>
      </items>
    </pivotField>
    <pivotField dataField="1" showAll="0">
      <items count="124">
        <item x="3"/>
        <item x="34"/>
        <item x="66"/>
        <item x="16"/>
        <item x="13"/>
        <item x="53"/>
        <item x="25"/>
        <item x="27"/>
        <item x="36"/>
        <item x="97"/>
        <item x="35"/>
        <item x="8"/>
        <item x="65"/>
        <item x="85"/>
        <item x="47"/>
        <item x="33"/>
        <item x="118"/>
        <item x="116"/>
        <item x="71"/>
        <item x="102"/>
        <item x="89"/>
        <item x="59"/>
        <item x="30"/>
        <item x="24"/>
        <item x="86"/>
        <item x="49"/>
        <item x="109"/>
        <item x="51"/>
        <item x="119"/>
        <item x="42"/>
        <item x="6"/>
        <item x="117"/>
        <item x="104"/>
        <item x="110"/>
        <item x="7"/>
        <item x="45"/>
        <item x="10"/>
        <item x="0"/>
        <item x="29"/>
        <item x="77"/>
        <item x="88"/>
        <item x="74"/>
        <item x="111"/>
        <item x="80"/>
        <item x="91"/>
        <item x="83"/>
        <item x="1"/>
        <item x="107"/>
        <item x="57"/>
        <item x="50"/>
        <item x="54"/>
        <item x="112"/>
        <item x="84"/>
        <item x="70"/>
        <item x="94"/>
        <item x="12"/>
        <item x="106"/>
        <item x="63"/>
        <item x="100"/>
        <item x="87"/>
        <item x="9"/>
        <item x="58"/>
        <item x="82"/>
        <item x="14"/>
        <item x="67"/>
        <item x="76"/>
        <item x="56"/>
        <item x="95"/>
        <item x="15"/>
        <item x="79"/>
        <item x="48"/>
        <item x="2"/>
        <item x="72"/>
        <item x="52"/>
        <item x="114"/>
        <item x="98"/>
        <item x="105"/>
        <item x="108"/>
        <item x="121"/>
        <item x="92"/>
        <item x="41"/>
        <item x="75"/>
        <item x="60"/>
        <item x="81"/>
        <item x="39"/>
        <item x="19"/>
        <item x="40"/>
        <item x="62"/>
        <item x="28"/>
        <item x="96"/>
        <item x="4"/>
        <item x="11"/>
        <item x="37"/>
        <item x="55"/>
        <item x="46"/>
        <item x="73"/>
        <item x="61"/>
        <item x="26"/>
        <item x="115"/>
        <item x="68"/>
        <item x="21"/>
        <item x="31"/>
        <item x="69"/>
        <item x="20"/>
        <item x="44"/>
        <item x="122"/>
        <item x="23"/>
        <item x="32"/>
        <item x="18"/>
        <item x="93"/>
        <item x="43"/>
        <item x="78"/>
        <item x="64"/>
        <item x="90"/>
        <item x="22"/>
        <item x="103"/>
        <item x="38"/>
        <item x="113"/>
        <item x="99"/>
        <item x="120"/>
        <item x="17"/>
        <item x="101"/>
        <item x="5"/>
        <item t="default"/>
      </items>
    </pivotField>
    <pivotField dataField="1" showAll="0">
      <items count="177">
        <item x="4"/>
        <item x="111"/>
        <item x="33"/>
        <item x="164"/>
        <item x="55"/>
        <item x="74"/>
        <item x="69"/>
        <item x="70"/>
        <item x="124"/>
        <item x="13"/>
        <item x="38"/>
        <item x="118"/>
        <item x="136"/>
        <item x="37"/>
        <item x="7"/>
        <item x="8"/>
        <item x="127"/>
        <item x="163"/>
        <item x="97"/>
        <item x="19"/>
        <item x="130"/>
        <item x="148"/>
        <item x="162"/>
        <item x="77"/>
        <item x="128"/>
        <item x="12"/>
        <item x="16"/>
        <item x="23"/>
        <item x="89"/>
        <item x="166"/>
        <item x="42"/>
        <item x="91"/>
        <item x="100"/>
        <item x="22"/>
        <item x="98"/>
        <item x="152"/>
        <item x="17"/>
        <item x="61"/>
        <item x="153"/>
        <item x="168"/>
        <item x="3"/>
        <item x="41"/>
        <item x="119"/>
        <item x="157"/>
        <item x="62"/>
        <item x="49"/>
        <item x="102"/>
        <item x="48"/>
        <item x="121"/>
        <item x="14"/>
        <item x="151"/>
        <item x="158"/>
        <item x="95"/>
        <item x="50"/>
        <item x="129"/>
        <item x="139"/>
        <item x="141"/>
        <item x="10"/>
        <item x="143"/>
        <item x="73"/>
        <item x="2"/>
        <item x="86"/>
        <item x="21"/>
        <item x="117"/>
        <item x="104"/>
        <item x="112"/>
        <item x="160"/>
        <item x="30"/>
        <item x="159"/>
        <item x="80"/>
        <item x="171"/>
        <item x="134"/>
        <item x="79"/>
        <item x="76"/>
        <item x="35"/>
        <item x="24"/>
        <item x="172"/>
        <item x="66"/>
        <item x="11"/>
        <item x="40"/>
        <item x="46"/>
        <item x="167"/>
        <item x="135"/>
        <item x="146"/>
        <item x="138"/>
        <item x="18"/>
        <item x="20"/>
        <item x="78"/>
        <item x="84"/>
        <item x="105"/>
        <item x="90"/>
        <item x="122"/>
        <item x="132"/>
        <item x="94"/>
        <item x="81"/>
        <item x="75"/>
        <item x="47"/>
        <item x="59"/>
        <item x="60"/>
        <item x="106"/>
        <item x="9"/>
        <item x="116"/>
        <item x="126"/>
        <item x="1"/>
        <item x="170"/>
        <item x="27"/>
        <item x="63"/>
        <item x="54"/>
        <item x="154"/>
        <item x="88"/>
        <item x="101"/>
        <item x="150"/>
        <item x="109"/>
        <item x="68"/>
        <item x="71"/>
        <item x="125"/>
        <item x="120"/>
        <item x="53"/>
        <item x="110"/>
        <item x="34"/>
        <item x="108"/>
        <item x="43"/>
        <item x="149"/>
        <item x="72"/>
        <item x="28"/>
        <item x="93"/>
        <item x="169"/>
        <item x="56"/>
        <item x="64"/>
        <item x="103"/>
        <item x="57"/>
        <item x="45"/>
        <item x="173"/>
        <item x="131"/>
        <item x="155"/>
        <item x="137"/>
        <item x="36"/>
        <item x="82"/>
        <item x="51"/>
        <item x="58"/>
        <item x="85"/>
        <item x="115"/>
        <item x="161"/>
        <item x="87"/>
        <item x="96"/>
        <item x="140"/>
        <item x="133"/>
        <item x="145"/>
        <item x="113"/>
        <item x="147"/>
        <item x="156"/>
        <item x="39"/>
        <item x="165"/>
        <item x="0"/>
        <item x="26"/>
        <item x="99"/>
        <item x="29"/>
        <item x="142"/>
        <item x="175"/>
        <item x="107"/>
        <item x="83"/>
        <item x="52"/>
        <item x="5"/>
        <item x="25"/>
        <item x="144"/>
        <item x="174"/>
        <item x="15"/>
        <item x="123"/>
        <item x="67"/>
        <item x="65"/>
        <item x="114"/>
        <item x="32"/>
        <item x="92"/>
        <item x="44"/>
        <item x="31"/>
        <item x="6"/>
        <item t="default"/>
      </items>
    </pivotField>
    <pivotField dataField="1" showAll="0">
      <items count="96">
        <item x="1"/>
        <item x="55"/>
        <item x="74"/>
        <item x="32"/>
        <item x="53"/>
        <item x="65"/>
        <item x="2"/>
        <item x="64"/>
        <item x="7"/>
        <item x="43"/>
        <item x="40"/>
        <item x="44"/>
        <item x="73"/>
        <item x="31"/>
        <item x="12"/>
        <item x="17"/>
        <item x="71"/>
        <item x="86"/>
        <item x="22"/>
        <item x="21"/>
        <item x="36"/>
        <item x="88"/>
        <item x="10"/>
        <item x="38"/>
        <item x="82"/>
        <item x="47"/>
        <item x="5"/>
        <item x="41"/>
        <item x="72"/>
        <item x="39"/>
        <item x="60"/>
        <item x="9"/>
        <item x="52"/>
        <item x="18"/>
        <item x="56"/>
        <item x="67"/>
        <item x="27"/>
        <item x="25"/>
        <item x="66"/>
        <item x="42"/>
        <item x="34"/>
        <item x="80"/>
        <item x="69"/>
        <item x="78"/>
        <item x="90"/>
        <item x="26"/>
        <item x="37"/>
        <item x="24"/>
        <item x="51"/>
        <item x="30"/>
        <item x="77"/>
        <item x="92"/>
        <item x="61"/>
        <item x="6"/>
        <item x="15"/>
        <item x="11"/>
        <item x="70"/>
        <item x="84"/>
        <item x="62"/>
        <item x="46"/>
        <item x="87"/>
        <item x="33"/>
        <item x="8"/>
        <item x="59"/>
        <item x="29"/>
        <item x="48"/>
        <item x="63"/>
        <item x="76"/>
        <item x="54"/>
        <item x="20"/>
        <item x="19"/>
        <item x="14"/>
        <item x="93"/>
        <item x="94"/>
        <item x="16"/>
        <item x="91"/>
        <item x="23"/>
        <item x="79"/>
        <item x="35"/>
        <item x="0"/>
        <item x="13"/>
        <item x="81"/>
        <item x="58"/>
        <item x="28"/>
        <item x="57"/>
        <item x="85"/>
        <item x="50"/>
        <item x="75"/>
        <item x="83"/>
        <item x="49"/>
        <item x="89"/>
        <item x="3"/>
        <item x="45"/>
        <item x="68"/>
        <item x="4"/>
        <item t="default"/>
      </items>
    </pivotField>
    <pivotField showAll="0"/>
    <pivotField showAll="0"/>
    <pivotField showAll="0"/>
    <pivotField showAll="0"/>
    <pivotField showAll="0"/>
    <pivotField showAll="0"/>
    <pivotField showAll="0"/>
    <pivotField showAll="0"/>
    <pivotField showAll="0"/>
  </pivotFields>
  <rowFields count="1">
    <field x="-2"/>
  </rowFields>
  <rowItems count="4">
    <i>
      <x/>
    </i>
    <i i="1">
      <x v="1"/>
    </i>
    <i i="2">
      <x v="2"/>
    </i>
    <i i="3">
      <x v="3"/>
    </i>
  </rowItems>
  <colItems count="1">
    <i/>
  </colItems>
  <dataFields count="4">
    <dataField name="Average of wat_bas_n" fld="4" subtotal="average" baseField="0" baseItem="1"/>
    <dataField name="Average of wat_lim_n" fld="5" subtotal="average" baseField="0" baseItem="1"/>
    <dataField name="Average of wat_sur_n" fld="7" subtotal="average" baseField="0" baseItem="1"/>
    <dataField name="Average of wat_unimp_n" fld="6" subtotal="average" baseField="0" baseItem="1"/>
  </dataFields>
  <chartFormats count="15">
    <chartFormat chart="4" format="1" series="1">
      <pivotArea type="data" outline="0" fieldPosition="0">
        <references count="1">
          <reference field="4294967294" count="1" selected="0">
            <x v="0"/>
          </reference>
        </references>
      </pivotArea>
    </chartFormat>
    <chartFormat chart="4" format="2">
      <pivotArea type="data" outline="0" fieldPosition="0">
        <references count="1">
          <reference field="4294967294" count="1" selected="0">
            <x v="0"/>
          </reference>
        </references>
      </pivotArea>
    </chartFormat>
    <chartFormat chart="4" format="3">
      <pivotArea type="data" outline="0" fieldPosition="0">
        <references count="1">
          <reference field="4294967294" count="1" selected="0">
            <x v="1"/>
          </reference>
        </references>
      </pivotArea>
    </chartFormat>
    <chartFormat chart="4" format="4">
      <pivotArea type="data" outline="0" fieldPosition="0">
        <references count="1">
          <reference field="4294967294" count="1" selected="0">
            <x v="2"/>
          </reference>
        </references>
      </pivotArea>
    </chartFormat>
    <chartFormat chart="4" format="5">
      <pivotArea type="data" outline="0" fieldPosition="0">
        <references count="1">
          <reference field="4294967294" count="1" selected="0">
            <x v="3"/>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1">
          <reference field="4294967294" count="1" selected="0">
            <x v="0"/>
          </reference>
        </references>
      </pivotArea>
    </chartFormat>
    <chartFormat chart="5" format="8">
      <pivotArea type="data" outline="0" fieldPosition="0">
        <references count="1">
          <reference field="4294967294" count="1" selected="0">
            <x v="1"/>
          </reference>
        </references>
      </pivotArea>
    </chartFormat>
    <chartFormat chart="5" format="9">
      <pivotArea type="data" outline="0" fieldPosition="0">
        <references count="1">
          <reference field="4294967294" count="1" selected="0">
            <x v="2"/>
          </reference>
        </references>
      </pivotArea>
    </chartFormat>
    <chartFormat chart="5" format="10">
      <pivotArea type="data" outline="0" fieldPosition="0">
        <references count="1">
          <reference field="4294967294" count="1" selected="0">
            <x v="3"/>
          </reference>
        </references>
      </pivotArea>
    </chartFormat>
    <chartFormat chart="16" format="16" series="1">
      <pivotArea type="data" outline="0" fieldPosition="0">
        <references count="1">
          <reference field="4294967294" count="1" selected="0">
            <x v="0"/>
          </reference>
        </references>
      </pivotArea>
    </chartFormat>
    <chartFormat chart="16" format="17">
      <pivotArea type="data" outline="0" fieldPosition="0">
        <references count="1">
          <reference field="4294967294" count="1" selected="0">
            <x v="0"/>
          </reference>
        </references>
      </pivotArea>
    </chartFormat>
    <chartFormat chart="16" format="18">
      <pivotArea type="data" outline="0" fieldPosition="0">
        <references count="1">
          <reference field="4294967294" count="1" selected="0">
            <x v="1"/>
          </reference>
        </references>
      </pivotArea>
    </chartFormat>
    <chartFormat chart="16" format="19">
      <pivotArea type="data" outline="0" fieldPosition="0">
        <references count="1">
          <reference field="4294967294" count="1" selected="0">
            <x v="2"/>
          </reference>
        </references>
      </pivotArea>
    </chartFormat>
    <chartFormat chart="16" format="20">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E28C85C-2BB1-41B4-A9CE-80940FD46795}" autoFormatId="16" applyNumberFormats="0" applyBorderFormats="0" applyFontFormats="0" applyPatternFormats="0" applyAlignmentFormats="0" applyWidthHeightFormats="0">
  <queryTableRefresh nextId="32">
    <queryTableFields count="17">
      <queryTableField id="1" name="name;income_group;pop_n;pop_u;wat_bas_n;wat_lim_n;wat_unimp_n;wat_sur_n;wat_bas_r;wat_lim_r;wat_unimp_r;wat_sur_r;wat_bas_u;wat_lim_u;wat_unimp_u;wat_sur_u" tableColumnId="1"/>
      <queryTableField id="2" name="Column1" tableColumnId="2"/>
      <queryTableField id="3" name="_1" tableColumnId="3"/>
      <queryTableField id="4" name="_2" tableColumnId="4"/>
      <queryTableField id="23" dataBound="0" tableColumnId="23"/>
      <queryTableField id="5" name="_3" tableColumnId="5"/>
      <queryTableField id="13" name="_11" tableColumnId="13"/>
      <queryTableField id="9" name="_7" tableColumnId="9"/>
      <queryTableField id="6" name="_4" tableColumnId="6"/>
      <queryTableField id="14" name="_12" tableColumnId="14"/>
      <queryTableField id="10" name="_8" tableColumnId="10"/>
      <queryTableField id="7" name="_5" tableColumnId="7"/>
      <queryTableField id="15" name="_13" tableColumnId="15"/>
      <queryTableField id="11" name="_9" tableColumnId="11"/>
      <queryTableField id="8" name="_6" tableColumnId="8"/>
      <queryTableField id="16" name="_14" tableColumnId="16"/>
      <queryTableField id="12" name="_10"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group" xr10:uid="{EDD119E6-4538-40BB-A4C8-57ABE7606763}" sourceName="income_group">
  <pivotTables>
    <pivotTable tabId="3" name="PivotTable2"/>
    <pivotTable tabId="3" name="PivotTable1"/>
    <pivotTable tabId="3" name="PivotTable10"/>
    <pivotTable tabId="3" name="PivotTable3"/>
    <pivotTable tabId="3" name="PivotTable4"/>
    <pivotTable tabId="3" name="PivotTable5"/>
    <pivotTable tabId="3" name="PivotTable8"/>
  </pivotTables>
  <data>
    <tabular pivotCacheId="1171136947">
      <items count="5">
        <i x="3" s="1"/>
        <i x="0" s="1"/>
        <i x="2" s="1"/>
        <i x="4"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_group" xr10:uid="{FA903828-A92A-4026-B021-886F9E187BE3}" cache="Slicer_income_group" caption="income_group"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1E2714-5A70-4612-8B1E-825EDBAE5D33}" name="Estimates_on_the_use_of_water__2020__a_3712" displayName="Estimates_on_the_use_of_water__2020__a_3712" ref="A1:Q215" tableType="queryTable" totalsRowCount="1">
  <autoFilter ref="A1:Q214" xr:uid="{1C1E2714-5A70-4612-8B1E-825EDBAE5D33}"/>
  <sortState xmlns:xlrd2="http://schemas.microsoft.com/office/spreadsheetml/2017/richdata2" ref="A2:Q214">
    <sortCondition ref="A2:A214"/>
  </sortState>
  <tableColumns count="17">
    <tableColumn id="1" xr3:uid="{39235ED7-25F7-4F13-AB5A-79BF38DD0316}" uniqueName="1" name="name" queryTableFieldId="1" dataDxfId="34" totalsRowDxfId="33"/>
    <tableColumn id="2" xr3:uid="{AFBA8EA4-1BDF-4D01-954B-389D460E7B9B}" uniqueName="2" name="income_group" queryTableFieldId="2" dataDxfId="32" totalsRowDxfId="31"/>
    <tableColumn id="3" xr3:uid="{E67A671D-6CFC-4534-9459-BE0A34346CEA}" uniqueName="3" name="pop_n  (1000)" totalsRowFunction="custom" queryTableFieldId="3" dataDxfId="30" totalsRowDxfId="29">
      <totalsRowFormula>SUM(Estimates_on_the_use_of_water__2020__a_3712[pop_n  (1000)])</totalsRowFormula>
    </tableColumn>
    <tableColumn id="4" xr3:uid="{17CB9306-5204-4B3B-8644-AB404C27D105}" uniqueName="4" name="pop_u (%)" totalsRowFunction="custom" queryTableFieldId="4" dataDxfId="28" totalsRowDxfId="27">
      <totalsRowFormula>AVERAGE(Estimates_on_the_use_of_water__2020__a_3712[pop_u (%)])</totalsRowFormula>
    </tableColumn>
    <tableColumn id="23" xr3:uid="{92FCE53C-33AC-47F1-8536-63A850C8265D}" uniqueName="23" name="pop_r  (%)" totalsRowFunction="average" queryTableFieldId="23" dataDxfId="26" totalsRowDxfId="25">
      <calculatedColumnFormula xml:space="preserve"> 100 -(D2)</calculatedColumnFormula>
    </tableColumn>
    <tableColumn id="5" xr3:uid="{2A4471AF-2AB3-4516-88EC-A7854B56C809}" uniqueName="5" name="wat_bas_n" queryTableFieldId="5" dataDxfId="24" totalsRowDxfId="23"/>
    <tableColumn id="13" xr3:uid="{03DC0686-A0A0-4326-9054-096AF3B645B7}" uniqueName="13" name="wat_bas_u" queryTableFieldId="13" dataDxfId="22" totalsRowDxfId="21"/>
    <tableColumn id="9" xr3:uid="{E375EE46-AE83-4F06-B06B-92E55EAF37F1}" uniqueName="9" name="wat_bas_r" queryTableFieldId="9" dataDxfId="20" totalsRowDxfId="19"/>
    <tableColumn id="6" xr3:uid="{63E59788-E2D7-488D-AEF1-09D191A3311F}" uniqueName="6" name="wat_lim_n" queryTableFieldId="6" dataDxfId="18" totalsRowDxfId="17"/>
    <tableColumn id="14" xr3:uid="{84FA1D96-DDD9-415C-9A3E-55544C5C203E}" uniqueName="14" name="wat_lim_u" queryTableFieldId="14" dataDxfId="16" totalsRowDxfId="15"/>
    <tableColumn id="10" xr3:uid="{59B22064-C050-4099-A74C-455A7F9388FC}" uniqueName="10" name="wat_lim_r" queryTableFieldId="10" dataDxfId="14" totalsRowDxfId="13"/>
    <tableColumn id="7" xr3:uid="{B3F21962-34A5-4132-921B-6DDA4D5831AA}" uniqueName="7" name="wat_unimp_n" queryTableFieldId="7" dataDxfId="12" totalsRowDxfId="11"/>
    <tableColumn id="15" xr3:uid="{4B786FD5-4F7A-486A-9276-4E24412538CF}" uniqueName="15" name="wat_unimp_u" queryTableFieldId="15" dataDxfId="10" totalsRowDxfId="9"/>
    <tableColumn id="11" xr3:uid="{C45AE706-5169-43D6-8689-D22B0D6F46F7}" uniqueName="11" name="wat_unimp_r" queryTableFieldId="11" dataDxfId="8" totalsRowDxfId="7"/>
    <tableColumn id="8" xr3:uid="{6FFE6674-776F-4DE8-A4F7-204E1079DA9A}" uniqueName="8" name="wat_sur_n" queryTableFieldId="8" dataDxfId="6" totalsRowDxfId="5"/>
    <tableColumn id="16" xr3:uid="{CAE31048-BD3E-48B2-90C0-3AD241773865}" uniqueName="16" name="wat_sur_u" queryTableFieldId="16" dataDxfId="4" totalsRowDxfId="3"/>
    <tableColumn id="12" xr3:uid="{02661000-EC61-4A6B-9BA4-D9AFA8552E5A}" uniqueName="12" name="wat_sur_r" queryTableFieldId="12" dataDxfId="2" totalsRow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F2D44-2F0A-44DF-9A04-A92B7AC56D96}">
  <dimension ref="A1:W217"/>
  <sheetViews>
    <sheetView topLeftCell="A2" zoomScale="51" zoomScaleNormal="40" workbookViewId="0">
      <selection activeCell="S19" sqref="S19"/>
    </sheetView>
  </sheetViews>
  <sheetFormatPr defaultRowHeight="13.8"/>
  <cols>
    <col min="1" max="1" width="29.8984375" style="2" bestFit="1" customWidth="1"/>
    <col min="2" max="2" width="20.19921875" style="2" bestFit="1" customWidth="1"/>
    <col min="3" max="3" width="17.69921875" style="5" bestFit="1" customWidth="1"/>
    <col min="4" max="4" width="11.5" style="3" bestFit="1" customWidth="1"/>
    <col min="5" max="5" width="11.5" bestFit="1" customWidth="1"/>
    <col min="6" max="9" width="11.8984375" bestFit="1" customWidth="1"/>
    <col min="10" max="10" width="13.09765625" bestFit="1" customWidth="1"/>
    <col min="11" max="11" width="11.8984375" bestFit="1" customWidth="1"/>
    <col min="12" max="13" width="13.3984375" bestFit="1" customWidth="1"/>
    <col min="14" max="14" width="13.09765625" bestFit="1" customWidth="1"/>
    <col min="15" max="17" width="11.8984375" bestFit="1" customWidth="1"/>
    <col min="21" max="22" width="11.8984375" bestFit="1" customWidth="1"/>
    <col min="23" max="23" width="13.3984375" bestFit="1" customWidth="1"/>
    <col min="24" max="24" width="11.8984375" bestFit="1" customWidth="1"/>
    <col min="26" max="26" width="10.3984375" bestFit="1" customWidth="1"/>
    <col min="27" max="27" width="12.19921875" bestFit="1" customWidth="1"/>
    <col min="28" max="28" width="14.09765625" bestFit="1" customWidth="1"/>
    <col min="29" max="29" width="13.19921875" bestFit="1" customWidth="1"/>
  </cols>
  <sheetData>
    <row r="1" spans="1:17">
      <c r="A1" s="2" t="s">
        <v>218</v>
      </c>
      <c r="B1" s="2" t="s">
        <v>219</v>
      </c>
      <c r="C1" s="5" t="s">
        <v>240</v>
      </c>
      <c r="D1" s="3" t="s">
        <v>236</v>
      </c>
      <c r="E1" s="9" t="s">
        <v>237</v>
      </c>
      <c r="F1" t="s">
        <v>222</v>
      </c>
      <c r="G1" t="s">
        <v>230</v>
      </c>
      <c r="H1" t="s">
        <v>226</v>
      </c>
      <c r="I1" t="s">
        <v>223</v>
      </c>
      <c r="J1" t="s">
        <v>231</v>
      </c>
      <c r="K1" t="s">
        <v>227</v>
      </c>
      <c r="L1" t="s">
        <v>224</v>
      </c>
      <c r="M1" t="s">
        <v>232</v>
      </c>
      <c r="N1" t="s">
        <v>228</v>
      </c>
      <c r="O1" t="s">
        <v>225</v>
      </c>
      <c r="P1" t="s">
        <v>233</v>
      </c>
      <c r="Q1" t="s">
        <v>229</v>
      </c>
    </row>
    <row r="2" spans="1:17">
      <c r="A2" s="2" t="s">
        <v>181</v>
      </c>
      <c r="B2" s="2" t="s">
        <v>70</v>
      </c>
      <c r="C2" s="5">
        <v>38928.339840000001</v>
      </c>
      <c r="D2" s="4">
        <v>26.025999070000001</v>
      </c>
      <c r="E2" s="3">
        <f t="shared" ref="E2:E65" si="0" xml:space="preserve"> 100 -(D2)</f>
        <v>73.974000930000003</v>
      </c>
      <c r="F2" s="1">
        <v>75.091413250000002</v>
      </c>
      <c r="G2" s="1">
        <v>100</v>
      </c>
      <c r="H2" s="1">
        <v>66.32791521</v>
      </c>
      <c r="I2" s="1">
        <v>1.447541688</v>
      </c>
      <c r="J2" s="1">
        <v>0</v>
      </c>
      <c r="K2" s="1">
        <v>1.9568248509999999</v>
      </c>
      <c r="L2" s="1">
        <v>14.56026288</v>
      </c>
      <c r="M2" s="1">
        <v>0</v>
      </c>
      <c r="N2" s="1">
        <v>19.68294895</v>
      </c>
      <c r="O2" s="1">
        <v>8.9007821739999997</v>
      </c>
      <c r="P2" s="1">
        <v>0</v>
      </c>
      <c r="Q2" s="1">
        <v>12.03231098</v>
      </c>
    </row>
    <row r="3" spans="1:17">
      <c r="A3" s="2" t="s">
        <v>80</v>
      </c>
      <c r="B3" s="2" t="s">
        <v>12</v>
      </c>
      <c r="C3" s="5">
        <v>2877.8000489999999</v>
      </c>
      <c r="D3" s="4">
        <v>62.111999509999997</v>
      </c>
      <c r="E3" s="4">
        <f t="shared" si="0"/>
        <v>37.888000490000003</v>
      </c>
      <c r="F3" s="1">
        <v>95.068038830000006</v>
      </c>
      <c r="G3" s="1">
        <v>95.663809119999996</v>
      </c>
      <c r="H3" s="1">
        <v>94.091358060000005</v>
      </c>
      <c r="I3" s="1">
        <v>1.8846560919999999</v>
      </c>
      <c r="J3" s="1">
        <v>1.62808683</v>
      </c>
      <c r="K3" s="1">
        <v>2.3052649550000002</v>
      </c>
      <c r="L3" s="1">
        <v>3.0473050810000002</v>
      </c>
      <c r="M3" s="1">
        <v>2.7081040540000001</v>
      </c>
      <c r="N3" s="1">
        <v>3.6033769859999998</v>
      </c>
      <c r="O3" s="1">
        <v>0</v>
      </c>
      <c r="P3" s="1">
        <v>0</v>
      </c>
      <c r="Q3" s="1">
        <v>0</v>
      </c>
    </row>
    <row r="4" spans="1:17">
      <c r="A4" s="2" t="s">
        <v>185</v>
      </c>
      <c r="B4" s="2" t="s">
        <v>32</v>
      </c>
      <c r="C4" s="5">
        <v>43851.042970000002</v>
      </c>
      <c r="D4" s="4">
        <v>73.733001709999996</v>
      </c>
      <c r="E4" s="4">
        <f t="shared" si="0"/>
        <v>26.266998290000004</v>
      </c>
      <c r="F4" s="1">
        <v>94.43732996</v>
      </c>
      <c r="G4" s="1">
        <v>96.004735859999997</v>
      </c>
      <c r="H4" s="1">
        <v>90.037537909999998</v>
      </c>
      <c r="I4" s="1">
        <v>4.9858808420000003</v>
      </c>
      <c r="J4" s="1">
        <v>3.628288591</v>
      </c>
      <c r="K4" s="1">
        <v>8.79672214</v>
      </c>
      <c r="L4" s="1">
        <v>0.53183666380000005</v>
      </c>
      <c r="M4" s="1">
        <v>0.36697554780000002</v>
      </c>
      <c r="N4" s="1">
        <v>0.99460302810000001</v>
      </c>
      <c r="O4" s="1">
        <v>4.495253272E-2</v>
      </c>
      <c r="P4" s="1">
        <v>0</v>
      </c>
      <c r="Q4" s="1">
        <v>0.17113692580000001</v>
      </c>
    </row>
    <row r="5" spans="1:17">
      <c r="A5" s="2" t="s">
        <v>22</v>
      </c>
      <c r="B5" s="2" t="s">
        <v>12</v>
      </c>
      <c r="C5" s="5">
        <v>55.196998600000001</v>
      </c>
      <c r="D5" s="4">
        <v>87.152999879999996</v>
      </c>
      <c r="E5" s="4">
        <f t="shared" si="0"/>
        <v>12.847000120000004</v>
      </c>
      <c r="F5" s="1">
        <v>99.773771659999994</v>
      </c>
      <c r="G5" s="1" t="s">
        <v>1</v>
      </c>
      <c r="H5" s="1" t="s">
        <v>1</v>
      </c>
      <c r="I5" s="1">
        <v>0</v>
      </c>
      <c r="J5" s="1" t="s">
        <v>1</v>
      </c>
      <c r="K5" s="1" t="s">
        <v>1</v>
      </c>
      <c r="L5" s="1">
        <v>0.22622834150000001</v>
      </c>
      <c r="M5" s="1" t="s">
        <v>1</v>
      </c>
      <c r="N5" s="1" t="s">
        <v>1</v>
      </c>
      <c r="O5" s="1">
        <v>0</v>
      </c>
      <c r="P5" s="1" t="s">
        <v>1</v>
      </c>
      <c r="Q5" s="1" t="s">
        <v>1</v>
      </c>
    </row>
    <row r="6" spans="1:17">
      <c r="A6" s="2" t="s">
        <v>27</v>
      </c>
      <c r="B6" s="2" t="s">
        <v>9</v>
      </c>
      <c r="C6" s="5">
        <v>77.26499939</v>
      </c>
      <c r="D6" s="4">
        <v>87.916000370000006</v>
      </c>
      <c r="E6" s="4">
        <f t="shared" si="0"/>
        <v>12.083999629999994</v>
      </c>
      <c r="F6" s="1">
        <v>100.00000369999999</v>
      </c>
      <c r="G6" s="1">
        <v>100</v>
      </c>
      <c r="H6" s="1">
        <v>100</v>
      </c>
      <c r="I6" s="1">
        <v>0</v>
      </c>
      <c r="J6" s="1">
        <v>0</v>
      </c>
      <c r="K6" s="1">
        <v>0</v>
      </c>
      <c r="L6" s="1">
        <v>0</v>
      </c>
      <c r="M6" s="1">
        <v>0</v>
      </c>
      <c r="N6" s="1">
        <v>0</v>
      </c>
      <c r="O6" s="1">
        <v>0</v>
      </c>
      <c r="P6" s="1">
        <v>0</v>
      </c>
      <c r="Q6" s="1">
        <v>0</v>
      </c>
    </row>
    <row r="7" spans="1:17">
      <c r="A7" s="2" t="s">
        <v>174</v>
      </c>
      <c r="B7" s="2" t="s">
        <v>32</v>
      </c>
      <c r="C7" s="5">
        <v>32866.269529999998</v>
      </c>
      <c r="D7" s="4">
        <v>66.824996949999999</v>
      </c>
      <c r="E7" s="4">
        <f t="shared" si="0"/>
        <v>33.175003050000001</v>
      </c>
      <c r="F7" s="1">
        <v>57.167737619999997</v>
      </c>
      <c r="G7" s="1">
        <v>71.743148619999999</v>
      </c>
      <c r="H7" s="1">
        <v>27.808226609999998</v>
      </c>
      <c r="I7" s="1">
        <v>9.2873499190000004</v>
      </c>
      <c r="J7" s="1">
        <v>9.5588374890000001</v>
      </c>
      <c r="K7" s="1">
        <v>8.7404883889999994</v>
      </c>
      <c r="L7" s="1">
        <v>19.450825340000002</v>
      </c>
      <c r="M7" s="1">
        <v>17.722034730000001</v>
      </c>
      <c r="N7" s="1">
        <v>22.933152580000002</v>
      </c>
      <c r="O7" s="1">
        <v>14.094087119999999</v>
      </c>
      <c r="P7" s="1">
        <v>0.97597916289999997</v>
      </c>
      <c r="Q7" s="1">
        <v>40.518132420000001</v>
      </c>
    </row>
    <row r="8" spans="1:17">
      <c r="A8" s="2" t="s">
        <v>186</v>
      </c>
      <c r="B8" s="2" t="s">
        <v>12</v>
      </c>
      <c r="C8" s="5">
        <v>45195.777340000001</v>
      </c>
      <c r="D8" s="4">
        <v>92.111000059999995</v>
      </c>
      <c r="E8" s="4">
        <f t="shared" si="0"/>
        <v>7.888999940000005</v>
      </c>
      <c r="F8" s="1" t="s">
        <v>1</v>
      </c>
      <c r="G8" s="1">
        <v>99.790420650000002</v>
      </c>
      <c r="H8" s="1" t="s">
        <v>1</v>
      </c>
      <c r="I8" s="1" t="s">
        <v>1</v>
      </c>
      <c r="J8" s="1">
        <v>0</v>
      </c>
      <c r="K8" s="1" t="s">
        <v>1</v>
      </c>
      <c r="L8" s="1" t="s">
        <v>1</v>
      </c>
      <c r="M8" s="1">
        <v>0.20957935010000001</v>
      </c>
      <c r="N8" s="1" t="s">
        <v>1</v>
      </c>
      <c r="O8" s="1" t="s">
        <v>1</v>
      </c>
      <c r="P8" s="1">
        <v>0</v>
      </c>
      <c r="Q8" s="1" t="s">
        <v>1</v>
      </c>
    </row>
    <row r="9" spans="1:17">
      <c r="A9" s="2" t="s">
        <v>83</v>
      </c>
      <c r="B9" s="2" t="s">
        <v>12</v>
      </c>
      <c r="C9" s="5">
        <v>2963.2338869999999</v>
      </c>
      <c r="D9" s="4">
        <v>63.312999730000001</v>
      </c>
      <c r="E9" s="4">
        <f t="shared" si="0"/>
        <v>36.687000269999999</v>
      </c>
      <c r="F9" s="1">
        <v>99.971180689999997</v>
      </c>
      <c r="G9" s="1">
        <v>99.954481220000005</v>
      </c>
      <c r="H9" s="1">
        <v>100</v>
      </c>
      <c r="I9" s="1">
        <v>0</v>
      </c>
      <c r="J9" s="1">
        <v>0</v>
      </c>
      <c r="K9" s="1">
        <v>0</v>
      </c>
      <c r="L9" s="1">
        <v>2.8819308009999999E-2</v>
      </c>
      <c r="M9" s="1">
        <v>4.5518783639999998E-2</v>
      </c>
      <c r="N9" s="1">
        <v>0</v>
      </c>
      <c r="O9" s="1">
        <v>0</v>
      </c>
      <c r="P9" s="1">
        <v>0</v>
      </c>
      <c r="Q9" s="1">
        <v>0</v>
      </c>
    </row>
    <row r="10" spans="1:17">
      <c r="A10" s="2" t="s">
        <v>163</v>
      </c>
      <c r="B10" s="2" t="s">
        <v>9</v>
      </c>
      <c r="C10" s="5">
        <v>25499.880860000001</v>
      </c>
      <c r="D10" s="4">
        <v>86.240997309999997</v>
      </c>
      <c r="E10" s="4">
        <f t="shared" si="0"/>
        <v>13.759002690000003</v>
      </c>
      <c r="F10" s="1">
        <v>99.969811820000004</v>
      </c>
      <c r="G10" s="1">
        <v>99.965000000000003</v>
      </c>
      <c r="H10" s="1">
        <v>100</v>
      </c>
      <c r="I10" s="1">
        <v>0</v>
      </c>
      <c r="J10" s="1">
        <v>0</v>
      </c>
      <c r="K10" s="1">
        <v>0</v>
      </c>
      <c r="L10" s="1">
        <v>3.0188178730000001E-2</v>
      </c>
      <c r="M10" s="1">
        <v>3.5000000000000003E-2</v>
      </c>
      <c r="N10" s="1">
        <v>0</v>
      </c>
      <c r="O10" s="1">
        <v>0</v>
      </c>
      <c r="P10" s="1">
        <v>0</v>
      </c>
      <c r="Q10" s="1">
        <v>0</v>
      </c>
    </row>
    <row r="11" spans="1:17">
      <c r="A11" s="2" t="s">
        <v>122</v>
      </c>
      <c r="B11" s="2" t="s">
        <v>9</v>
      </c>
      <c r="C11" s="5">
        <v>9006.4003909999992</v>
      </c>
      <c r="D11" s="4">
        <v>58.748001100000003</v>
      </c>
      <c r="E11" s="4">
        <f t="shared" si="0"/>
        <v>41.251998899999997</v>
      </c>
      <c r="F11" s="1">
        <v>100</v>
      </c>
      <c r="G11" s="1">
        <v>100</v>
      </c>
      <c r="H11" s="1">
        <v>100</v>
      </c>
      <c r="I11" s="1">
        <v>0</v>
      </c>
      <c r="J11" s="1">
        <v>0</v>
      </c>
      <c r="K11" s="1">
        <v>0</v>
      </c>
      <c r="L11" s="1">
        <v>0</v>
      </c>
      <c r="M11" s="1">
        <v>0</v>
      </c>
      <c r="N11" s="1">
        <v>0</v>
      </c>
      <c r="O11" s="1">
        <v>0</v>
      </c>
      <c r="P11" s="1">
        <v>0</v>
      </c>
      <c r="Q11" s="1">
        <v>0</v>
      </c>
    </row>
    <row r="12" spans="1:17">
      <c r="A12" s="2" t="s">
        <v>129</v>
      </c>
      <c r="B12" s="2" t="s">
        <v>12</v>
      </c>
      <c r="C12" s="5">
        <v>10139.174800000001</v>
      </c>
      <c r="D12" s="4">
        <v>56.397003169999998</v>
      </c>
      <c r="E12" s="4">
        <f t="shared" si="0"/>
        <v>43.602996830000002</v>
      </c>
      <c r="F12" s="1">
        <v>96.043376129999999</v>
      </c>
      <c r="G12" s="1">
        <v>100</v>
      </c>
      <c r="H12" s="1">
        <v>90.925797950000003</v>
      </c>
      <c r="I12" s="1">
        <v>1.04278118</v>
      </c>
      <c r="J12" s="1">
        <v>0</v>
      </c>
      <c r="K12" s="1">
        <v>2.3915356710000002</v>
      </c>
      <c r="L12" s="1">
        <v>2.9138426879999999</v>
      </c>
      <c r="M12" s="1">
        <v>0</v>
      </c>
      <c r="N12" s="1">
        <v>6.6826663770000003</v>
      </c>
      <c r="O12" s="1">
        <v>0</v>
      </c>
      <c r="P12" s="1">
        <v>0</v>
      </c>
      <c r="Q12" s="1">
        <v>0</v>
      </c>
    </row>
    <row r="13" spans="1:17">
      <c r="A13" s="2" t="s">
        <v>67</v>
      </c>
      <c r="B13" s="2" t="s">
        <v>9</v>
      </c>
      <c r="C13" s="5">
        <v>1701.5830080000001</v>
      </c>
      <c r="D13" s="4">
        <v>89.506004329999996</v>
      </c>
      <c r="E13" s="4">
        <f t="shared" si="0"/>
        <v>10.493995670000004</v>
      </c>
      <c r="F13" s="1">
        <v>100</v>
      </c>
      <c r="G13" s="1" t="s">
        <v>1</v>
      </c>
      <c r="H13" s="1" t="s">
        <v>1</v>
      </c>
      <c r="I13" s="1">
        <v>0</v>
      </c>
      <c r="J13" s="1" t="s">
        <v>1</v>
      </c>
      <c r="K13" s="1" t="s">
        <v>1</v>
      </c>
      <c r="L13" s="1">
        <v>0</v>
      </c>
      <c r="M13" s="1" t="s">
        <v>1</v>
      </c>
      <c r="N13" s="1" t="s">
        <v>1</v>
      </c>
      <c r="O13" s="1">
        <v>0</v>
      </c>
      <c r="P13" s="1" t="s">
        <v>1</v>
      </c>
      <c r="Q13" s="1" t="s">
        <v>1</v>
      </c>
    </row>
    <row r="14" spans="1:17">
      <c r="A14" s="2" t="s">
        <v>210</v>
      </c>
      <c r="B14" s="2" t="s">
        <v>32</v>
      </c>
      <c r="C14" s="5">
        <v>164689.39060000001</v>
      </c>
      <c r="D14" s="4">
        <v>38.177001949999998</v>
      </c>
      <c r="E14" s="4">
        <f t="shared" si="0"/>
        <v>61.822998050000002</v>
      </c>
      <c r="F14" s="1">
        <v>97.697960249999994</v>
      </c>
      <c r="G14" s="1">
        <v>97.402777970000002</v>
      </c>
      <c r="H14" s="1">
        <v>97.88023776</v>
      </c>
      <c r="I14" s="1">
        <v>1.1564258780000001</v>
      </c>
      <c r="J14" s="1">
        <v>1.6395201210000001</v>
      </c>
      <c r="K14" s="1">
        <v>0.85810498040000005</v>
      </c>
      <c r="L14" s="1">
        <v>0.46265570020000002</v>
      </c>
      <c r="M14" s="1">
        <v>0.69937521469999997</v>
      </c>
      <c r="N14" s="1">
        <v>0.31648024139999997</v>
      </c>
      <c r="O14" s="1">
        <v>0.68295817349999999</v>
      </c>
      <c r="P14" s="1">
        <v>0.25832669339999997</v>
      </c>
      <c r="Q14" s="1">
        <v>0.94517701509999996</v>
      </c>
    </row>
    <row r="15" spans="1:17">
      <c r="A15" s="2" t="s">
        <v>40</v>
      </c>
      <c r="B15" s="2" t="s">
        <v>9</v>
      </c>
      <c r="C15" s="5">
        <v>287.37100220000002</v>
      </c>
      <c r="D15" s="4">
        <v>31.190999980000001</v>
      </c>
      <c r="E15" s="4">
        <f t="shared" si="0"/>
        <v>68.809000019999999</v>
      </c>
      <c r="F15" s="1">
        <v>98.514450420000003</v>
      </c>
      <c r="G15" s="1" t="s">
        <v>1</v>
      </c>
      <c r="H15" s="1" t="s">
        <v>1</v>
      </c>
      <c r="I15" s="1">
        <v>0.26760057609999999</v>
      </c>
      <c r="J15" s="1" t="s">
        <v>1</v>
      </c>
      <c r="K15" s="1" t="s">
        <v>1</v>
      </c>
      <c r="L15" s="1">
        <v>1.2179490049999999</v>
      </c>
      <c r="M15" s="1" t="s">
        <v>1</v>
      </c>
      <c r="N15" s="1" t="s">
        <v>1</v>
      </c>
      <c r="O15" s="1">
        <v>0</v>
      </c>
      <c r="P15" s="1" t="s">
        <v>1</v>
      </c>
      <c r="Q15" s="1" t="s">
        <v>1</v>
      </c>
    </row>
    <row r="16" spans="1:17">
      <c r="A16" s="2" t="s">
        <v>123</v>
      </c>
      <c r="B16" s="2" t="s">
        <v>12</v>
      </c>
      <c r="C16" s="5">
        <v>9449.3212889999995</v>
      </c>
      <c r="D16" s="4">
        <v>79.483001709999996</v>
      </c>
      <c r="E16" s="4">
        <f t="shared" si="0"/>
        <v>20.516998290000004</v>
      </c>
      <c r="F16" s="1">
        <v>96.534726079999999</v>
      </c>
      <c r="G16" s="1">
        <v>96.010873619999998</v>
      </c>
      <c r="H16" s="1">
        <v>98.564122310000002</v>
      </c>
      <c r="I16" s="1">
        <v>3.3721195499999999</v>
      </c>
      <c r="J16" s="1">
        <v>3.9855726439999999</v>
      </c>
      <c r="K16" s="1">
        <v>0.9955971951</v>
      </c>
      <c r="L16" s="1">
        <v>9.3154368370000004E-2</v>
      </c>
      <c r="M16" s="1">
        <v>3.5537319770000001E-3</v>
      </c>
      <c r="N16" s="1">
        <v>0.4402804931</v>
      </c>
      <c r="O16" s="1">
        <v>0</v>
      </c>
      <c r="P16" s="1">
        <v>0</v>
      </c>
      <c r="Q16" s="1">
        <v>0</v>
      </c>
    </row>
    <row r="17" spans="1:17">
      <c r="A17" s="2" t="s">
        <v>138</v>
      </c>
      <c r="B17" s="2" t="s">
        <v>9</v>
      </c>
      <c r="C17" s="5">
        <v>11589.61621</v>
      </c>
      <c r="D17" s="4">
        <v>98.078994750000007</v>
      </c>
      <c r="E17" s="4">
        <f t="shared" si="0"/>
        <v>1.9210052499999932</v>
      </c>
      <c r="F17" s="1">
        <v>99.999996449999998</v>
      </c>
      <c r="G17" s="1">
        <v>100</v>
      </c>
      <c r="H17" s="1">
        <v>100</v>
      </c>
      <c r="I17" s="1">
        <v>0</v>
      </c>
      <c r="J17" s="1">
        <v>0</v>
      </c>
      <c r="K17" s="1">
        <v>0</v>
      </c>
      <c r="L17" s="1">
        <v>3.5547967910000002E-6</v>
      </c>
      <c r="M17" s="1">
        <v>0</v>
      </c>
      <c r="N17" s="1">
        <v>0</v>
      </c>
      <c r="O17" s="1">
        <v>0</v>
      </c>
      <c r="P17" s="1">
        <v>0</v>
      </c>
      <c r="Q17" s="1">
        <v>0</v>
      </c>
    </row>
    <row r="18" spans="1:17">
      <c r="A18" s="2" t="s">
        <v>45</v>
      </c>
      <c r="B18" s="2" t="s">
        <v>12</v>
      </c>
      <c r="C18" s="5">
        <v>397.62100220000002</v>
      </c>
      <c r="D18" s="4">
        <v>46.025001529999997</v>
      </c>
      <c r="E18" s="4">
        <f t="shared" si="0"/>
        <v>53.974998470000003</v>
      </c>
      <c r="F18" s="1">
        <v>98.401954630000006</v>
      </c>
      <c r="G18" s="1">
        <v>98.878960000000006</v>
      </c>
      <c r="H18" s="1">
        <v>97.995207579999999</v>
      </c>
      <c r="I18" s="1">
        <v>1.249110629</v>
      </c>
      <c r="J18" s="1">
        <v>1.12104</v>
      </c>
      <c r="K18" s="1">
        <v>1.358317682</v>
      </c>
      <c r="L18" s="1">
        <v>0.3489347411</v>
      </c>
      <c r="M18" s="1">
        <v>0</v>
      </c>
      <c r="N18" s="1">
        <v>0.64647473929999999</v>
      </c>
      <c r="O18" s="1">
        <v>0</v>
      </c>
      <c r="P18" s="1">
        <v>0</v>
      </c>
      <c r="Q18" s="1">
        <v>0</v>
      </c>
    </row>
    <row r="19" spans="1:17">
      <c r="A19" s="2" t="s">
        <v>142</v>
      </c>
      <c r="B19" s="2" t="s">
        <v>32</v>
      </c>
      <c r="C19" s="5">
        <v>12123.19824</v>
      </c>
      <c r="D19" s="4">
        <v>48.414997100000001</v>
      </c>
      <c r="E19" s="4">
        <f t="shared" si="0"/>
        <v>51.585002899999999</v>
      </c>
      <c r="F19" s="1">
        <v>65.414122989999996</v>
      </c>
      <c r="G19" s="1">
        <v>73.258000039999999</v>
      </c>
      <c r="H19" s="1">
        <v>58.052267989999997</v>
      </c>
      <c r="I19" s="1">
        <v>9.317535586</v>
      </c>
      <c r="J19" s="1">
        <v>5.7080563529999999</v>
      </c>
      <c r="K19" s="1">
        <v>12.705205039999999</v>
      </c>
      <c r="L19" s="1">
        <v>21.97254088</v>
      </c>
      <c r="M19" s="1">
        <v>19.835806810000001</v>
      </c>
      <c r="N19" s="1">
        <v>23.977968329999999</v>
      </c>
      <c r="O19" s="1">
        <v>3.2958005469999998</v>
      </c>
      <c r="P19" s="1">
        <v>1.1981367940000001</v>
      </c>
      <c r="Q19" s="1">
        <v>5.2645586340000001</v>
      </c>
    </row>
    <row r="20" spans="1:17">
      <c r="A20" s="2" t="s">
        <v>26</v>
      </c>
      <c r="B20" s="2" t="s">
        <v>9</v>
      </c>
      <c r="C20" s="5">
        <v>62.272998809999997</v>
      </c>
      <c r="D20" s="4">
        <v>100</v>
      </c>
      <c r="E20" s="4">
        <f t="shared" si="0"/>
        <v>0</v>
      </c>
      <c r="F20" s="1">
        <v>99.903140019999995</v>
      </c>
      <c r="G20" s="1">
        <v>99.903140019999995</v>
      </c>
      <c r="H20" s="1" t="s">
        <v>1</v>
      </c>
      <c r="I20" s="1">
        <v>0</v>
      </c>
      <c r="J20" s="1">
        <v>0</v>
      </c>
      <c r="K20" s="1" t="s">
        <v>1</v>
      </c>
      <c r="L20" s="1">
        <v>9.6859982940000006E-2</v>
      </c>
      <c r="M20" s="1">
        <v>9.6859982940000006E-2</v>
      </c>
      <c r="N20" s="1" t="s">
        <v>1</v>
      </c>
      <c r="O20" s="1">
        <v>0</v>
      </c>
      <c r="P20" s="1">
        <v>0</v>
      </c>
      <c r="Q20" s="1" t="s">
        <v>1</v>
      </c>
    </row>
    <row r="21" spans="1:17">
      <c r="A21" s="2" t="s">
        <v>56</v>
      </c>
      <c r="B21" s="2" t="s">
        <v>32</v>
      </c>
      <c r="C21" s="5">
        <v>771.61199950000002</v>
      </c>
      <c r="D21" s="4">
        <v>42.31599808</v>
      </c>
      <c r="E21" s="4">
        <f t="shared" si="0"/>
        <v>57.68400192</v>
      </c>
      <c r="F21" s="1">
        <v>97.313222629999999</v>
      </c>
      <c r="G21" s="1">
        <v>98.106628490000006</v>
      </c>
      <c r="H21" s="1">
        <v>96.731193649999994</v>
      </c>
      <c r="I21" s="1">
        <v>2.4607126070000001</v>
      </c>
      <c r="J21" s="1">
        <v>1.3591415</v>
      </c>
      <c r="K21" s="1">
        <v>3.2688063509999998</v>
      </c>
      <c r="L21" s="1">
        <v>0.17642421829999999</v>
      </c>
      <c r="M21" s="1">
        <v>0.41692084750000002</v>
      </c>
      <c r="N21" s="1">
        <v>0</v>
      </c>
      <c r="O21" s="1">
        <v>4.9640541420000003E-2</v>
      </c>
      <c r="P21" s="1">
        <v>0.1173091586</v>
      </c>
      <c r="Q21" s="1">
        <v>0</v>
      </c>
    </row>
    <row r="22" spans="1:17">
      <c r="A22" s="2" t="s">
        <v>139</v>
      </c>
      <c r="B22" s="2" t="s">
        <v>32</v>
      </c>
      <c r="C22" s="5">
        <v>11673.0293</v>
      </c>
      <c r="D22" s="4">
        <v>70.123001099999996</v>
      </c>
      <c r="E22" s="4">
        <f t="shared" si="0"/>
        <v>29.876998900000004</v>
      </c>
      <c r="F22" s="1">
        <v>93.390071629999994</v>
      </c>
      <c r="G22" s="1">
        <v>99.122118319999998</v>
      </c>
      <c r="H22" s="1">
        <v>79.936642829999997</v>
      </c>
      <c r="I22" s="1">
        <v>0.13659052960000001</v>
      </c>
      <c r="J22" s="1">
        <v>9.0513289469999994E-2</v>
      </c>
      <c r="K22" s="1">
        <v>0.24473640820000001</v>
      </c>
      <c r="L22" s="1">
        <v>1.575010843</v>
      </c>
      <c r="M22" s="1">
        <v>0.56134538079999996</v>
      </c>
      <c r="N22" s="1">
        <v>3.9541336930000002</v>
      </c>
      <c r="O22" s="1">
        <v>4.8983269969999998</v>
      </c>
      <c r="P22" s="1">
        <v>0.22602301120000001</v>
      </c>
      <c r="Q22" s="1">
        <v>15.864487069999999</v>
      </c>
    </row>
    <row r="23" spans="1:17">
      <c r="A23" s="2" t="s">
        <v>85</v>
      </c>
      <c r="B23" s="2" t="s">
        <v>12</v>
      </c>
      <c r="C23" s="5">
        <v>3280.8149410000001</v>
      </c>
      <c r="D23" s="4">
        <v>49.020000459999999</v>
      </c>
      <c r="E23" s="4">
        <f t="shared" si="0"/>
        <v>50.979999540000001</v>
      </c>
      <c r="F23" s="1">
        <v>96.113897620000003</v>
      </c>
      <c r="G23" s="1">
        <v>94.845704400000002</v>
      </c>
      <c r="H23" s="1">
        <v>97.333333330000002</v>
      </c>
      <c r="I23" s="1">
        <v>3.8236639380000002</v>
      </c>
      <c r="J23" s="1">
        <v>5.0269222060000001</v>
      </c>
      <c r="K23" s="1">
        <v>2.6666666669999999</v>
      </c>
      <c r="L23" s="1">
        <v>6.2438437520000001E-2</v>
      </c>
      <c r="M23" s="1">
        <v>0.12737339280000001</v>
      </c>
      <c r="N23" s="1">
        <v>0</v>
      </c>
      <c r="O23" s="1">
        <v>0</v>
      </c>
      <c r="P23" s="1">
        <v>0</v>
      </c>
      <c r="Q23" s="1">
        <v>0</v>
      </c>
    </row>
    <row r="24" spans="1:17">
      <c r="A24" s="2" t="s">
        <v>75</v>
      </c>
      <c r="B24" s="2" t="s">
        <v>12</v>
      </c>
      <c r="C24" s="5">
        <v>2351.625</v>
      </c>
      <c r="D24" s="4">
        <v>70.876998900000004</v>
      </c>
      <c r="E24" s="4">
        <f t="shared" si="0"/>
        <v>29.123001099999996</v>
      </c>
      <c r="F24" s="1">
        <v>92.213563070000006</v>
      </c>
      <c r="G24" s="1">
        <v>97.624980579999999</v>
      </c>
      <c r="H24" s="1">
        <v>79.04372386</v>
      </c>
      <c r="I24" s="1">
        <v>4.7230389700000002</v>
      </c>
      <c r="J24" s="1">
        <v>0.43662003220000001</v>
      </c>
      <c r="K24" s="1">
        <v>15.154947180000001</v>
      </c>
      <c r="L24" s="1">
        <v>1.7325264760000001</v>
      </c>
      <c r="M24" s="1">
        <v>1.788579159</v>
      </c>
      <c r="N24" s="1">
        <v>1.5961191560000001</v>
      </c>
      <c r="O24" s="1">
        <v>1.330871481</v>
      </c>
      <c r="P24" s="1">
        <v>0.14982022810000001</v>
      </c>
      <c r="Q24" s="1">
        <v>4.2052098100000004</v>
      </c>
    </row>
    <row r="25" spans="1:17">
      <c r="A25" s="2" t="s">
        <v>212</v>
      </c>
      <c r="B25" s="2" t="s">
        <v>12</v>
      </c>
      <c r="C25" s="5">
        <v>212559.4063</v>
      </c>
      <c r="D25" s="4">
        <v>87.072998049999995</v>
      </c>
      <c r="E25" s="4">
        <f t="shared" si="0"/>
        <v>12.927001950000005</v>
      </c>
      <c r="F25" s="1">
        <v>99.320852990000006</v>
      </c>
      <c r="G25" s="1">
        <v>99.822001310000005</v>
      </c>
      <c r="H25" s="1">
        <v>95.945259530000001</v>
      </c>
      <c r="I25" s="1">
        <v>0.12654900390000001</v>
      </c>
      <c r="J25" s="1">
        <v>0</v>
      </c>
      <c r="K25" s="1">
        <v>0.97895091540000001</v>
      </c>
      <c r="L25" s="1">
        <v>0.55259800989999996</v>
      </c>
      <c r="M25" s="1">
        <v>0.1779986949</v>
      </c>
      <c r="N25" s="1">
        <v>3.0757895510000002</v>
      </c>
      <c r="O25" s="1" t="s">
        <v>1</v>
      </c>
      <c r="P25" s="1">
        <v>0</v>
      </c>
      <c r="Q25" s="1" t="s">
        <v>1</v>
      </c>
    </row>
    <row r="26" spans="1:17">
      <c r="A26" s="2" t="s">
        <v>15</v>
      </c>
      <c r="B26" s="2" t="s">
        <v>9</v>
      </c>
      <c r="C26" s="5">
        <v>30.23699951</v>
      </c>
      <c r="D26" s="4">
        <v>48.51499939</v>
      </c>
      <c r="E26" s="4">
        <f t="shared" si="0"/>
        <v>51.48500061</v>
      </c>
      <c r="F26" s="1">
        <v>99.864383559999993</v>
      </c>
      <c r="G26" s="1" t="s">
        <v>1</v>
      </c>
      <c r="H26" s="1" t="s">
        <v>1</v>
      </c>
      <c r="I26" s="1">
        <v>0</v>
      </c>
      <c r="J26" s="1" t="s">
        <v>1</v>
      </c>
      <c r="K26" s="1" t="s">
        <v>1</v>
      </c>
      <c r="L26" s="1">
        <v>0.13561643840000001</v>
      </c>
      <c r="M26" s="1" t="s">
        <v>1</v>
      </c>
      <c r="N26" s="1" t="s">
        <v>1</v>
      </c>
      <c r="O26" s="1">
        <v>0</v>
      </c>
      <c r="P26" s="1" t="s">
        <v>1</v>
      </c>
      <c r="Q26" s="1" t="s">
        <v>1</v>
      </c>
    </row>
    <row r="27" spans="1:17">
      <c r="A27" s="2" t="s">
        <v>47</v>
      </c>
      <c r="B27" s="2" t="s">
        <v>9</v>
      </c>
      <c r="C27" s="5">
        <v>437.48300169999999</v>
      </c>
      <c r="D27" s="4">
        <v>78.250007629999999</v>
      </c>
      <c r="E27" s="4">
        <f t="shared" si="0"/>
        <v>21.749992370000001</v>
      </c>
      <c r="F27" s="1">
        <v>99.900036799999995</v>
      </c>
      <c r="G27" s="1">
        <v>99.65</v>
      </c>
      <c r="H27" s="1" t="s">
        <v>1</v>
      </c>
      <c r="I27" s="1">
        <v>0</v>
      </c>
      <c r="J27" s="1">
        <v>0</v>
      </c>
      <c r="K27" s="1" t="s">
        <v>1</v>
      </c>
      <c r="L27" s="1">
        <v>9.9963200360000004E-2</v>
      </c>
      <c r="M27" s="1">
        <v>0.35</v>
      </c>
      <c r="N27" s="1" t="s">
        <v>1</v>
      </c>
      <c r="O27" s="1">
        <v>0</v>
      </c>
      <c r="P27" s="1">
        <v>0</v>
      </c>
      <c r="Q27" s="1" t="s">
        <v>1</v>
      </c>
    </row>
    <row r="28" spans="1:17">
      <c r="A28" s="2" t="s">
        <v>112</v>
      </c>
      <c r="B28" s="2" t="s">
        <v>12</v>
      </c>
      <c r="C28" s="5">
        <v>6948.4448240000002</v>
      </c>
      <c r="D28" s="4">
        <v>75.685997009999994</v>
      </c>
      <c r="E28" s="4">
        <f t="shared" si="0"/>
        <v>24.314002990000006</v>
      </c>
      <c r="F28" s="1">
        <v>99.011416940000004</v>
      </c>
      <c r="G28" s="1">
        <v>99.528670399999996</v>
      </c>
      <c r="H28" s="1">
        <v>97.401287969999998</v>
      </c>
      <c r="I28" s="1">
        <v>0</v>
      </c>
      <c r="J28" s="1">
        <v>0</v>
      </c>
      <c r="K28" s="1">
        <v>0</v>
      </c>
      <c r="L28" s="1">
        <v>0.98858306070000002</v>
      </c>
      <c r="M28" s="1">
        <v>0.47132960070000002</v>
      </c>
      <c r="N28" s="1">
        <v>2.5987120309999998</v>
      </c>
      <c r="O28" s="1">
        <v>0</v>
      </c>
      <c r="P28" s="1">
        <v>0</v>
      </c>
      <c r="Q28" s="1">
        <v>0</v>
      </c>
    </row>
    <row r="29" spans="1:17">
      <c r="A29" s="2" t="s">
        <v>160</v>
      </c>
      <c r="B29" s="2" t="s">
        <v>70</v>
      </c>
      <c r="C29" s="5">
        <v>20903.277340000001</v>
      </c>
      <c r="D29" s="4">
        <v>30.60700035</v>
      </c>
      <c r="E29" s="4">
        <f t="shared" si="0"/>
        <v>69.392999650000007</v>
      </c>
      <c r="F29" s="1">
        <v>47.214854459999998</v>
      </c>
      <c r="G29" s="1">
        <v>80.081918540000004</v>
      </c>
      <c r="H29" s="1">
        <v>32.718258900000002</v>
      </c>
      <c r="I29" s="1">
        <v>31.2730034</v>
      </c>
      <c r="J29" s="1">
        <v>14.60004919</v>
      </c>
      <c r="K29" s="1">
        <v>38.626902540000003</v>
      </c>
      <c r="L29" s="1">
        <v>21.15863263</v>
      </c>
      <c r="M29" s="1">
        <v>4.8758364869999999</v>
      </c>
      <c r="N29" s="1">
        <v>28.3404457</v>
      </c>
      <c r="O29" s="1">
        <v>0.35350950240000001</v>
      </c>
      <c r="P29" s="1">
        <v>0.44219578050000002</v>
      </c>
      <c r="Q29" s="1">
        <v>0.31439286259999999</v>
      </c>
    </row>
    <row r="30" spans="1:17">
      <c r="A30" s="2" t="s">
        <v>141</v>
      </c>
      <c r="B30" s="2" t="s">
        <v>70</v>
      </c>
      <c r="C30" s="5">
        <v>11890.78125</v>
      </c>
      <c r="D30" s="4">
        <v>13.708000180000001</v>
      </c>
      <c r="E30" s="4">
        <f t="shared" si="0"/>
        <v>86.291999820000001</v>
      </c>
      <c r="F30" s="1">
        <v>62.207122249999998</v>
      </c>
      <c r="G30" s="1">
        <v>90.669110860000004</v>
      </c>
      <c r="H30" s="1">
        <v>57.685765269999997</v>
      </c>
      <c r="I30" s="1">
        <v>19.439693139999999</v>
      </c>
      <c r="J30" s="1">
        <v>8.0344628690000004</v>
      </c>
      <c r="K30" s="1">
        <v>21.251482129999999</v>
      </c>
      <c r="L30" s="1">
        <v>14.758259689999999</v>
      </c>
      <c r="M30" s="1">
        <v>1.2964262689999999</v>
      </c>
      <c r="N30" s="1">
        <v>16.896752379999999</v>
      </c>
      <c r="O30" s="1">
        <v>3.5949249129999998</v>
      </c>
      <c r="P30" s="1">
        <v>0</v>
      </c>
      <c r="Q30" s="1">
        <v>4.1660002189999998</v>
      </c>
    </row>
    <row r="31" spans="1:17">
      <c r="A31" s="2" t="s">
        <v>50</v>
      </c>
      <c r="B31" s="2" t="s">
        <v>32</v>
      </c>
      <c r="C31" s="5">
        <v>555.98797609999997</v>
      </c>
      <c r="D31" s="4">
        <v>66.652000430000001</v>
      </c>
      <c r="E31" s="4">
        <f t="shared" si="0"/>
        <v>33.347999569999999</v>
      </c>
      <c r="F31" s="1">
        <v>88.769606420000002</v>
      </c>
      <c r="G31" s="1">
        <v>93.1</v>
      </c>
      <c r="H31" s="1">
        <v>80.114525439999994</v>
      </c>
      <c r="I31" s="1">
        <v>7.9041508460000003</v>
      </c>
      <c r="J31" s="1">
        <v>6.9</v>
      </c>
      <c r="K31" s="1">
        <v>9.9111270220000005</v>
      </c>
      <c r="L31" s="1">
        <v>3.2091477159999999</v>
      </c>
      <c r="M31" s="1">
        <v>0</v>
      </c>
      <c r="N31" s="1">
        <v>9.6232170030000006</v>
      </c>
      <c r="O31" s="1">
        <v>0.1170950144</v>
      </c>
      <c r="P31" s="1">
        <v>0</v>
      </c>
      <c r="Q31" s="1">
        <v>0.35113053970000002</v>
      </c>
    </row>
    <row r="32" spans="1:17">
      <c r="A32" s="2" t="s">
        <v>148</v>
      </c>
      <c r="B32" s="2" t="s">
        <v>32</v>
      </c>
      <c r="C32" s="5">
        <v>16718.970700000002</v>
      </c>
      <c r="D32" s="4">
        <v>24.23200035</v>
      </c>
      <c r="E32" s="4">
        <f t="shared" si="0"/>
        <v>75.767999650000007</v>
      </c>
      <c r="F32" s="1">
        <v>71.219884969999995</v>
      </c>
      <c r="G32" s="1">
        <v>90.458077169999996</v>
      </c>
      <c r="H32" s="1">
        <v>65.067155830000004</v>
      </c>
      <c r="I32" s="1">
        <v>13.90222204</v>
      </c>
      <c r="J32" s="1">
        <v>8.8509147200000005</v>
      </c>
      <c r="K32" s="1">
        <v>15.51772278</v>
      </c>
      <c r="L32" s="1">
        <v>5.6772185579999999</v>
      </c>
      <c r="M32" s="1">
        <v>0</v>
      </c>
      <c r="N32" s="1">
        <v>7.4928993070000001</v>
      </c>
      <c r="O32" s="1">
        <v>9.2006744339999997</v>
      </c>
      <c r="P32" s="1">
        <v>0.69100811439999998</v>
      </c>
      <c r="Q32" s="1">
        <v>11.92222209</v>
      </c>
    </row>
    <row r="33" spans="1:17">
      <c r="A33" s="2" t="s">
        <v>166</v>
      </c>
      <c r="B33" s="2" t="s">
        <v>32</v>
      </c>
      <c r="C33" s="5">
        <v>26545.863280000001</v>
      </c>
      <c r="D33" s="4">
        <v>57.560005189999998</v>
      </c>
      <c r="E33" s="4">
        <f t="shared" si="0"/>
        <v>42.439994810000002</v>
      </c>
      <c r="F33" s="1">
        <v>65.720418179999996</v>
      </c>
      <c r="G33" s="1">
        <v>82.083584860000002</v>
      </c>
      <c r="H33" s="1">
        <v>43.527581120000001</v>
      </c>
      <c r="I33" s="1">
        <v>12.874748629999999</v>
      </c>
      <c r="J33" s="1">
        <v>13.023796770000001</v>
      </c>
      <c r="K33" s="1">
        <v>12.67259943</v>
      </c>
      <c r="L33" s="1">
        <v>15.00100626</v>
      </c>
      <c r="M33" s="1">
        <v>3.8507013510000001</v>
      </c>
      <c r="N33" s="1">
        <v>30.12380645</v>
      </c>
      <c r="O33" s="1">
        <v>6.4038269269999999</v>
      </c>
      <c r="P33" s="1">
        <v>1.041917019</v>
      </c>
      <c r="Q33" s="1">
        <v>13.676012999999999</v>
      </c>
    </row>
    <row r="34" spans="1:17">
      <c r="A34" s="2" t="s">
        <v>179</v>
      </c>
      <c r="B34" s="2" t="s">
        <v>9</v>
      </c>
      <c r="C34" s="5">
        <v>37742.15625</v>
      </c>
      <c r="D34" s="4">
        <v>81.562004090000002</v>
      </c>
      <c r="E34" s="4">
        <f t="shared" si="0"/>
        <v>18.437995909999998</v>
      </c>
      <c r="F34" s="1">
        <v>99.221810660000003</v>
      </c>
      <c r="G34" s="1">
        <v>99.258277660000005</v>
      </c>
      <c r="H34" s="1">
        <v>99.060495900000006</v>
      </c>
      <c r="I34" s="1">
        <v>0</v>
      </c>
      <c r="J34" s="1">
        <v>0</v>
      </c>
      <c r="K34" s="1">
        <v>0</v>
      </c>
      <c r="L34" s="1">
        <v>0.77818933690000003</v>
      </c>
      <c r="M34" s="1">
        <v>0.74172233710000002</v>
      </c>
      <c r="N34" s="1">
        <v>0.9395041006</v>
      </c>
      <c r="O34" s="1">
        <v>0</v>
      </c>
      <c r="P34" s="1">
        <v>0</v>
      </c>
      <c r="Q34" s="1">
        <v>0</v>
      </c>
    </row>
    <row r="35" spans="1:17">
      <c r="A35" s="2" t="s">
        <v>94</v>
      </c>
      <c r="B35" s="2" t="s">
        <v>70</v>
      </c>
      <c r="C35" s="5">
        <v>4829.7641599999997</v>
      </c>
      <c r="D35" s="4">
        <v>42.197998050000002</v>
      </c>
      <c r="E35" s="4">
        <f t="shared" si="0"/>
        <v>57.802001949999998</v>
      </c>
      <c r="F35" s="1">
        <v>37.202402050000003</v>
      </c>
      <c r="G35" s="1">
        <v>49.661664950000002</v>
      </c>
      <c r="H35" s="1">
        <v>28.106594149999999</v>
      </c>
      <c r="I35" s="1">
        <v>25.682373479999999</v>
      </c>
      <c r="J35" s="1">
        <v>34.279780090000003</v>
      </c>
      <c r="K35" s="1">
        <v>19.405889899999998</v>
      </c>
      <c r="L35" s="1">
        <v>33.53911377</v>
      </c>
      <c r="M35" s="1">
        <v>15.95940214</v>
      </c>
      <c r="N35" s="1">
        <v>46.373073009999999</v>
      </c>
      <c r="O35" s="1">
        <v>3.5761107079999999</v>
      </c>
      <c r="P35" s="1">
        <v>9.915281712E-2</v>
      </c>
      <c r="Q35" s="1">
        <v>6.1144429440000003</v>
      </c>
    </row>
    <row r="36" spans="1:17">
      <c r="A36" s="2" t="s">
        <v>147</v>
      </c>
      <c r="B36" s="2" t="s">
        <v>70</v>
      </c>
      <c r="C36" s="5">
        <v>16425.859380000002</v>
      </c>
      <c r="D36" s="4">
        <v>23.520000459999999</v>
      </c>
      <c r="E36" s="4">
        <f t="shared" si="0"/>
        <v>76.479999539999994</v>
      </c>
      <c r="F36" s="1">
        <v>46.187534790000001</v>
      </c>
      <c r="G36" s="1">
        <v>74.192223089999999</v>
      </c>
      <c r="H36" s="1">
        <v>37.575215249999999</v>
      </c>
      <c r="I36" s="1">
        <v>14.74028929</v>
      </c>
      <c r="J36" s="1">
        <v>15.99651381</v>
      </c>
      <c r="K36" s="1">
        <v>14.35396111</v>
      </c>
      <c r="L36" s="1">
        <v>31.562457139999999</v>
      </c>
      <c r="M36" s="1">
        <v>8.9224527210000009</v>
      </c>
      <c r="N36" s="1">
        <v>38.524967609999997</v>
      </c>
      <c r="O36" s="1">
        <v>7.5097187840000004</v>
      </c>
      <c r="P36" s="1">
        <v>0.88881038430000003</v>
      </c>
      <c r="Q36" s="1">
        <v>9.5458560269999992</v>
      </c>
    </row>
    <row r="37" spans="1:17">
      <c r="A37" s="2" t="s">
        <v>156</v>
      </c>
      <c r="B37" s="2" t="s">
        <v>9</v>
      </c>
      <c r="C37" s="5">
        <v>19116.208979999999</v>
      </c>
      <c r="D37" s="4">
        <v>87.72699738</v>
      </c>
      <c r="E37" s="4">
        <f t="shared" si="0"/>
        <v>12.27300262</v>
      </c>
      <c r="F37" s="1">
        <v>99.999998719999994</v>
      </c>
      <c r="G37" s="1">
        <v>100</v>
      </c>
      <c r="H37" s="1">
        <v>100</v>
      </c>
      <c r="I37" s="1">
        <v>0</v>
      </c>
      <c r="J37" s="1">
        <v>0</v>
      </c>
      <c r="K37" s="1">
        <v>0</v>
      </c>
      <c r="L37" s="1">
        <v>1.2771393330000001E-6</v>
      </c>
      <c r="M37" s="1">
        <v>0</v>
      </c>
      <c r="N37" s="1">
        <v>0</v>
      </c>
      <c r="O37" s="1">
        <v>0</v>
      </c>
      <c r="P37" s="1">
        <v>0</v>
      </c>
      <c r="Q37" s="1">
        <v>0</v>
      </c>
    </row>
    <row r="38" spans="1:17">
      <c r="A38" s="2" t="s">
        <v>217</v>
      </c>
      <c r="B38" s="2" t="s">
        <v>12</v>
      </c>
      <c r="C38" s="5">
        <v>1463140.5</v>
      </c>
      <c r="D38" s="4">
        <v>61.713088990000003</v>
      </c>
      <c r="E38" s="4">
        <f t="shared" si="0"/>
        <v>38.286911009999997</v>
      </c>
      <c r="F38" s="1">
        <v>94.261110590000001</v>
      </c>
      <c r="G38" s="1">
        <v>97.11488267</v>
      </c>
      <c r="H38" s="1">
        <v>89.661233510000002</v>
      </c>
      <c r="I38" s="1">
        <v>0.8147213297</v>
      </c>
      <c r="J38" s="1">
        <v>0.1831784927</v>
      </c>
      <c r="K38" s="1">
        <v>1.832679086</v>
      </c>
      <c r="L38" s="1">
        <v>4.725451938</v>
      </c>
      <c r="M38" s="1">
        <v>2.3799388399999999</v>
      </c>
      <c r="N38" s="1">
        <v>8.5060874089999992</v>
      </c>
      <c r="O38" s="1">
        <v>0.19871614409999999</v>
      </c>
      <c r="P38" s="1">
        <v>0.32200000000000001</v>
      </c>
      <c r="Q38" s="1">
        <v>0</v>
      </c>
    </row>
    <row r="39" spans="1:17">
      <c r="A39" s="2" t="s">
        <v>115</v>
      </c>
      <c r="B39" s="2" t="s">
        <v>9</v>
      </c>
      <c r="C39" s="5">
        <v>7496.9877930000002</v>
      </c>
      <c r="D39" s="4">
        <v>100</v>
      </c>
      <c r="E39" s="4">
        <f t="shared" si="0"/>
        <v>0</v>
      </c>
      <c r="F39" s="1">
        <v>100</v>
      </c>
      <c r="G39" s="1">
        <v>100</v>
      </c>
      <c r="H39" s="1" t="s">
        <v>1</v>
      </c>
      <c r="I39" s="1">
        <v>0</v>
      </c>
      <c r="J39" s="1">
        <v>0</v>
      </c>
      <c r="K39" s="1" t="s">
        <v>1</v>
      </c>
      <c r="L39" s="1">
        <v>0</v>
      </c>
      <c r="M39" s="1">
        <v>0</v>
      </c>
      <c r="N39" s="1" t="s">
        <v>1</v>
      </c>
      <c r="O39" s="1">
        <v>0</v>
      </c>
      <c r="P39" s="1">
        <v>0</v>
      </c>
      <c r="Q39" s="1" t="s">
        <v>1</v>
      </c>
    </row>
    <row r="40" spans="1:17">
      <c r="A40" s="2" t="s">
        <v>54</v>
      </c>
      <c r="B40" s="2" t="s">
        <v>9</v>
      </c>
      <c r="C40" s="5">
        <v>649.34198000000004</v>
      </c>
      <c r="D40" s="4">
        <v>100</v>
      </c>
      <c r="E40" s="4">
        <f t="shared" si="0"/>
        <v>0</v>
      </c>
      <c r="F40" s="1">
        <v>100</v>
      </c>
      <c r="G40" s="1">
        <v>100</v>
      </c>
      <c r="H40" s="1" t="s">
        <v>1</v>
      </c>
      <c r="I40" s="1">
        <v>0</v>
      </c>
      <c r="J40" s="1">
        <v>0</v>
      </c>
      <c r="K40" s="1" t="s">
        <v>1</v>
      </c>
      <c r="L40" s="1">
        <v>0</v>
      </c>
      <c r="M40" s="1">
        <v>0</v>
      </c>
      <c r="N40" s="1" t="s">
        <v>1</v>
      </c>
      <c r="O40" s="1">
        <v>0</v>
      </c>
      <c r="P40" s="1">
        <v>0</v>
      </c>
      <c r="Q40" s="1" t="s">
        <v>1</v>
      </c>
    </row>
    <row r="41" spans="1:17">
      <c r="A41" s="2" t="s">
        <v>189</v>
      </c>
      <c r="B41" s="2" t="s">
        <v>12</v>
      </c>
      <c r="C41" s="5">
        <v>50882.882810000003</v>
      </c>
      <c r="D41" s="4">
        <v>81.424995420000002</v>
      </c>
      <c r="E41" s="4">
        <f t="shared" si="0"/>
        <v>18.575004579999998</v>
      </c>
      <c r="F41" s="1">
        <v>97.491657110000006</v>
      </c>
      <c r="G41" s="1">
        <v>99.938192799999996</v>
      </c>
      <c r="H41" s="1">
        <v>86.767072819999996</v>
      </c>
      <c r="I41" s="1">
        <v>0.18615215909999999</v>
      </c>
      <c r="J41" s="1">
        <v>6.18072E-2</v>
      </c>
      <c r="K41" s="1">
        <v>0.73122820160000002</v>
      </c>
      <c r="L41" s="1">
        <v>0.95361622280000002</v>
      </c>
      <c r="M41" s="1">
        <v>0</v>
      </c>
      <c r="N41" s="1">
        <v>5.13386897</v>
      </c>
      <c r="O41" s="1">
        <v>1.3685745119999999</v>
      </c>
      <c r="P41" s="1">
        <v>0</v>
      </c>
      <c r="Q41" s="1">
        <v>7.3678300050000001</v>
      </c>
    </row>
    <row r="42" spans="1:17">
      <c r="A42" s="2" t="s">
        <v>102</v>
      </c>
      <c r="B42" s="2" t="s">
        <v>32</v>
      </c>
      <c r="C42" s="5">
        <v>5518.091797</v>
      </c>
      <c r="D42" s="4">
        <v>67.829002380000006</v>
      </c>
      <c r="E42" s="4">
        <f t="shared" si="0"/>
        <v>32.170997619999994</v>
      </c>
      <c r="F42" s="1">
        <v>73.78451158</v>
      </c>
      <c r="G42" s="1">
        <v>87.093296159999994</v>
      </c>
      <c r="H42" s="1">
        <v>45.724413179999999</v>
      </c>
      <c r="I42" s="1">
        <v>10.46117203</v>
      </c>
      <c r="J42" s="1">
        <v>10.37996439</v>
      </c>
      <c r="K42" s="1">
        <v>10.6323901</v>
      </c>
      <c r="L42" s="1">
        <v>9.5591807220000007</v>
      </c>
      <c r="M42" s="1">
        <v>2.5177899969999999</v>
      </c>
      <c r="N42" s="1">
        <v>24.405169730000001</v>
      </c>
      <c r="O42" s="1">
        <v>6.1951356640000004</v>
      </c>
      <c r="P42" s="1">
        <v>8.9494520549999994E-3</v>
      </c>
      <c r="Q42" s="1">
        <v>19.238026990000002</v>
      </c>
    </row>
    <row r="43" spans="1:17">
      <c r="A43" s="2" t="s">
        <v>13</v>
      </c>
      <c r="B43" s="2" t="s">
        <v>1</v>
      </c>
      <c r="C43" s="5">
        <v>17.56399918</v>
      </c>
      <c r="D43" s="4">
        <v>75.495002749999998</v>
      </c>
      <c r="E43" s="4">
        <f t="shared" si="0"/>
        <v>24.504997250000002</v>
      </c>
      <c r="F43" s="1">
        <v>99.971610220000002</v>
      </c>
      <c r="G43" s="1" t="s">
        <v>1</v>
      </c>
      <c r="H43" s="1" t="s">
        <v>1</v>
      </c>
      <c r="I43" s="1">
        <v>0</v>
      </c>
      <c r="J43" s="1" t="s">
        <v>1</v>
      </c>
      <c r="K43" s="1" t="s">
        <v>1</v>
      </c>
      <c r="L43" s="1">
        <v>2.8389782700000001E-2</v>
      </c>
      <c r="M43" s="1" t="s">
        <v>1</v>
      </c>
      <c r="N43" s="1" t="s">
        <v>1</v>
      </c>
      <c r="O43" s="1">
        <v>0</v>
      </c>
      <c r="P43" s="1" t="s">
        <v>1</v>
      </c>
      <c r="Q43" s="1" t="s">
        <v>1</v>
      </c>
    </row>
    <row r="44" spans="1:17">
      <c r="A44" s="2" t="s">
        <v>97</v>
      </c>
      <c r="B44" s="2" t="s">
        <v>12</v>
      </c>
      <c r="C44" s="5">
        <v>5094.1137699999999</v>
      </c>
      <c r="D44" s="4">
        <v>80.770996089999997</v>
      </c>
      <c r="E44" s="4">
        <f t="shared" si="0"/>
        <v>19.229003910000003</v>
      </c>
      <c r="F44" s="1">
        <v>99.810536929999998</v>
      </c>
      <c r="G44" s="1">
        <v>99.849652860000006</v>
      </c>
      <c r="H44" s="1">
        <v>99.646249999999995</v>
      </c>
      <c r="I44" s="1">
        <v>0.18945947460000001</v>
      </c>
      <c r="J44" s="1">
        <v>0.15034714290000001</v>
      </c>
      <c r="K44" s="1">
        <v>0.35375000000000001</v>
      </c>
      <c r="L44" s="1">
        <v>3.5944518969999999E-6</v>
      </c>
      <c r="M44" s="1">
        <v>0</v>
      </c>
      <c r="N44" s="1">
        <v>0</v>
      </c>
      <c r="O44" s="1">
        <v>0</v>
      </c>
      <c r="P44" s="1">
        <v>0</v>
      </c>
      <c r="Q44" s="1">
        <v>0</v>
      </c>
    </row>
    <row r="45" spans="1:17">
      <c r="A45" s="2" t="s">
        <v>165</v>
      </c>
      <c r="B45" s="2" t="s">
        <v>32</v>
      </c>
      <c r="C45" s="5">
        <v>26378.275389999999</v>
      </c>
      <c r="D45" s="4">
        <v>51.70599747</v>
      </c>
      <c r="E45" s="4">
        <f t="shared" si="0"/>
        <v>48.29400253</v>
      </c>
      <c r="F45" s="1">
        <v>70.909070389999997</v>
      </c>
      <c r="G45" s="1">
        <v>85.093553290000003</v>
      </c>
      <c r="H45" s="1">
        <v>55.722446859999998</v>
      </c>
      <c r="I45" s="1">
        <v>8.9354217019999993</v>
      </c>
      <c r="J45" s="1">
        <v>4.8185351560000003</v>
      </c>
      <c r="K45" s="1">
        <v>13.343168289999999</v>
      </c>
      <c r="L45" s="1">
        <v>14.192441609999999</v>
      </c>
      <c r="M45" s="1">
        <v>5.8023665600000003</v>
      </c>
      <c r="N45" s="1">
        <v>23.17527956</v>
      </c>
      <c r="O45" s="1">
        <v>5.9630662929999998</v>
      </c>
      <c r="P45" s="1">
        <v>4.2855449940000003</v>
      </c>
      <c r="Q45" s="1">
        <v>7.7591052889999998</v>
      </c>
    </row>
    <row r="46" spans="1:17">
      <c r="A46" s="2" t="s">
        <v>89</v>
      </c>
      <c r="B46" s="2" t="s">
        <v>9</v>
      </c>
      <c r="C46" s="5">
        <v>4105.2680659999996</v>
      </c>
      <c r="D46" s="4">
        <v>57.552997589999997</v>
      </c>
      <c r="E46" s="4">
        <f t="shared" si="0"/>
        <v>42.447002410000003</v>
      </c>
      <c r="F46" s="1" t="s">
        <v>1</v>
      </c>
      <c r="G46" s="1">
        <v>100</v>
      </c>
      <c r="H46" s="1" t="s">
        <v>1</v>
      </c>
      <c r="I46" s="1" t="s">
        <v>1</v>
      </c>
      <c r="J46" s="1">
        <v>0</v>
      </c>
      <c r="K46" s="1" t="s">
        <v>1</v>
      </c>
      <c r="L46" s="1" t="s">
        <v>1</v>
      </c>
      <c r="M46" s="1">
        <v>0</v>
      </c>
      <c r="N46" s="1" t="s">
        <v>1</v>
      </c>
      <c r="O46" s="1" t="s">
        <v>1</v>
      </c>
      <c r="P46" s="1">
        <v>0</v>
      </c>
      <c r="Q46" s="1" t="s">
        <v>1</v>
      </c>
    </row>
    <row r="47" spans="1:17">
      <c r="A47" s="2" t="s">
        <v>136</v>
      </c>
      <c r="B47" s="2" t="s">
        <v>12</v>
      </c>
      <c r="C47" s="5">
        <v>11326.61621</v>
      </c>
      <c r="D47" s="4">
        <v>77.194000239999994</v>
      </c>
      <c r="E47" s="4">
        <f t="shared" si="0"/>
        <v>22.805999760000006</v>
      </c>
      <c r="F47" s="1">
        <v>97.002696159999999</v>
      </c>
      <c r="G47" s="1">
        <v>97.775576639999997</v>
      </c>
      <c r="H47" s="1">
        <v>94.386651139999998</v>
      </c>
      <c r="I47" s="1">
        <v>1.471384542</v>
      </c>
      <c r="J47" s="1">
        <v>1.1403859000000001</v>
      </c>
      <c r="K47" s="1">
        <v>2.591752445</v>
      </c>
      <c r="L47" s="1">
        <v>1.252811506</v>
      </c>
      <c r="M47" s="1">
        <v>1.059840374</v>
      </c>
      <c r="N47" s="1">
        <v>1.9059729350000001</v>
      </c>
      <c r="O47" s="1">
        <v>0.27310779629999998</v>
      </c>
      <c r="P47" s="1">
        <v>2.4197084109999999E-2</v>
      </c>
      <c r="Q47" s="1">
        <v>1.115623477</v>
      </c>
    </row>
    <row r="48" spans="1:17">
      <c r="A48" s="2" t="s">
        <v>62</v>
      </c>
      <c r="B48" s="2" t="s">
        <v>9</v>
      </c>
      <c r="C48" s="5">
        <v>1207.360962</v>
      </c>
      <c r="D48" s="4">
        <v>66.820999150000006</v>
      </c>
      <c r="E48" s="4">
        <f t="shared" si="0"/>
        <v>33.179000849999994</v>
      </c>
      <c r="F48" s="1">
        <v>99.765173180000005</v>
      </c>
      <c r="G48" s="1">
        <v>99.725158120000003</v>
      </c>
      <c r="H48" s="1">
        <v>99.845761719999999</v>
      </c>
      <c r="I48" s="1">
        <v>0</v>
      </c>
      <c r="J48" s="1">
        <v>0</v>
      </c>
      <c r="K48" s="1">
        <v>0</v>
      </c>
      <c r="L48" s="1">
        <v>0.2348268167</v>
      </c>
      <c r="M48" s="1">
        <v>0.27484188250000002</v>
      </c>
      <c r="N48" s="1">
        <v>0.1542382836</v>
      </c>
      <c r="O48" s="1">
        <v>0</v>
      </c>
      <c r="P48" s="1">
        <v>0</v>
      </c>
      <c r="Q48" s="1">
        <v>0</v>
      </c>
    </row>
    <row r="49" spans="1:17">
      <c r="A49" s="2" t="s">
        <v>133</v>
      </c>
      <c r="B49" s="2" t="s">
        <v>9</v>
      </c>
      <c r="C49" s="5">
        <v>10708.98242</v>
      </c>
      <c r="D49" s="4">
        <v>74.061004639999993</v>
      </c>
      <c r="E49" s="4">
        <f t="shared" si="0"/>
        <v>25.938995360000007</v>
      </c>
      <c r="F49" s="1">
        <v>99.880591670000001</v>
      </c>
      <c r="G49" s="1">
        <v>99.902650929999993</v>
      </c>
      <c r="H49" s="1">
        <v>99.817599299999998</v>
      </c>
      <c r="I49" s="1">
        <v>0</v>
      </c>
      <c r="J49" s="1">
        <v>0</v>
      </c>
      <c r="K49" s="1">
        <v>0</v>
      </c>
      <c r="L49" s="1">
        <v>0.11940833250000001</v>
      </c>
      <c r="M49" s="1">
        <v>9.7349067900000003E-2</v>
      </c>
      <c r="N49" s="1">
        <v>0.18240069649999999</v>
      </c>
      <c r="O49" s="1">
        <v>0</v>
      </c>
      <c r="P49" s="1">
        <v>0</v>
      </c>
      <c r="Q49" s="1">
        <v>0</v>
      </c>
    </row>
    <row r="50" spans="1:17">
      <c r="A50" s="2" t="s">
        <v>164</v>
      </c>
      <c r="B50" s="2" t="s">
        <v>70</v>
      </c>
      <c r="C50" s="5">
        <v>25778.814450000002</v>
      </c>
      <c r="D50" s="4">
        <v>62.381000520000001</v>
      </c>
      <c r="E50" s="4">
        <f t="shared" si="0"/>
        <v>37.618999479999999</v>
      </c>
      <c r="F50" s="1">
        <v>93.843843030000002</v>
      </c>
      <c r="G50" s="1">
        <v>96.913510439999996</v>
      </c>
      <c r="H50" s="1">
        <v>88.753624880000004</v>
      </c>
      <c r="I50" s="1">
        <v>0.68313118719999999</v>
      </c>
      <c r="J50" s="1">
        <v>0.88014287989999995</v>
      </c>
      <c r="K50" s="1">
        <v>0.3564402606</v>
      </c>
      <c r="L50" s="1">
        <v>5.2096927800000001</v>
      </c>
      <c r="M50" s="1">
        <v>2.206346677</v>
      </c>
      <c r="N50" s="1">
        <v>10.189934859999999</v>
      </c>
      <c r="O50" s="1">
        <v>0.26333300580000002</v>
      </c>
      <c r="P50" s="1">
        <v>0</v>
      </c>
      <c r="Q50" s="1">
        <v>0.7</v>
      </c>
    </row>
    <row r="51" spans="1:17">
      <c r="A51" s="2" t="s">
        <v>202</v>
      </c>
      <c r="B51" s="2" t="s">
        <v>32</v>
      </c>
      <c r="C51" s="5">
        <v>89561.40625</v>
      </c>
      <c r="D51" s="4">
        <v>45.638000490000003</v>
      </c>
      <c r="E51" s="4">
        <f t="shared" si="0"/>
        <v>54.361999509999997</v>
      </c>
      <c r="F51" s="1">
        <v>45.952126960000001</v>
      </c>
      <c r="G51" s="1">
        <v>74.503354779999995</v>
      </c>
      <c r="H51" s="1">
        <v>21.98279234</v>
      </c>
      <c r="I51" s="1">
        <v>13.44122447</v>
      </c>
      <c r="J51" s="1">
        <v>14.34445818</v>
      </c>
      <c r="K51" s="1">
        <v>12.68294146</v>
      </c>
      <c r="L51" s="1">
        <v>32.542316069999998</v>
      </c>
      <c r="M51" s="1">
        <v>10.29905862</v>
      </c>
      <c r="N51" s="1">
        <v>51.215981669999998</v>
      </c>
      <c r="O51" s="1">
        <v>8.0643324950000004</v>
      </c>
      <c r="P51" s="1">
        <v>0.85312841309999998</v>
      </c>
      <c r="Q51" s="1">
        <v>14.11828453</v>
      </c>
    </row>
    <row r="52" spans="1:17">
      <c r="A52" s="2" t="s">
        <v>104</v>
      </c>
      <c r="B52" s="2" t="s">
        <v>9</v>
      </c>
      <c r="C52" s="5">
        <v>5792.203125</v>
      </c>
      <c r="D52" s="4">
        <v>88.116004939999996</v>
      </c>
      <c r="E52" s="4">
        <f t="shared" si="0"/>
        <v>11.883995060000004</v>
      </c>
      <c r="F52" s="1">
        <v>100.00000110000001</v>
      </c>
      <c r="G52" s="1">
        <v>100</v>
      </c>
      <c r="H52" s="1">
        <v>100</v>
      </c>
      <c r="I52" s="1">
        <v>0</v>
      </c>
      <c r="J52" s="1">
        <v>0</v>
      </c>
      <c r="K52" s="1">
        <v>0</v>
      </c>
      <c r="L52" s="1">
        <v>0</v>
      </c>
      <c r="M52" s="1">
        <v>0</v>
      </c>
      <c r="N52" s="1">
        <v>0</v>
      </c>
      <c r="O52" s="1">
        <v>0</v>
      </c>
      <c r="P52" s="1">
        <v>0</v>
      </c>
      <c r="Q52" s="1">
        <v>0</v>
      </c>
    </row>
    <row r="53" spans="1:17">
      <c r="A53" s="2" t="s">
        <v>60</v>
      </c>
      <c r="B53" s="2" t="s">
        <v>32</v>
      </c>
      <c r="C53" s="5">
        <v>988.00201419999996</v>
      </c>
      <c r="D53" s="4">
        <v>78.061996460000003</v>
      </c>
      <c r="E53" s="4">
        <f t="shared" si="0"/>
        <v>21.938003539999997</v>
      </c>
      <c r="F53" s="1">
        <v>76.049920209999996</v>
      </c>
      <c r="G53" s="1">
        <v>84.135014929999997</v>
      </c>
      <c r="H53" s="1">
        <v>47.280732929999999</v>
      </c>
      <c r="I53" s="1">
        <v>14.7574817</v>
      </c>
      <c r="J53" s="1">
        <v>15.51511107</v>
      </c>
      <c r="K53" s="1">
        <v>12.061610140000001</v>
      </c>
      <c r="L53" s="1">
        <v>7.0158760510000002</v>
      </c>
      <c r="M53" s="1">
        <v>0.34987400289999998</v>
      </c>
      <c r="N53" s="1">
        <v>30.735504679999998</v>
      </c>
      <c r="O53" s="1">
        <v>2.1767220379999999</v>
      </c>
      <c r="P53" s="1">
        <v>0</v>
      </c>
      <c r="Q53" s="1">
        <v>9.9221522489999998</v>
      </c>
    </row>
    <row r="54" spans="1:17">
      <c r="A54" s="2" t="s">
        <v>134</v>
      </c>
      <c r="B54" s="2" t="s">
        <v>12</v>
      </c>
      <c r="C54" s="5">
        <v>10847.9043</v>
      </c>
      <c r="D54" s="4">
        <v>82.540000919999997</v>
      </c>
      <c r="E54" s="4">
        <f t="shared" si="0"/>
        <v>17.459999080000003</v>
      </c>
      <c r="F54" s="1">
        <v>96.686811919999997</v>
      </c>
      <c r="G54" s="1">
        <v>98.036891580000002</v>
      </c>
      <c r="H54" s="1">
        <v>90.304464370000005</v>
      </c>
      <c r="I54" s="1">
        <v>0.46703865039999998</v>
      </c>
      <c r="J54" s="1">
        <v>0.27279203590000001</v>
      </c>
      <c r="K54" s="1">
        <v>1.3853155079999999</v>
      </c>
      <c r="L54" s="1">
        <v>1.2694287829999999</v>
      </c>
      <c r="M54" s="1">
        <v>1.3020733959999999</v>
      </c>
      <c r="N54" s="1">
        <v>1.1151181269999999</v>
      </c>
      <c r="O54" s="1">
        <v>1.5767206439999999</v>
      </c>
      <c r="P54" s="1">
        <v>0.38824299220000003</v>
      </c>
      <c r="Q54" s="1">
        <v>7.1951019909999996</v>
      </c>
    </row>
    <row r="55" spans="1:17">
      <c r="A55" s="2" t="s">
        <v>152</v>
      </c>
      <c r="B55" s="2" t="s">
        <v>12</v>
      </c>
      <c r="C55" s="5">
        <v>17643.060549999998</v>
      </c>
      <c r="D55" s="4">
        <v>64.166000370000006</v>
      </c>
      <c r="E55" s="4">
        <f t="shared" si="0"/>
        <v>35.833999629999994</v>
      </c>
      <c r="F55" s="1">
        <v>95.359763560000005</v>
      </c>
      <c r="G55" s="1">
        <v>100</v>
      </c>
      <c r="H55" s="1">
        <v>87.050744949999995</v>
      </c>
      <c r="I55" s="1">
        <v>3.451463449E-3</v>
      </c>
      <c r="J55" s="1">
        <v>0</v>
      </c>
      <c r="K55" s="1">
        <v>9.6318110219999996E-3</v>
      </c>
      <c r="L55" s="1">
        <v>2.6044853890000002</v>
      </c>
      <c r="M55" s="1">
        <v>0</v>
      </c>
      <c r="N55" s="1">
        <v>7.2681954900000001</v>
      </c>
      <c r="O55" s="1">
        <v>2.032299589</v>
      </c>
      <c r="P55" s="1">
        <v>0</v>
      </c>
      <c r="Q55" s="1">
        <v>5.6714277470000001</v>
      </c>
    </row>
    <row r="56" spans="1:17">
      <c r="A56" s="2" t="s">
        <v>204</v>
      </c>
      <c r="B56" s="2" t="s">
        <v>32</v>
      </c>
      <c r="C56" s="5">
        <v>102334.4063</v>
      </c>
      <c r="D56" s="4">
        <v>42.783000950000002</v>
      </c>
      <c r="E56" s="4">
        <f t="shared" si="0"/>
        <v>57.216999049999998</v>
      </c>
      <c r="F56" s="1">
        <v>99.440175960000005</v>
      </c>
      <c r="G56" s="1">
        <v>99.583731099999994</v>
      </c>
      <c r="H56" s="1">
        <v>99.332835149999994</v>
      </c>
      <c r="I56" s="1">
        <v>0.23760910860000001</v>
      </c>
      <c r="J56" s="1">
        <v>0.10610120670000001</v>
      </c>
      <c r="K56" s="1">
        <v>0.33594182239999998</v>
      </c>
      <c r="L56" s="1">
        <v>0.3222149265</v>
      </c>
      <c r="M56" s="1">
        <v>0.31016769430000002</v>
      </c>
      <c r="N56" s="1">
        <v>0.33122303190000002</v>
      </c>
      <c r="O56" s="1">
        <v>0</v>
      </c>
      <c r="P56" s="1">
        <v>0</v>
      </c>
      <c r="Q56" s="1">
        <v>0</v>
      </c>
    </row>
    <row r="57" spans="1:17">
      <c r="A57" s="2" t="s">
        <v>107</v>
      </c>
      <c r="B57" s="2" t="s">
        <v>32</v>
      </c>
      <c r="C57" s="5">
        <v>6486.201172</v>
      </c>
      <c r="D57" s="4">
        <v>73.444000239999994</v>
      </c>
      <c r="E57" s="4">
        <f t="shared" si="0"/>
        <v>26.555999760000006</v>
      </c>
      <c r="F57" s="1">
        <v>97.946575409999994</v>
      </c>
      <c r="G57" s="1">
        <v>99.570870009999993</v>
      </c>
      <c r="H57" s="1">
        <v>93.454395079999998</v>
      </c>
      <c r="I57" s="1">
        <v>0.20726323190000001</v>
      </c>
      <c r="J57" s="1">
        <v>0</v>
      </c>
      <c r="K57" s="1">
        <v>0.78047620490000003</v>
      </c>
      <c r="L57" s="1">
        <v>0.31517399689999998</v>
      </c>
      <c r="M57" s="1">
        <v>0.42912999439999999</v>
      </c>
      <c r="N57" s="1">
        <v>0</v>
      </c>
      <c r="O57" s="1">
        <v>1.530987366</v>
      </c>
      <c r="P57" s="1">
        <v>0</v>
      </c>
      <c r="Q57" s="1">
        <v>5.7651287120000001</v>
      </c>
    </row>
    <row r="58" spans="1:17">
      <c r="A58" s="2" t="s">
        <v>65</v>
      </c>
      <c r="B58" s="2" t="s">
        <v>9</v>
      </c>
      <c r="C58" s="5">
        <v>1326.5389399999999</v>
      </c>
      <c r="D58" s="4">
        <v>69.229003910000003</v>
      </c>
      <c r="E58" s="4">
        <f t="shared" si="0"/>
        <v>30.770996089999997</v>
      </c>
      <c r="F58" s="1">
        <v>99.59078178</v>
      </c>
      <c r="G58" s="1">
        <v>99.98545421</v>
      </c>
      <c r="H58" s="1" t="s">
        <v>1</v>
      </c>
      <c r="I58" s="1">
        <v>0</v>
      </c>
      <c r="J58" s="1">
        <v>0</v>
      </c>
      <c r="K58" s="1" t="s">
        <v>1</v>
      </c>
      <c r="L58" s="1">
        <v>0.40921822320000001</v>
      </c>
      <c r="M58" s="1">
        <v>1.454579307E-2</v>
      </c>
      <c r="N58" s="1" t="s">
        <v>1</v>
      </c>
      <c r="O58" s="1">
        <v>0</v>
      </c>
      <c r="P58" s="1">
        <v>0</v>
      </c>
      <c r="Q58" s="1" t="s">
        <v>1</v>
      </c>
    </row>
    <row r="59" spans="1:17">
      <c r="A59" s="2" t="s">
        <v>61</v>
      </c>
      <c r="B59" s="2" t="s">
        <v>32</v>
      </c>
      <c r="C59" s="5">
        <v>1160.1639399999999</v>
      </c>
      <c r="D59" s="4">
        <v>24.17100143</v>
      </c>
      <c r="E59" s="4">
        <f t="shared" si="0"/>
        <v>75.828998569999996</v>
      </c>
      <c r="F59" s="1">
        <v>70.753070949999994</v>
      </c>
      <c r="G59" s="1">
        <v>96.749763049999999</v>
      </c>
      <c r="H59" s="1">
        <v>62.466448739999997</v>
      </c>
      <c r="I59" s="1">
        <v>9.5070671630000003</v>
      </c>
      <c r="J59" s="1">
        <v>0.74606447310000001</v>
      </c>
      <c r="K59" s="1">
        <v>12.29969513</v>
      </c>
      <c r="L59" s="1">
        <v>9.8355679309999999</v>
      </c>
      <c r="M59" s="1">
        <v>1.6321642439999999</v>
      </c>
      <c r="N59" s="1">
        <v>12.45046093</v>
      </c>
      <c r="O59" s="1">
        <v>9.9042939590000003</v>
      </c>
      <c r="P59" s="1">
        <v>0.8720082294</v>
      </c>
      <c r="Q59" s="1">
        <v>12.78339519</v>
      </c>
    </row>
    <row r="60" spans="1:17">
      <c r="A60" s="2" t="s">
        <v>206</v>
      </c>
      <c r="B60" s="2" t="s">
        <v>70</v>
      </c>
      <c r="C60" s="5">
        <v>114963.58590000001</v>
      </c>
      <c r="D60" s="4">
        <v>21.69499969</v>
      </c>
      <c r="E60" s="4">
        <f t="shared" si="0"/>
        <v>78.305000309999997</v>
      </c>
      <c r="F60" s="1">
        <v>49.615572739999998</v>
      </c>
      <c r="G60" s="1">
        <v>84.212828160000001</v>
      </c>
      <c r="H60" s="1">
        <v>40.03013919</v>
      </c>
      <c r="I60" s="1">
        <v>26.740719639999998</v>
      </c>
      <c r="J60" s="1">
        <v>14.30300858</v>
      </c>
      <c r="K60" s="1">
        <v>30.186683339999998</v>
      </c>
      <c r="L60" s="1">
        <v>18.635060129999999</v>
      </c>
      <c r="M60" s="1">
        <v>1.0915823549999999</v>
      </c>
      <c r="N60" s="1">
        <v>23.49561327</v>
      </c>
      <c r="O60" s="1">
        <v>5.0086474860000001</v>
      </c>
      <c r="P60" s="1">
        <v>0.39258089600000001</v>
      </c>
      <c r="Q60" s="1">
        <v>6.2875642029999996</v>
      </c>
    </row>
    <row r="61" spans="1:17">
      <c r="A61" s="2" t="s">
        <v>21</v>
      </c>
      <c r="B61" s="2" t="s">
        <v>9</v>
      </c>
      <c r="C61" s="5">
        <v>48.865001679999999</v>
      </c>
      <c r="D61" s="4">
        <v>42.397998809999997</v>
      </c>
      <c r="E61" s="4">
        <f t="shared" si="0"/>
        <v>57.602001190000003</v>
      </c>
      <c r="F61" s="1">
        <v>100</v>
      </c>
      <c r="G61" s="1" t="s">
        <v>1</v>
      </c>
      <c r="H61" s="1" t="s">
        <v>1</v>
      </c>
      <c r="I61" s="1">
        <v>0</v>
      </c>
      <c r="J61" s="1" t="s">
        <v>1</v>
      </c>
      <c r="K61" s="1" t="s">
        <v>1</v>
      </c>
      <c r="L61" s="1">
        <v>0</v>
      </c>
      <c r="M61" s="1" t="s">
        <v>1</v>
      </c>
      <c r="N61" s="1" t="s">
        <v>1</v>
      </c>
      <c r="O61" s="1">
        <v>0</v>
      </c>
      <c r="P61" s="1" t="s">
        <v>1</v>
      </c>
      <c r="Q61" s="1" t="s">
        <v>1</v>
      </c>
    </row>
    <row r="62" spans="1:17">
      <c r="A62" s="2" t="s">
        <v>3</v>
      </c>
      <c r="B62" s="2" t="s">
        <v>1</v>
      </c>
      <c r="C62" s="5">
        <v>3.4830000399999999</v>
      </c>
      <c r="D62" s="4">
        <v>78.507995609999995</v>
      </c>
      <c r="E62" s="4">
        <f t="shared" si="0"/>
        <v>21.492004390000005</v>
      </c>
      <c r="F62" s="1">
        <v>95.308927400000002</v>
      </c>
      <c r="G62" s="1">
        <v>100</v>
      </c>
      <c r="H62" s="1">
        <v>78.172942820000003</v>
      </c>
      <c r="I62" s="1">
        <v>0</v>
      </c>
      <c r="J62" s="1">
        <v>0</v>
      </c>
      <c r="K62" s="1">
        <v>0</v>
      </c>
      <c r="L62" s="1">
        <v>4.6910725959999997</v>
      </c>
      <c r="M62" s="1">
        <v>0</v>
      </c>
      <c r="N62" s="1">
        <v>21.827057180000001</v>
      </c>
      <c r="O62" s="1">
        <v>0</v>
      </c>
      <c r="P62" s="1">
        <v>0</v>
      </c>
      <c r="Q62" s="1">
        <v>0</v>
      </c>
    </row>
    <row r="63" spans="1:17">
      <c r="A63" s="2" t="s">
        <v>59</v>
      </c>
      <c r="B63" s="2" t="s">
        <v>12</v>
      </c>
      <c r="C63" s="5">
        <v>896.44396970000003</v>
      </c>
      <c r="D63" s="4">
        <v>57.247005459999997</v>
      </c>
      <c r="E63" s="4">
        <f t="shared" si="0"/>
        <v>42.752994540000003</v>
      </c>
      <c r="F63" s="1">
        <v>94.30106524</v>
      </c>
      <c r="G63" s="1">
        <v>98.194244060000003</v>
      </c>
      <c r="H63" s="1">
        <v>89.088024050000001</v>
      </c>
      <c r="I63" s="1">
        <v>0</v>
      </c>
      <c r="J63" s="1">
        <v>0</v>
      </c>
      <c r="K63" s="1">
        <v>0</v>
      </c>
      <c r="L63" s="1">
        <v>3.3186027660000001</v>
      </c>
      <c r="M63" s="1">
        <v>1.495409344</v>
      </c>
      <c r="N63" s="1">
        <v>5.7598979379999999</v>
      </c>
      <c r="O63" s="1">
        <v>2.380331999</v>
      </c>
      <c r="P63" s="1">
        <v>0.31034659219999999</v>
      </c>
      <c r="Q63" s="1">
        <v>5.1520780119999996</v>
      </c>
    </row>
    <row r="64" spans="1:17">
      <c r="A64" s="2" t="s">
        <v>103</v>
      </c>
      <c r="B64" s="2" t="s">
        <v>9</v>
      </c>
      <c r="C64" s="5">
        <v>5540.7177730000003</v>
      </c>
      <c r="D64" s="4">
        <v>85.517005920000003</v>
      </c>
      <c r="E64" s="4">
        <f t="shared" si="0"/>
        <v>14.482994079999997</v>
      </c>
      <c r="F64" s="1">
        <v>100.0000033</v>
      </c>
      <c r="G64" s="1">
        <v>100</v>
      </c>
      <c r="H64" s="1">
        <v>100</v>
      </c>
      <c r="I64" s="1">
        <v>0</v>
      </c>
      <c r="J64" s="1">
        <v>0</v>
      </c>
      <c r="K64" s="1">
        <v>0</v>
      </c>
      <c r="L64" s="1">
        <v>0</v>
      </c>
      <c r="M64" s="1">
        <v>0</v>
      </c>
      <c r="N64" s="1">
        <v>0</v>
      </c>
      <c r="O64" s="1">
        <v>0</v>
      </c>
      <c r="P64" s="1">
        <v>0</v>
      </c>
      <c r="Q64" s="1">
        <v>0</v>
      </c>
    </row>
    <row r="65" spans="1:17">
      <c r="A65" s="2" t="s">
        <v>196</v>
      </c>
      <c r="B65" s="2" t="s">
        <v>9</v>
      </c>
      <c r="C65" s="5">
        <v>65273.511720000002</v>
      </c>
      <c r="D65" s="4">
        <v>80.974998470000003</v>
      </c>
      <c r="E65" s="4">
        <f t="shared" si="0"/>
        <v>19.025001529999997</v>
      </c>
      <c r="F65" s="1">
        <v>99.999998500000004</v>
      </c>
      <c r="G65" s="1">
        <v>100</v>
      </c>
      <c r="H65" s="1">
        <v>100</v>
      </c>
      <c r="I65" s="1">
        <v>0</v>
      </c>
      <c r="J65" s="1">
        <v>0</v>
      </c>
      <c r="K65" s="1">
        <v>0</v>
      </c>
      <c r="L65" s="1">
        <v>1.49610841E-6</v>
      </c>
      <c r="M65" s="1">
        <v>0</v>
      </c>
      <c r="N65" s="1">
        <v>0</v>
      </c>
      <c r="O65" s="1">
        <v>0</v>
      </c>
      <c r="P65" s="1">
        <v>0</v>
      </c>
      <c r="Q65" s="1">
        <v>0</v>
      </c>
    </row>
    <row r="66" spans="1:17">
      <c r="A66" s="2" t="s">
        <v>41</v>
      </c>
      <c r="B66" s="2" t="s">
        <v>1</v>
      </c>
      <c r="C66" s="5">
        <v>298.68200680000001</v>
      </c>
      <c r="D66" s="4">
        <v>85.819999690000003</v>
      </c>
      <c r="E66" s="4">
        <f t="shared" ref="E66:E129" si="1" xml:space="preserve"> 100 -(D66)</f>
        <v>14.180000309999997</v>
      </c>
      <c r="F66" s="1">
        <v>93.782216349999999</v>
      </c>
      <c r="G66" s="1" t="s">
        <v>1</v>
      </c>
      <c r="H66" s="1" t="s">
        <v>1</v>
      </c>
      <c r="I66" s="1">
        <v>0</v>
      </c>
      <c r="J66" s="1" t="s">
        <v>1</v>
      </c>
      <c r="K66" s="1" t="s">
        <v>1</v>
      </c>
      <c r="L66" s="1">
        <v>6.2177836519999996</v>
      </c>
      <c r="M66" s="1" t="s">
        <v>1</v>
      </c>
      <c r="N66" s="1" t="s">
        <v>1</v>
      </c>
      <c r="O66" s="1">
        <v>0</v>
      </c>
      <c r="P66" s="1" t="s">
        <v>1</v>
      </c>
      <c r="Q66" s="1" t="s">
        <v>1</v>
      </c>
    </row>
    <row r="67" spans="1:17">
      <c r="A67" s="2" t="s">
        <v>38</v>
      </c>
      <c r="B67" s="2" t="s">
        <v>9</v>
      </c>
      <c r="C67" s="5">
        <v>280.90399170000001</v>
      </c>
      <c r="D67" s="4">
        <v>61.975002289999999</v>
      </c>
      <c r="E67" s="4">
        <f t="shared" si="1"/>
        <v>38.024997710000001</v>
      </c>
      <c r="F67" s="1">
        <v>100</v>
      </c>
      <c r="G67" s="1" t="s">
        <v>1</v>
      </c>
      <c r="H67" s="1" t="s">
        <v>1</v>
      </c>
      <c r="I67" s="1">
        <v>0</v>
      </c>
      <c r="J67" s="1" t="s">
        <v>1</v>
      </c>
      <c r="K67" s="1" t="s">
        <v>1</v>
      </c>
      <c r="L67" s="1">
        <v>0</v>
      </c>
      <c r="M67" s="1" t="s">
        <v>1</v>
      </c>
      <c r="N67" s="1" t="s">
        <v>1</v>
      </c>
      <c r="O67" s="1">
        <v>0</v>
      </c>
      <c r="P67" s="1" t="s">
        <v>1</v>
      </c>
      <c r="Q67" s="1" t="s">
        <v>1</v>
      </c>
    </row>
    <row r="68" spans="1:17">
      <c r="A68" s="2" t="s">
        <v>74</v>
      </c>
      <c r="B68" s="2" t="s">
        <v>12</v>
      </c>
      <c r="C68" s="5">
        <v>2225.7280270000001</v>
      </c>
      <c r="D68" s="4">
        <v>90.092002870000002</v>
      </c>
      <c r="E68" s="4">
        <f t="shared" si="1"/>
        <v>9.9079971299999983</v>
      </c>
      <c r="F68" s="1">
        <v>85.341930599999998</v>
      </c>
      <c r="G68" s="1">
        <v>89.806539169999994</v>
      </c>
      <c r="H68" s="1">
        <v>44.745889009999999</v>
      </c>
      <c r="I68" s="1">
        <v>7.7352631030000003</v>
      </c>
      <c r="J68" s="1">
        <v>7.4299807600000003</v>
      </c>
      <c r="K68" s="1">
        <v>10.511148589999999</v>
      </c>
      <c r="L68" s="1">
        <v>6.9228083570000001</v>
      </c>
      <c r="M68" s="1">
        <v>2.7634800720000001</v>
      </c>
      <c r="N68" s="1">
        <v>44.742962400000003</v>
      </c>
      <c r="O68" s="1" t="s">
        <v>1</v>
      </c>
      <c r="P68" s="1" t="s">
        <v>1</v>
      </c>
      <c r="Q68" s="1" t="s">
        <v>1</v>
      </c>
    </row>
    <row r="69" spans="1:17">
      <c r="A69" s="2" t="s">
        <v>76</v>
      </c>
      <c r="B69" s="2" t="s">
        <v>70</v>
      </c>
      <c r="C69" s="5">
        <v>2416.6640630000002</v>
      </c>
      <c r="D69" s="4">
        <v>62.581996920000002</v>
      </c>
      <c r="E69" s="4">
        <f t="shared" si="1"/>
        <v>37.418003079999998</v>
      </c>
      <c r="F69" s="1">
        <v>80.940407140000005</v>
      </c>
      <c r="G69" s="1">
        <v>87.966904270000001</v>
      </c>
      <c r="H69" s="1">
        <v>69.18852321</v>
      </c>
      <c r="I69" s="1">
        <v>8.5973913910000004</v>
      </c>
      <c r="J69" s="1">
        <v>3.8736895219999998</v>
      </c>
      <c r="K69" s="1">
        <v>16.497832389999999</v>
      </c>
      <c r="L69" s="1">
        <v>10.352852070000001</v>
      </c>
      <c r="M69" s="1">
        <v>8.0264572780000005</v>
      </c>
      <c r="N69" s="1">
        <v>14.24376547</v>
      </c>
      <c r="O69" s="1">
        <v>0.10934939270000001</v>
      </c>
      <c r="P69" s="1">
        <v>0.13294892529999999</v>
      </c>
      <c r="Q69" s="1">
        <v>6.9878936799999999E-2</v>
      </c>
    </row>
    <row r="70" spans="1:17">
      <c r="A70" s="2" t="s">
        <v>87</v>
      </c>
      <c r="B70" s="2" t="s">
        <v>12</v>
      </c>
      <c r="C70" s="5">
        <v>3989.1750489999999</v>
      </c>
      <c r="D70" s="4">
        <v>59.452995299999998</v>
      </c>
      <c r="E70" s="4">
        <f t="shared" si="1"/>
        <v>40.547004700000002</v>
      </c>
      <c r="F70" s="1">
        <v>97.348139700000004</v>
      </c>
      <c r="G70" s="1">
        <v>99.446153940000002</v>
      </c>
      <c r="H70" s="1">
        <v>94.271884200000002</v>
      </c>
      <c r="I70" s="1">
        <v>0</v>
      </c>
      <c r="J70" s="1">
        <v>0</v>
      </c>
      <c r="K70" s="1">
        <v>0</v>
      </c>
      <c r="L70" s="1">
        <v>2.6327613790000002</v>
      </c>
      <c r="M70" s="1">
        <v>0.53822074200000003</v>
      </c>
      <c r="N70" s="1">
        <v>5.7039236180000001</v>
      </c>
      <c r="O70" s="1">
        <v>1.9098923269999998E-2</v>
      </c>
      <c r="P70" s="1">
        <v>1.5625315859999999E-2</v>
      </c>
      <c r="Q70" s="1">
        <v>2.4192183450000002E-2</v>
      </c>
    </row>
    <row r="71" spans="1:17">
      <c r="A71" s="2" t="s">
        <v>199</v>
      </c>
      <c r="B71" s="2" t="s">
        <v>9</v>
      </c>
      <c r="C71" s="5">
        <v>83783.945309999996</v>
      </c>
      <c r="D71" s="4">
        <v>77.453002929999997</v>
      </c>
      <c r="E71" s="4">
        <f t="shared" si="1"/>
        <v>22.546997070000003</v>
      </c>
      <c r="F71" s="1">
        <v>100.00000230000001</v>
      </c>
      <c r="G71" s="1">
        <v>100</v>
      </c>
      <c r="H71" s="1">
        <v>100</v>
      </c>
      <c r="I71" s="1">
        <v>0</v>
      </c>
      <c r="J71" s="1">
        <v>0</v>
      </c>
      <c r="K71" s="1">
        <v>0</v>
      </c>
      <c r="L71" s="1">
        <v>0</v>
      </c>
      <c r="M71" s="1">
        <v>0</v>
      </c>
      <c r="N71" s="1">
        <v>0</v>
      </c>
      <c r="O71" s="1">
        <v>0</v>
      </c>
      <c r="P71" s="1">
        <v>0</v>
      </c>
      <c r="Q71" s="1">
        <v>0</v>
      </c>
    </row>
    <row r="72" spans="1:17">
      <c r="A72" s="2" t="s">
        <v>171</v>
      </c>
      <c r="B72" s="2" t="s">
        <v>32</v>
      </c>
      <c r="C72" s="5">
        <v>31072.945309999999</v>
      </c>
      <c r="D72" s="4">
        <v>57.348999020000001</v>
      </c>
      <c r="E72" s="4">
        <f t="shared" si="1"/>
        <v>42.651000979999999</v>
      </c>
      <c r="F72" s="1">
        <v>85.790996649999997</v>
      </c>
      <c r="G72" s="1">
        <v>96.127259519999996</v>
      </c>
      <c r="H72" s="1">
        <v>71.892750050000004</v>
      </c>
      <c r="I72" s="1">
        <v>6.5860621129999997</v>
      </c>
      <c r="J72" s="1">
        <v>2.6083424549999998</v>
      </c>
      <c r="K72" s="1">
        <v>11.934548270000001</v>
      </c>
      <c r="L72" s="1">
        <v>2.8122161760000002</v>
      </c>
      <c r="M72" s="1">
        <v>1.1856138030000001</v>
      </c>
      <c r="N72" s="1">
        <v>4.9993564829999997</v>
      </c>
      <c r="O72" s="1">
        <v>4.8107250580000001</v>
      </c>
      <c r="P72" s="1">
        <v>7.8784218190000005E-2</v>
      </c>
      <c r="Q72" s="1">
        <v>11.173345189999999</v>
      </c>
    </row>
    <row r="73" spans="1:17">
      <c r="A73" s="2" t="s">
        <v>16</v>
      </c>
      <c r="B73" s="2" t="s">
        <v>9</v>
      </c>
      <c r="C73" s="5">
        <v>33.691001890000003</v>
      </c>
      <c r="D73" s="4">
        <v>100</v>
      </c>
      <c r="E73" s="4">
        <f t="shared" si="1"/>
        <v>0</v>
      </c>
      <c r="F73" s="1">
        <v>100</v>
      </c>
      <c r="G73" s="1">
        <v>100</v>
      </c>
      <c r="H73" s="1" t="s">
        <v>1</v>
      </c>
      <c r="I73" s="1">
        <v>0</v>
      </c>
      <c r="J73" s="1">
        <v>0</v>
      </c>
      <c r="K73" s="1" t="s">
        <v>1</v>
      </c>
      <c r="L73" s="1">
        <v>0</v>
      </c>
      <c r="M73" s="1">
        <v>0</v>
      </c>
      <c r="N73" s="1" t="s">
        <v>1</v>
      </c>
      <c r="O73" s="1">
        <v>0</v>
      </c>
      <c r="P73" s="1">
        <v>0</v>
      </c>
      <c r="Q73" s="1" t="s">
        <v>1</v>
      </c>
    </row>
    <row r="74" spans="1:17">
      <c r="A74" s="2" t="s">
        <v>132</v>
      </c>
      <c r="B74" s="2" t="s">
        <v>9</v>
      </c>
      <c r="C74" s="5">
        <v>10423.05566</v>
      </c>
      <c r="D74" s="4">
        <v>79.715003969999998</v>
      </c>
      <c r="E74" s="4">
        <f t="shared" si="1"/>
        <v>20.284996030000002</v>
      </c>
      <c r="F74" s="1">
        <v>100.00000230000001</v>
      </c>
      <c r="G74" s="1">
        <v>100</v>
      </c>
      <c r="H74" s="1">
        <v>100</v>
      </c>
      <c r="I74" s="1">
        <v>0</v>
      </c>
      <c r="J74" s="1">
        <v>0</v>
      </c>
      <c r="K74" s="1">
        <v>0</v>
      </c>
      <c r="L74" s="1">
        <v>0</v>
      </c>
      <c r="M74" s="1">
        <v>0</v>
      </c>
      <c r="N74" s="1">
        <v>0</v>
      </c>
      <c r="O74" s="1">
        <v>0</v>
      </c>
      <c r="P74" s="1">
        <v>0</v>
      </c>
      <c r="Q74" s="1">
        <v>0</v>
      </c>
    </row>
    <row r="75" spans="1:17">
      <c r="A75" s="2" t="s">
        <v>23</v>
      </c>
      <c r="B75" s="2" t="s">
        <v>9</v>
      </c>
      <c r="C75" s="5">
        <v>56.771999360000002</v>
      </c>
      <c r="D75" s="4">
        <v>87.282005310000002</v>
      </c>
      <c r="E75" s="4">
        <f t="shared" si="1"/>
        <v>12.717994689999998</v>
      </c>
      <c r="F75" s="1">
        <v>100.0000017</v>
      </c>
      <c r="G75" s="1">
        <v>100</v>
      </c>
      <c r="H75" s="1">
        <v>100</v>
      </c>
      <c r="I75" s="1">
        <v>0</v>
      </c>
      <c r="J75" s="1">
        <v>0</v>
      </c>
      <c r="K75" s="1">
        <v>0</v>
      </c>
      <c r="L75" s="1">
        <v>0</v>
      </c>
      <c r="M75" s="1">
        <v>0</v>
      </c>
      <c r="N75" s="1">
        <v>0</v>
      </c>
      <c r="O75" s="1">
        <v>0</v>
      </c>
      <c r="P75" s="1">
        <v>0</v>
      </c>
      <c r="Q75" s="1">
        <v>0</v>
      </c>
    </row>
    <row r="76" spans="1:17">
      <c r="A76" s="2" t="s">
        <v>46</v>
      </c>
      <c r="B76" s="2" t="s">
        <v>1</v>
      </c>
      <c r="C76" s="5">
        <v>400.12701420000002</v>
      </c>
      <c r="D76" s="4">
        <v>98.498992920000006</v>
      </c>
      <c r="E76" s="4">
        <f t="shared" si="1"/>
        <v>1.5010070799999937</v>
      </c>
      <c r="F76" s="1">
        <v>99.803126039999995</v>
      </c>
      <c r="G76" s="1" t="s">
        <v>1</v>
      </c>
      <c r="H76" s="1" t="s">
        <v>1</v>
      </c>
      <c r="I76" s="1">
        <v>0</v>
      </c>
      <c r="J76" s="1" t="s">
        <v>1</v>
      </c>
      <c r="K76" s="1" t="s">
        <v>1</v>
      </c>
      <c r="L76" s="1">
        <v>0.19687396130000001</v>
      </c>
      <c r="M76" s="1" t="s">
        <v>1</v>
      </c>
      <c r="N76" s="1" t="s">
        <v>1</v>
      </c>
      <c r="O76" s="1">
        <v>0</v>
      </c>
      <c r="P76" s="1" t="s">
        <v>1</v>
      </c>
      <c r="Q76" s="1" t="s">
        <v>1</v>
      </c>
    </row>
    <row r="77" spans="1:17">
      <c r="A77" s="2" t="s">
        <v>33</v>
      </c>
      <c r="B77" s="2" t="s">
        <v>9</v>
      </c>
      <c r="C77" s="5">
        <v>168.78300479999999</v>
      </c>
      <c r="D77" s="4">
        <v>94.938003539999997</v>
      </c>
      <c r="E77" s="4">
        <f t="shared" si="1"/>
        <v>5.0619964600000031</v>
      </c>
      <c r="F77" s="1">
        <v>99.6952</v>
      </c>
      <c r="G77" s="1" t="s">
        <v>1</v>
      </c>
      <c r="H77" s="1" t="s">
        <v>1</v>
      </c>
      <c r="I77" s="1">
        <v>0</v>
      </c>
      <c r="J77" s="1" t="s">
        <v>1</v>
      </c>
      <c r="K77" s="1" t="s">
        <v>1</v>
      </c>
      <c r="L77" s="1">
        <v>0.30480000000000002</v>
      </c>
      <c r="M77" s="1" t="s">
        <v>1</v>
      </c>
      <c r="N77" s="1" t="s">
        <v>1</v>
      </c>
      <c r="O77" s="1">
        <v>0</v>
      </c>
      <c r="P77" s="1" t="s">
        <v>1</v>
      </c>
      <c r="Q77" s="1" t="s">
        <v>1</v>
      </c>
    </row>
    <row r="78" spans="1:17">
      <c r="A78" s="2" t="s">
        <v>153</v>
      </c>
      <c r="B78" s="2" t="s">
        <v>12</v>
      </c>
      <c r="C78" s="5">
        <v>17915.566409999999</v>
      </c>
      <c r="D78" s="4">
        <v>51.835998539999999</v>
      </c>
      <c r="E78" s="4">
        <f t="shared" si="1"/>
        <v>48.164001460000001</v>
      </c>
      <c r="F78" s="1">
        <v>94.006428270000001</v>
      </c>
      <c r="G78" s="1">
        <v>97.618169440000003</v>
      </c>
      <c r="H78" s="1">
        <v>90.119329800000003</v>
      </c>
      <c r="I78" s="1">
        <v>1.034150511</v>
      </c>
      <c r="J78" s="1">
        <v>0.27686600569999997</v>
      </c>
      <c r="K78" s="1">
        <v>1.8491699989999999</v>
      </c>
      <c r="L78" s="1">
        <v>3.2159118150000001</v>
      </c>
      <c r="M78" s="1">
        <v>1.94525887</v>
      </c>
      <c r="N78" s="1">
        <v>4.5834386909999996</v>
      </c>
      <c r="O78" s="1">
        <v>1.7435094040000001</v>
      </c>
      <c r="P78" s="1">
        <v>0.15970568490000001</v>
      </c>
      <c r="Q78" s="1">
        <v>3.4480615079999999</v>
      </c>
    </row>
    <row r="79" spans="1:17">
      <c r="A79" s="2" t="s">
        <v>144</v>
      </c>
      <c r="B79" s="2" t="s">
        <v>70</v>
      </c>
      <c r="C79" s="5">
        <v>13132.79199</v>
      </c>
      <c r="D79" s="4">
        <v>36.875</v>
      </c>
      <c r="E79" s="4">
        <f t="shared" si="1"/>
        <v>63.125</v>
      </c>
      <c r="F79" s="1">
        <v>63.961788740000003</v>
      </c>
      <c r="G79" s="1">
        <v>86.581690069999993</v>
      </c>
      <c r="H79" s="1">
        <v>50.74817899</v>
      </c>
      <c r="I79" s="1">
        <v>21.281591500000001</v>
      </c>
      <c r="J79" s="1">
        <v>12.957241529999999</v>
      </c>
      <c r="K79" s="1">
        <v>26.14432944</v>
      </c>
      <c r="L79" s="1">
        <v>6.2961194059999999</v>
      </c>
      <c r="M79" s="1">
        <v>0.46106839799999999</v>
      </c>
      <c r="N79" s="1">
        <v>9.7047191430000002</v>
      </c>
      <c r="O79" s="1">
        <v>8.4605003540000006</v>
      </c>
      <c r="P79" s="1">
        <v>0</v>
      </c>
      <c r="Q79" s="1">
        <v>13.402772430000001</v>
      </c>
    </row>
    <row r="80" spans="1:17">
      <c r="A80" s="2" t="s">
        <v>69</v>
      </c>
      <c r="B80" s="2" t="s">
        <v>70</v>
      </c>
      <c r="C80" s="5">
        <v>1967.998047</v>
      </c>
      <c r="D80" s="4">
        <v>44.195999149999999</v>
      </c>
      <c r="E80" s="4">
        <f t="shared" si="1"/>
        <v>55.804000850000001</v>
      </c>
      <c r="F80" s="1">
        <v>59.016912210000001</v>
      </c>
      <c r="G80" s="1">
        <v>70.614347910000006</v>
      </c>
      <c r="H80" s="1">
        <v>49.831905300000003</v>
      </c>
      <c r="I80" s="1">
        <v>14.03457137</v>
      </c>
      <c r="J80" s="1">
        <v>20.03063358</v>
      </c>
      <c r="K80" s="1">
        <v>9.2857730259999993</v>
      </c>
      <c r="L80" s="1">
        <v>26.6263769</v>
      </c>
      <c r="M80" s="1">
        <v>9.3406252839999997</v>
      </c>
      <c r="N80" s="1">
        <v>40.316451290000003</v>
      </c>
      <c r="O80" s="1">
        <v>0.3221395192</v>
      </c>
      <c r="P80" s="1">
        <v>1.4393226929999999E-2</v>
      </c>
      <c r="Q80" s="1">
        <v>0.56587038450000005</v>
      </c>
    </row>
    <row r="81" spans="1:17">
      <c r="A81" s="2" t="s">
        <v>57</v>
      </c>
      <c r="B81" s="2" t="s">
        <v>12</v>
      </c>
      <c r="C81" s="5">
        <v>786.55902100000003</v>
      </c>
      <c r="D81" s="4">
        <v>26.7859993</v>
      </c>
      <c r="E81" s="4">
        <f t="shared" si="1"/>
        <v>73.2140007</v>
      </c>
      <c r="F81" s="1">
        <v>95.554806850000006</v>
      </c>
      <c r="G81" s="1">
        <v>100</v>
      </c>
      <c r="H81" s="1">
        <v>93.928490499999995</v>
      </c>
      <c r="I81" s="1">
        <v>1.205244408</v>
      </c>
      <c r="J81" s="1">
        <v>0</v>
      </c>
      <c r="K81" s="1">
        <v>1.6461938620000001</v>
      </c>
      <c r="L81" s="1">
        <v>1.143069849</v>
      </c>
      <c r="M81" s="1">
        <v>0</v>
      </c>
      <c r="N81" s="1">
        <v>1.5612748329999999</v>
      </c>
      <c r="O81" s="1">
        <v>2.0968788969999999</v>
      </c>
      <c r="P81" s="1">
        <v>0</v>
      </c>
      <c r="Q81" s="1">
        <v>2.864040809</v>
      </c>
    </row>
    <row r="82" spans="1:17">
      <c r="A82" s="2" t="s">
        <v>137</v>
      </c>
      <c r="B82" s="2" t="s">
        <v>32</v>
      </c>
      <c r="C82" s="5">
        <v>11402.5332</v>
      </c>
      <c r="D82" s="4">
        <v>57.087997440000002</v>
      </c>
      <c r="E82" s="4">
        <f t="shared" si="1"/>
        <v>42.912002559999998</v>
      </c>
      <c r="F82" s="1">
        <v>66.695308400000002</v>
      </c>
      <c r="G82" s="1">
        <v>84.622621289999998</v>
      </c>
      <c r="H82" s="1">
        <v>42.845700100000002</v>
      </c>
      <c r="I82" s="1">
        <v>9.8145436519999993</v>
      </c>
      <c r="J82" s="1">
        <v>7.2276738790000001</v>
      </c>
      <c r="K82" s="1">
        <v>13.25598695</v>
      </c>
      <c r="L82" s="1">
        <v>23.490147950000001</v>
      </c>
      <c r="M82" s="1">
        <v>8.1497048349999996</v>
      </c>
      <c r="N82" s="1">
        <v>43.898312949999998</v>
      </c>
      <c r="O82" s="1">
        <v>0</v>
      </c>
      <c r="P82" s="1">
        <v>0</v>
      </c>
      <c r="Q82" s="1">
        <v>0</v>
      </c>
    </row>
    <row r="83" spans="1:17">
      <c r="A83" s="2" t="s">
        <v>127</v>
      </c>
      <c r="B83" s="2" t="s">
        <v>32</v>
      </c>
      <c r="C83" s="5">
        <v>9904.6083980000003</v>
      </c>
      <c r="D83" s="4">
        <v>58.358997340000002</v>
      </c>
      <c r="E83" s="4">
        <f t="shared" si="1"/>
        <v>41.641002659999998</v>
      </c>
      <c r="F83" s="1">
        <v>95.689221130000007</v>
      </c>
      <c r="G83" s="1">
        <v>99.837282810000005</v>
      </c>
      <c r="H83" s="1">
        <v>89.875799549999996</v>
      </c>
      <c r="I83" s="1">
        <v>0.4256206085</v>
      </c>
      <c r="J83" s="1">
        <v>0.15370152619999999</v>
      </c>
      <c r="K83" s="1">
        <v>0.80670950789999996</v>
      </c>
      <c r="L83" s="1">
        <v>3.8851582640000002</v>
      </c>
      <c r="M83" s="1">
        <v>9.0156632960000007E-3</v>
      </c>
      <c r="N83" s="1">
        <v>9.3174909459999995</v>
      </c>
      <c r="O83" s="1">
        <v>0</v>
      </c>
      <c r="P83" s="1">
        <v>0</v>
      </c>
      <c r="Q83" s="1">
        <v>0</v>
      </c>
    </row>
    <row r="84" spans="1:17">
      <c r="A84" s="2" t="s">
        <v>125</v>
      </c>
      <c r="B84" s="2" t="s">
        <v>9</v>
      </c>
      <c r="C84" s="5">
        <v>9660.3496090000008</v>
      </c>
      <c r="D84" s="4">
        <v>71.942001340000004</v>
      </c>
      <c r="E84" s="4">
        <f t="shared" si="1"/>
        <v>28.057998659999996</v>
      </c>
      <c r="F84" s="1">
        <v>99.999997469999997</v>
      </c>
      <c r="G84" s="1">
        <v>100</v>
      </c>
      <c r="H84" s="1">
        <v>100</v>
      </c>
      <c r="I84" s="1">
        <v>0</v>
      </c>
      <c r="J84" s="1">
        <v>0</v>
      </c>
      <c r="K84" s="1">
        <v>0</v>
      </c>
      <c r="L84" s="1">
        <v>2.5272441919999999E-6</v>
      </c>
      <c r="M84" s="1">
        <v>0</v>
      </c>
      <c r="N84" s="1">
        <v>0</v>
      </c>
      <c r="O84" s="1">
        <v>0</v>
      </c>
      <c r="P84" s="1">
        <v>0</v>
      </c>
      <c r="Q84" s="1">
        <v>0</v>
      </c>
    </row>
    <row r="85" spans="1:17">
      <c r="A85" s="2" t="s">
        <v>43</v>
      </c>
      <c r="B85" s="2" t="s">
        <v>9</v>
      </c>
      <c r="C85" s="5">
        <v>341.25</v>
      </c>
      <c r="D85" s="4">
        <v>93.897994999999995</v>
      </c>
      <c r="E85" s="4">
        <f t="shared" si="1"/>
        <v>6.1020050000000055</v>
      </c>
      <c r="F85" s="1">
        <v>99.999997210000004</v>
      </c>
      <c r="G85" s="1">
        <v>100</v>
      </c>
      <c r="H85" s="1">
        <v>100</v>
      </c>
      <c r="I85" s="1">
        <v>0</v>
      </c>
      <c r="J85" s="1">
        <v>0</v>
      </c>
      <c r="K85" s="1">
        <v>0</v>
      </c>
      <c r="L85" s="1">
        <v>2.7946500150000002E-6</v>
      </c>
      <c r="M85" s="1">
        <v>0</v>
      </c>
      <c r="N85" s="1">
        <v>0</v>
      </c>
      <c r="O85" s="1">
        <v>0</v>
      </c>
      <c r="P85" s="1">
        <v>0</v>
      </c>
      <c r="Q85" s="1">
        <v>0</v>
      </c>
    </row>
    <row r="86" spans="1:17">
      <c r="A86" s="2" t="s">
        <v>216</v>
      </c>
      <c r="B86" s="2" t="s">
        <v>32</v>
      </c>
      <c r="C86" s="5">
        <v>1380004.375</v>
      </c>
      <c r="D86" s="4">
        <v>34.926002500000003</v>
      </c>
      <c r="E86" s="4">
        <f t="shared" si="1"/>
        <v>65.07399749999999</v>
      </c>
      <c r="F86" s="1">
        <v>90.489525029999996</v>
      </c>
      <c r="G86" s="1">
        <v>93.670036300000007</v>
      </c>
      <c r="H86" s="1">
        <v>88.782503129999995</v>
      </c>
      <c r="I86" s="1">
        <v>4.9836025619999997</v>
      </c>
      <c r="J86" s="1">
        <v>3.2720560270000001</v>
      </c>
      <c r="K86" s="1">
        <v>5.9022100540000002</v>
      </c>
      <c r="L86" s="1">
        <v>3.9631539450000002</v>
      </c>
      <c r="M86" s="1">
        <v>2.8206075230000001</v>
      </c>
      <c r="N86" s="1">
        <v>4.5763757299999996</v>
      </c>
      <c r="O86" s="1">
        <v>0.56371846260000003</v>
      </c>
      <c r="P86" s="1">
        <v>0.2373001538</v>
      </c>
      <c r="Q86" s="1">
        <v>0.73891108559999996</v>
      </c>
    </row>
    <row r="87" spans="1:17">
      <c r="A87" s="2" t="s">
        <v>214</v>
      </c>
      <c r="B87" s="2" t="s">
        <v>32</v>
      </c>
      <c r="C87" s="5">
        <v>273523.625</v>
      </c>
      <c r="D87" s="4">
        <v>56.640998840000002</v>
      </c>
      <c r="E87" s="4">
        <f t="shared" si="1"/>
        <v>43.359001159999998</v>
      </c>
      <c r="F87" s="1">
        <v>92.415349610000007</v>
      </c>
      <c r="G87" s="1">
        <v>97.580512069999997</v>
      </c>
      <c r="H87" s="1">
        <v>85.667962380000006</v>
      </c>
      <c r="I87" s="1">
        <v>0.85547463349999997</v>
      </c>
      <c r="J87" s="1">
        <v>0.60850983449999996</v>
      </c>
      <c r="K87" s="1">
        <v>1.1780912299999999</v>
      </c>
      <c r="L87" s="1">
        <v>5.553871666</v>
      </c>
      <c r="M87" s="1">
        <v>1.679615139</v>
      </c>
      <c r="N87" s="1">
        <v>10.61491462</v>
      </c>
      <c r="O87" s="1">
        <v>1.175304087</v>
      </c>
      <c r="P87" s="1">
        <v>0.13136295880000001</v>
      </c>
      <c r="Q87" s="1">
        <v>2.539031772</v>
      </c>
    </row>
    <row r="88" spans="1:17">
      <c r="A88" s="2" t="s">
        <v>200</v>
      </c>
      <c r="B88" s="2" t="s">
        <v>32</v>
      </c>
      <c r="C88" s="5">
        <v>83992.953129999994</v>
      </c>
      <c r="D88" s="4">
        <v>75.874000550000005</v>
      </c>
      <c r="E88" s="4">
        <f t="shared" si="1"/>
        <v>24.125999449999995</v>
      </c>
      <c r="F88" s="1">
        <v>97.482636330000005</v>
      </c>
      <c r="G88" s="1">
        <v>98.644486720000003</v>
      </c>
      <c r="H88" s="1">
        <v>93.828735379999998</v>
      </c>
      <c r="I88" s="1">
        <v>1.938311229</v>
      </c>
      <c r="J88" s="1">
        <v>1.1880066709999999</v>
      </c>
      <c r="K88" s="1">
        <v>4.2979487650000001</v>
      </c>
      <c r="L88" s="1">
        <v>0.51379736310000002</v>
      </c>
      <c r="M88" s="1">
        <v>0.1675066077</v>
      </c>
      <c r="N88" s="1">
        <v>1.602839669</v>
      </c>
      <c r="O88" s="1">
        <v>6.5255081849999994E-2</v>
      </c>
      <c r="P88" s="1">
        <v>0</v>
      </c>
      <c r="Q88" s="1">
        <v>0.27047619049999999</v>
      </c>
    </row>
    <row r="89" spans="1:17">
      <c r="A89" s="2" t="s">
        <v>182</v>
      </c>
      <c r="B89" s="2" t="s">
        <v>12</v>
      </c>
      <c r="C89" s="5">
        <v>40222.503909999999</v>
      </c>
      <c r="D89" s="4">
        <v>70.892997739999998</v>
      </c>
      <c r="E89" s="4">
        <f t="shared" si="1"/>
        <v>29.107002260000002</v>
      </c>
      <c r="F89" s="1">
        <v>98.359903250000002</v>
      </c>
      <c r="G89" s="1">
        <v>99.808731030000004</v>
      </c>
      <c r="H89" s="1">
        <v>94.831146779999997</v>
      </c>
      <c r="I89" s="1">
        <v>0.89216034950000001</v>
      </c>
      <c r="J89" s="1">
        <v>0.19126897000000001</v>
      </c>
      <c r="K89" s="1">
        <v>2.5992513389999998</v>
      </c>
      <c r="L89" s="1">
        <v>2.427900808E-6</v>
      </c>
      <c r="M89" s="1">
        <v>0</v>
      </c>
      <c r="N89" s="1">
        <v>0</v>
      </c>
      <c r="O89" s="1">
        <v>0.74793397129999994</v>
      </c>
      <c r="P89" s="1">
        <v>0</v>
      </c>
      <c r="Q89" s="1">
        <v>2.5696018770000002</v>
      </c>
    </row>
    <row r="90" spans="1:17">
      <c r="A90" s="2" t="s">
        <v>95</v>
      </c>
      <c r="B90" s="2" t="s">
        <v>9</v>
      </c>
      <c r="C90" s="5">
        <v>4937.7958980000003</v>
      </c>
      <c r="D90" s="4">
        <v>63.652999880000003</v>
      </c>
      <c r="E90" s="4">
        <f t="shared" si="1"/>
        <v>36.347000119999997</v>
      </c>
      <c r="F90" s="1">
        <v>97.399706510000001</v>
      </c>
      <c r="G90" s="1">
        <v>96.979886030000003</v>
      </c>
      <c r="H90" s="1">
        <v>98.134920750000006</v>
      </c>
      <c r="I90" s="1">
        <v>0</v>
      </c>
      <c r="J90" s="1">
        <v>0</v>
      </c>
      <c r="K90" s="1">
        <v>0</v>
      </c>
      <c r="L90" s="1">
        <v>2.6002934849999999</v>
      </c>
      <c r="M90" s="1">
        <v>3.0201139659999998</v>
      </c>
      <c r="N90" s="1">
        <v>1.8650792469999999</v>
      </c>
      <c r="O90" s="1">
        <v>0</v>
      </c>
      <c r="P90" s="1">
        <v>0</v>
      </c>
      <c r="Q90" s="1">
        <v>0</v>
      </c>
    </row>
    <row r="91" spans="1:17">
      <c r="A91" s="2" t="s">
        <v>28</v>
      </c>
      <c r="B91" s="2" t="s">
        <v>9</v>
      </c>
      <c r="C91" s="5">
        <v>85.031997680000003</v>
      </c>
      <c r="D91" s="4">
        <v>52.89800262</v>
      </c>
      <c r="E91" s="4">
        <f t="shared" si="1"/>
        <v>47.10199738</v>
      </c>
      <c r="F91" s="1">
        <v>99.075000000000003</v>
      </c>
      <c r="G91" s="1" t="s">
        <v>1</v>
      </c>
      <c r="H91" s="1" t="s">
        <v>1</v>
      </c>
      <c r="I91" s="1">
        <v>0</v>
      </c>
      <c r="J91" s="1" t="s">
        <v>1</v>
      </c>
      <c r="K91" s="1" t="s">
        <v>1</v>
      </c>
      <c r="L91" s="1">
        <v>0.92500000000000004</v>
      </c>
      <c r="M91" s="1" t="s">
        <v>1</v>
      </c>
      <c r="N91" s="1" t="s">
        <v>1</v>
      </c>
      <c r="O91" s="1">
        <v>0</v>
      </c>
      <c r="P91" s="1" t="s">
        <v>1</v>
      </c>
      <c r="Q91" s="1" t="s">
        <v>1</v>
      </c>
    </row>
    <row r="92" spans="1:17">
      <c r="A92" s="2" t="s">
        <v>119</v>
      </c>
      <c r="B92" s="2" t="s">
        <v>9</v>
      </c>
      <c r="C92" s="5">
        <v>8655.5410159999992</v>
      </c>
      <c r="D92" s="4">
        <v>92.58699799</v>
      </c>
      <c r="E92" s="4">
        <f t="shared" si="1"/>
        <v>7.4130020099999996</v>
      </c>
      <c r="F92" s="1">
        <v>100</v>
      </c>
      <c r="G92" s="1">
        <v>100</v>
      </c>
      <c r="H92" s="1">
        <v>100</v>
      </c>
      <c r="I92" s="1">
        <v>0</v>
      </c>
      <c r="J92" s="1">
        <v>0</v>
      </c>
      <c r="K92" s="1">
        <v>0</v>
      </c>
      <c r="L92" s="1">
        <v>0</v>
      </c>
      <c r="M92" s="1">
        <v>0</v>
      </c>
      <c r="N92" s="1">
        <v>0</v>
      </c>
      <c r="O92" s="1">
        <v>0</v>
      </c>
      <c r="P92" s="1">
        <v>0</v>
      </c>
      <c r="Q92" s="1">
        <v>0</v>
      </c>
    </row>
    <row r="93" spans="1:17">
      <c r="A93" s="2" t="s">
        <v>195</v>
      </c>
      <c r="B93" s="2" t="s">
        <v>9</v>
      </c>
      <c r="C93" s="5">
        <v>60461.828130000002</v>
      </c>
      <c r="D93" s="4">
        <v>71.038993840000003</v>
      </c>
      <c r="E93" s="4">
        <f t="shared" si="1"/>
        <v>28.961006159999997</v>
      </c>
      <c r="F93" s="1">
        <v>99.91703407</v>
      </c>
      <c r="G93" s="1" t="s">
        <v>1</v>
      </c>
      <c r="H93" s="1" t="s">
        <v>1</v>
      </c>
      <c r="I93" s="1">
        <v>0</v>
      </c>
      <c r="J93" s="1" t="s">
        <v>1</v>
      </c>
      <c r="K93" s="1" t="s">
        <v>1</v>
      </c>
      <c r="L93" s="1">
        <v>8.2965925910000002E-2</v>
      </c>
      <c r="M93" s="1" t="s">
        <v>1</v>
      </c>
      <c r="N93" s="1" t="s">
        <v>1</v>
      </c>
      <c r="O93" s="1">
        <v>0</v>
      </c>
      <c r="P93" s="1" t="s">
        <v>1</v>
      </c>
      <c r="Q93" s="1" t="s">
        <v>1</v>
      </c>
    </row>
    <row r="94" spans="1:17">
      <c r="A94" s="2" t="s">
        <v>82</v>
      </c>
      <c r="B94" s="2" t="s">
        <v>12</v>
      </c>
      <c r="C94" s="5">
        <v>2961.1608890000002</v>
      </c>
      <c r="D94" s="4">
        <v>56.311000819999997</v>
      </c>
      <c r="E94" s="4">
        <f t="shared" si="1"/>
        <v>43.688999180000003</v>
      </c>
      <c r="F94" s="1">
        <v>91.029944499999999</v>
      </c>
      <c r="G94" s="1">
        <v>95.398015909999998</v>
      </c>
      <c r="H94" s="1">
        <v>85.39991216</v>
      </c>
      <c r="I94" s="1">
        <v>5.3675709139999999</v>
      </c>
      <c r="J94" s="1">
        <v>2.944456223</v>
      </c>
      <c r="K94" s="1">
        <v>8.4907373709999998</v>
      </c>
      <c r="L94" s="1">
        <v>1.8640102030000001</v>
      </c>
      <c r="M94" s="1">
        <v>1.317064322</v>
      </c>
      <c r="N94" s="1">
        <v>2.5689718949999998</v>
      </c>
      <c r="O94" s="1">
        <v>1.7384743789999999</v>
      </c>
      <c r="P94" s="1">
        <v>0.34046355</v>
      </c>
      <c r="Q94" s="1">
        <v>3.540378574</v>
      </c>
    </row>
    <row r="95" spans="1:17">
      <c r="A95" s="2" t="s">
        <v>207</v>
      </c>
      <c r="B95" s="2" t="s">
        <v>9</v>
      </c>
      <c r="C95" s="5">
        <v>126476.46090000001</v>
      </c>
      <c r="D95" s="4">
        <v>91.781997680000003</v>
      </c>
      <c r="E95" s="4">
        <f t="shared" si="1"/>
        <v>8.2180023199999965</v>
      </c>
      <c r="F95" s="1">
        <v>99.078912450000004</v>
      </c>
      <c r="G95" s="1" t="s">
        <v>1</v>
      </c>
      <c r="H95" s="1" t="s">
        <v>1</v>
      </c>
      <c r="I95" s="1">
        <v>0</v>
      </c>
      <c r="J95" s="1" t="s">
        <v>1</v>
      </c>
      <c r="K95" s="1" t="s">
        <v>1</v>
      </c>
      <c r="L95" s="1">
        <v>0.92108754670000004</v>
      </c>
      <c r="M95" s="1" t="s">
        <v>1</v>
      </c>
      <c r="N95" s="1" t="s">
        <v>1</v>
      </c>
      <c r="O95" s="1">
        <v>0</v>
      </c>
      <c r="P95" s="1" t="s">
        <v>1</v>
      </c>
      <c r="Q95" s="1" t="s">
        <v>1</v>
      </c>
    </row>
    <row r="96" spans="1:17">
      <c r="A96" s="2" t="s">
        <v>131</v>
      </c>
      <c r="B96" s="2" t="s">
        <v>12</v>
      </c>
      <c r="C96" s="5">
        <v>10203.139649999999</v>
      </c>
      <c r="D96" s="4">
        <v>91.417999269999996</v>
      </c>
      <c r="E96" s="4">
        <f t="shared" si="1"/>
        <v>8.5820007300000043</v>
      </c>
      <c r="F96" s="1">
        <v>98.940302959999997</v>
      </c>
      <c r="G96" s="1">
        <v>99.093212589999993</v>
      </c>
      <c r="H96" s="1">
        <v>97.311478690000001</v>
      </c>
      <c r="I96" s="1">
        <v>0.1462147369</v>
      </c>
      <c r="J96" s="1">
        <v>0.1013669408</v>
      </c>
      <c r="K96" s="1">
        <v>0.62394659450000001</v>
      </c>
      <c r="L96" s="1">
        <v>0.8536474704</v>
      </c>
      <c r="M96" s="1">
        <v>0.74371047069999996</v>
      </c>
      <c r="N96" s="1">
        <v>2.0247147160000001</v>
      </c>
      <c r="O96" s="1">
        <v>5.9834831790000001E-2</v>
      </c>
      <c r="P96" s="1">
        <v>6.1710000000000001E-2</v>
      </c>
      <c r="Q96" s="1">
        <v>3.986E-2</v>
      </c>
    </row>
    <row r="97" spans="1:17">
      <c r="A97" s="2" t="s">
        <v>155</v>
      </c>
      <c r="B97" s="2" t="s">
        <v>12</v>
      </c>
      <c r="C97" s="5">
        <v>18776.707030000001</v>
      </c>
      <c r="D97" s="4">
        <v>57.671001429999997</v>
      </c>
      <c r="E97" s="4">
        <f t="shared" si="1"/>
        <v>42.328998570000003</v>
      </c>
      <c r="F97" s="1">
        <v>95.434970320000005</v>
      </c>
      <c r="G97" s="1">
        <v>98.000731329999994</v>
      </c>
      <c r="H97" s="1">
        <v>91.939252339999996</v>
      </c>
      <c r="I97" s="1">
        <v>1.9414250390000001</v>
      </c>
      <c r="J97" s="1">
        <v>1.999268673</v>
      </c>
      <c r="K97" s="1">
        <v>1.862616064</v>
      </c>
      <c r="L97" s="1">
        <v>2.5459569339999999</v>
      </c>
      <c r="M97" s="1">
        <v>0</v>
      </c>
      <c r="N97" s="1">
        <v>6.0146930489999999</v>
      </c>
      <c r="O97" s="1">
        <v>7.7647704710000001E-2</v>
      </c>
      <c r="P97" s="1">
        <v>0</v>
      </c>
      <c r="Q97" s="1">
        <v>0.18343854379999999</v>
      </c>
    </row>
    <row r="98" spans="1:17">
      <c r="A98" s="2" t="s">
        <v>191</v>
      </c>
      <c r="B98" s="2" t="s">
        <v>32</v>
      </c>
      <c r="C98" s="5">
        <v>53771.300779999998</v>
      </c>
      <c r="D98" s="4">
        <v>27.994998930000001</v>
      </c>
      <c r="E98" s="4">
        <f t="shared" si="1"/>
        <v>72.005001069999992</v>
      </c>
      <c r="F98" s="1">
        <v>61.632891579999999</v>
      </c>
      <c r="G98" s="1">
        <v>86.975231449999995</v>
      </c>
      <c r="H98" s="1">
        <v>51.779978929999999</v>
      </c>
      <c r="I98" s="1">
        <v>9.54187005</v>
      </c>
      <c r="J98" s="1">
        <v>4.327944725</v>
      </c>
      <c r="K98" s="1">
        <v>11.569004189999999</v>
      </c>
      <c r="L98" s="1">
        <v>9.7800875240000007</v>
      </c>
      <c r="M98" s="1">
        <v>2.7351426299999999</v>
      </c>
      <c r="N98" s="1">
        <v>12.519113219999999</v>
      </c>
      <c r="O98" s="1">
        <v>19.045150840000002</v>
      </c>
      <c r="P98" s="1">
        <v>5.9616811930000004</v>
      </c>
      <c r="Q98" s="1">
        <v>24.131903659999999</v>
      </c>
    </row>
    <row r="99" spans="1:17">
      <c r="A99" s="2" t="s">
        <v>31</v>
      </c>
      <c r="B99" s="2" t="s">
        <v>32</v>
      </c>
      <c r="C99" s="5">
        <v>119.44599909999999</v>
      </c>
      <c r="D99" s="4">
        <v>55.593997960000003</v>
      </c>
      <c r="E99" s="4">
        <f t="shared" si="1"/>
        <v>44.406002039999997</v>
      </c>
      <c r="F99" s="1">
        <v>77.970920849999999</v>
      </c>
      <c r="G99" s="1">
        <v>91.531174849999999</v>
      </c>
      <c r="H99" s="1">
        <v>60.99418489</v>
      </c>
      <c r="I99" s="1">
        <v>4.0768996250000002</v>
      </c>
      <c r="J99" s="1">
        <v>5.6586664610000001</v>
      </c>
      <c r="K99" s="1">
        <v>2.0966097989999999</v>
      </c>
      <c r="L99" s="1">
        <v>17.952179529999999</v>
      </c>
      <c r="M99" s="1">
        <v>2.8101586909999998</v>
      </c>
      <c r="N99" s="1">
        <v>36.909205319999998</v>
      </c>
      <c r="O99" s="1">
        <v>0</v>
      </c>
      <c r="P99" s="1">
        <v>0</v>
      </c>
      <c r="Q99" s="1">
        <v>0</v>
      </c>
    </row>
    <row r="100" spans="1:17">
      <c r="A100" s="2" t="s">
        <v>90</v>
      </c>
      <c r="B100" s="2" t="s">
        <v>9</v>
      </c>
      <c r="C100" s="5">
        <v>4270.5629879999997</v>
      </c>
      <c r="D100" s="4">
        <v>100</v>
      </c>
      <c r="E100" s="4">
        <f t="shared" si="1"/>
        <v>0</v>
      </c>
      <c r="F100" s="1">
        <v>100</v>
      </c>
      <c r="G100" s="1" t="s">
        <v>1</v>
      </c>
      <c r="H100" s="1" t="s">
        <v>1</v>
      </c>
      <c r="I100" s="1">
        <v>0</v>
      </c>
      <c r="J100" s="1" t="s">
        <v>1</v>
      </c>
      <c r="K100" s="1" t="s">
        <v>1</v>
      </c>
      <c r="L100" s="1">
        <v>0</v>
      </c>
      <c r="M100" s="1" t="s">
        <v>1</v>
      </c>
      <c r="N100" s="1" t="s">
        <v>1</v>
      </c>
      <c r="O100" s="1">
        <v>0</v>
      </c>
      <c r="P100" s="1" t="s">
        <v>1</v>
      </c>
      <c r="Q100" s="1" t="s">
        <v>1</v>
      </c>
    </row>
    <row r="101" spans="1:17">
      <c r="A101" s="2" t="s">
        <v>108</v>
      </c>
      <c r="B101" s="2" t="s">
        <v>1</v>
      </c>
      <c r="C101" s="5">
        <v>6524.1909180000002</v>
      </c>
      <c r="D101" s="4">
        <v>36.855998990000003</v>
      </c>
      <c r="E101" s="4">
        <f t="shared" si="1"/>
        <v>63.144001009999997</v>
      </c>
      <c r="F101" s="1">
        <v>91.699305219999999</v>
      </c>
      <c r="G101" s="1">
        <v>99.307692309999993</v>
      </c>
      <c r="H101" s="1">
        <v>87.258429000000007</v>
      </c>
      <c r="I101" s="1">
        <v>1.900734111</v>
      </c>
      <c r="J101" s="1">
        <v>0.6923076923</v>
      </c>
      <c r="K101" s="1">
        <v>2.606070485</v>
      </c>
      <c r="L101" s="1">
        <v>1.8656486999999999</v>
      </c>
      <c r="M101" s="1">
        <v>0</v>
      </c>
      <c r="N101" s="1">
        <v>2.9545936840000002</v>
      </c>
      <c r="O101" s="1">
        <v>4.5343119649999997</v>
      </c>
      <c r="P101" s="1">
        <v>0</v>
      </c>
      <c r="Q101" s="1">
        <v>7.1809068319999998</v>
      </c>
    </row>
    <row r="102" spans="1:17">
      <c r="A102" s="2" t="s">
        <v>114</v>
      </c>
      <c r="B102" s="2" t="s">
        <v>32</v>
      </c>
      <c r="C102" s="5">
        <v>7275.5561520000001</v>
      </c>
      <c r="D102" s="4">
        <v>36.290000919999997</v>
      </c>
      <c r="E102" s="4">
        <f t="shared" si="1"/>
        <v>63.709999080000003</v>
      </c>
      <c r="F102" s="1">
        <v>85.219743179999995</v>
      </c>
      <c r="G102" s="1">
        <v>97.064262220000003</v>
      </c>
      <c r="H102" s="1">
        <v>78.472959419999995</v>
      </c>
      <c r="I102" s="1">
        <v>3.566857739</v>
      </c>
      <c r="J102" s="1">
        <v>0</v>
      </c>
      <c r="K102" s="1">
        <v>5.5985837859999998</v>
      </c>
      <c r="L102" s="1">
        <v>10.62886799</v>
      </c>
      <c r="M102" s="1">
        <v>2.935737778</v>
      </c>
      <c r="N102" s="1">
        <v>15.010969599999999</v>
      </c>
      <c r="O102" s="1">
        <v>0.58453109380000001</v>
      </c>
      <c r="P102" s="1">
        <v>0</v>
      </c>
      <c r="Q102" s="1">
        <v>0.91748719570000004</v>
      </c>
    </row>
    <row r="103" spans="1:17">
      <c r="A103" s="2" t="s">
        <v>68</v>
      </c>
      <c r="B103" s="2" t="s">
        <v>9</v>
      </c>
      <c r="C103" s="5">
        <v>1886.2020259999999</v>
      </c>
      <c r="D103" s="4">
        <v>68.315002440000001</v>
      </c>
      <c r="E103" s="4">
        <f t="shared" si="1"/>
        <v>31.684997559999999</v>
      </c>
      <c r="F103" s="1">
        <v>98.782601150000005</v>
      </c>
      <c r="G103" s="1">
        <v>98.876924689999996</v>
      </c>
      <c r="H103" s="1">
        <v>98.579223139999996</v>
      </c>
      <c r="I103" s="1">
        <v>0.68230074240000005</v>
      </c>
      <c r="J103" s="1">
        <v>0.99875681510000003</v>
      </c>
      <c r="K103" s="1">
        <v>0</v>
      </c>
      <c r="L103" s="1">
        <v>0.53509810369999999</v>
      </c>
      <c r="M103" s="1">
        <v>0.1243184908</v>
      </c>
      <c r="N103" s="1">
        <v>1.4207768599999999</v>
      </c>
      <c r="O103" s="1">
        <v>0</v>
      </c>
      <c r="P103" s="1">
        <v>0</v>
      </c>
      <c r="Q103" s="1">
        <v>0</v>
      </c>
    </row>
    <row r="104" spans="1:17">
      <c r="A104" s="2" t="s">
        <v>110</v>
      </c>
      <c r="B104" s="2" t="s">
        <v>32</v>
      </c>
      <c r="C104" s="5">
        <v>6825.4418949999999</v>
      </c>
      <c r="D104" s="4">
        <v>88.924995420000002</v>
      </c>
      <c r="E104" s="4">
        <f t="shared" si="1"/>
        <v>11.075004579999998</v>
      </c>
      <c r="F104" s="1">
        <v>92.6</v>
      </c>
      <c r="G104" s="1" t="s">
        <v>1</v>
      </c>
      <c r="H104" s="1" t="s">
        <v>1</v>
      </c>
      <c r="I104" s="1">
        <v>7.4</v>
      </c>
      <c r="J104" s="1" t="s">
        <v>1</v>
      </c>
      <c r="K104" s="1" t="s">
        <v>1</v>
      </c>
      <c r="L104" s="1">
        <v>0</v>
      </c>
      <c r="M104" s="1" t="s">
        <v>1</v>
      </c>
      <c r="N104" s="1" t="s">
        <v>1</v>
      </c>
      <c r="O104" s="1">
        <v>0</v>
      </c>
      <c r="P104" s="1" t="s">
        <v>1</v>
      </c>
      <c r="Q104" s="1" t="s">
        <v>1</v>
      </c>
    </row>
    <row r="105" spans="1:17">
      <c r="A105" s="2" t="s">
        <v>73</v>
      </c>
      <c r="B105" s="2" t="s">
        <v>32</v>
      </c>
      <c r="C105" s="5">
        <v>2142.251953</v>
      </c>
      <c r="D105" s="4">
        <v>29.027999879999999</v>
      </c>
      <c r="E105" s="4">
        <f t="shared" si="1"/>
        <v>70.972000120000004</v>
      </c>
      <c r="F105" s="1">
        <v>72.176039270000004</v>
      </c>
      <c r="G105" s="1">
        <v>93.020908550000001</v>
      </c>
      <c r="H105" s="1">
        <v>63.650354819999997</v>
      </c>
      <c r="I105" s="1">
        <v>10.40592597</v>
      </c>
      <c r="J105" s="1">
        <v>2.698211997</v>
      </c>
      <c r="K105" s="1">
        <v>13.55843013</v>
      </c>
      <c r="L105" s="1">
        <v>12.21725464</v>
      </c>
      <c r="M105" s="1">
        <v>3.625530038</v>
      </c>
      <c r="N105" s="1">
        <v>15.73132479</v>
      </c>
      <c r="O105" s="1">
        <v>5.2007801159999998</v>
      </c>
      <c r="P105" s="1">
        <v>0.65534941999999996</v>
      </c>
      <c r="Q105" s="1">
        <v>7.0598902539999999</v>
      </c>
    </row>
    <row r="106" spans="1:17">
      <c r="A106" s="2" t="s">
        <v>96</v>
      </c>
      <c r="B106" s="2" t="s">
        <v>70</v>
      </c>
      <c r="C106" s="5">
        <v>5057.6767579999996</v>
      </c>
      <c r="D106" s="4">
        <v>52.088996889999997</v>
      </c>
      <c r="E106" s="4">
        <f t="shared" si="1"/>
        <v>47.911003110000003</v>
      </c>
      <c r="F106" s="1">
        <v>75.261791590000001</v>
      </c>
      <c r="G106" s="1">
        <v>85.528109630000003</v>
      </c>
      <c r="H106" s="1">
        <v>64.100216889999999</v>
      </c>
      <c r="I106" s="1">
        <v>8.7006574749999999</v>
      </c>
      <c r="J106" s="1">
        <v>10.69005698</v>
      </c>
      <c r="K106" s="1">
        <v>6.5377757970000001</v>
      </c>
      <c r="L106" s="1">
        <v>3.488080869</v>
      </c>
      <c r="M106" s="1">
        <v>3.58408039</v>
      </c>
      <c r="N106" s="1">
        <v>3.3837098750000001</v>
      </c>
      <c r="O106" s="1">
        <v>12.549470060000001</v>
      </c>
      <c r="P106" s="1">
        <v>0.19775300060000001</v>
      </c>
      <c r="Q106" s="1">
        <v>25.978297439999999</v>
      </c>
    </row>
    <row r="107" spans="1:17">
      <c r="A107" s="2" t="s">
        <v>111</v>
      </c>
      <c r="B107" s="2" t="s">
        <v>12</v>
      </c>
      <c r="C107" s="5">
        <v>6871.2871089999999</v>
      </c>
      <c r="D107" s="4">
        <v>80.691001889999995</v>
      </c>
      <c r="E107" s="4">
        <f t="shared" si="1"/>
        <v>19.308998110000005</v>
      </c>
      <c r="F107" s="1">
        <v>99.891523800000002</v>
      </c>
      <c r="G107" s="1" t="s">
        <v>1</v>
      </c>
      <c r="H107" s="1" t="s">
        <v>1</v>
      </c>
      <c r="I107" s="1">
        <v>0</v>
      </c>
      <c r="J107" s="1" t="s">
        <v>1</v>
      </c>
      <c r="K107" s="1" t="s">
        <v>1</v>
      </c>
      <c r="L107" s="1">
        <v>0.1084762012</v>
      </c>
      <c r="M107" s="1" t="s">
        <v>1</v>
      </c>
      <c r="N107" s="1" t="s">
        <v>1</v>
      </c>
      <c r="O107" s="1">
        <v>0</v>
      </c>
      <c r="P107" s="1" t="s">
        <v>1</v>
      </c>
      <c r="Q107" s="1" t="s">
        <v>1</v>
      </c>
    </row>
    <row r="108" spans="1:17">
      <c r="A108" s="2" t="s">
        <v>18</v>
      </c>
      <c r="B108" s="2" t="s">
        <v>9</v>
      </c>
      <c r="C108" s="5">
        <v>38.137001040000001</v>
      </c>
      <c r="D108" s="4">
        <v>14.416000370000001</v>
      </c>
      <c r="E108" s="4">
        <f t="shared" si="1"/>
        <v>85.583999629999994</v>
      </c>
      <c r="F108" s="1">
        <v>100</v>
      </c>
      <c r="G108" s="1" t="s">
        <v>1</v>
      </c>
      <c r="H108" s="1" t="s">
        <v>1</v>
      </c>
      <c r="I108" s="1">
        <v>0</v>
      </c>
      <c r="J108" s="1" t="s">
        <v>1</v>
      </c>
      <c r="K108" s="1" t="s">
        <v>1</v>
      </c>
      <c r="L108" s="1">
        <v>0</v>
      </c>
      <c r="M108" s="1" t="s">
        <v>1</v>
      </c>
      <c r="N108" s="1" t="s">
        <v>1</v>
      </c>
      <c r="O108" s="1">
        <v>0</v>
      </c>
      <c r="P108" s="1" t="s">
        <v>1</v>
      </c>
      <c r="Q108" s="1" t="s">
        <v>1</v>
      </c>
    </row>
    <row r="109" spans="1:17">
      <c r="A109" s="2" t="s">
        <v>78</v>
      </c>
      <c r="B109" s="2" t="s">
        <v>9</v>
      </c>
      <c r="C109" s="5">
        <v>2722.2910160000001</v>
      </c>
      <c r="D109" s="4">
        <v>68.045997619999994</v>
      </c>
      <c r="E109" s="4">
        <f t="shared" si="1"/>
        <v>31.954002380000006</v>
      </c>
      <c r="F109" s="1">
        <v>98.013347240000002</v>
      </c>
      <c r="G109" s="1">
        <v>100</v>
      </c>
      <c r="H109" s="1">
        <v>93.78278023</v>
      </c>
      <c r="I109" s="1">
        <v>0</v>
      </c>
      <c r="J109" s="1">
        <v>0</v>
      </c>
      <c r="K109" s="1">
        <v>0</v>
      </c>
      <c r="L109" s="1">
        <v>1.9866527599999999</v>
      </c>
      <c r="M109" s="1">
        <v>0</v>
      </c>
      <c r="N109" s="1">
        <v>6.2172197709999999</v>
      </c>
      <c r="O109" s="1">
        <v>0</v>
      </c>
      <c r="P109" s="1">
        <v>0</v>
      </c>
      <c r="Q109" s="1">
        <v>0</v>
      </c>
    </row>
    <row r="110" spans="1:17">
      <c r="A110" s="2" t="s">
        <v>52</v>
      </c>
      <c r="B110" s="2" t="s">
        <v>9</v>
      </c>
      <c r="C110" s="5">
        <v>625.97601320000001</v>
      </c>
      <c r="D110" s="4">
        <v>91.452995299999998</v>
      </c>
      <c r="E110" s="4">
        <f t="shared" si="1"/>
        <v>8.5470047000000022</v>
      </c>
      <c r="F110" s="1">
        <v>99.879932539999999</v>
      </c>
      <c r="G110" s="1">
        <v>100</v>
      </c>
      <c r="H110" s="1">
        <v>98.595238100000003</v>
      </c>
      <c r="I110" s="1">
        <v>0</v>
      </c>
      <c r="J110" s="1">
        <v>0</v>
      </c>
      <c r="K110" s="1">
        <v>0</v>
      </c>
      <c r="L110" s="1">
        <v>0.1200674649</v>
      </c>
      <c r="M110" s="1">
        <v>0</v>
      </c>
      <c r="N110" s="1">
        <v>1.404761905</v>
      </c>
      <c r="O110" s="1">
        <v>0</v>
      </c>
      <c r="P110" s="1">
        <v>0</v>
      </c>
      <c r="Q110" s="1">
        <v>0</v>
      </c>
    </row>
    <row r="111" spans="1:17">
      <c r="A111" s="2" t="s">
        <v>167</v>
      </c>
      <c r="B111" s="2" t="s">
        <v>70</v>
      </c>
      <c r="C111" s="5">
        <v>27691.019530000001</v>
      </c>
      <c r="D111" s="4">
        <v>38.534000399999996</v>
      </c>
      <c r="E111" s="4">
        <f t="shared" si="1"/>
        <v>61.465999600000004</v>
      </c>
      <c r="F111" s="1">
        <v>53.385884910000001</v>
      </c>
      <c r="G111" s="1">
        <v>80.470006940000005</v>
      </c>
      <c r="H111" s="1">
        <v>36.406420279999999</v>
      </c>
      <c r="I111" s="1">
        <v>2.7179729799999999</v>
      </c>
      <c r="J111" s="1">
        <v>4.4984302979999997</v>
      </c>
      <c r="K111" s="1">
        <v>1.601776163</v>
      </c>
      <c r="L111" s="1">
        <v>32.311459669999998</v>
      </c>
      <c r="M111" s="1">
        <v>13.74049434</v>
      </c>
      <c r="N111" s="1">
        <v>43.953893450000002</v>
      </c>
      <c r="O111" s="1">
        <v>11.58468244</v>
      </c>
      <c r="P111" s="1">
        <v>1.291068417</v>
      </c>
      <c r="Q111" s="1">
        <v>18.037910109999999</v>
      </c>
    </row>
    <row r="112" spans="1:17">
      <c r="A112" s="2" t="s">
        <v>157</v>
      </c>
      <c r="B112" s="2" t="s">
        <v>70</v>
      </c>
      <c r="C112" s="5">
        <v>19129.95508</v>
      </c>
      <c r="D112" s="4">
        <v>17.42700005</v>
      </c>
      <c r="E112" s="4">
        <f t="shared" si="1"/>
        <v>82.572999949999996</v>
      </c>
      <c r="F112" s="1">
        <v>70.047728509999999</v>
      </c>
      <c r="G112" s="1">
        <v>86.454698210000004</v>
      </c>
      <c r="H112" s="1">
        <v>66.585043760000005</v>
      </c>
      <c r="I112" s="1">
        <v>21.95081497</v>
      </c>
      <c r="J112" s="1">
        <v>10.278948249999999</v>
      </c>
      <c r="K112" s="1">
        <v>24.414158029999999</v>
      </c>
      <c r="L112" s="1">
        <v>5.7763044069999996</v>
      </c>
      <c r="M112" s="1">
        <v>2.8975039960000002</v>
      </c>
      <c r="N112" s="1">
        <v>6.3838741460000001</v>
      </c>
      <c r="O112" s="1">
        <v>2.2251521099999998</v>
      </c>
      <c r="P112" s="1">
        <v>0.36884954460000002</v>
      </c>
      <c r="Q112" s="1">
        <v>2.6169240660000002</v>
      </c>
    </row>
    <row r="113" spans="1:17">
      <c r="A113" s="2" t="s">
        <v>173</v>
      </c>
      <c r="B113" s="2" t="s">
        <v>12</v>
      </c>
      <c r="C113" s="5">
        <v>32365.998049999998</v>
      </c>
      <c r="D113" s="4">
        <v>77.159996030000002</v>
      </c>
      <c r="E113" s="4">
        <f t="shared" si="1"/>
        <v>22.840003969999998</v>
      </c>
      <c r="F113" s="1">
        <v>97.09990707</v>
      </c>
      <c r="G113" s="1">
        <v>99.14309591</v>
      </c>
      <c r="H113" s="1">
        <v>90.197448120000004</v>
      </c>
      <c r="I113" s="1">
        <v>0.35453968650000001</v>
      </c>
      <c r="J113" s="1">
        <v>0.29832426049999999</v>
      </c>
      <c r="K113" s="1">
        <v>0.54445139710000001</v>
      </c>
      <c r="L113" s="1">
        <v>2.5455532409999999</v>
      </c>
      <c r="M113" s="1">
        <v>0.46857983190000002</v>
      </c>
      <c r="N113" s="1">
        <v>9.2581004779999994</v>
      </c>
      <c r="O113" s="1" t="s">
        <v>1</v>
      </c>
      <c r="P113" s="1">
        <v>0.09</v>
      </c>
      <c r="Q113" s="1" t="s">
        <v>1</v>
      </c>
    </row>
    <row r="114" spans="1:17">
      <c r="A114" s="2" t="s">
        <v>49</v>
      </c>
      <c r="B114" s="2" t="s">
        <v>12</v>
      </c>
      <c r="C114" s="5">
        <v>540.54199219999998</v>
      </c>
      <c r="D114" s="4">
        <v>40.668998719999998</v>
      </c>
      <c r="E114" s="4">
        <f t="shared" si="1"/>
        <v>59.331001280000002</v>
      </c>
      <c r="F114" s="1">
        <v>99.544438600000007</v>
      </c>
      <c r="G114" s="1">
        <v>98.997988930000005</v>
      </c>
      <c r="H114" s="1">
        <v>99.919012499999994</v>
      </c>
      <c r="I114" s="1">
        <v>4.8050691299999997E-2</v>
      </c>
      <c r="J114" s="1">
        <v>0</v>
      </c>
      <c r="K114" s="1">
        <v>8.0987500000000004E-2</v>
      </c>
      <c r="L114" s="1">
        <v>0.40751070499999997</v>
      </c>
      <c r="M114" s="1">
        <v>1.0020110689999999</v>
      </c>
      <c r="N114" s="1">
        <v>0</v>
      </c>
      <c r="O114" s="1">
        <v>0</v>
      </c>
      <c r="P114" s="1">
        <v>0</v>
      </c>
      <c r="Q114" s="1">
        <v>0</v>
      </c>
    </row>
    <row r="115" spans="1:17">
      <c r="A115" s="2" t="s">
        <v>159</v>
      </c>
      <c r="B115" s="2" t="s">
        <v>70</v>
      </c>
      <c r="C115" s="5">
        <v>20250.833979999999</v>
      </c>
      <c r="D115" s="4">
        <v>43.909004209999999</v>
      </c>
      <c r="E115" s="4">
        <f t="shared" si="1"/>
        <v>56.090995790000001</v>
      </c>
      <c r="F115" s="1">
        <v>82.547291029999997</v>
      </c>
      <c r="G115" s="1">
        <v>95.917454750000005</v>
      </c>
      <c r="H115" s="1">
        <v>72.080895209999994</v>
      </c>
      <c r="I115" s="1">
        <v>3.8547345270000002</v>
      </c>
      <c r="J115" s="1">
        <v>3.947121723</v>
      </c>
      <c r="K115" s="1">
        <v>3.7824122299999998</v>
      </c>
      <c r="L115" s="1">
        <v>12.246971350000001</v>
      </c>
      <c r="M115" s="1">
        <v>0.13542353139999999</v>
      </c>
      <c r="N115" s="1">
        <v>21.72810084</v>
      </c>
      <c r="O115" s="1">
        <v>1.3510030900000001</v>
      </c>
      <c r="P115" s="1">
        <v>0</v>
      </c>
      <c r="Q115" s="1">
        <v>2.4085917170000002</v>
      </c>
    </row>
    <row r="116" spans="1:17">
      <c r="A116" s="2" t="s">
        <v>48</v>
      </c>
      <c r="B116" s="2" t="s">
        <v>9</v>
      </c>
      <c r="C116" s="5">
        <v>441.53900149999998</v>
      </c>
      <c r="D116" s="4">
        <v>94.744003300000003</v>
      </c>
      <c r="E116" s="4">
        <f t="shared" si="1"/>
        <v>5.2559966999999972</v>
      </c>
      <c r="F116" s="1">
        <v>100.0000004</v>
      </c>
      <c r="G116" s="1">
        <v>100</v>
      </c>
      <c r="H116" s="1">
        <v>100</v>
      </c>
      <c r="I116" s="1">
        <v>0</v>
      </c>
      <c r="J116" s="1">
        <v>0</v>
      </c>
      <c r="K116" s="1">
        <v>0</v>
      </c>
      <c r="L116" s="1">
        <v>0</v>
      </c>
      <c r="M116" s="1">
        <v>0</v>
      </c>
      <c r="N116" s="1">
        <v>0</v>
      </c>
      <c r="O116" s="1">
        <v>0</v>
      </c>
      <c r="P116" s="1">
        <v>0</v>
      </c>
      <c r="Q116" s="1">
        <v>0</v>
      </c>
    </row>
    <row r="117" spans="1:17">
      <c r="A117" s="2" t="s">
        <v>25</v>
      </c>
      <c r="B117" s="2" t="s">
        <v>12</v>
      </c>
      <c r="C117" s="5">
        <v>59.194000240000001</v>
      </c>
      <c r="D117" s="4">
        <v>77.793991090000006</v>
      </c>
      <c r="E117" s="4">
        <f t="shared" si="1"/>
        <v>22.206008909999994</v>
      </c>
      <c r="F117" s="1">
        <v>88.572046979999996</v>
      </c>
      <c r="G117" s="1">
        <v>86.9</v>
      </c>
      <c r="H117" s="1">
        <v>94.429720000000003</v>
      </c>
      <c r="I117" s="1">
        <v>11.387979</v>
      </c>
      <c r="J117" s="1">
        <v>13.1</v>
      </c>
      <c r="K117" s="1">
        <v>5.3902799999999997</v>
      </c>
      <c r="L117" s="1">
        <v>3.9974025849999997E-2</v>
      </c>
      <c r="M117" s="1">
        <v>0</v>
      </c>
      <c r="N117" s="1">
        <v>0.18</v>
      </c>
      <c r="O117" s="1">
        <v>0</v>
      </c>
      <c r="P117" s="1">
        <v>0</v>
      </c>
      <c r="Q117" s="1">
        <v>0</v>
      </c>
    </row>
    <row r="118" spans="1:17">
      <c r="A118" s="2" t="s">
        <v>44</v>
      </c>
      <c r="B118" s="2" t="s">
        <v>1</v>
      </c>
      <c r="C118" s="5">
        <v>375.26501459999997</v>
      </c>
      <c r="D118" s="4">
        <v>89.13999939</v>
      </c>
      <c r="E118" s="4">
        <f t="shared" si="1"/>
        <v>10.86000061</v>
      </c>
      <c r="F118" s="1">
        <v>99.841970779999997</v>
      </c>
      <c r="G118" s="1" t="s">
        <v>1</v>
      </c>
      <c r="H118" s="1" t="s">
        <v>1</v>
      </c>
      <c r="I118" s="1">
        <v>0</v>
      </c>
      <c r="J118" s="1" t="s">
        <v>1</v>
      </c>
      <c r="K118" s="1" t="s">
        <v>1</v>
      </c>
      <c r="L118" s="1">
        <v>0.15802921580000001</v>
      </c>
      <c r="M118" s="1" t="s">
        <v>1</v>
      </c>
      <c r="N118" s="1" t="s">
        <v>1</v>
      </c>
      <c r="O118" s="1">
        <v>0</v>
      </c>
      <c r="P118" s="1" t="s">
        <v>1</v>
      </c>
      <c r="Q118" s="1" t="s">
        <v>1</v>
      </c>
    </row>
    <row r="119" spans="1:17">
      <c r="A119" s="2" t="s">
        <v>92</v>
      </c>
      <c r="B119" s="2" t="s">
        <v>32</v>
      </c>
      <c r="C119" s="5">
        <v>4649.6601559999999</v>
      </c>
      <c r="D119" s="4">
        <v>55.326995850000003</v>
      </c>
      <c r="E119" s="4">
        <f t="shared" si="1"/>
        <v>44.673004149999997</v>
      </c>
      <c r="F119" s="1">
        <v>71.681049229999999</v>
      </c>
      <c r="G119" s="1">
        <v>89.258694649999995</v>
      </c>
      <c r="H119" s="1">
        <v>49.911338899999997</v>
      </c>
      <c r="I119" s="1">
        <v>13.476891930000001</v>
      </c>
      <c r="J119" s="1">
        <v>9.4288080829999998</v>
      </c>
      <c r="K119" s="1">
        <v>18.49039689</v>
      </c>
      <c r="L119" s="1">
        <v>14.820326809999999</v>
      </c>
      <c r="M119" s="1">
        <v>1.3124972699999999</v>
      </c>
      <c r="N119" s="1">
        <v>31.549617300000001</v>
      </c>
      <c r="O119" s="1">
        <v>2.173203433E-2</v>
      </c>
      <c r="P119" s="1">
        <v>0</v>
      </c>
      <c r="Q119" s="1">
        <v>4.8646907220000001E-2</v>
      </c>
    </row>
    <row r="120" spans="1:17">
      <c r="A120" s="2" t="s">
        <v>63</v>
      </c>
      <c r="B120" s="2" t="s">
        <v>12</v>
      </c>
      <c r="C120" s="5">
        <v>1271.7669679999999</v>
      </c>
      <c r="D120" s="4">
        <v>40.759998320000001</v>
      </c>
      <c r="E120" s="4">
        <f t="shared" si="1"/>
        <v>59.240001679999999</v>
      </c>
      <c r="F120" s="1">
        <v>99.866254699999999</v>
      </c>
      <c r="G120" s="1">
        <v>99.922315220000002</v>
      </c>
      <c r="H120" s="1">
        <v>99.827682339999996</v>
      </c>
      <c r="I120" s="1">
        <v>0</v>
      </c>
      <c r="J120" s="1">
        <v>0</v>
      </c>
      <c r="K120" s="1">
        <v>0</v>
      </c>
      <c r="L120" s="1">
        <v>0.13374530139999999</v>
      </c>
      <c r="M120" s="1">
        <v>7.7684781189999996E-2</v>
      </c>
      <c r="N120" s="1">
        <v>0.17231766179999999</v>
      </c>
      <c r="O120" s="1">
        <v>0</v>
      </c>
      <c r="P120" s="1">
        <v>0</v>
      </c>
      <c r="Q120" s="1">
        <v>0</v>
      </c>
    </row>
    <row r="121" spans="1:17">
      <c r="A121" s="2" t="s">
        <v>37</v>
      </c>
      <c r="B121" s="2" t="s">
        <v>1</v>
      </c>
      <c r="C121" s="5">
        <v>272.81298829999997</v>
      </c>
      <c r="D121" s="4">
        <v>45.750999450000002</v>
      </c>
      <c r="E121" s="4">
        <f t="shared" si="1"/>
        <v>54.249000549999998</v>
      </c>
      <c r="F121" s="1">
        <v>96.371179710000007</v>
      </c>
      <c r="G121" s="1" t="s">
        <v>1</v>
      </c>
      <c r="H121" s="1" t="s">
        <v>1</v>
      </c>
      <c r="I121" s="1">
        <v>0</v>
      </c>
      <c r="J121" s="1" t="s">
        <v>1</v>
      </c>
      <c r="K121" s="1" t="s">
        <v>1</v>
      </c>
      <c r="L121" s="1">
        <v>3.6288202950000001</v>
      </c>
      <c r="M121" s="1" t="s">
        <v>1</v>
      </c>
      <c r="N121" s="1" t="s">
        <v>1</v>
      </c>
      <c r="O121" s="1" t="s">
        <v>1</v>
      </c>
      <c r="P121" s="1" t="s">
        <v>1</v>
      </c>
      <c r="Q121" s="1" t="s">
        <v>1</v>
      </c>
    </row>
    <row r="122" spans="1:17">
      <c r="A122" s="2" t="s">
        <v>208</v>
      </c>
      <c r="B122" s="2" t="s">
        <v>12</v>
      </c>
      <c r="C122" s="5">
        <v>128932.75</v>
      </c>
      <c r="D122" s="4">
        <v>80.730995179999994</v>
      </c>
      <c r="E122" s="4">
        <f t="shared" si="1"/>
        <v>19.269004820000006</v>
      </c>
      <c r="F122" s="1">
        <v>99.679568279999998</v>
      </c>
      <c r="G122" s="1">
        <v>100</v>
      </c>
      <c r="H122" s="1">
        <v>98.337068930000001</v>
      </c>
      <c r="I122" s="1">
        <v>0</v>
      </c>
      <c r="J122" s="1">
        <v>0</v>
      </c>
      <c r="K122" s="1">
        <v>0</v>
      </c>
      <c r="L122" s="1">
        <v>0.3204317169</v>
      </c>
      <c r="M122" s="1">
        <v>0</v>
      </c>
      <c r="N122" s="1">
        <v>1.6629310669999999</v>
      </c>
      <c r="O122" s="1">
        <v>0</v>
      </c>
      <c r="P122" s="1">
        <v>0</v>
      </c>
      <c r="Q122" s="1">
        <v>0</v>
      </c>
    </row>
    <row r="123" spans="1:17">
      <c r="A123" s="2" t="s">
        <v>20</v>
      </c>
      <c r="B123" s="2" t="s">
        <v>9</v>
      </c>
      <c r="C123" s="5">
        <v>39.243999479999999</v>
      </c>
      <c r="D123" s="4">
        <v>100</v>
      </c>
      <c r="E123" s="4">
        <f t="shared" si="1"/>
        <v>0</v>
      </c>
      <c r="F123" s="1">
        <v>100</v>
      </c>
      <c r="G123" s="1">
        <v>100</v>
      </c>
      <c r="H123" s="1" t="s">
        <v>1</v>
      </c>
      <c r="I123" s="1">
        <v>0</v>
      </c>
      <c r="J123" s="1">
        <v>0</v>
      </c>
      <c r="K123" s="1" t="s">
        <v>1</v>
      </c>
      <c r="L123" s="1">
        <v>0</v>
      </c>
      <c r="M123" s="1">
        <v>0</v>
      </c>
      <c r="N123" s="1" t="s">
        <v>1</v>
      </c>
      <c r="O123" s="1">
        <v>0</v>
      </c>
      <c r="P123" s="1">
        <v>0</v>
      </c>
      <c r="Q123" s="1" t="s">
        <v>1</v>
      </c>
    </row>
    <row r="124" spans="1:17">
      <c r="A124" s="2" t="s">
        <v>84</v>
      </c>
      <c r="B124" s="2" t="s">
        <v>32</v>
      </c>
      <c r="C124" s="5">
        <v>3278.2919919999999</v>
      </c>
      <c r="D124" s="4">
        <v>68.656997680000003</v>
      </c>
      <c r="E124" s="4">
        <f t="shared" si="1"/>
        <v>31.343002319999997</v>
      </c>
      <c r="F124" s="1">
        <v>85.495625270000005</v>
      </c>
      <c r="G124" s="1">
        <v>96.645965579999995</v>
      </c>
      <c r="H124" s="1">
        <v>61.070751139999999</v>
      </c>
      <c r="I124" s="1">
        <v>2.1464289299999999</v>
      </c>
      <c r="J124" s="1">
        <v>1.718335079</v>
      </c>
      <c r="K124" s="1">
        <v>3.0841705720000001</v>
      </c>
      <c r="L124" s="1">
        <v>6.6333667140000001</v>
      </c>
      <c r="M124" s="1">
        <v>1.635699341</v>
      </c>
      <c r="N124" s="1">
        <v>17.580781160000001</v>
      </c>
      <c r="O124" s="1">
        <v>5.7245790809999999</v>
      </c>
      <c r="P124" s="1">
        <v>0</v>
      </c>
      <c r="Q124" s="1">
        <v>18.264297129999999</v>
      </c>
    </row>
    <row r="125" spans="1:17">
      <c r="A125" s="2" t="s">
        <v>53</v>
      </c>
      <c r="B125" s="2" t="s">
        <v>12</v>
      </c>
      <c r="C125" s="5">
        <v>628.06201169999997</v>
      </c>
      <c r="D125" s="4">
        <v>67.488006589999998</v>
      </c>
      <c r="E125" s="4">
        <f t="shared" si="1"/>
        <v>32.511993410000002</v>
      </c>
      <c r="F125" s="1">
        <v>98.856916519999999</v>
      </c>
      <c r="G125" s="1">
        <v>99.191739589999997</v>
      </c>
      <c r="H125" s="1">
        <v>98.161887539999995</v>
      </c>
      <c r="I125" s="1">
        <v>0.54547882039999995</v>
      </c>
      <c r="J125" s="1">
        <v>0.80826041280000005</v>
      </c>
      <c r="K125" s="1">
        <v>0</v>
      </c>
      <c r="L125" s="1">
        <v>0.59231201099999997</v>
      </c>
      <c r="M125" s="1">
        <v>0</v>
      </c>
      <c r="N125" s="1">
        <v>1.821833386</v>
      </c>
      <c r="O125" s="1">
        <v>5.2926508940000002E-3</v>
      </c>
      <c r="P125" s="1">
        <v>0</v>
      </c>
      <c r="Q125" s="1">
        <v>1.6279069770000001E-2</v>
      </c>
    </row>
    <row r="126" spans="1:17">
      <c r="A126" s="2" t="s">
        <v>4</v>
      </c>
      <c r="B126" s="2" t="s">
        <v>1</v>
      </c>
      <c r="C126" s="5">
        <v>4.9990000720000003</v>
      </c>
      <c r="D126" s="4">
        <v>9.1149997710000008</v>
      </c>
      <c r="E126" s="4">
        <f t="shared" si="1"/>
        <v>90.885000228999999</v>
      </c>
      <c r="F126" s="1">
        <v>98.077482619999998</v>
      </c>
      <c r="G126" s="1" t="s">
        <v>1</v>
      </c>
      <c r="H126" s="1" t="s">
        <v>1</v>
      </c>
      <c r="I126" s="1">
        <v>0</v>
      </c>
      <c r="J126" s="1" t="s">
        <v>1</v>
      </c>
      <c r="K126" s="1" t="s">
        <v>1</v>
      </c>
      <c r="L126" s="1">
        <v>1.922517378</v>
      </c>
      <c r="M126" s="1" t="s">
        <v>1</v>
      </c>
      <c r="N126" s="1" t="s">
        <v>1</v>
      </c>
      <c r="O126" s="1">
        <v>0</v>
      </c>
      <c r="P126" s="1" t="s">
        <v>1</v>
      </c>
      <c r="Q126" s="1" t="s">
        <v>1</v>
      </c>
    </row>
    <row r="127" spans="1:17">
      <c r="A127" s="2" t="s">
        <v>178</v>
      </c>
      <c r="B127" s="2" t="s">
        <v>32</v>
      </c>
      <c r="C127" s="5">
        <v>36910.558590000001</v>
      </c>
      <c r="D127" s="4">
        <v>63.531997680000003</v>
      </c>
      <c r="E127" s="4">
        <f t="shared" si="1"/>
        <v>36.468002319999997</v>
      </c>
      <c r="F127" s="1">
        <v>90.402344679999999</v>
      </c>
      <c r="G127" s="1">
        <v>97.896746010000001</v>
      </c>
      <c r="H127" s="1">
        <v>77.346128960000001</v>
      </c>
      <c r="I127" s="1">
        <v>5.2635496010000002</v>
      </c>
      <c r="J127" s="1">
        <v>1.375477117</v>
      </c>
      <c r="K127" s="1">
        <v>12.03707816</v>
      </c>
      <c r="L127" s="1">
        <v>2.8776725000000001</v>
      </c>
      <c r="M127" s="1">
        <v>0.72777687589999995</v>
      </c>
      <c r="N127" s="1">
        <v>6.6230633729999999</v>
      </c>
      <c r="O127" s="1">
        <v>1.456433219</v>
      </c>
      <c r="P127" s="1">
        <v>0</v>
      </c>
      <c r="Q127" s="1">
        <v>3.9937295019999999</v>
      </c>
    </row>
    <row r="128" spans="1:17">
      <c r="A128" s="2" t="s">
        <v>172</v>
      </c>
      <c r="B128" s="2" t="s">
        <v>70</v>
      </c>
      <c r="C128" s="5">
        <v>31255.435549999998</v>
      </c>
      <c r="D128" s="4">
        <v>37.073997499999997</v>
      </c>
      <c r="E128" s="4">
        <f t="shared" si="1"/>
        <v>62.926002500000003</v>
      </c>
      <c r="F128" s="1">
        <v>63.369425630000002</v>
      </c>
      <c r="G128" s="1">
        <v>87.98504792</v>
      </c>
      <c r="H128" s="1">
        <v>48.8666865</v>
      </c>
      <c r="I128" s="1">
        <v>9.9757845070000002</v>
      </c>
      <c r="J128" s="1">
        <v>5.4522910270000002</v>
      </c>
      <c r="K128" s="1">
        <v>12.64088359</v>
      </c>
      <c r="L128" s="1">
        <v>16.726145110000001</v>
      </c>
      <c r="M128" s="1">
        <v>4.9126846439999996</v>
      </c>
      <c r="N128" s="1">
        <v>23.686256400000001</v>
      </c>
      <c r="O128" s="1">
        <v>9.9286447590000009</v>
      </c>
      <c r="P128" s="1">
        <v>1.649976404</v>
      </c>
      <c r="Q128" s="1">
        <v>14.80617352</v>
      </c>
    </row>
    <row r="129" spans="1:17">
      <c r="A129" s="2" t="s">
        <v>192</v>
      </c>
      <c r="B129" s="2" t="s">
        <v>32</v>
      </c>
      <c r="C129" s="5">
        <v>54409.792970000002</v>
      </c>
      <c r="D129" s="4">
        <v>31.14100075</v>
      </c>
      <c r="E129" s="4">
        <f t="shared" si="1"/>
        <v>68.858999249999997</v>
      </c>
      <c r="F129" s="1">
        <v>83.718191910000002</v>
      </c>
      <c r="G129" s="1">
        <v>95.427886060000006</v>
      </c>
      <c r="H129" s="1">
        <v>78.422564690000002</v>
      </c>
      <c r="I129" s="1">
        <v>1.595436949</v>
      </c>
      <c r="J129" s="1">
        <v>0</v>
      </c>
      <c r="K129" s="1">
        <v>2.3169621419999999</v>
      </c>
      <c r="L129" s="1">
        <v>5.1094247800000003</v>
      </c>
      <c r="M129" s="1">
        <v>1.8302830059999999</v>
      </c>
      <c r="N129" s="1">
        <v>6.5923936940000001</v>
      </c>
      <c r="O129" s="1">
        <v>9.5769463619999993</v>
      </c>
      <c r="P129" s="1">
        <v>2.741830931</v>
      </c>
      <c r="Q129" s="1">
        <v>12.66807947</v>
      </c>
    </row>
    <row r="130" spans="1:17">
      <c r="A130" s="2" t="s">
        <v>77</v>
      </c>
      <c r="B130" s="2" t="s">
        <v>12</v>
      </c>
      <c r="C130" s="5">
        <v>2540.9160160000001</v>
      </c>
      <c r="D130" s="4">
        <v>52.033000950000002</v>
      </c>
      <c r="E130" s="4">
        <f t="shared" ref="E130:E193" si="2" xml:space="preserve"> 100 -(D130)</f>
        <v>47.966999049999998</v>
      </c>
      <c r="F130" s="1">
        <v>84.270036279999999</v>
      </c>
      <c r="G130" s="1">
        <v>96.266965350000007</v>
      </c>
      <c r="H130" s="1">
        <v>71.256167430000005</v>
      </c>
      <c r="I130" s="1">
        <v>7.0876275099999999</v>
      </c>
      <c r="J130" s="1">
        <v>2.5847589649999998</v>
      </c>
      <c r="K130" s="1">
        <v>11.97218925</v>
      </c>
      <c r="L130" s="1">
        <v>3.740143722</v>
      </c>
      <c r="M130" s="1">
        <v>0.65961026379999999</v>
      </c>
      <c r="N130" s="1">
        <v>7.0818037589999996</v>
      </c>
      <c r="O130" s="1">
        <v>4.9021924849999996</v>
      </c>
      <c r="P130" s="1">
        <v>0.4886654211</v>
      </c>
      <c r="Q130" s="1">
        <v>9.6898395629999996</v>
      </c>
    </row>
    <row r="131" spans="1:17">
      <c r="A131" s="2" t="s">
        <v>8</v>
      </c>
      <c r="B131" s="2" t="s">
        <v>9</v>
      </c>
      <c r="C131" s="5">
        <v>10.833999629999999</v>
      </c>
      <c r="D131" s="4">
        <v>100</v>
      </c>
      <c r="E131" s="4">
        <f t="shared" si="2"/>
        <v>0</v>
      </c>
      <c r="F131" s="1">
        <v>100</v>
      </c>
      <c r="G131" s="1">
        <v>100</v>
      </c>
      <c r="H131" s="1" t="s">
        <v>1</v>
      </c>
      <c r="I131" s="1">
        <v>0</v>
      </c>
      <c r="J131" s="1">
        <v>0</v>
      </c>
      <c r="K131" s="1" t="s">
        <v>1</v>
      </c>
      <c r="L131" s="1">
        <v>0</v>
      </c>
      <c r="M131" s="1">
        <v>0</v>
      </c>
      <c r="N131" s="1" t="s">
        <v>1</v>
      </c>
      <c r="O131" s="1">
        <v>0</v>
      </c>
      <c r="P131" s="1">
        <v>0</v>
      </c>
      <c r="Q131" s="1" t="s">
        <v>1</v>
      </c>
    </row>
    <row r="132" spans="1:17">
      <c r="A132" s="2" t="s">
        <v>169</v>
      </c>
      <c r="B132" s="2" t="s">
        <v>32</v>
      </c>
      <c r="C132" s="5">
        <v>29136.808590000001</v>
      </c>
      <c r="D132" s="4">
        <v>20.57600021</v>
      </c>
      <c r="E132" s="4">
        <f t="shared" si="2"/>
        <v>79.423999789999996</v>
      </c>
      <c r="F132" s="1">
        <v>90.074541789999998</v>
      </c>
      <c r="G132" s="1">
        <v>89.577633160000005</v>
      </c>
      <c r="H132" s="1">
        <v>90.203271650000005</v>
      </c>
      <c r="I132" s="1">
        <v>3.979825725</v>
      </c>
      <c r="J132" s="1">
        <v>3.1015814110000002</v>
      </c>
      <c r="K132" s="1">
        <v>4.2073482459999996</v>
      </c>
      <c r="L132" s="1">
        <v>4.699081176</v>
      </c>
      <c r="M132" s="1">
        <v>6.359123168</v>
      </c>
      <c r="N132" s="1">
        <v>4.2690239510000003</v>
      </c>
      <c r="O132" s="1">
        <v>1.246551314</v>
      </c>
      <c r="P132" s="1">
        <v>0.96166225849999998</v>
      </c>
      <c r="Q132" s="1">
        <v>1.320356149</v>
      </c>
    </row>
    <row r="133" spans="1:17">
      <c r="A133" s="2" t="s">
        <v>150</v>
      </c>
      <c r="B133" s="2" t="s">
        <v>9</v>
      </c>
      <c r="C133" s="5">
        <v>17134.873049999998</v>
      </c>
      <c r="D133" s="4">
        <v>92.236000059999995</v>
      </c>
      <c r="E133" s="4">
        <f t="shared" si="2"/>
        <v>7.763999940000005</v>
      </c>
      <c r="F133" s="1">
        <v>99.999999290000005</v>
      </c>
      <c r="G133" s="1">
        <v>100</v>
      </c>
      <c r="H133" s="1">
        <v>100</v>
      </c>
      <c r="I133" s="1">
        <v>0</v>
      </c>
      <c r="J133" s="1">
        <v>0</v>
      </c>
      <c r="K133" s="1">
        <v>0</v>
      </c>
      <c r="L133" s="1">
        <v>7.1240862099999999E-7</v>
      </c>
      <c r="M133" s="1">
        <v>0</v>
      </c>
      <c r="N133" s="1">
        <v>0</v>
      </c>
      <c r="O133" s="1">
        <v>0</v>
      </c>
      <c r="P133" s="1">
        <v>0</v>
      </c>
      <c r="Q133" s="1">
        <v>0</v>
      </c>
    </row>
    <row r="134" spans="1:17">
      <c r="A134" s="2" t="s">
        <v>39</v>
      </c>
      <c r="B134" s="2" t="s">
        <v>9</v>
      </c>
      <c r="C134" s="5">
        <v>285.4909973</v>
      </c>
      <c r="D134" s="4">
        <v>71.517997739999998</v>
      </c>
      <c r="E134" s="4">
        <f t="shared" si="2"/>
        <v>28.482002260000002</v>
      </c>
      <c r="F134" s="1">
        <v>99.305320570000006</v>
      </c>
      <c r="G134" s="1" t="s">
        <v>1</v>
      </c>
      <c r="H134" s="1" t="s">
        <v>1</v>
      </c>
      <c r="I134" s="1">
        <v>0</v>
      </c>
      <c r="J134" s="1" t="s">
        <v>1</v>
      </c>
      <c r="K134" s="1" t="s">
        <v>1</v>
      </c>
      <c r="L134" s="1">
        <v>0.69467942780000003</v>
      </c>
      <c r="M134" s="1" t="s">
        <v>1</v>
      </c>
      <c r="N134" s="1" t="s">
        <v>1</v>
      </c>
      <c r="O134" s="1">
        <v>0</v>
      </c>
      <c r="P134" s="1" t="s">
        <v>1</v>
      </c>
      <c r="Q134" s="1" t="s">
        <v>1</v>
      </c>
    </row>
    <row r="135" spans="1:17">
      <c r="A135" s="2" t="s">
        <v>93</v>
      </c>
      <c r="B135" s="2" t="s">
        <v>9</v>
      </c>
      <c r="C135" s="5">
        <v>4822.2329099999997</v>
      </c>
      <c r="D135" s="4">
        <v>86.698997500000004</v>
      </c>
      <c r="E135" s="4">
        <f t="shared" si="2"/>
        <v>13.301002499999996</v>
      </c>
      <c r="F135" s="1">
        <v>100.00000129999999</v>
      </c>
      <c r="G135" s="1">
        <v>100</v>
      </c>
      <c r="H135" s="1">
        <v>100</v>
      </c>
      <c r="I135" s="1">
        <v>0</v>
      </c>
      <c r="J135" s="1">
        <v>0</v>
      </c>
      <c r="K135" s="1">
        <v>0</v>
      </c>
      <c r="L135" s="1">
        <v>0</v>
      </c>
      <c r="M135" s="1">
        <v>0</v>
      </c>
      <c r="N135" s="1">
        <v>0</v>
      </c>
      <c r="O135" s="1">
        <v>0</v>
      </c>
      <c r="P135" s="1">
        <v>0</v>
      </c>
      <c r="Q135" s="1">
        <v>0</v>
      </c>
    </row>
    <row r="136" spans="1:17">
      <c r="A136" s="2" t="s">
        <v>109</v>
      </c>
      <c r="B136" s="2" t="s">
        <v>32</v>
      </c>
      <c r="C136" s="5">
        <v>6624.5541990000002</v>
      </c>
      <c r="D136" s="4">
        <v>59.012001040000001</v>
      </c>
      <c r="E136" s="4">
        <f t="shared" si="2"/>
        <v>40.987998959999999</v>
      </c>
      <c r="F136" s="1">
        <v>81.708753799999997</v>
      </c>
      <c r="G136" s="1">
        <v>97.406956609999995</v>
      </c>
      <c r="H136" s="1">
        <v>59.107446629999998</v>
      </c>
      <c r="I136" s="1">
        <v>1.506645682</v>
      </c>
      <c r="J136" s="1">
        <v>0.10755231429999999</v>
      </c>
      <c r="K136" s="1">
        <v>3.5209742849999999</v>
      </c>
      <c r="L136" s="1">
        <v>13.530531140000001</v>
      </c>
      <c r="M136" s="1">
        <v>2.244007656</v>
      </c>
      <c r="N136" s="1">
        <v>29.780173680000001</v>
      </c>
      <c r="O136" s="1">
        <v>3.2540693780000001</v>
      </c>
      <c r="P136" s="1">
        <v>0.24148342289999999</v>
      </c>
      <c r="Q136" s="1">
        <v>7.5914054000000002</v>
      </c>
    </row>
    <row r="137" spans="1:17">
      <c r="A137" s="2" t="s">
        <v>162</v>
      </c>
      <c r="B137" s="2" t="s">
        <v>70</v>
      </c>
      <c r="C137" s="5">
        <v>24206.636719999999</v>
      </c>
      <c r="D137" s="4">
        <v>16.625999449999998</v>
      </c>
      <c r="E137" s="4">
        <f t="shared" si="2"/>
        <v>83.374000550000005</v>
      </c>
      <c r="F137" s="1">
        <v>46.911797470000003</v>
      </c>
      <c r="G137" s="1">
        <v>85.813839759999993</v>
      </c>
      <c r="H137" s="1">
        <v>39.154159319999998</v>
      </c>
      <c r="I137" s="1">
        <v>21.653898699999999</v>
      </c>
      <c r="J137" s="1">
        <v>9.9504408289999997</v>
      </c>
      <c r="K137" s="1">
        <v>23.987740389999999</v>
      </c>
      <c r="L137" s="1">
        <v>27.027512439999999</v>
      </c>
      <c r="M137" s="1">
        <v>2.1346877800000001</v>
      </c>
      <c r="N137" s="1">
        <v>31.991506480000002</v>
      </c>
      <c r="O137" s="1">
        <v>4.4067913919999997</v>
      </c>
      <c r="P137" s="1">
        <v>2.1010316339999999</v>
      </c>
      <c r="Q137" s="1">
        <v>4.8665938129999997</v>
      </c>
    </row>
    <row r="138" spans="1:17">
      <c r="A138" s="2" t="s">
        <v>211</v>
      </c>
      <c r="B138" s="2" t="s">
        <v>32</v>
      </c>
      <c r="C138" s="5">
        <v>206139.5938</v>
      </c>
      <c r="D138" s="4">
        <v>51.958000179999999</v>
      </c>
      <c r="E138" s="4">
        <f t="shared" si="2"/>
        <v>48.041999820000001</v>
      </c>
      <c r="F138" s="1">
        <v>77.609053380000006</v>
      </c>
      <c r="G138" s="1">
        <v>92.357705190000004</v>
      </c>
      <c r="H138" s="1">
        <v>61.658210029999999</v>
      </c>
      <c r="I138" s="1">
        <v>4.9793993429999999</v>
      </c>
      <c r="J138" s="1">
        <v>2.9918806500000001</v>
      </c>
      <c r="K138" s="1">
        <v>7.1289245829999999</v>
      </c>
      <c r="L138" s="1">
        <v>11.79691148</v>
      </c>
      <c r="M138" s="1">
        <v>3.356908786</v>
      </c>
      <c r="N138" s="1">
        <v>20.924875350000001</v>
      </c>
      <c r="O138" s="1">
        <v>5.6146357939999998</v>
      </c>
      <c r="P138" s="1">
        <v>1.2935053700000001</v>
      </c>
      <c r="Q138" s="1">
        <v>10.28799004</v>
      </c>
    </row>
    <row r="139" spans="1:17">
      <c r="A139" s="2" t="s">
        <v>2</v>
      </c>
      <c r="B139" s="2" t="s">
        <v>1</v>
      </c>
      <c r="C139" s="5">
        <v>1.618000031</v>
      </c>
      <c r="D139" s="4">
        <v>46.202003480000002</v>
      </c>
      <c r="E139" s="4">
        <f t="shared" si="2"/>
        <v>53.797996519999998</v>
      </c>
      <c r="F139" s="1">
        <v>97.010876179999997</v>
      </c>
      <c r="G139" s="1" t="s">
        <v>1</v>
      </c>
      <c r="H139" s="1" t="s">
        <v>1</v>
      </c>
      <c r="I139" s="1">
        <v>0</v>
      </c>
      <c r="J139" s="1" t="s">
        <v>1</v>
      </c>
      <c r="K139" s="1" t="s">
        <v>1</v>
      </c>
      <c r="L139" s="1">
        <v>2.9891238219999998</v>
      </c>
      <c r="M139" s="1" t="s">
        <v>1</v>
      </c>
      <c r="N139" s="1" t="s">
        <v>1</v>
      </c>
      <c r="O139" s="1">
        <v>0</v>
      </c>
      <c r="P139" s="1" t="s">
        <v>1</v>
      </c>
      <c r="Q139" s="1" t="s">
        <v>1</v>
      </c>
    </row>
    <row r="140" spans="1:17">
      <c r="A140" s="2" t="s">
        <v>72</v>
      </c>
      <c r="B140" s="2" t="s">
        <v>12</v>
      </c>
      <c r="C140" s="5">
        <v>2083.3798830000001</v>
      </c>
      <c r="D140" s="4">
        <v>58.481998439999998</v>
      </c>
      <c r="E140" s="4">
        <f t="shared" si="2"/>
        <v>41.518001560000002</v>
      </c>
      <c r="F140" s="1">
        <v>97.742815789999995</v>
      </c>
      <c r="G140" s="1">
        <v>97.937402989999995</v>
      </c>
      <c r="H140" s="1">
        <v>97.468714570000003</v>
      </c>
      <c r="I140" s="1">
        <v>1.6349941400000001</v>
      </c>
      <c r="J140" s="1">
        <v>1.7271369539999999</v>
      </c>
      <c r="K140" s="1">
        <v>1.505202232</v>
      </c>
      <c r="L140" s="1">
        <v>0.57422847619999995</v>
      </c>
      <c r="M140" s="1">
        <v>0.33546005629999998</v>
      </c>
      <c r="N140" s="1">
        <v>0.91056319819999998</v>
      </c>
      <c r="O140" s="1">
        <v>4.796159706E-2</v>
      </c>
      <c r="P140" s="1">
        <v>0</v>
      </c>
      <c r="Q140" s="1">
        <v>0.11552</v>
      </c>
    </row>
    <row r="141" spans="1:17">
      <c r="A141" s="2" t="s">
        <v>24</v>
      </c>
      <c r="B141" s="2" t="s">
        <v>9</v>
      </c>
      <c r="C141" s="5">
        <v>57.556999210000001</v>
      </c>
      <c r="D141" s="4">
        <v>91.797996519999998</v>
      </c>
      <c r="E141" s="4">
        <f t="shared" si="2"/>
        <v>8.2020034800000019</v>
      </c>
      <c r="F141" s="1">
        <v>100</v>
      </c>
      <c r="G141" s="1" t="s">
        <v>1</v>
      </c>
      <c r="H141" s="1" t="s">
        <v>1</v>
      </c>
      <c r="I141" s="1">
        <v>0</v>
      </c>
      <c r="J141" s="1" t="s">
        <v>1</v>
      </c>
      <c r="K141" s="1" t="s">
        <v>1</v>
      </c>
      <c r="L141" s="1">
        <v>0</v>
      </c>
      <c r="M141" s="1" t="s">
        <v>1</v>
      </c>
      <c r="N141" s="1" t="s">
        <v>1</v>
      </c>
      <c r="O141" s="1">
        <v>0</v>
      </c>
      <c r="P141" s="1" t="s">
        <v>1</v>
      </c>
      <c r="Q141" s="1" t="s">
        <v>1</v>
      </c>
    </row>
    <row r="142" spans="1:17">
      <c r="A142" s="2" t="s">
        <v>100</v>
      </c>
      <c r="B142" s="2" t="s">
        <v>9</v>
      </c>
      <c r="C142" s="5">
        <v>5421.2421880000002</v>
      </c>
      <c r="D142" s="4">
        <v>82.973991389999995</v>
      </c>
      <c r="E142" s="4">
        <f t="shared" si="2"/>
        <v>17.026008610000005</v>
      </c>
      <c r="F142" s="1">
        <v>99.999995499999997</v>
      </c>
      <c r="G142" s="1">
        <v>100</v>
      </c>
      <c r="H142" s="1">
        <v>100</v>
      </c>
      <c r="I142" s="1">
        <v>0</v>
      </c>
      <c r="J142" s="1">
        <v>0</v>
      </c>
      <c r="K142" s="1">
        <v>0</v>
      </c>
      <c r="L142" s="1">
        <v>4.5034074529999998E-6</v>
      </c>
      <c r="M142" s="1">
        <v>0</v>
      </c>
      <c r="N142" s="1">
        <v>0</v>
      </c>
      <c r="O142" s="1">
        <v>0</v>
      </c>
      <c r="P142" s="1">
        <v>0</v>
      </c>
      <c r="Q142" s="1">
        <v>0</v>
      </c>
    </row>
    <row r="143" spans="1:17">
      <c r="A143" s="2" t="s">
        <v>99</v>
      </c>
      <c r="B143" s="2" t="s">
        <v>9</v>
      </c>
      <c r="C143" s="5">
        <v>5106.6220700000003</v>
      </c>
      <c r="D143" s="4">
        <v>86.275993349999993</v>
      </c>
      <c r="E143" s="4">
        <f t="shared" si="2"/>
        <v>13.724006650000007</v>
      </c>
      <c r="F143" s="1">
        <v>92.168024689999996</v>
      </c>
      <c r="G143" s="1">
        <v>94.7</v>
      </c>
      <c r="H143" s="1">
        <v>76.250779910000006</v>
      </c>
      <c r="I143" s="1">
        <v>7.5414198929999996</v>
      </c>
      <c r="J143" s="1">
        <v>5.3</v>
      </c>
      <c r="K143" s="1">
        <v>21.632121130000002</v>
      </c>
      <c r="L143" s="1">
        <v>0.26040520360000002</v>
      </c>
      <c r="M143" s="1">
        <v>0</v>
      </c>
      <c r="N143" s="1">
        <v>1.897409218</v>
      </c>
      <c r="O143" s="1">
        <v>3.0150217449999999E-2</v>
      </c>
      <c r="P143" s="1">
        <v>0</v>
      </c>
      <c r="Q143" s="1">
        <v>0.21968973750000001</v>
      </c>
    </row>
    <row r="144" spans="1:17">
      <c r="A144" s="2" t="s">
        <v>213</v>
      </c>
      <c r="B144" s="2" t="s">
        <v>32</v>
      </c>
      <c r="C144" s="5">
        <v>220892.32810000001</v>
      </c>
      <c r="D144" s="4">
        <v>37.165000919999997</v>
      </c>
      <c r="E144" s="4">
        <f t="shared" si="2"/>
        <v>62.834999080000003</v>
      </c>
      <c r="F144" s="1">
        <v>90.148965079999996</v>
      </c>
      <c r="G144" s="1">
        <v>92.768049849999997</v>
      </c>
      <c r="H144" s="1">
        <v>88.599860759999999</v>
      </c>
      <c r="I144" s="1">
        <v>3.8222795249999999</v>
      </c>
      <c r="J144" s="1">
        <v>3.7715611619999998</v>
      </c>
      <c r="K144" s="1">
        <v>3.852278117</v>
      </c>
      <c r="L144" s="1">
        <v>4.4133075740000001</v>
      </c>
      <c r="M144" s="1">
        <v>3.126184571</v>
      </c>
      <c r="N144" s="1">
        <v>5.1745965089999997</v>
      </c>
      <c r="O144" s="1">
        <v>1.61544782</v>
      </c>
      <c r="P144" s="1">
        <v>0.33420442230000003</v>
      </c>
      <c r="Q144" s="1">
        <v>2.3732646169999998</v>
      </c>
    </row>
    <row r="145" spans="1:17">
      <c r="A145" s="2" t="s">
        <v>14</v>
      </c>
      <c r="B145" s="2" t="s">
        <v>12</v>
      </c>
      <c r="C145" s="5">
        <v>18.091999049999998</v>
      </c>
      <c r="D145" s="4">
        <v>80.987998959999999</v>
      </c>
      <c r="E145" s="4">
        <f t="shared" si="2"/>
        <v>19.012001040000001</v>
      </c>
      <c r="F145" s="1">
        <v>99.657545499999998</v>
      </c>
      <c r="G145" s="1">
        <v>99.634201989999994</v>
      </c>
      <c r="H145" s="1">
        <v>99.756985029999996</v>
      </c>
      <c r="I145" s="1">
        <v>0</v>
      </c>
      <c r="J145" s="1">
        <v>0</v>
      </c>
      <c r="K145" s="1">
        <v>0</v>
      </c>
      <c r="L145" s="1">
        <v>0.34245449839999997</v>
      </c>
      <c r="M145" s="1">
        <v>0.36579800779999999</v>
      </c>
      <c r="N145" s="1">
        <v>0.2430149677</v>
      </c>
      <c r="O145" s="1">
        <v>0</v>
      </c>
      <c r="P145" s="1">
        <v>0</v>
      </c>
      <c r="Q145" s="1">
        <v>0</v>
      </c>
    </row>
    <row r="146" spans="1:17">
      <c r="A146" s="2" t="s">
        <v>91</v>
      </c>
      <c r="B146" s="2" t="s">
        <v>9</v>
      </c>
      <c r="C146" s="5">
        <v>4314.7680659999996</v>
      </c>
      <c r="D146" s="4">
        <v>68.414001459999994</v>
      </c>
      <c r="E146" s="4">
        <f t="shared" si="2"/>
        <v>31.585998540000006</v>
      </c>
      <c r="F146" s="1">
        <v>94.372544360000006</v>
      </c>
      <c r="G146" s="1">
        <v>98.088892670000007</v>
      </c>
      <c r="H146" s="1">
        <v>86.323083260000004</v>
      </c>
      <c r="I146" s="1">
        <v>1.8734805919999999</v>
      </c>
      <c r="J146" s="1">
        <v>1.9111073329999999</v>
      </c>
      <c r="K146" s="1">
        <v>1.791982583</v>
      </c>
      <c r="L146" s="1">
        <v>2.2623042469999999</v>
      </c>
      <c r="M146" s="1">
        <v>0</v>
      </c>
      <c r="N146" s="1">
        <v>7.1623643420000001</v>
      </c>
      <c r="O146" s="1">
        <v>1.491670799</v>
      </c>
      <c r="P146" s="1">
        <v>0</v>
      </c>
      <c r="Q146" s="1">
        <v>4.7225698109999996</v>
      </c>
    </row>
    <row r="147" spans="1:17">
      <c r="A147" s="2" t="s">
        <v>121</v>
      </c>
      <c r="B147" s="2" t="s">
        <v>32</v>
      </c>
      <c r="C147" s="5">
        <v>8947.0273440000001</v>
      </c>
      <c r="D147" s="4">
        <v>13.34500027</v>
      </c>
      <c r="E147" s="4">
        <f t="shared" si="2"/>
        <v>86.65499973</v>
      </c>
      <c r="F147" s="1">
        <v>45.344017520000001</v>
      </c>
      <c r="G147" s="1">
        <v>86.075271639999997</v>
      </c>
      <c r="H147" s="1">
        <v>39.071343669999997</v>
      </c>
      <c r="I147" s="1">
        <v>2.128564452</v>
      </c>
      <c r="J147" s="1">
        <v>0.17218226079999999</v>
      </c>
      <c r="K147" s="1">
        <v>2.4298502929999999</v>
      </c>
      <c r="L147" s="1">
        <v>22.157624949999999</v>
      </c>
      <c r="M147" s="1">
        <v>7.3903855639999998</v>
      </c>
      <c r="N147" s="1">
        <v>24.431800859999999</v>
      </c>
      <c r="O147" s="1">
        <v>30.369793080000001</v>
      </c>
      <c r="P147" s="1">
        <v>6.3621605319999999</v>
      </c>
      <c r="Q147" s="1">
        <v>34.067005170000002</v>
      </c>
    </row>
    <row r="148" spans="1:17">
      <c r="A148" s="2" t="s">
        <v>113</v>
      </c>
      <c r="B148" s="2" t="s">
        <v>12</v>
      </c>
      <c r="C148" s="5">
        <v>7132.5297849999997</v>
      </c>
      <c r="D148" s="4">
        <v>62.182994839999999</v>
      </c>
      <c r="E148" s="4">
        <f t="shared" si="2"/>
        <v>37.817005160000001</v>
      </c>
      <c r="F148" s="1">
        <v>99.593466329999998</v>
      </c>
      <c r="G148" s="1">
        <v>99.886748539999999</v>
      </c>
      <c r="H148" s="1">
        <v>99.111227529999994</v>
      </c>
      <c r="I148" s="1">
        <v>0.40653024389999998</v>
      </c>
      <c r="J148" s="1">
        <v>0.11325146429999999</v>
      </c>
      <c r="K148" s="1">
        <v>0.88877246840000002</v>
      </c>
      <c r="L148" s="1">
        <v>3.4229177000000001E-6</v>
      </c>
      <c r="M148" s="1">
        <v>0</v>
      </c>
      <c r="N148" s="1">
        <v>0</v>
      </c>
      <c r="O148" s="1">
        <v>0</v>
      </c>
      <c r="P148" s="1">
        <v>0</v>
      </c>
      <c r="Q148" s="1">
        <v>0</v>
      </c>
    </row>
    <row r="149" spans="1:17">
      <c r="A149" s="2" t="s">
        <v>175</v>
      </c>
      <c r="B149" s="2" t="s">
        <v>12</v>
      </c>
      <c r="C149" s="5">
        <v>32971.847659999999</v>
      </c>
      <c r="D149" s="4">
        <v>78.297004700000002</v>
      </c>
      <c r="E149" s="4">
        <f t="shared" si="2"/>
        <v>21.702995299999998</v>
      </c>
      <c r="F149" s="1">
        <v>93.139366210000006</v>
      </c>
      <c r="G149" s="1">
        <v>96.559844080000005</v>
      </c>
      <c r="H149" s="1">
        <v>80.79943849</v>
      </c>
      <c r="I149" s="1">
        <v>0.84955935110000003</v>
      </c>
      <c r="J149" s="1">
        <v>0.64239323559999995</v>
      </c>
      <c r="K149" s="1">
        <v>1.5969437710000001</v>
      </c>
      <c r="L149" s="1">
        <v>4.1504683489999996</v>
      </c>
      <c r="M149" s="1">
        <v>2.6364086929999999</v>
      </c>
      <c r="N149" s="1">
        <v>9.6126911629999992</v>
      </c>
      <c r="O149" s="1">
        <v>1.8606060870000001</v>
      </c>
      <c r="P149" s="1">
        <v>0.1613539953</v>
      </c>
      <c r="Q149" s="1">
        <v>7.9909265779999998</v>
      </c>
    </row>
    <row r="150" spans="1:17">
      <c r="A150" s="2" t="s">
        <v>205</v>
      </c>
      <c r="B150" s="2" t="s">
        <v>32</v>
      </c>
      <c r="C150" s="5">
        <v>109581.08590000001</v>
      </c>
      <c r="D150" s="4">
        <v>47.407997129999998</v>
      </c>
      <c r="E150" s="4">
        <f t="shared" si="2"/>
        <v>52.592002870000002</v>
      </c>
      <c r="F150" s="1">
        <v>94.109034559999998</v>
      </c>
      <c r="G150" s="1">
        <v>97.489332500000003</v>
      </c>
      <c r="H150" s="1">
        <v>91.06193322</v>
      </c>
      <c r="I150" s="1">
        <v>2.8564861370000001</v>
      </c>
      <c r="J150" s="1">
        <v>1.632836465</v>
      </c>
      <c r="K150" s="1">
        <v>3.9595204279999998</v>
      </c>
      <c r="L150" s="1">
        <v>3.0344793069999998</v>
      </c>
      <c r="M150" s="1">
        <v>0.87783103600000001</v>
      </c>
      <c r="N150" s="1">
        <v>4.978546347</v>
      </c>
      <c r="O150" s="1">
        <v>0</v>
      </c>
      <c r="P150" s="1">
        <v>0</v>
      </c>
      <c r="Q150" s="1">
        <v>0</v>
      </c>
    </row>
    <row r="151" spans="1:17">
      <c r="A151" s="2" t="s">
        <v>180</v>
      </c>
      <c r="B151" s="2" t="s">
        <v>9</v>
      </c>
      <c r="C151" s="5">
        <v>37846.605470000002</v>
      </c>
      <c r="D151" s="4">
        <v>60.043003079999998</v>
      </c>
      <c r="E151" s="4">
        <f t="shared" si="2"/>
        <v>39.956996920000002</v>
      </c>
      <c r="F151" s="1">
        <v>99.966591550000004</v>
      </c>
      <c r="G151" s="1">
        <v>99.944354840000003</v>
      </c>
      <c r="H151" s="1">
        <v>100</v>
      </c>
      <c r="I151" s="1">
        <v>0</v>
      </c>
      <c r="J151" s="1">
        <v>0</v>
      </c>
      <c r="K151" s="1">
        <v>0</v>
      </c>
      <c r="L151" s="1">
        <v>3.3408445289999998E-2</v>
      </c>
      <c r="M151" s="1">
        <v>5.5645161290000002E-2</v>
      </c>
      <c r="N151" s="1">
        <v>0</v>
      </c>
      <c r="O151" s="1">
        <v>0</v>
      </c>
      <c r="P151" s="1">
        <v>0</v>
      </c>
      <c r="Q151" s="1">
        <v>0</v>
      </c>
    </row>
    <row r="152" spans="1:17">
      <c r="A152" s="2" t="s">
        <v>130</v>
      </c>
      <c r="B152" s="2" t="s">
        <v>9</v>
      </c>
      <c r="C152" s="5">
        <v>10196.70703</v>
      </c>
      <c r="D152" s="4">
        <v>66.309997559999999</v>
      </c>
      <c r="E152" s="4">
        <f t="shared" si="2"/>
        <v>33.690002440000001</v>
      </c>
      <c r="F152" s="1">
        <v>99.911993670000001</v>
      </c>
      <c r="G152" s="1">
        <v>100</v>
      </c>
      <c r="H152" s="1">
        <v>99.738776090000002</v>
      </c>
      <c r="I152" s="1">
        <v>0</v>
      </c>
      <c r="J152" s="1">
        <v>0</v>
      </c>
      <c r="K152" s="1">
        <v>0</v>
      </c>
      <c r="L152" s="1">
        <v>8.8006333689999994E-2</v>
      </c>
      <c r="M152" s="1">
        <v>0</v>
      </c>
      <c r="N152" s="1">
        <v>0.26122391220000002</v>
      </c>
      <c r="O152" s="1">
        <v>0</v>
      </c>
      <c r="P152" s="1">
        <v>0</v>
      </c>
      <c r="Q152" s="1">
        <v>0</v>
      </c>
    </row>
    <row r="153" spans="1:17">
      <c r="A153" s="2" t="s">
        <v>79</v>
      </c>
      <c r="B153" s="2" t="s">
        <v>9</v>
      </c>
      <c r="C153" s="5">
        <v>2860.8400879999999</v>
      </c>
      <c r="D153" s="4">
        <v>93.581001279999995</v>
      </c>
      <c r="E153" s="4">
        <f t="shared" si="2"/>
        <v>6.4189987200000047</v>
      </c>
      <c r="F153" s="1">
        <v>100</v>
      </c>
      <c r="G153" s="1" t="s">
        <v>1</v>
      </c>
      <c r="H153" s="1" t="s">
        <v>1</v>
      </c>
      <c r="I153" s="1">
        <v>0</v>
      </c>
      <c r="J153" s="1" t="s">
        <v>1</v>
      </c>
      <c r="K153" s="1" t="s">
        <v>1</v>
      </c>
      <c r="L153" s="1">
        <v>0</v>
      </c>
      <c r="M153" s="1" t="s">
        <v>1</v>
      </c>
      <c r="N153" s="1" t="s">
        <v>1</v>
      </c>
      <c r="O153" s="1">
        <v>0</v>
      </c>
      <c r="P153" s="1" t="s">
        <v>1</v>
      </c>
      <c r="Q153" s="1" t="s">
        <v>1</v>
      </c>
    </row>
    <row r="154" spans="1:17">
      <c r="A154" s="2" t="s">
        <v>81</v>
      </c>
      <c r="B154" s="2" t="s">
        <v>9</v>
      </c>
      <c r="C154" s="5">
        <v>2881.0600589999999</v>
      </c>
      <c r="D154" s="4">
        <v>99.23500061</v>
      </c>
      <c r="E154" s="4">
        <f t="shared" si="2"/>
        <v>0.76499938999999983</v>
      </c>
      <c r="F154" s="1">
        <v>99.568101940000005</v>
      </c>
      <c r="G154" s="1" t="s">
        <v>1</v>
      </c>
      <c r="H154" s="1" t="s">
        <v>1</v>
      </c>
      <c r="I154" s="1">
        <v>0</v>
      </c>
      <c r="J154" s="1" t="s">
        <v>1</v>
      </c>
      <c r="K154" s="1" t="s">
        <v>1</v>
      </c>
      <c r="L154" s="1">
        <v>0.4318980637</v>
      </c>
      <c r="M154" s="1" t="s">
        <v>1</v>
      </c>
      <c r="N154" s="1" t="s">
        <v>1</v>
      </c>
      <c r="O154" s="1">
        <v>0</v>
      </c>
      <c r="P154" s="1" t="s">
        <v>1</v>
      </c>
      <c r="Q154" s="1" t="s">
        <v>1</v>
      </c>
    </row>
    <row r="155" spans="1:17">
      <c r="A155" s="2" t="s">
        <v>190</v>
      </c>
      <c r="B155" s="2" t="s">
        <v>9</v>
      </c>
      <c r="C155" s="5">
        <v>51269.183590000001</v>
      </c>
      <c r="D155" s="4">
        <v>81.414001459999994</v>
      </c>
      <c r="E155" s="4">
        <f t="shared" si="2"/>
        <v>18.585998540000006</v>
      </c>
      <c r="F155" s="1">
        <v>99.931396649999996</v>
      </c>
      <c r="G155" s="1" t="s">
        <v>1</v>
      </c>
      <c r="H155" s="1" t="s">
        <v>1</v>
      </c>
      <c r="I155" s="1">
        <v>0</v>
      </c>
      <c r="J155" s="1" t="s">
        <v>1</v>
      </c>
      <c r="K155" s="1" t="s">
        <v>1</v>
      </c>
      <c r="L155" s="1">
        <v>6.8603352960000002E-2</v>
      </c>
      <c r="M155" s="1" t="s">
        <v>1</v>
      </c>
      <c r="N155" s="1" t="s">
        <v>1</v>
      </c>
      <c r="O155" s="1">
        <v>0</v>
      </c>
      <c r="P155" s="1" t="s">
        <v>1</v>
      </c>
      <c r="Q155" s="1" t="s">
        <v>1</v>
      </c>
    </row>
    <row r="156" spans="1:17">
      <c r="A156" s="2" t="s">
        <v>88</v>
      </c>
      <c r="B156" s="2" t="s">
        <v>12</v>
      </c>
      <c r="C156" s="5">
        <v>4033.9628910000001</v>
      </c>
      <c r="D156" s="4">
        <v>42.849002839999997</v>
      </c>
      <c r="E156" s="4">
        <f t="shared" si="2"/>
        <v>57.150997160000003</v>
      </c>
      <c r="F156" s="1">
        <v>90.569962239999995</v>
      </c>
      <c r="G156" s="1">
        <v>97.357444479999998</v>
      </c>
      <c r="H156" s="1">
        <v>85.481038119999994</v>
      </c>
      <c r="I156" s="1">
        <v>1.519776762</v>
      </c>
      <c r="J156" s="1">
        <v>1.516060408</v>
      </c>
      <c r="K156" s="1">
        <v>1.52256302</v>
      </c>
      <c r="L156" s="1">
        <v>7.910260997</v>
      </c>
      <c r="M156" s="1">
        <v>1.1264951110000001</v>
      </c>
      <c r="N156" s="1">
        <v>12.996398859999999</v>
      </c>
      <c r="O156" s="1">
        <v>0</v>
      </c>
      <c r="P156" s="1">
        <v>0</v>
      </c>
      <c r="Q156" s="1">
        <v>0</v>
      </c>
    </row>
    <row r="157" spans="1:17">
      <c r="A157" s="2" t="s">
        <v>58</v>
      </c>
      <c r="B157" s="2" t="s">
        <v>1</v>
      </c>
      <c r="C157" s="5">
        <v>895.30798340000001</v>
      </c>
      <c r="D157" s="4">
        <v>99.659004210000006</v>
      </c>
      <c r="E157" s="4">
        <f t="shared" si="2"/>
        <v>0.3409957899999938</v>
      </c>
      <c r="F157" s="1">
        <v>100</v>
      </c>
      <c r="G157" s="1" t="s">
        <v>1</v>
      </c>
      <c r="H157" s="1" t="s">
        <v>1</v>
      </c>
      <c r="I157" s="1">
        <v>0</v>
      </c>
      <c r="J157" s="1" t="s">
        <v>1</v>
      </c>
      <c r="K157" s="1" t="s">
        <v>1</v>
      </c>
      <c r="L157" s="1">
        <v>0</v>
      </c>
      <c r="M157" s="1" t="s">
        <v>1</v>
      </c>
      <c r="N157" s="1" t="s">
        <v>1</v>
      </c>
      <c r="O157" s="1">
        <v>0</v>
      </c>
      <c r="P157" s="1" t="s">
        <v>1</v>
      </c>
      <c r="Q157" s="1" t="s">
        <v>1</v>
      </c>
    </row>
    <row r="158" spans="1:17">
      <c r="A158" s="2" t="s">
        <v>158</v>
      </c>
      <c r="B158" s="2" t="s">
        <v>9</v>
      </c>
      <c r="C158" s="5">
        <v>19237.681639999999</v>
      </c>
      <c r="D158" s="4">
        <v>54.194000240000001</v>
      </c>
      <c r="E158" s="4">
        <f t="shared" si="2"/>
        <v>45.805999759999999</v>
      </c>
      <c r="F158" s="1">
        <v>100</v>
      </c>
      <c r="G158" s="1">
        <v>100</v>
      </c>
      <c r="H158" s="1">
        <v>100</v>
      </c>
      <c r="I158" s="1">
        <v>0</v>
      </c>
      <c r="J158" s="1">
        <v>0</v>
      </c>
      <c r="K158" s="1">
        <v>0</v>
      </c>
      <c r="L158" s="1">
        <v>0</v>
      </c>
      <c r="M158" s="1">
        <v>0</v>
      </c>
      <c r="N158" s="1">
        <v>0</v>
      </c>
      <c r="O158" s="1">
        <v>0</v>
      </c>
      <c r="P158" s="1">
        <v>0</v>
      </c>
      <c r="Q158" s="1">
        <v>0</v>
      </c>
    </row>
    <row r="159" spans="1:17">
      <c r="A159" s="2" t="s">
        <v>209</v>
      </c>
      <c r="B159" s="2" t="s">
        <v>12</v>
      </c>
      <c r="C159" s="5">
        <v>145934.45310000001</v>
      </c>
      <c r="D159" s="4">
        <v>74.754005430000007</v>
      </c>
      <c r="E159" s="4">
        <f t="shared" si="2"/>
        <v>25.245994569999993</v>
      </c>
      <c r="F159" s="1">
        <v>96.992548069999998</v>
      </c>
      <c r="G159" s="1">
        <v>98.832599610000003</v>
      </c>
      <c r="H159" s="1">
        <v>91.544101960000006</v>
      </c>
      <c r="I159" s="1">
        <v>0.62199637659999996</v>
      </c>
      <c r="J159" s="1">
        <v>0.29738996870000001</v>
      </c>
      <c r="K159" s="1">
        <v>1.5831635129999999</v>
      </c>
      <c r="L159" s="1">
        <v>2.3854555500000001</v>
      </c>
      <c r="M159" s="1">
        <v>0.67001042359999996</v>
      </c>
      <c r="N159" s="1">
        <v>6.8727345309999999</v>
      </c>
      <c r="O159" s="1" t="s">
        <v>1</v>
      </c>
      <c r="P159" s="1">
        <v>0.2</v>
      </c>
      <c r="Q159" s="1" t="s">
        <v>1</v>
      </c>
    </row>
    <row r="160" spans="1:17">
      <c r="A160" s="2" t="s">
        <v>143</v>
      </c>
      <c r="B160" s="2" t="s">
        <v>70</v>
      </c>
      <c r="C160" s="5">
        <v>12952.208979999999</v>
      </c>
      <c r="D160" s="4">
        <v>17.432001110000002</v>
      </c>
      <c r="E160" s="4">
        <f t="shared" si="2"/>
        <v>82.567998889999998</v>
      </c>
      <c r="F160" s="1">
        <v>60.41450115</v>
      </c>
      <c r="G160" s="1">
        <v>83.017599300000001</v>
      </c>
      <c r="H160" s="1">
        <v>55.642468229999999</v>
      </c>
      <c r="I160" s="1">
        <v>22.3207193</v>
      </c>
      <c r="J160" s="1">
        <v>9.2505062509999991</v>
      </c>
      <c r="K160" s="1">
        <v>25.08014133</v>
      </c>
      <c r="L160" s="1">
        <v>13.15480415</v>
      </c>
      <c r="M160" s="1">
        <v>5.4623030569999997</v>
      </c>
      <c r="N160" s="1">
        <v>14.778867719999999</v>
      </c>
      <c r="O160" s="1">
        <v>4.1099754009999998</v>
      </c>
      <c r="P160" s="1">
        <v>2.2695913939999999</v>
      </c>
      <c r="Q160" s="1">
        <v>4.4985227139999999</v>
      </c>
    </row>
    <row r="161" spans="1:17">
      <c r="A161" s="2" t="s">
        <v>7</v>
      </c>
      <c r="B161" s="2" t="s">
        <v>1</v>
      </c>
      <c r="C161" s="5">
        <v>9.8849999999999998</v>
      </c>
      <c r="D161" s="4">
        <v>100</v>
      </c>
      <c r="E161" s="4">
        <f t="shared" si="2"/>
        <v>0</v>
      </c>
      <c r="F161" s="1">
        <v>100</v>
      </c>
      <c r="G161" s="1">
        <v>100</v>
      </c>
      <c r="H161" s="1" t="s">
        <v>1</v>
      </c>
      <c r="I161" s="1">
        <v>0</v>
      </c>
      <c r="J161" s="1">
        <v>0</v>
      </c>
      <c r="K161" s="1" t="s">
        <v>1</v>
      </c>
      <c r="L161" s="1">
        <v>0</v>
      </c>
      <c r="M161" s="1">
        <v>0</v>
      </c>
      <c r="N161" s="1" t="s">
        <v>1</v>
      </c>
      <c r="O161" s="1">
        <v>0</v>
      </c>
      <c r="P161" s="1">
        <v>0</v>
      </c>
      <c r="Q161" s="1" t="s">
        <v>1</v>
      </c>
    </row>
    <row r="162" spans="1:17">
      <c r="A162" s="2" t="s">
        <v>6</v>
      </c>
      <c r="B162" s="2" t="s">
        <v>1</v>
      </c>
      <c r="C162" s="5">
        <v>6.0710000989999999</v>
      </c>
      <c r="D162" s="4">
        <v>40.082000729999997</v>
      </c>
      <c r="E162" s="4">
        <f t="shared" si="2"/>
        <v>59.917999270000003</v>
      </c>
      <c r="F162" s="1">
        <v>99.1</v>
      </c>
      <c r="G162" s="1" t="s">
        <v>1</v>
      </c>
      <c r="H162" s="1" t="s">
        <v>1</v>
      </c>
      <c r="I162" s="1">
        <v>0</v>
      </c>
      <c r="J162" s="1" t="s">
        <v>1</v>
      </c>
      <c r="K162" s="1" t="s">
        <v>1</v>
      </c>
      <c r="L162" s="1">
        <v>0.9</v>
      </c>
      <c r="M162" s="1" t="s">
        <v>1</v>
      </c>
      <c r="N162" s="1" t="s">
        <v>1</v>
      </c>
      <c r="O162" s="1">
        <v>0</v>
      </c>
      <c r="P162" s="1" t="s">
        <v>1</v>
      </c>
      <c r="Q162" s="1" t="s">
        <v>1</v>
      </c>
    </row>
    <row r="163" spans="1:17">
      <c r="A163" s="2" t="s">
        <v>34</v>
      </c>
      <c r="B163" s="2" t="s">
        <v>12</v>
      </c>
      <c r="C163" s="5">
        <v>183.62899780000001</v>
      </c>
      <c r="D163" s="4">
        <v>18.8409996</v>
      </c>
      <c r="E163" s="4">
        <f t="shared" si="2"/>
        <v>81.159000399999996</v>
      </c>
      <c r="F163" s="1">
        <v>96.887844569999999</v>
      </c>
      <c r="G163" s="1">
        <v>97.205822190000006</v>
      </c>
      <c r="H163" s="1">
        <v>96.814023829999996</v>
      </c>
      <c r="I163" s="1">
        <v>1.815652166</v>
      </c>
      <c r="J163" s="1">
        <v>2.166718886</v>
      </c>
      <c r="K163" s="1">
        <v>1.7341522549999999</v>
      </c>
      <c r="L163" s="1">
        <v>1.296503269</v>
      </c>
      <c r="M163" s="1">
        <v>0.6274589237</v>
      </c>
      <c r="N163" s="1">
        <v>1.4518239180000001</v>
      </c>
      <c r="O163" s="1">
        <v>0</v>
      </c>
      <c r="P163" s="1">
        <v>0</v>
      </c>
      <c r="Q163" s="1">
        <v>0</v>
      </c>
    </row>
    <row r="164" spans="1:17">
      <c r="A164" s="2" t="s">
        <v>19</v>
      </c>
      <c r="B164" s="2" t="s">
        <v>9</v>
      </c>
      <c r="C164" s="5">
        <v>38.658999999999999</v>
      </c>
      <c r="D164" s="4">
        <v>100</v>
      </c>
      <c r="E164" s="4">
        <f t="shared" si="2"/>
        <v>0</v>
      </c>
      <c r="F164" s="1">
        <v>99.999271390000004</v>
      </c>
      <c r="G164" s="1">
        <v>99.999271390000004</v>
      </c>
      <c r="H164" s="1" t="s">
        <v>1</v>
      </c>
      <c r="I164" s="1">
        <v>0</v>
      </c>
      <c r="J164" s="1">
        <v>0</v>
      </c>
      <c r="K164" s="1" t="s">
        <v>1</v>
      </c>
      <c r="L164" s="1">
        <v>7.2861055070000001E-4</v>
      </c>
      <c r="M164" s="1">
        <v>7.2861055070000001E-4</v>
      </c>
      <c r="N164" s="1" t="s">
        <v>1</v>
      </c>
      <c r="O164" s="1">
        <v>0</v>
      </c>
      <c r="P164" s="1">
        <v>0</v>
      </c>
      <c r="Q164" s="1" t="s">
        <v>1</v>
      </c>
    </row>
    <row r="165" spans="1:17">
      <c r="A165" s="2" t="s">
        <v>5</v>
      </c>
      <c r="B165" s="2" t="s">
        <v>1</v>
      </c>
      <c r="C165" s="5">
        <v>5.795000076</v>
      </c>
      <c r="D165" s="4">
        <v>89.96199799</v>
      </c>
      <c r="E165" s="4">
        <f t="shared" si="2"/>
        <v>10.03800201</v>
      </c>
      <c r="F165" s="1">
        <v>91.4</v>
      </c>
      <c r="G165" s="1" t="s">
        <v>1</v>
      </c>
      <c r="H165" s="1" t="s">
        <v>1</v>
      </c>
      <c r="I165" s="1">
        <v>0</v>
      </c>
      <c r="J165" s="1" t="s">
        <v>1</v>
      </c>
      <c r="K165" s="1" t="s">
        <v>1</v>
      </c>
      <c r="L165" s="1">
        <v>8.6</v>
      </c>
      <c r="M165" s="1" t="s">
        <v>1</v>
      </c>
      <c r="N165" s="1" t="s">
        <v>1</v>
      </c>
      <c r="O165" s="1">
        <v>0</v>
      </c>
      <c r="P165" s="1" t="s">
        <v>1</v>
      </c>
      <c r="Q165" s="1" t="s">
        <v>1</v>
      </c>
    </row>
    <row r="166" spans="1:17">
      <c r="A166" s="2" t="s">
        <v>35</v>
      </c>
      <c r="B166" s="2" t="s">
        <v>32</v>
      </c>
      <c r="C166" s="5">
        <v>198.4100037</v>
      </c>
      <c r="D166" s="4">
        <v>17.888999940000001</v>
      </c>
      <c r="E166" s="4">
        <f t="shared" si="2"/>
        <v>82.111000059999995</v>
      </c>
      <c r="F166" s="1">
        <v>91.837724550000004</v>
      </c>
      <c r="G166" s="1">
        <v>92.101190000000003</v>
      </c>
      <c r="H166" s="1">
        <v>91.780322870000006</v>
      </c>
      <c r="I166" s="1">
        <v>6.5208999519999997</v>
      </c>
      <c r="J166" s="1">
        <v>7.8988100000000001</v>
      </c>
      <c r="K166" s="1">
        <v>6.2207033389999999</v>
      </c>
      <c r="L166" s="1">
        <v>1.4186234280000001</v>
      </c>
      <c r="M166" s="1">
        <v>0</v>
      </c>
      <c r="N166" s="1">
        <v>1.7276921599999999</v>
      </c>
      <c r="O166" s="1">
        <v>0.22275206789999999</v>
      </c>
      <c r="P166" s="1">
        <v>0</v>
      </c>
      <c r="Q166" s="1">
        <v>0.2712816327</v>
      </c>
    </row>
    <row r="167" spans="1:17">
      <c r="A167" s="2" t="s">
        <v>17</v>
      </c>
      <c r="B167" s="2" t="s">
        <v>9</v>
      </c>
      <c r="C167" s="5">
        <v>33.937999730000001</v>
      </c>
      <c r="D167" s="4">
        <v>97.499000550000005</v>
      </c>
      <c r="E167" s="4">
        <f t="shared" si="2"/>
        <v>2.5009994499999948</v>
      </c>
      <c r="F167" s="1">
        <v>100</v>
      </c>
      <c r="G167" s="1" t="s">
        <v>1</v>
      </c>
      <c r="H167" s="1" t="s">
        <v>1</v>
      </c>
      <c r="I167" s="1">
        <v>0</v>
      </c>
      <c r="J167" s="1" t="s">
        <v>1</v>
      </c>
      <c r="K167" s="1" t="s">
        <v>1</v>
      </c>
      <c r="L167" s="1">
        <v>0</v>
      </c>
      <c r="M167" s="1" t="s">
        <v>1</v>
      </c>
      <c r="N167" s="1" t="s">
        <v>1</v>
      </c>
      <c r="O167" s="1">
        <v>0</v>
      </c>
      <c r="P167" s="1" t="s">
        <v>1</v>
      </c>
      <c r="Q167" s="1" t="s">
        <v>1</v>
      </c>
    </row>
    <row r="168" spans="1:17">
      <c r="A168" s="2" t="s">
        <v>36</v>
      </c>
      <c r="B168" s="2" t="s">
        <v>32</v>
      </c>
      <c r="C168" s="5">
        <v>219.16099550000001</v>
      </c>
      <c r="D168" s="4">
        <v>74.354003910000003</v>
      </c>
      <c r="E168" s="4">
        <f t="shared" si="2"/>
        <v>25.645996089999997</v>
      </c>
      <c r="F168" s="1">
        <v>78.22645516</v>
      </c>
      <c r="G168" s="1">
        <v>79.580542899999998</v>
      </c>
      <c r="H168" s="1">
        <v>74.300614490000001</v>
      </c>
      <c r="I168" s="1">
        <v>20.237982980000002</v>
      </c>
      <c r="J168" s="1">
        <v>20.419457099999999</v>
      </c>
      <c r="K168" s="1">
        <v>19.711842579999999</v>
      </c>
      <c r="L168" s="1">
        <v>0.44351992839999999</v>
      </c>
      <c r="M168" s="1">
        <v>0</v>
      </c>
      <c r="N168" s="1">
        <v>1.7294057039999999</v>
      </c>
      <c r="O168" s="1">
        <v>1.0920419299999999</v>
      </c>
      <c r="P168" s="1">
        <v>0</v>
      </c>
      <c r="Q168" s="1">
        <v>4.2581372279999998</v>
      </c>
    </row>
    <row r="169" spans="1:17">
      <c r="A169" s="2" t="s">
        <v>177</v>
      </c>
      <c r="B169" s="2" t="s">
        <v>9</v>
      </c>
      <c r="C169" s="5">
        <v>34813.867189999997</v>
      </c>
      <c r="D169" s="4">
        <v>84.287002560000005</v>
      </c>
      <c r="E169" s="4">
        <f t="shared" si="2"/>
        <v>15.712997439999995</v>
      </c>
      <c r="F169" s="1">
        <v>100</v>
      </c>
      <c r="G169" s="1" t="s">
        <v>1</v>
      </c>
      <c r="H169" s="1" t="s">
        <v>1</v>
      </c>
      <c r="I169" s="1">
        <v>0</v>
      </c>
      <c r="J169" s="1" t="s">
        <v>1</v>
      </c>
      <c r="K169" s="1" t="s">
        <v>1</v>
      </c>
      <c r="L169" s="1">
        <v>0</v>
      </c>
      <c r="M169" s="1" t="s">
        <v>1</v>
      </c>
      <c r="N169" s="1" t="s">
        <v>1</v>
      </c>
      <c r="O169" s="1">
        <v>0</v>
      </c>
      <c r="P169" s="1" t="s">
        <v>1</v>
      </c>
      <c r="Q169" s="1" t="s">
        <v>1</v>
      </c>
    </row>
    <row r="170" spans="1:17">
      <c r="A170" s="2" t="s">
        <v>149</v>
      </c>
      <c r="B170" s="2" t="s">
        <v>32</v>
      </c>
      <c r="C170" s="5">
        <v>16743.929690000001</v>
      </c>
      <c r="D170" s="4">
        <v>48.122001650000001</v>
      </c>
      <c r="E170" s="4">
        <f t="shared" si="2"/>
        <v>51.877998349999999</v>
      </c>
      <c r="F170" s="1">
        <v>84.905237790000001</v>
      </c>
      <c r="G170" s="1">
        <v>95.321700939999999</v>
      </c>
      <c r="H170" s="1">
        <v>75.242928199999994</v>
      </c>
      <c r="I170" s="1">
        <v>2.3872175090000001</v>
      </c>
      <c r="J170" s="1">
        <v>0.59208365669999996</v>
      </c>
      <c r="K170" s="1">
        <v>4.052382433</v>
      </c>
      <c r="L170" s="1">
        <v>12.60781566</v>
      </c>
      <c r="M170" s="1">
        <v>4.0862154019999997</v>
      </c>
      <c r="N170" s="1">
        <v>20.512451739999999</v>
      </c>
      <c r="O170" s="1">
        <v>9.9729040419999998E-2</v>
      </c>
      <c r="P170" s="1">
        <v>0</v>
      </c>
      <c r="Q170" s="1">
        <v>0.1922376314</v>
      </c>
    </row>
    <row r="171" spans="1:17">
      <c r="A171" s="2" t="s">
        <v>120</v>
      </c>
      <c r="B171" s="2" t="s">
        <v>12</v>
      </c>
      <c r="C171" s="5">
        <v>8737.3701170000004</v>
      </c>
      <c r="D171" s="4">
        <v>56.445999149999999</v>
      </c>
      <c r="E171" s="4">
        <f t="shared" si="2"/>
        <v>43.554000850000001</v>
      </c>
      <c r="F171" s="1">
        <v>95.29552932</v>
      </c>
      <c r="G171" s="1">
        <v>94.871569890000004</v>
      </c>
      <c r="H171" s="1">
        <v>95.844974750000006</v>
      </c>
      <c r="I171" s="1">
        <v>4.244199279</v>
      </c>
      <c r="J171" s="1">
        <v>4.7830378649999998</v>
      </c>
      <c r="K171" s="1">
        <v>3.545864028</v>
      </c>
      <c r="L171" s="1">
        <v>0.44372047780000001</v>
      </c>
      <c r="M171" s="1">
        <v>0.3453922445</v>
      </c>
      <c r="N171" s="1">
        <v>0.57116028659999996</v>
      </c>
      <c r="O171" s="1">
        <v>1.6550926470000001E-2</v>
      </c>
      <c r="P171" s="1">
        <v>0</v>
      </c>
      <c r="Q171" s="1">
        <v>3.8000931410000001E-2</v>
      </c>
    </row>
    <row r="172" spans="1:17">
      <c r="A172" s="2" t="s">
        <v>116</v>
      </c>
      <c r="B172" s="2" t="s">
        <v>70</v>
      </c>
      <c r="C172" s="5">
        <v>7976.9848629999997</v>
      </c>
      <c r="D172" s="4">
        <v>42.923000340000002</v>
      </c>
      <c r="E172" s="4">
        <f t="shared" si="2"/>
        <v>57.076999659999998</v>
      </c>
      <c r="F172" s="1">
        <v>63.766285619999998</v>
      </c>
      <c r="G172" s="1">
        <v>78.411637659999997</v>
      </c>
      <c r="H172" s="1">
        <v>52.752702669999998</v>
      </c>
      <c r="I172" s="1">
        <v>9.0233163570000006</v>
      </c>
      <c r="J172" s="1">
        <v>14.079277429999999</v>
      </c>
      <c r="K172" s="1">
        <v>5.2211368890000003</v>
      </c>
      <c r="L172" s="1">
        <v>15.5639457</v>
      </c>
      <c r="M172" s="1">
        <v>5.4857354369999998</v>
      </c>
      <c r="N172" s="1">
        <v>23.142949089999998</v>
      </c>
      <c r="O172" s="1">
        <v>11.646452330000001</v>
      </c>
      <c r="P172" s="1">
        <v>2.0233494749999998</v>
      </c>
      <c r="Q172" s="1">
        <v>18.88321135</v>
      </c>
    </row>
    <row r="173" spans="1:17">
      <c r="A173" s="2" t="s">
        <v>105</v>
      </c>
      <c r="B173" s="2" t="s">
        <v>9</v>
      </c>
      <c r="C173" s="5">
        <v>5850.3427730000003</v>
      </c>
      <c r="D173" s="4">
        <v>100</v>
      </c>
      <c r="E173" s="4">
        <f t="shared" si="2"/>
        <v>0</v>
      </c>
      <c r="F173" s="1">
        <v>100</v>
      </c>
      <c r="G173" s="1">
        <v>100</v>
      </c>
      <c r="H173" s="1" t="s">
        <v>1</v>
      </c>
      <c r="I173" s="1">
        <v>0</v>
      </c>
      <c r="J173" s="1">
        <v>0</v>
      </c>
      <c r="K173" s="1" t="s">
        <v>1</v>
      </c>
      <c r="L173" s="1">
        <v>0</v>
      </c>
      <c r="M173" s="1">
        <v>0</v>
      </c>
      <c r="N173" s="1" t="s">
        <v>1</v>
      </c>
      <c r="O173" s="1">
        <v>0</v>
      </c>
      <c r="P173" s="1">
        <v>0</v>
      </c>
      <c r="Q173" s="1" t="s">
        <v>1</v>
      </c>
    </row>
    <row r="174" spans="1:17">
      <c r="A174" s="2" t="s">
        <v>101</v>
      </c>
      <c r="B174" s="2" t="s">
        <v>9</v>
      </c>
      <c r="C174" s="5">
        <v>5459.6430659999996</v>
      </c>
      <c r="D174" s="4">
        <v>53.759998320000001</v>
      </c>
      <c r="E174" s="4">
        <f t="shared" si="2"/>
        <v>46.240001679999999</v>
      </c>
      <c r="F174" s="1">
        <v>99.787698579999997</v>
      </c>
      <c r="G174" s="1">
        <v>99.605094059999999</v>
      </c>
      <c r="H174" s="1">
        <v>100</v>
      </c>
      <c r="I174" s="1">
        <v>0.2123014241</v>
      </c>
      <c r="J174" s="1">
        <v>0.39490593740000002</v>
      </c>
      <c r="K174" s="1">
        <v>0</v>
      </c>
      <c r="L174" s="1">
        <v>0</v>
      </c>
      <c r="M174" s="1">
        <v>0</v>
      </c>
      <c r="N174" s="1">
        <v>0</v>
      </c>
      <c r="O174" s="1">
        <v>0</v>
      </c>
      <c r="P174" s="1">
        <v>0</v>
      </c>
      <c r="Q174" s="1">
        <v>0</v>
      </c>
    </row>
    <row r="175" spans="1:17">
      <c r="A175" s="2" t="s">
        <v>71</v>
      </c>
      <c r="B175" s="2" t="s">
        <v>9</v>
      </c>
      <c r="C175" s="5">
        <v>2078.931885</v>
      </c>
      <c r="D175" s="4">
        <v>55.118003850000001</v>
      </c>
      <c r="E175" s="4">
        <f t="shared" si="2"/>
        <v>44.881996149999999</v>
      </c>
      <c r="F175" s="1">
        <v>99.5</v>
      </c>
      <c r="G175" s="1" t="s">
        <v>1</v>
      </c>
      <c r="H175" s="1" t="s">
        <v>1</v>
      </c>
      <c r="I175" s="1">
        <v>0</v>
      </c>
      <c r="J175" s="1" t="s">
        <v>1</v>
      </c>
      <c r="K175" s="1" t="s">
        <v>1</v>
      </c>
      <c r="L175" s="1">
        <v>0.5</v>
      </c>
      <c r="M175" s="1" t="s">
        <v>1</v>
      </c>
      <c r="N175" s="1" t="s">
        <v>1</v>
      </c>
      <c r="O175" s="1">
        <v>0</v>
      </c>
      <c r="P175" s="1" t="s">
        <v>1</v>
      </c>
      <c r="Q175" s="1" t="s">
        <v>1</v>
      </c>
    </row>
    <row r="176" spans="1:17">
      <c r="A176" s="2" t="s">
        <v>55</v>
      </c>
      <c r="B176" s="2" t="s">
        <v>32</v>
      </c>
      <c r="C176" s="5">
        <v>686.87799070000005</v>
      </c>
      <c r="D176" s="4">
        <v>24.670000080000001</v>
      </c>
      <c r="E176" s="4">
        <f t="shared" si="2"/>
        <v>75.329999920000006</v>
      </c>
      <c r="F176" s="1">
        <v>67.301025539999998</v>
      </c>
      <c r="G176" s="1">
        <v>91.410776889999994</v>
      </c>
      <c r="H176" s="1">
        <v>59.40526749</v>
      </c>
      <c r="I176" s="1">
        <v>5.79547831</v>
      </c>
      <c r="J176" s="1">
        <v>3.5571204249999999</v>
      </c>
      <c r="K176" s="1">
        <v>6.5285236490000003</v>
      </c>
      <c r="L176" s="1">
        <v>21.267843129999999</v>
      </c>
      <c r="M176" s="1">
        <v>3.8992861369999998</v>
      </c>
      <c r="N176" s="1">
        <v>26.955911</v>
      </c>
      <c r="O176" s="1">
        <v>5.6356530249999999</v>
      </c>
      <c r="P176" s="1">
        <v>1.1328165530000001</v>
      </c>
      <c r="Q176" s="1">
        <v>7.1102978569999999</v>
      </c>
    </row>
    <row r="177" spans="1:17">
      <c r="A177" s="2" t="s">
        <v>146</v>
      </c>
      <c r="B177" s="2" t="s">
        <v>70</v>
      </c>
      <c r="C177" s="5">
        <v>15893.21875</v>
      </c>
      <c r="D177" s="4">
        <v>46.140998840000002</v>
      </c>
      <c r="E177" s="4">
        <f t="shared" si="2"/>
        <v>53.859001159999998</v>
      </c>
      <c r="F177" s="1">
        <v>56.476973389999998</v>
      </c>
      <c r="G177" s="1">
        <v>79.123305740000006</v>
      </c>
      <c r="H177" s="1">
        <v>37.075862819999998</v>
      </c>
      <c r="I177" s="1">
        <v>27.704199559999999</v>
      </c>
      <c r="J177" s="1">
        <v>17.269915560000001</v>
      </c>
      <c r="K177" s="1">
        <v>36.643249580000003</v>
      </c>
      <c r="L177" s="1">
        <v>13.41704303</v>
      </c>
      <c r="M177" s="1">
        <v>3.6067787029999998</v>
      </c>
      <c r="N177" s="1">
        <v>21.821495460000001</v>
      </c>
      <c r="O177" s="1">
        <v>2.4017840210000001</v>
      </c>
      <c r="P177" s="1">
        <v>0</v>
      </c>
      <c r="Q177" s="1">
        <v>4.4593921429999996</v>
      </c>
    </row>
    <row r="178" spans="1:17">
      <c r="A178" s="2" t="s">
        <v>193</v>
      </c>
      <c r="B178" s="2" t="s">
        <v>12</v>
      </c>
      <c r="C178" s="5">
        <v>59308.691409999999</v>
      </c>
      <c r="D178" s="4">
        <v>67.354003910000003</v>
      </c>
      <c r="E178" s="4">
        <f t="shared" si="2"/>
        <v>32.645996089999997</v>
      </c>
      <c r="F178" s="1">
        <v>93.885057439999997</v>
      </c>
      <c r="G178" s="1">
        <v>99.001264840000005</v>
      </c>
      <c r="H178" s="1">
        <v>83.329481180000002</v>
      </c>
      <c r="I178" s="1">
        <v>2.7727361859999999</v>
      </c>
      <c r="J178" s="1">
        <v>0.73478540299999995</v>
      </c>
      <c r="K178" s="1">
        <v>6.9773593590000003</v>
      </c>
      <c r="L178" s="1">
        <v>1.410816657</v>
      </c>
      <c r="M178" s="1">
        <v>0.26394975469999998</v>
      </c>
      <c r="N178" s="1">
        <v>3.7769992870000002</v>
      </c>
      <c r="O178" s="1">
        <v>1.9313897120000001</v>
      </c>
      <c r="P178" s="1">
        <v>0</v>
      </c>
      <c r="Q178" s="1">
        <v>5.9161601729999997</v>
      </c>
    </row>
    <row r="179" spans="1:17">
      <c r="A179" s="2" t="s">
        <v>135</v>
      </c>
      <c r="B179" s="2" t="s">
        <v>70</v>
      </c>
      <c r="C179" s="5">
        <v>11193.728520000001</v>
      </c>
      <c r="D179" s="4">
        <v>20.198999400000002</v>
      </c>
      <c r="E179" s="4">
        <f t="shared" si="2"/>
        <v>79.801000599999995</v>
      </c>
      <c r="F179" s="1">
        <v>40.95092717</v>
      </c>
      <c r="G179" s="1">
        <v>70.017704449999997</v>
      </c>
      <c r="H179" s="1">
        <v>33.593628809999998</v>
      </c>
      <c r="I179" s="1">
        <v>37.426962869999997</v>
      </c>
      <c r="J179" s="1">
        <v>18.710660919999999</v>
      </c>
      <c r="K179" s="1">
        <v>42.164380680000001</v>
      </c>
      <c r="L179" s="1">
        <v>13.537555190000001</v>
      </c>
      <c r="M179" s="1">
        <v>11.27163464</v>
      </c>
      <c r="N179" s="1">
        <v>14.111096160000001</v>
      </c>
      <c r="O179" s="1">
        <v>8.0845547619999998</v>
      </c>
      <c r="P179" s="1">
        <v>0</v>
      </c>
      <c r="Q179" s="1">
        <v>10.13089435</v>
      </c>
    </row>
    <row r="180" spans="1:17">
      <c r="A180" s="2" t="s">
        <v>188</v>
      </c>
      <c r="B180" s="2" t="s">
        <v>9</v>
      </c>
      <c r="C180" s="5">
        <v>46754.78125</v>
      </c>
      <c r="D180" s="4">
        <v>80.809997559999999</v>
      </c>
      <c r="E180" s="4">
        <f t="shared" si="2"/>
        <v>19.190002440000001</v>
      </c>
      <c r="F180" s="1">
        <v>99.925612610000002</v>
      </c>
      <c r="G180" s="1">
        <v>99.907945209999994</v>
      </c>
      <c r="H180" s="1">
        <v>100</v>
      </c>
      <c r="I180" s="1">
        <v>0</v>
      </c>
      <c r="J180" s="1">
        <v>0</v>
      </c>
      <c r="K180" s="1">
        <v>0</v>
      </c>
      <c r="L180" s="1">
        <v>7.4387391420000004E-2</v>
      </c>
      <c r="M180" s="1">
        <v>9.2054794519999997E-2</v>
      </c>
      <c r="N180" s="1">
        <v>0</v>
      </c>
      <c r="O180" s="1">
        <v>0</v>
      </c>
      <c r="P180" s="1">
        <v>0</v>
      </c>
      <c r="Q180" s="1">
        <v>0</v>
      </c>
    </row>
    <row r="181" spans="1:17">
      <c r="A181" s="2" t="s">
        <v>161</v>
      </c>
      <c r="B181" s="2" t="s">
        <v>32</v>
      </c>
      <c r="C181" s="5">
        <v>21413.25</v>
      </c>
      <c r="D181" s="4">
        <v>18.71299934</v>
      </c>
      <c r="E181" s="4">
        <f t="shared" si="2"/>
        <v>81.287000660000004</v>
      </c>
      <c r="F181" s="1">
        <v>92.227579370000001</v>
      </c>
      <c r="G181" s="1">
        <v>99.569380190000004</v>
      </c>
      <c r="H181" s="1">
        <v>90.537435700000003</v>
      </c>
      <c r="I181" s="1">
        <v>0.59545814949999998</v>
      </c>
      <c r="J181" s="1">
        <v>0.12739779009999999</v>
      </c>
      <c r="K181" s="1">
        <v>0.70320990380000004</v>
      </c>
      <c r="L181" s="1">
        <v>5.3489270639999997</v>
      </c>
      <c r="M181" s="1">
        <v>0.3032220202</v>
      </c>
      <c r="N181" s="1">
        <v>6.5104886119999996</v>
      </c>
      <c r="O181" s="1">
        <v>1.82803542</v>
      </c>
      <c r="P181" s="1">
        <v>0</v>
      </c>
      <c r="Q181" s="1">
        <v>2.2488657820000002</v>
      </c>
    </row>
    <row r="182" spans="1:17">
      <c r="A182" s="2" t="s">
        <v>184</v>
      </c>
      <c r="B182" s="2" t="s">
        <v>70</v>
      </c>
      <c r="C182" s="5">
        <v>43849.269529999998</v>
      </c>
      <c r="D182" s="4">
        <v>35.252998349999999</v>
      </c>
      <c r="E182" s="4">
        <f t="shared" si="2"/>
        <v>64.747001650000001</v>
      </c>
      <c r="F182" s="1">
        <v>60.448675600000001</v>
      </c>
      <c r="G182" s="1">
        <v>73.763659559999994</v>
      </c>
      <c r="H182" s="1">
        <v>53.19902707</v>
      </c>
      <c r="I182" s="1">
        <v>26.670019750000002</v>
      </c>
      <c r="J182" s="1">
        <v>25.223439859999999</v>
      </c>
      <c r="K182" s="1">
        <v>27.457644510000002</v>
      </c>
      <c r="L182" s="1">
        <v>3.6502178750000001</v>
      </c>
      <c r="M182" s="1">
        <v>0</v>
      </c>
      <c r="N182" s="1">
        <v>5.6376600080000001</v>
      </c>
      <c r="O182" s="1">
        <v>9.2310867739999996</v>
      </c>
      <c r="P182" s="1">
        <v>1.012900581</v>
      </c>
      <c r="Q182" s="1">
        <v>13.70566842</v>
      </c>
    </row>
    <row r="183" spans="1:17">
      <c r="A183" s="2" t="s">
        <v>51</v>
      </c>
      <c r="B183" s="2" t="s">
        <v>12</v>
      </c>
      <c r="C183" s="5">
        <v>586.63397220000002</v>
      </c>
      <c r="D183" s="4">
        <v>66.149002080000002</v>
      </c>
      <c r="E183" s="4">
        <f t="shared" si="2"/>
        <v>33.850997919999998</v>
      </c>
      <c r="F183" s="1">
        <v>97.989631669999994</v>
      </c>
      <c r="G183" s="1">
        <v>98.713853869999994</v>
      </c>
      <c r="H183" s="1">
        <v>96.574412629999998</v>
      </c>
      <c r="I183" s="1">
        <v>1.0672469410000001</v>
      </c>
      <c r="J183" s="1">
        <v>0.79446523710000005</v>
      </c>
      <c r="K183" s="1">
        <v>1.6002958599999999</v>
      </c>
      <c r="L183" s="1">
        <v>0.37933650730000001</v>
      </c>
      <c r="M183" s="1">
        <v>0.49168089250000002</v>
      </c>
      <c r="N183" s="1">
        <v>0.1598017947</v>
      </c>
      <c r="O183" s="1">
        <v>0.56378488400000004</v>
      </c>
      <c r="P183" s="1">
        <v>0</v>
      </c>
      <c r="Q183" s="1">
        <v>1.6654897200000001</v>
      </c>
    </row>
    <row r="184" spans="1:17">
      <c r="A184" s="2" t="s">
        <v>128</v>
      </c>
      <c r="B184" s="2" t="s">
        <v>9</v>
      </c>
      <c r="C184" s="5">
        <v>10099.26953</v>
      </c>
      <c r="D184" s="4">
        <v>87.97699738</v>
      </c>
      <c r="E184" s="4">
        <f t="shared" si="2"/>
        <v>12.02300262</v>
      </c>
      <c r="F184" s="1">
        <v>99.826867629999995</v>
      </c>
      <c r="G184" s="1">
        <v>99.841557679999994</v>
      </c>
      <c r="H184" s="1">
        <v>99.719374740000006</v>
      </c>
      <c r="I184" s="1">
        <v>0</v>
      </c>
      <c r="J184" s="1">
        <v>0</v>
      </c>
      <c r="K184" s="1">
        <v>0</v>
      </c>
      <c r="L184" s="1">
        <v>0.17313237349999999</v>
      </c>
      <c r="M184" s="1">
        <v>0.1584423157</v>
      </c>
      <c r="N184" s="1">
        <v>0.28062526259999998</v>
      </c>
      <c r="O184" s="1">
        <v>0</v>
      </c>
      <c r="P184" s="1">
        <v>0</v>
      </c>
      <c r="Q184" s="1">
        <v>0</v>
      </c>
    </row>
    <row r="185" spans="1:17">
      <c r="A185" s="2" t="s">
        <v>118</v>
      </c>
      <c r="B185" s="2" t="s">
        <v>9</v>
      </c>
      <c r="C185" s="5">
        <v>8654.6181639999995</v>
      </c>
      <c r="D185" s="4">
        <v>73.915000919999997</v>
      </c>
      <c r="E185" s="4">
        <f t="shared" si="2"/>
        <v>26.084999080000003</v>
      </c>
      <c r="F185" s="1">
        <v>100.0000028</v>
      </c>
      <c r="G185" s="1">
        <v>100</v>
      </c>
      <c r="H185" s="1">
        <v>100</v>
      </c>
      <c r="I185" s="1">
        <v>0</v>
      </c>
      <c r="J185" s="1">
        <v>0</v>
      </c>
      <c r="K185" s="1">
        <v>0</v>
      </c>
      <c r="L185" s="1">
        <v>0</v>
      </c>
      <c r="M185" s="1">
        <v>0</v>
      </c>
      <c r="N185" s="1">
        <v>0</v>
      </c>
      <c r="O185" s="1">
        <v>0</v>
      </c>
      <c r="P185" s="1">
        <v>0</v>
      </c>
      <c r="Q185" s="1">
        <v>0</v>
      </c>
    </row>
    <row r="186" spans="1:17">
      <c r="A186" s="2" t="s">
        <v>151</v>
      </c>
      <c r="B186" s="2" t="s">
        <v>70</v>
      </c>
      <c r="C186" s="5">
        <v>17500.65625</v>
      </c>
      <c r="D186" s="4">
        <v>55.475002289999999</v>
      </c>
      <c r="E186" s="4">
        <f t="shared" si="2"/>
        <v>44.524997710000001</v>
      </c>
      <c r="F186" s="1">
        <v>93.925857179999994</v>
      </c>
      <c r="G186" s="1">
        <v>95.405164360000001</v>
      </c>
      <c r="H186" s="1">
        <v>92.082745000000003</v>
      </c>
      <c r="I186" s="1">
        <v>5.8737307679999997</v>
      </c>
      <c r="J186" s="1">
        <v>4.2335701170000002</v>
      </c>
      <c r="K186" s="1">
        <v>7.9172549999999999</v>
      </c>
      <c r="L186" s="1">
        <v>0.20041205419999999</v>
      </c>
      <c r="M186" s="1">
        <v>0.36126552499999998</v>
      </c>
      <c r="N186" s="1">
        <v>0</v>
      </c>
      <c r="O186" s="1">
        <v>0</v>
      </c>
      <c r="P186" s="1">
        <v>0</v>
      </c>
      <c r="Q186" s="1">
        <v>0</v>
      </c>
    </row>
    <row r="187" spans="1:17">
      <c r="A187" s="2" t="s">
        <v>124</v>
      </c>
      <c r="B187" s="2" t="s">
        <v>32</v>
      </c>
      <c r="C187" s="5">
        <v>9537.6416019999997</v>
      </c>
      <c r="D187" s="4">
        <v>27.505998609999999</v>
      </c>
      <c r="E187" s="4">
        <f t="shared" si="2"/>
        <v>72.494001389999994</v>
      </c>
      <c r="F187" s="1">
        <v>81.852415019999995</v>
      </c>
      <c r="G187" s="1">
        <v>95.580623860000003</v>
      </c>
      <c r="H187" s="1">
        <v>76.643599199999997</v>
      </c>
      <c r="I187" s="1">
        <v>2.5683639349999998</v>
      </c>
      <c r="J187" s="1">
        <v>0.88481447629999999</v>
      </c>
      <c r="K187" s="1">
        <v>3.2071439279999998</v>
      </c>
      <c r="L187" s="1">
        <v>3.4218570050000001</v>
      </c>
      <c r="M187" s="1">
        <v>1.5272683229999999</v>
      </c>
      <c r="N187" s="1">
        <v>4.1407069480000001</v>
      </c>
      <c r="O187" s="1">
        <v>12.157364039999999</v>
      </c>
      <c r="P187" s="1">
        <v>2.0072933389999998</v>
      </c>
      <c r="Q187" s="1">
        <v>16.00854992</v>
      </c>
    </row>
    <row r="188" spans="1:17">
      <c r="A188" s="2" t="s">
        <v>198</v>
      </c>
      <c r="B188" s="2" t="s">
        <v>12</v>
      </c>
      <c r="C188" s="5">
        <v>69799.976559999996</v>
      </c>
      <c r="D188" s="4">
        <v>51.430000309999997</v>
      </c>
      <c r="E188" s="4">
        <f t="shared" si="2"/>
        <v>48.569999690000003</v>
      </c>
      <c r="F188" s="1">
        <v>100</v>
      </c>
      <c r="G188" s="1">
        <v>100</v>
      </c>
      <c r="H188" s="1">
        <v>100</v>
      </c>
      <c r="I188" s="1">
        <v>0</v>
      </c>
      <c r="J188" s="1">
        <v>0</v>
      </c>
      <c r="K188" s="1">
        <v>0</v>
      </c>
      <c r="L188" s="1">
        <v>0</v>
      </c>
      <c r="M188" s="1">
        <v>0</v>
      </c>
      <c r="N188" s="1">
        <v>0</v>
      </c>
      <c r="O188" s="1">
        <v>0</v>
      </c>
      <c r="P188" s="1">
        <v>0</v>
      </c>
      <c r="Q188" s="1">
        <v>0</v>
      </c>
    </row>
    <row r="189" spans="1:17">
      <c r="A189" s="2" t="s">
        <v>64</v>
      </c>
      <c r="B189" s="2" t="s">
        <v>32</v>
      </c>
      <c r="C189" s="5">
        <v>1318.4420170000001</v>
      </c>
      <c r="D189" s="4">
        <v>31.31999969</v>
      </c>
      <c r="E189" s="4">
        <f t="shared" si="2"/>
        <v>68.680000309999997</v>
      </c>
      <c r="F189" s="1">
        <v>85.495601199999996</v>
      </c>
      <c r="G189" s="1">
        <v>96.476957920000004</v>
      </c>
      <c r="H189" s="1">
        <v>80.48779562</v>
      </c>
      <c r="I189" s="1">
        <v>1.88586597</v>
      </c>
      <c r="J189" s="1">
        <v>1.527338152</v>
      </c>
      <c r="K189" s="1">
        <v>2.0493646750000001</v>
      </c>
      <c r="L189" s="1">
        <v>8.3600293969999999</v>
      </c>
      <c r="M189" s="1">
        <v>1.995703929</v>
      </c>
      <c r="N189" s="1">
        <v>11.26233968</v>
      </c>
      <c r="O189" s="1">
        <v>4.2585034329999996</v>
      </c>
      <c r="P189" s="1">
        <v>0</v>
      </c>
      <c r="Q189" s="1">
        <v>6.2005000179999996</v>
      </c>
    </row>
    <row r="190" spans="1:17">
      <c r="A190" s="2" t="s">
        <v>117</v>
      </c>
      <c r="B190" s="2" t="s">
        <v>70</v>
      </c>
      <c r="C190" s="5">
        <v>8278.7373050000006</v>
      </c>
      <c r="D190" s="4">
        <v>42.799999239999998</v>
      </c>
      <c r="E190" s="4">
        <f t="shared" si="2"/>
        <v>57.200000760000002</v>
      </c>
      <c r="F190" s="1">
        <v>68.58372009</v>
      </c>
      <c r="G190" s="1">
        <v>90.589910009999997</v>
      </c>
      <c r="H190" s="1">
        <v>52.117552750000002</v>
      </c>
      <c r="I190" s="1">
        <v>6.065434765</v>
      </c>
      <c r="J190" s="1">
        <v>3.2293480560000001</v>
      </c>
      <c r="K190" s="1">
        <v>8.1875420190000003</v>
      </c>
      <c r="L190" s="1">
        <v>14.16432245</v>
      </c>
      <c r="M190" s="1">
        <v>5.3079905280000004</v>
      </c>
      <c r="N190" s="1">
        <v>20.7910842</v>
      </c>
      <c r="O190" s="1">
        <v>11.18652269</v>
      </c>
      <c r="P190" s="1">
        <v>0.87275140490000003</v>
      </c>
      <c r="Q190" s="1">
        <v>18.90382103</v>
      </c>
    </row>
    <row r="191" spans="1:17">
      <c r="A191" s="2" t="s">
        <v>0</v>
      </c>
      <c r="B191" s="2" t="s">
        <v>1</v>
      </c>
      <c r="C191" s="5">
        <v>1.3500000240000001</v>
      </c>
      <c r="D191" s="4">
        <v>0</v>
      </c>
      <c r="E191" s="4">
        <f t="shared" si="2"/>
        <v>100</v>
      </c>
      <c r="F191" s="1">
        <v>99.707676649999996</v>
      </c>
      <c r="G191" s="1" t="s">
        <v>1</v>
      </c>
      <c r="H191" s="1">
        <v>99.707676649999996</v>
      </c>
      <c r="I191" s="1">
        <v>0</v>
      </c>
      <c r="J191" s="1" t="s">
        <v>1</v>
      </c>
      <c r="K191" s="1">
        <v>0</v>
      </c>
      <c r="L191" s="1">
        <v>0.29232334589999998</v>
      </c>
      <c r="M191" s="1" t="s">
        <v>1</v>
      </c>
      <c r="N191" s="1">
        <v>0.29232334589999998</v>
      </c>
      <c r="O191" s="1">
        <v>0</v>
      </c>
      <c r="P191" s="1" t="s">
        <v>1</v>
      </c>
      <c r="Q191" s="1">
        <v>0</v>
      </c>
    </row>
    <row r="192" spans="1:17">
      <c r="A192" s="2" t="s">
        <v>30</v>
      </c>
      <c r="B192" s="2" t="s">
        <v>12</v>
      </c>
      <c r="C192" s="5">
        <v>105.6969986</v>
      </c>
      <c r="D192" s="4">
        <v>23.098999020000001</v>
      </c>
      <c r="E192" s="4">
        <f t="shared" si="2"/>
        <v>76.901000979999992</v>
      </c>
      <c r="F192" s="1">
        <v>98.731080829999996</v>
      </c>
      <c r="G192" s="1">
        <v>99.606658190000005</v>
      </c>
      <c r="H192" s="1">
        <v>98.468078539999993</v>
      </c>
      <c r="I192" s="1">
        <v>0.88149729619999995</v>
      </c>
      <c r="J192" s="1">
        <v>0.143540536</v>
      </c>
      <c r="K192" s="1">
        <v>1.103159706</v>
      </c>
      <c r="L192" s="1">
        <v>0.38742187769999997</v>
      </c>
      <c r="M192" s="1">
        <v>0.2498012758</v>
      </c>
      <c r="N192" s="1">
        <v>0.42876175509999997</v>
      </c>
      <c r="O192" s="1">
        <v>0</v>
      </c>
      <c r="P192" s="1">
        <v>0</v>
      </c>
      <c r="Q192" s="1">
        <v>0</v>
      </c>
    </row>
    <row r="193" spans="1:17">
      <c r="A193" s="2" t="s">
        <v>66</v>
      </c>
      <c r="B193" s="2" t="s">
        <v>9</v>
      </c>
      <c r="C193" s="5">
        <v>1399.490967</v>
      </c>
      <c r="D193" s="4">
        <v>53.2140007</v>
      </c>
      <c r="E193" s="4">
        <f t="shared" si="2"/>
        <v>46.7859993</v>
      </c>
      <c r="F193" s="1">
        <v>98.875170769999997</v>
      </c>
      <c r="G193" s="1" t="s">
        <v>1</v>
      </c>
      <c r="H193" s="1" t="s">
        <v>1</v>
      </c>
      <c r="I193" s="1">
        <v>1.1248292310000001</v>
      </c>
      <c r="J193" s="1" t="s">
        <v>1</v>
      </c>
      <c r="K193" s="1" t="s">
        <v>1</v>
      </c>
      <c r="L193" s="1">
        <v>0</v>
      </c>
      <c r="M193" s="1" t="s">
        <v>1</v>
      </c>
      <c r="N193" s="1" t="s">
        <v>1</v>
      </c>
      <c r="O193" s="1">
        <v>0</v>
      </c>
      <c r="P193" s="1" t="s">
        <v>1</v>
      </c>
      <c r="Q193" s="1" t="s">
        <v>1</v>
      </c>
    </row>
    <row r="194" spans="1:17">
      <c r="A194" s="2" t="s">
        <v>140</v>
      </c>
      <c r="B194" s="2" t="s">
        <v>32</v>
      </c>
      <c r="C194" s="5">
        <v>11818.61816</v>
      </c>
      <c r="D194" s="4">
        <v>69.568000789999999</v>
      </c>
      <c r="E194" s="4">
        <f t="shared" ref="E194:E214" si="3" xml:space="preserve"> 100 -(D194)</f>
        <v>30.431999210000001</v>
      </c>
      <c r="F194" s="1">
        <v>97.54330899</v>
      </c>
      <c r="G194" s="1">
        <v>99.121197629999998</v>
      </c>
      <c r="H194" s="1">
        <v>93.936231930000005</v>
      </c>
      <c r="I194" s="1">
        <v>1.63135067</v>
      </c>
      <c r="J194" s="1">
        <v>0.87880236840000003</v>
      </c>
      <c r="K194" s="1">
        <v>3.3516873569999999</v>
      </c>
      <c r="L194" s="1">
        <v>0.82534033780000005</v>
      </c>
      <c r="M194" s="1">
        <v>0</v>
      </c>
      <c r="N194" s="1">
        <v>2.71208071</v>
      </c>
      <c r="O194" s="1">
        <v>0</v>
      </c>
      <c r="P194" s="1">
        <v>0</v>
      </c>
      <c r="Q194" s="1">
        <v>0</v>
      </c>
    </row>
    <row r="195" spans="1:17">
      <c r="A195" s="2" t="s">
        <v>201</v>
      </c>
      <c r="B195" s="2" t="s">
        <v>12</v>
      </c>
      <c r="C195" s="5">
        <v>84339.070309999996</v>
      </c>
      <c r="D195" s="4">
        <v>76.105003359999998</v>
      </c>
      <c r="E195" s="4">
        <f t="shared" si="3"/>
        <v>23.894996640000002</v>
      </c>
      <c r="F195" s="1">
        <v>97.014269159999998</v>
      </c>
      <c r="G195" s="1">
        <v>97.324817830000001</v>
      </c>
      <c r="H195" s="1">
        <v>96.025169770000005</v>
      </c>
      <c r="I195" s="1">
        <v>2.0230780749999999</v>
      </c>
      <c r="J195" s="1">
        <v>1.8153852029999999</v>
      </c>
      <c r="K195" s="1">
        <v>2.684574639</v>
      </c>
      <c r="L195" s="1">
        <v>0.73767495449999998</v>
      </c>
      <c r="M195" s="1">
        <v>0.72179696339999999</v>
      </c>
      <c r="N195" s="1">
        <v>0.78825559109999999</v>
      </c>
      <c r="O195" s="1">
        <v>0.2249778093</v>
      </c>
      <c r="P195" s="1">
        <v>0.13800000000000001</v>
      </c>
      <c r="Q195" s="1">
        <v>0.502</v>
      </c>
    </row>
    <row r="196" spans="1:17">
      <c r="A196" s="2" t="s">
        <v>106</v>
      </c>
      <c r="B196" s="2" t="s">
        <v>12</v>
      </c>
      <c r="C196" s="5">
        <v>6031.1870120000003</v>
      </c>
      <c r="D196" s="4">
        <v>52.516002659999998</v>
      </c>
      <c r="E196" s="4">
        <f t="shared" si="3"/>
        <v>47.483997340000002</v>
      </c>
      <c r="F196" s="1">
        <v>100</v>
      </c>
      <c r="G196" s="1">
        <v>100</v>
      </c>
      <c r="H196" s="1">
        <v>100</v>
      </c>
      <c r="I196" s="1">
        <v>0</v>
      </c>
      <c r="J196" s="1">
        <v>0</v>
      </c>
      <c r="K196" s="1">
        <v>0</v>
      </c>
      <c r="L196" s="1">
        <v>0</v>
      </c>
      <c r="M196" s="1">
        <v>0</v>
      </c>
      <c r="N196" s="1">
        <v>0</v>
      </c>
      <c r="O196" s="1">
        <v>0</v>
      </c>
      <c r="P196" s="1">
        <v>0</v>
      </c>
      <c r="Q196" s="1">
        <v>0</v>
      </c>
    </row>
    <row r="197" spans="1:17">
      <c r="A197" s="2" t="s">
        <v>11</v>
      </c>
      <c r="B197" s="2" t="s">
        <v>12</v>
      </c>
      <c r="C197" s="5">
        <v>11.791999819999999</v>
      </c>
      <c r="D197" s="4">
        <v>64.013999940000005</v>
      </c>
      <c r="E197" s="4">
        <f t="shared" si="3"/>
        <v>35.986000059999995</v>
      </c>
      <c r="F197" s="1">
        <v>100</v>
      </c>
      <c r="G197" s="1">
        <v>100</v>
      </c>
      <c r="H197" s="1">
        <v>100</v>
      </c>
      <c r="I197" s="1">
        <v>0</v>
      </c>
      <c r="J197" s="1">
        <v>0</v>
      </c>
      <c r="K197" s="1">
        <v>0</v>
      </c>
      <c r="L197" s="1">
        <v>0</v>
      </c>
      <c r="M197" s="1">
        <v>0</v>
      </c>
      <c r="N197" s="1">
        <v>0</v>
      </c>
      <c r="O197" s="1">
        <v>0</v>
      </c>
      <c r="P197" s="1">
        <v>0</v>
      </c>
      <c r="Q197" s="1">
        <v>0</v>
      </c>
    </row>
    <row r="198" spans="1:17">
      <c r="A198" s="2" t="s">
        <v>187</v>
      </c>
      <c r="B198" s="2" t="s">
        <v>70</v>
      </c>
      <c r="C198" s="5">
        <v>45741</v>
      </c>
      <c r="D198" s="4">
        <v>24.95400047</v>
      </c>
      <c r="E198" s="4">
        <f t="shared" si="3"/>
        <v>75.045999530000003</v>
      </c>
      <c r="F198" s="1">
        <v>55.855049209999997</v>
      </c>
      <c r="G198" s="1">
        <v>78.782851800000003</v>
      </c>
      <c r="H198" s="1">
        <v>48.231189579999999</v>
      </c>
      <c r="I198" s="1">
        <v>27.282859999999999</v>
      </c>
      <c r="J198" s="1">
        <v>13.74416783</v>
      </c>
      <c r="K198" s="1">
        <v>31.784694259999998</v>
      </c>
      <c r="L198" s="1">
        <v>12.16590654</v>
      </c>
      <c r="M198" s="1">
        <v>6.4210441329999997</v>
      </c>
      <c r="N198" s="1">
        <v>14.076160610000001</v>
      </c>
      <c r="O198" s="1">
        <v>4.6961842520000001</v>
      </c>
      <c r="P198" s="1">
        <v>1.0519362379999999</v>
      </c>
      <c r="Q198" s="1">
        <v>5.9079555460000002</v>
      </c>
    </row>
    <row r="199" spans="1:17">
      <c r="A199" s="2" t="s">
        <v>183</v>
      </c>
      <c r="B199" s="2" t="s">
        <v>32</v>
      </c>
      <c r="C199" s="5">
        <v>43733.757810000003</v>
      </c>
      <c r="D199" s="4">
        <v>69.608001709999996</v>
      </c>
      <c r="E199" s="4">
        <f t="shared" si="3"/>
        <v>30.391998290000004</v>
      </c>
      <c r="F199" s="1">
        <v>93.928281949999999</v>
      </c>
      <c r="G199" s="1">
        <v>91.277270110000003</v>
      </c>
      <c r="H199" s="1">
        <v>100</v>
      </c>
      <c r="I199" s="1">
        <v>5.671978717</v>
      </c>
      <c r="J199" s="1">
        <v>8.1484577900000001</v>
      </c>
      <c r="K199" s="1">
        <v>0</v>
      </c>
      <c r="L199" s="1">
        <v>7.5904501289999995E-2</v>
      </c>
      <c r="M199" s="1">
        <v>0.1090456533</v>
      </c>
      <c r="N199" s="1">
        <v>0</v>
      </c>
      <c r="O199" s="1">
        <v>0.32383483600000001</v>
      </c>
      <c r="P199" s="1">
        <v>0.46522644460000001</v>
      </c>
      <c r="Q199" s="1">
        <v>0</v>
      </c>
    </row>
    <row r="200" spans="1:17">
      <c r="A200" s="2" t="s">
        <v>126</v>
      </c>
      <c r="B200" s="2" t="s">
        <v>9</v>
      </c>
      <c r="C200" s="5">
        <v>9890.4003909999992</v>
      </c>
      <c r="D200" s="4">
        <v>87.047996519999998</v>
      </c>
      <c r="E200" s="4">
        <f t="shared" si="3"/>
        <v>12.952003480000002</v>
      </c>
      <c r="F200" s="1">
        <v>99.965596000000005</v>
      </c>
      <c r="G200" s="1" t="s">
        <v>1</v>
      </c>
      <c r="H200" s="1" t="s">
        <v>1</v>
      </c>
      <c r="I200" s="1">
        <v>0</v>
      </c>
      <c r="J200" s="1" t="s">
        <v>1</v>
      </c>
      <c r="K200" s="1" t="s">
        <v>1</v>
      </c>
      <c r="L200" s="1">
        <v>3.4403999999999997E-2</v>
      </c>
      <c r="M200" s="1" t="s">
        <v>1</v>
      </c>
      <c r="N200" s="1" t="s">
        <v>1</v>
      </c>
      <c r="O200" s="1">
        <v>0</v>
      </c>
      <c r="P200" s="1" t="s">
        <v>1</v>
      </c>
      <c r="Q200" s="1" t="s">
        <v>1</v>
      </c>
    </row>
    <row r="201" spans="1:17">
      <c r="A201" s="2" t="s">
        <v>197</v>
      </c>
      <c r="B201" s="2" t="s">
        <v>9</v>
      </c>
      <c r="C201" s="5">
        <v>67886.007809999996</v>
      </c>
      <c r="D201" s="4">
        <v>83.902999879999996</v>
      </c>
      <c r="E201" s="4">
        <f t="shared" si="3"/>
        <v>16.097000120000004</v>
      </c>
      <c r="F201" s="1">
        <v>99.999998559999995</v>
      </c>
      <c r="G201" s="1">
        <v>100</v>
      </c>
      <c r="H201" s="1">
        <v>100</v>
      </c>
      <c r="I201" s="1">
        <v>0</v>
      </c>
      <c r="J201" s="1">
        <v>0</v>
      </c>
      <c r="K201" s="1">
        <v>0</v>
      </c>
      <c r="L201" s="1">
        <v>1.4385328199999999E-6</v>
      </c>
      <c r="M201" s="1">
        <v>0</v>
      </c>
      <c r="N201" s="1">
        <v>0</v>
      </c>
      <c r="O201" s="1">
        <v>0</v>
      </c>
      <c r="P201" s="1">
        <v>0</v>
      </c>
      <c r="Q201" s="1">
        <v>0</v>
      </c>
    </row>
    <row r="202" spans="1:17">
      <c r="A202" s="2" t="s">
        <v>194</v>
      </c>
      <c r="B202" s="2" t="s">
        <v>32</v>
      </c>
      <c r="C202" s="5">
        <v>59734.214840000001</v>
      </c>
      <c r="D202" s="4">
        <v>35.227001190000003</v>
      </c>
      <c r="E202" s="4">
        <f t="shared" si="3"/>
        <v>64.77299880999999</v>
      </c>
      <c r="F202" s="1">
        <v>60.716797589999999</v>
      </c>
      <c r="G202" s="1">
        <v>88.793924899999993</v>
      </c>
      <c r="H202" s="1">
        <v>45.446965339999998</v>
      </c>
      <c r="I202" s="1">
        <v>11.29007067</v>
      </c>
      <c r="J202" s="1">
        <v>6.3372311659999996</v>
      </c>
      <c r="K202" s="1">
        <v>13.98368881</v>
      </c>
      <c r="L202" s="1">
        <v>14.51775136</v>
      </c>
      <c r="M202" s="1">
        <v>2.1941787860000002</v>
      </c>
      <c r="N202" s="1">
        <v>21.21996133</v>
      </c>
      <c r="O202" s="1">
        <v>13.475380380000001</v>
      </c>
      <c r="P202" s="1">
        <v>2.6746651520000002</v>
      </c>
      <c r="Q202" s="1">
        <v>19.349384520000001</v>
      </c>
    </row>
    <row r="203" spans="1:17">
      <c r="A203" s="2" t="s">
        <v>215</v>
      </c>
      <c r="B203" s="2" t="s">
        <v>9</v>
      </c>
      <c r="C203" s="5">
        <v>331002.65629999997</v>
      </c>
      <c r="D203" s="4">
        <v>82.664001459999994</v>
      </c>
      <c r="E203" s="4">
        <f t="shared" si="3"/>
        <v>17.335998540000006</v>
      </c>
      <c r="F203" s="1">
        <v>99.883526680000003</v>
      </c>
      <c r="G203" s="1">
        <v>99.928144470000007</v>
      </c>
      <c r="H203" s="1">
        <v>99.670787340000004</v>
      </c>
      <c r="I203" s="1">
        <v>0</v>
      </c>
      <c r="J203" s="1">
        <v>0</v>
      </c>
      <c r="K203" s="1">
        <v>0</v>
      </c>
      <c r="L203" s="1">
        <v>0.1164733182</v>
      </c>
      <c r="M203" s="1">
        <v>7.1855529599999995E-2</v>
      </c>
      <c r="N203" s="1">
        <v>0.3292126628</v>
      </c>
      <c r="O203" s="1">
        <v>0</v>
      </c>
      <c r="P203" s="1">
        <v>0</v>
      </c>
      <c r="Q203" s="1">
        <v>0</v>
      </c>
    </row>
    <row r="204" spans="1:17">
      <c r="A204" s="2" t="s">
        <v>29</v>
      </c>
      <c r="B204" s="2" t="s">
        <v>9</v>
      </c>
      <c r="C204" s="5">
        <v>104.4229965</v>
      </c>
      <c r="D204" s="4">
        <v>95.939002990000006</v>
      </c>
      <c r="E204" s="4">
        <f t="shared" si="3"/>
        <v>4.0609970099999941</v>
      </c>
      <c r="F204" s="1">
        <v>98.71826738</v>
      </c>
      <c r="G204" s="1" t="s">
        <v>1</v>
      </c>
      <c r="H204" s="1" t="s">
        <v>1</v>
      </c>
      <c r="I204" s="1">
        <v>0</v>
      </c>
      <c r="J204" s="1" t="s">
        <v>1</v>
      </c>
      <c r="K204" s="1" t="s">
        <v>1</v>
      </c>
      <c r="L204" s="1">
        <v>1.281732624</v>
      </c>
      <c r="M204" s="1" t="s">
        <v>1</v>
      </c>
      <c r="N204" s="1" t="s">
        <v>1</v>
      </c>
      <c r="O204" s="1">
        <v>0</v>
      </c>
      <c r="P204" s="1" t="s">
        <v>1</v>
      </c>
      <c r="Q204" s="1" t="s">
        <v>1</v>
      </c>
    </row>
    <row r="205" spans="1:17">
      <c r="A205" s="2" t="s">
        <v>86</v>
      </c>
      <c r="B205" s="2" t="s">
        <v>9</v>
      </c>
      <c r="C205" s="5">
        <v>3473.7270509999998</v>
      </c>
      <c r="D205" s="4">
        <v>95.51499939</v>
      </c>
      <c r="E205" s="4">
        <f t="shared" si="3"/>
        <v>4.4850006100000002</v>
      </c>
      <c r="F205" s="1">
        <v>99.495757560000001</v>
      </c>
      <c r="G205" s="1">
        <v>99.692734439999995</v>
      </c>
      <c r="H205" s="1">
        <v>95.300830000000005</v>
      </c>
      <c r="I205" s="1">
        <v>0.50424244119999995</v>
      </c>
      <c r="J205" s="1">
        <v>0.30726556170000002</v>
      </c>
      <c r="K205" s="1">
        <v>4.6991699999999996</v>
      </c>
      <c r="L205" s="1">
        <v>0</v>
      </c>
      <c r="M205" s="1">
        <v>0</v>
      </c>
      <c r="N205" s="1">
        <v>0</v>
      </c>
      <c r="O205" s="1">
        <v>0</v>
      </c>
      <c r="P205" s="1">
        <v>0</v>
      </c>
      <c r="Q205" s="1">
        <v>0</v>
      </c>
    </row>
    <row r="206" spans="1:17">
      <c r="A206" s="2" t="s">
        <v>176</v>
      </c>
      <c r="B206" s="2" t="s">
        <v>32</v>
      </c>
      <c r="C206" s="5">
        <v>33469.199220000002</v>
      </c>
      <c r="D206" s="4">
        <v>50.415996550000003</v>
      </c>
      <c r="E206" s="4">
        <f t="shared" si="3"/>
        <v>49.584003449999997</v>
      </c>
      <c r="F206" s="1">
        <v>97.828784850000005</v>
      </c>
      <c r="G206" s="1">
        <v>99.556005560000003</v>
      </c>
      <c r="H206" s="1">
        <v>96.072582359999998</v>
      </c>
      <c r="I206" s="1">
        <v>0</v>
      </c>
      <c r="J206" s="1">
        <v>0</v>
      </c>
      <c r="K206" s="1">
        <v>0</v>
      </c>
      <c r="L206" s="1">
        <v>0.22384422000000001</v>
      </c>
      <c r="M206" s="1">
        <v>0.44399444339999999</v>
      </c>
      <c r="N206" s="1">
        <v>0</v>
      </c>
      <c r="O206" s="1">
        <v>1.947370925</v>
      </c>
      <c r="P206" s="1">
        <v>0</v>
      </c>
      <c r="Q206" s="1">
        <v>3.927417637</v>
      </c>
    </row>
    <row r="207" spans="1:17">
      <c r="A207" s="2" t="s">
        <v>42</v>
      </c>
      <c r="B207" s="2" t="s">
        <v>32</v>
      </c>
      <c r="C207" s="5">
        <v>307.14999390000003</v>
      </c>
      <c r="D207" s="4">
        <v>25.525001530000001</v>
      </c>
      <c r="E207" s="4">
        <f t="shared" si="3"/>
        <v>74.474998470000003</v>
      </c>
      <c r="F207" s="1">
        <v>91.231190749999996</v>
      </c>
      <c r="G207" s="1">
        <v>99.5</v>
      </c>
      <c r="H207" s="1">
        <v>88.397201229999993</v>
      </c>
      <c r="I207" s="1">
        <v>1.0623850500000001</v>
      </c>
      <c r="J207" s="1">
        <v>0.5</v>
      </c>
      <c r="K207" s="1">
        <v>1.255132675</v>
      </c>
      <c r="L207" s="1">
        <v>0</v>
      </c>
      <c r="M207" s="1">
        <v>0</v>
      </c>
      <c r="N207" s="1">
        <v>0</v>
      </c>
      <c r="O207" s="1">
        <v>7.706424202</v>
      </c>
      <c r="P207" s="1">
        <v>0</v>
      </c>
      <c r="Q207" s="1">
        <v>10.3476661</v>
      </c>
    </row>
    <row r="208" spans="1:17">
      <c r="A208" s="2" t="s">
        <v>168</v>
      </c>
      <c r="B208" s="2" t="s">
        <v>1</v>
      </c>
      <c r="C208" s="5">
        <v>28435.943360000001</v>
      </c>
      <c r="D208" s="4">
        <v>88.278999330000005</v>
      </c>
      <c r="E208" s="4">
        <f t="shared" si="3"/>
        <v>11.721000669999995</v>
      </c>
      <c r="F208" s="1">
        <v>93.685800709999995</v>
      </c>
      <c r="G208" s="1" t="s">
        <v>1</v>
      </c>
      <c r="H208" s="1" t="s">
        <v>1</v>
      </c>
      <c r="I208" s="1">
        <v>0.4707829181</v>
      </c>
      <c r="J208" s="1" t="s">
        <v>1</v>
      </c>
      <c r="K208" s="1" t="s">
        <v>1</v>
      </c>
      <c r="L208" s="1">
        <v>5.8434163730000002</v>
      </c>
      <c r="M208" s="1" t="s">
        <v>1</v>
      </c>
      <c r="N208" s="1" t="s">
        <v>1</v>
      </c>
      <c r="O208" s="1" t="s">
        <v>1</v>
      </c>
      <c r="P208" s="1" t="s">
        <v>1</v>
      </c>
      <c r="Q208" s="1" t="s">
        <v>1</v>
      </c>
    </row>
    <row r="209" spans="1:23">
      <c r="A209" s="2" t="s">
        <v>203</v>
      </c>
      <c r="B209" s="2" t="s">
        <v>32</v>
      </c>
      <c r="C209" s="5">
        <v>97338.585940000004</v>
      </c>
      <c r="D209" s="4">
        <v>37.340000150000002</v>
      </c>
      <c r="E209" s="4">
        <f t="shared" si="3"/>
        <v>62.659999849999998</v>
      </c>
      <c r="F209" s="1">
        <v>96.884356870000005</v>
      </c>
      <c r="G209" s="1">
        <v>99.183040009999999</v>
      </c>
      <c r="H209" s="1">
        <v>95.514538439999995</v>
      </c>
      <c r="I209" s="1">
        <v>0</v>
      </c>
      <c r="J209" s="1">
        <v>0</v>
      </c>
      <c r="K209" s="1">
        <v>0</v>
      </c>
      <c r="L209" s="1">
        <v>3.1156431260000002</v>
      </c>
      <c r="M209" s="1">
        <v>0.81695998700000005</v>
      </c>
      <c r="N209" s="1">
        <v>4.4854615600000001</v>
      </c>
      <c r="O209" s="1">
        <v>0</v>
      </c>
      <c r="P209" s="1">
        <v>0</v>
      </c>
      <c r="Q209" s="1">
        <v>0</v>
      </c>
    </row>
    <row r="210" spans="1:23">
      <c r="A210" s="2" t="s">
        <v>10</v>
      </c>
      <c r="B210" s="2" t="s">
        <v>1</v>
      </c>
      <c r="C210" s="5">
        <v>11.24600029</v>
      </c>
      <c r="D210" s="4">
        <v>0</v>
      </c>
      <c r="E210" s="4">
        <f t="shared" si="3"/>
        <v>100</v>
      </c>
      <c r="F210" s="1">
        <v>99.143287360000002</v>
      </c>
      <c r="G210" s="1" t="s">
        <v>1</v>
      </c>
      <c r="H210" s="1">
        <v>99.143287360000002</v>
      </c>
      <c r="I210" s="1">
        <v>0</v>
      </c>
      <c r="J210" s="1" t="s">
        <v>1</v>
      </c>
      <c r="K210" s="1">
        <v>0</v>
      </c>
      <c r="L210" s="1">
        <v>0.85671263900000005</v>
      </c>
      <c r="M210" s="1" t="s">
        <v>1</v>
      </c>
      <c r="N210" s="1">
        <v>0.85671263900000005</v>
      </c>
      <c r="O210" s="1">
        <v>0</v>
      </c>
      <c r="P210" s="1" t="s">
        <v>1</v>
      </c>
      <c r="Q210" s="1">
        <v>0</v>
      </c>
    </row>
    <row r="211" spans="1:23">
      <c r="A211" s="2" t="s">
        <v>98</v>
      </c>
      <c r="B211" s="2" t="s">
        <v>32</v>
      </c>
      <c r="C211" s="5">
        <v>5101.4160160000001</v>
      </c>
      <c r="D211" s="4">
        <v>76.718994140000007</v>
      </c>
      <c r="E211" s="4">
        <f t="shared" si="3"/>
        <v>23.281005859999993</v>
      </c>
      <c r="F211" s="1">
        <v>97.880397220000006</v>
      </c>
      <c r="G211" s="1">
        <v>97.626964430000001</v>
      </c>
      <c r="H211" s="1">
        <v>98.715556419999999</v>
      </c>
      <c r="I211" s="1">
        <v>1.029979486</v>
      </c>
      <c r="J211" s="1">
        <v>1.246217358</v>
      </c>
      <c r="K211" s="1">
        <v>0.31740062730000002</v>
      </c>
      <c r="L211" s="1">
        <v>1.089623295</v>
      </c>
      <c r="M211" s="1">
        <v>1.126818208</v>
      </c>
      <c r="N211" s="1">
        <v>0.96704295760000003</v>
      </c>
      <c r="O211" s="1" t="s">
        <v>1</v>
      </c>
      <c r="P211" s="1" t="s">
        <v>1</v>
      </c>
      <c r="Q211" s="1" t="s">
        <v>1</v>
      </c>
    </row>
    <row r="212" spans="1:23">
      <c r="A212" s="2" t="s">
        <v>170</v>
      </c>
      <c r="B212" s="2" t="s">
        <v>70</v>
      </c>
      <c r="C212" s="5">
        <v>29825.96875</v>
      </c>
      <c r="D212" s="4">
        <v>37.907997129999998</v>
      </c>
      <c r="E212" s="4">
        <f t="shared" si="3"/>
        <v>62.092002870000002</v>
      </c>
      <c r="F212" s="1">
        <v>60.663569840000001</v>
      </c>
      <c r="G212" s="1">
        <v>77.014129339999997</v>
      </c>
      <c r="H212" s="1">
        <v>50.681334370000002</v>
      </c>
      <c r="I212" s="1">
        <v>28.9627418</v>
      </c>
      <c r="J212" s="1">
        <v>21.481379369999999</v>
      </c>
      <c r="K212" s="1">
        <v>33.53021373</v>
      </c>
      <c r="L212" s="1">
        <v>7.77785276</v>
      </c>
      <c r="M212" s="1">
        <v>1.5044912859999999</v>
      </c>
      <c r="N212" s="1">
        <v>11.60782393</v>
      </c>
      <c r="O212" s="1">
        <v>2.595835594</v>
      </c>
      <c r="P212" s="1">
        <v>0</v>
      </c>
      <c r="Q212" s="1">
        <v>4.1806279780000004</v>
      </c>
    </row>
    <row r="213" spans="1:23">
      <c r="A213" s="2" t="s">
        <v>154</v>
      </c>
      <c r="B213" s="2" t="s">
        <v>70</v>
      </c>
      <c r="C213" s="5">
        <v>18383.95508</v>
      </c>
      <c r="D213" s="4">
        <v>44.6289978</v>
      </c>
      <c r="E213" s="4">
        <f t="shared" si="3"/>
        <v>55.3710022</v>
      </c>
      <c r="F213" s="1">
        <v>65.412383570000003</v>
      </c>
      <c r="G213" s="1">
        <v>86.733854660000006</v>
      </c>
      <c r="H213" s="1">
        <v>48.22728833</v>
      </c>
      <c r="I213" s="1">
        <v>6.1539390200000001</v>
      </c>
      <c r="J213" s="1">
        <v>3.4519961939999999</v>
      </c>
      <c r="K213" s="1">
        <v>8.3317036130000002</v>
      </c>
      <c r="L213" s="1">
        <v>21.576840709999999</v>
      </c>
      <c r="M213" s="1">
        <v>9.1304141049999998</v>
      </c>
      <c r="N213" s="1">
        <v>31.608654439999999</v>
      </c>
      <c r="O213" s="1">
        <v>6.8568367060000002</v>
      </c>
      <c r="P213" s="1">
        <v>0.68373504630000004</v>
      </c>
      <c r="Q213" s="1">
        <v>11.832353619999999</v>
      </c>
    </row>
    <row r="214" spans="1:23">
      <c r="A214" s="2" t="s">
        <v>145</v>
      </c>
      <c r="B214" s="2" t="s">
        <v>32</v>
      </c>
      <c r="C214" s="5">
        <v>14862.92676</v>
      </c>
      <c r="D214" s="4">
        <v>32.242000580000003</v>
      </c>
      <c r="E214" s="4">
        <f t="shared" si="3"/>
        <v>67.757999420000004</v>
      </c>
      <c r="F214" s="1">
        <v>62.666457610000002</v>
      </c>
      <c r="G214" s="1">
        <v>92.89512895</v>
      </c>
      <c r="H214" s="1">
        <v>48.282428850000002</v>
      </c>
      <c r="I214" s="1">
        <v>14.1975397</v>
      </c>
      <c r="J214" s="1">
        <v>4.9645177570000003</v>
      </c>
      <c r="K214" s="1">
        <v>18.590984670000001</v>
      </c>
      <c r="L214" s="1">
        <v>16.277855450000001</v>
      </c>
      <c r="M214" s="1">
        <v>2.1222986740000001</v>
      </c>
      <c r="N214" s="1">
        <v>23.013646550000001</v>
      </c>
      <c r="O214" s="1">
        <v>6.8581472420000003</v>
      </c>
      <c r="P214" s="1">
        <v>1.805461538E-2</v>
      </c>
      <c r="Q214" s="1">
        <v>10.112939920000001</v>
      </c>
    </row>
    <row r="215" spans="1:23">
      <c r="C215" s="5">
        <f>SUM(Estimates_on_the_use_of_water__2020__a_3712[pop_n  (1000)])</f>
        <v>7786695.1077512326</v>
      </c>
      <c r="D215" s="4">
        <f>AVERAGE(Estimates_on_the_use_of_water__2020__a_3712[pop_u (%)])</f>
        <v>61.887723291600928</v>
      </c>
      <c r="E215" s="4">
        <f>SUBTOTAL(101,Estimates_on_the_use_of_water__2020__a_3712[pop_r  (%)])</f>
        <v>38.112276708399072</v>
      </c>
      <c r="F215" s="4"/>
      <c r="G215" s="1"/>
      <c r="H215" s="1"/>
      <c r="I215" s="1"/>
      <c r="J215" s="1"/>
      <c r="K215" s="1"/>
      <c r="L215" s="1"/>
      <c r="M215" s="1"/>
      <c r="N215" s="1"/>
      <c r="O215" s="1"/>
      <c r="P215" s="1"/>
      <c r="Q215" s="1"/>
      <c r="R215" s="1"/>
    </row>
    <row r="216" spans="1:23">
      <c r="W216" s="1"/>
    </row>
    <row r="217" spans="1:23">
      <c r="W217" s="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FC67F-BA21-480E-B338-B11D8130921C}">
  <dimension ref="A1:M58"/>
  <sheetViews>
    <sheetView topLeftCell="A27" zoomScale="62" workbookViewId="0">
      <selection activeCell="A57" sqref="A57:B57"/>
      <pivotSelection pane="bottomRight" showHeader="1" extendable="1" axis="axisRow" max="2" activeRow="56" previousRow="56" click="1" r:id="rId4">
        <pivotArea dataOnly="0" outline="0" fieldPosition="0">
          <references count="1">
            <reference field="4294967294" count="1">
              <x v="0"/>
            </reference>
          </references>
        </pivotArea>
      </pivotSelection>
    </sheetView>
  </sheetViews>
  <sheetFormatPr defaultRowHeight="13.8"/>
  <cols>
    <col min="1" max="1" width="19.59765625" bestFit="1" customWidth="1"/>
    <col min="2" max="2" width="11.69921875" bestFit="1" customWidth="1"/>
    <col min="3" max="3" width="26.3984375" bestFit="1" customWidth="1"/>
    <col min="4" max="4" width="23" bestFit="1" customWidth="1"/>
    <col min="5" max="5" width="23.19921875" bestFit="1" customWidth="1"/>
    <col min="6" max="12" width="19.296875" bestFit="1" customWidth="1"/>
    <col min="13" max="13" width="21.3984375" bestFit="1" customWidth="1"/>
    <col min="14" max="14" width="23.59765625" bestFit="1" customWidth="1"/>
    <col min="15" max="15" width="21.19921875" bestFit="1" customWidth="1"/>
    <col min="16" max="16" width="21" bestFit="1" customWidth="1"/>
    <col min="18" max="18" width="7" bestFit="1" customWidth="1"/>
    <col min="19" max="19" width="5.296875" bestFit="1" customWidth="1"/>
    <col min="20" max="20" width="4.69921875" bestFit="1" customWidth="1"/>
  </cols>
  <sheetData>
    <row r="1" spans="1:13" ht="13.8" customHeight="1">
      <c r="A1" s="7" t="s">
        <v>234</v>
      </c>
      <c r="B1" s="10" t="s">
        <v>239</v>
      </c>
      <c r="C1" s="10" t="s">
        <v>238</v>
      </c>
    </row>
    <row r="2" spans="1:13" ht="13.8" customHeight="1">
      <c r="A2" s="8" t="s">
        <v>220</v>
      </c>
      <c r="B2">
        <v>100</v>
      </c>
      <c r="C2" s="13">
        <f>SUM(Estimates_on_the_use_of_water__2020__a_3712[pop_n  (1000)]) * 1000</f>
        <v>7786695107.7512321</v>
      </c>
    </row>
    <row r="3" spans="1:13" ht="13.8" customHeight="1">
      <c r="A3" s="8" t="s">
        <v>221</v>
      </c>
      <c r="B3" s="3">
        <f>Estimates_on_the_use_of_water__2020__a_3712[[#Totals],[pop_u (%)]]</f>
        <v>61.887723291600928</v>
      </c>
      <c r="C3" s="13">
        <f>C2*(B3/100)</f>
        <v>4819008321.8457088</v>
      </c>
    </row>
    <row r="4" spans="1:13">
      <c r="A4" s="8" t="s">
        <v>235</v>
      </c>
      <c r="B4" s="3">
        <f>100-B3</f>
        <v>38.112276708399072</v>
      </c>
      <c r="C4" s="13">
        <f>C3*(B4/100)</f>
        <v>1836633786.2226152</v>
      </c>
    </row>
    <row r="6" spans="1:13">
      <c r="A6" s="11" t="s">
        <v>244</v>
      </c>
      <c r="B6" t="s">
        <v>245</v>
      </c>
    </row>
    <row r="7" spans="1:13">
      <c r="A7" s="12" t="s">
        <v>9</v>
      </c>
      <c r="B7" s="6">
        <v>1212076.0675753104</v>
      </c>
    </row>
    <row r="8" spans="1:13">
      <c r="A8" s="12" t="s">
        <v>70</v>
      </c>
      <c r="B8" s="6">
        <v>590425.16206600005</v>
      </c>
    </row>
    <row r="9" spans="1:13">
      <c r="A9" s="12" t="s">
        <v>32</v>
      </c>
      <c r="B9" s="6">
        <v>3399310.2309557004</v>
      </c>
    </row>
    <row r="10" spans="1:13">
      <c r="A10" s="12" t="s">
        <v>1</v>
      </c>
      <c r="B10" s="6">
        <v>37264.340285111997</v>
      </c>
    </row>
    <row r="11" spans="1:13">
      <c r="A11" s="12" t="s">
        <v>12</v>
      </c>
      <c r="B11" s="6">
        <v>2547619.3068691096</v>
      </c>
    </row>
    <row r="12" spans="1:13">
      <c r="A12" s="12" t="s">
        <v>243</v>
      </c>
      <c r="B12" s="6">
        <v>7786695.1077512316</v>
      </c>
    </row>
    <row r="14" spans="1:13">
      <c r="G14" s="17"/>
      <c r="H14" s="17"/>
      <c r="I14" s="17"/>
      <c r="J14" s="17"/>
      <c r="K14" s="17"/>
      <c r="L14" s="17"/>
      <c r="M14" s="17"/>
    </row>
    <row r="15" spans="1:13" ht="21">
      <c r="A15" s="11" t="s">
        <v>242</v>
      </c>
      <c r="B15" t="s">
        <v>262</v>
      </c>
      <c r="C15" t="s">
        <v>265</v>
      </c>
      <c r="D15" t="s">
        <v>264</v>
      </c>
      <c r="E15" t="s">
        <v>263</v>
      </c>
      <c r="G15" s="19"/>
      <c r="H15" s="19"/>
      <c r="I15" s="19"/>
      <c r="J15" s="19"/>
    </row>
    <row r="16" spans="1:13">
      <c r="A16" s="12" t="s">
        <v>9</v>
      </c>
      <c r="B16" s="1">
        <v>99.560197920289866</v>
      </c>
      <c r="C16" s="1">
        <v>0.1769010855043478</v>
      </c>
      <c r="D16" s="1">
        <v>2.2055377049999998E-2</v>
      </c>
      <c r="E16" s="1">
        <v>0.24084589125997588</v>
      </c>
      <c r="G16" s="18"/>
      <c r="H16" s="18"/>
      <c r="I16" s="18"/>
      <c r="J16" s="18"/>
    </row>
    <row r="17" spans="1:10">
      <c r="A17" s="12" t="s">
        <v>70</v>
      </c>
      <c r="B17" s="1">
        <v>62.819373562307696</v>
      </c>
      <c r="C17" s="1">
        <v>16.548388209046156</v>
      </c>
      <c r="D17" s="1">
        <v>5.4213073930807703</v>
      </c>
      <c r="E17" s="1">
        <v>15.210930834661536</v>
      </c>
      <c r="G17" s="18"/>
      <c r="H17" s="18"/>
      <c r="I17" s="18"/>
      <c r="J17" s="18"/>
    </row>
    <row r="18" spans="1:10">
      <c r="A18" s="12" t="s">
        <v>32</v>
      </c>
      <c r="B18" s="1">
        <v>82.210492881153854</v>
      </c>
      <c r="C18" s="1">
        <v>5.6884250737999995</v>
      </c>
      <c r="D18" s="1">
        <v>4.2853488130380386</v>
      </c>
      <c r="E18" s="1">
        <v>7.898143785928653</v>
      </c>
    </row>
    <row r="19" spans="1:10">
      <c r="A19" s="12" t="s">
        <v>1</v>
      </c>
      <c r="B19" s="1">
        <v>97.181466202499976</v>
      </c>
      <c r="C19" s="1">
        <v>0.14821981431875</v>
      </c>
      <c r="D19" s="1">
        <v>0.32387942607142856</v>
      </c>
      <c r="E19" s="1">
        <v>2.3869194850437494</v>
      </c>
    </row>
    <row r="20" spans="1:10">
      <c r="A20" s="12" t="s">
        <v>12</v>
      </c>
      <c r="B20" s="1">
        <v>96.43047199916667</v>
      </c>
      <c r="C20" s="1">
        <v>1.5611895535114373</v>
      </c>
      <c r="D20" s="1">
        <v>0.5726535551862274</v>
      </c>
      <c r="E20" s="1">
        <v>1.4834060647462584</v>
      </c>
    </row>
    <row r="21" spans="1:10">
      <c r="A21" s="12" t="s">
        <v>243</v>
      </c>
      <c r="B21" s="1">
        <v>89.86478253146916</v>
      </c>
      <c r="C21" s="1">
        <v>3.8652653448826948</v>
      </c>
      <c r="D21" s="1">
        <v>1.9154885837974698</v>
      </c>
      <c r="E21" s="1">
        <v>4.4180106537201329</v>
      </c>
    </row>
    <row r="24" spans="1:10">
      <c r="A24" s="11" t="s">
        <v>242</v>
      </c>
      <c r="B24" t="s">
        <v>261</v>
      </c>
      <c r="C24" t="s">
        <v>266</v>
      </c>
      <c r="D24" t="s">
        <v>268</v>
      </c>
      <c r="E24" t="s">
        <v>267</v>
      </c>
    </row>
    <row r="25" spans="1:10">
      <c r="A25" s="12" t="s">
        <v>9</v>
      </c>
      <c r="B25" s="1">
        <v>98.508639202162186</v>
      </c>
      <c r="C25" s="1">
        <v>0.76008847872972973</v>
      </c>
      <c r="D25" s="1">
        <v>0.13357458239189191</v>
      </c>
      <c r="E25" s="1">
        <v>0.59769773679189186</v>
      </c>
    </row>
    <row r="26" spans="1:10">
      <c r="A26" s="12" t="s">
        <v>70</v>
      </c>
      <c r="B26" s="1">
        <v>52.760128536153843</v>
      </c>
      <c r="C26" s="1">
        <v>18.359570261484617</v>
      </c>
      <c r="D26" s="1">
        <v>8.2467702616884608</v>
      </c>
      <c r="E26" s="1">
        <v>20.633530941999997</v>
      </c>
    </row>
    <row r="27" spans="1:10">
      <c r="A27" s="12" t="s">
        <v>32</v>
      </c>
      <c r="B27" s="1">
        <v>72.629934899215684</v>
      </c>
      <c r="C27" s="1">
        <v>6.7852828771156872</v>
      </c>
      <c r="D27" s="1">
        <v>7.5154409726744005</v>
      </c>
      <c r="E27" s="1">
        <v>13.216702838</v>
      </c>
    </row>
    <row r="28" spans="1:10">
      <c r="A28" s="12" t="s">
        <v>1</v>
      </c>
      <c r="B28" s="1">
        <v>91.070583957500006</v>
      </c>
      <c r="C28" s="1">
        <v>0.65151762125000001</v>
      </c>
      <c r="D28" s="1">
        <v>1.7952267079999999</v>
      </c>
      <c r="E28" s="1">
        <v>6.4826717122250006</v>
      </c>
    </row>
    <row r="29" spans="1:10">
      <c r="A29" s="12" t="s">
        <v>12</v>
      </c>
      <c r="B29" s="1">
        <v>92.480403221086959</v>
      </c>
      <c r="C29" s="1">
        <v>2.240623046415696</v>
      </c>
      <c r="D29" s="1">
        <v>1.6502633469626189</v>
      </c>
      <c r="E29" s="1">
        <v>3.7722115458391308</v>
      </c>
    </row>
    <row r="30" spans="1:10">
      <c r="A30" s="12" t="s">
        <v>243</v>
      </c>
      <c r="B30" s="1">
        <v>81.335918026097545</v>
      </c>
      <c r="C30" s="1">
        <v>5.8365625479550101</v>
      </c>
      <c r="D30" s="1">
        <v>4.2240396376764133</v>
      </c>
      <c r="E30" s="1">
        <v>8.732261484443903</v>
      </c>
    </row>
    <row r="32" spans="1:10">
      <c r="A32" s="11" t="s">
        <v>242</v>
      </c>
      <c r="B32" t="s">
        <v>260</v>
      </c>
      <c r="C32" t="s">
        <v>269</v>
      </c>
      <c r="D32" t="s">
        <v>271</v>
      </c>
      <c r="E32" t="s">
        <v>270</v>
      </c>
    </row>
    <row r="33" spans="1:5">
      <c r="A33" s="12" t="s">
        <v>9</v>
      </c>
      <c r="B33" s="1">
        <v>99.707385133750009</v>
      </c>
      <c r="C33" s="1">
        <v>0.18566740931666667</v>
      </c>
      <c r="D33" s="1">
        <v>0</v>
      </c>
      <c r="E33" s="1">
        <v>0.10694745691605627</v>
      </c>
    </row>
    <row r="34" spans="1:5">
      <c r="A34" s="12" t="s">
        <v>70</v>
      </c>
      <c r="B34" s="1">
        <v>82.920122014615373</v>
      </c>
      <c r="C34" s="1">
        <v>11.555656644073078</v>
      </c>
      <c r="D34" s="1">
        <v>0.59588558344423082</v>
      </c>
      <c r="E34" s="1">
        <v>4.9283357578615377</v>
      </c>
    </row>
    <row r="35" spans="1:5">
      <c r="A35" s="12" t="s">
        <v>32</v>
      </c>
      <c r="B35" s="1">
        <v>92.54865443078431</v>
      </c>
      <c r="C35" s="1">
        <v>4.0351937150307844</v>
      </c>
      <c r="D35" s="1">
        <v>0.71651424053050006</v>
      </c>
      <c r="E35" s="1">
        <v>2.7136869125332543</v>
      </c>
    </row>
    <row r="36" spans="1:5">
      <c r="A36" s="12" t="s">
        <v>1</v>
      </c>
      <c r="B36" s="1">
        <v>99.769230769999993</v>
      </c>
      <c r="C36" s="1">
        <v>0.23076923076666667</v>
      </c>
      <c r="D36" s="1">
        <v>0</v>
      </c>
      <c r="E36" s="1">
        <v>0</v>
      </c>
    </row>
    <row r="37" spans="1:5">
      <c r="A37" s="12" t="s">
        <v>12</v>
      </c>
      <c r="B37" s="1">
        <v>98.075643166383017</v>
      </c>
      <c r="C37" s="1">
        <v>1.2441589118127658</v>
      </c>
      <c r="D37" s="1">
        <v>6.1959366603695651E-2</v>
      </c>
      <c r="E37" s="1">
        <v>0.61955684021291502</v>
      </c>
    </row>
    <row r="38" spans="1:5">
      <c r="A38" s="12" t="s">
        <v>243</v>
      </c>
      <c r="B38" s="1">
        <v>94.689839747999955</v>
      </c>
      <c r="C38" s="1">
        <v>3.2818386537552571</v>
      </c>
      <c r="D38" s="1">
        <v>0.31311484427656061</v>
      </c>
      <c r="E38" s="1">
        <v>1.7187852095175631</v>
      </c>
    </row>
    <row r="41" spans="1:5">
      <c r="A41" s="11" t="s">
        <v>272</v>
      </c>
    </row>
    <row r="42" spans="1:5">
      <c r="A42" s="12" t="s">
        <v>262</v>
      </c>
      <c r="B42" s="1">
        <v>89.864782531469189</v>
      </c>
    </row>
    <row r="43" spans="1:5">
      <c r="A43" s="12" t="s">
        <v>265</v>
      </c>
      <c r="B43" s="1">
        <v>3.8652653448826966</v>
      </c>
    </row>
    <row r="44" spans="1:5">
      <c r="A44" s="12" t="s">
        <v>264</v>
      </c>
      <c r="B44" s="1">
        <v>1.9154885837974707</v>
      </c>
    </row>
    <row r="45" spans="1:5">
      <c r="A45" s="12" t="s">
        <v>263</v>
      </c>
      <c r="B45" s="1">
        <v>4.4180106537201365</v>
      </c>
    </row>
    <row r="48" spans="1:5">
      <c r="A48" s="11" t="s">
        <v>242</v>
      </c>
      <c r="B48" t="s">
        <v>262</v>
      </c>
      <c r="C48" t="s">
        <v>263</v>
      </c>
      <c r="D48" t="s">
        <v>265</v>
      </c>
      <c r="E48" t="s">
        <v>264</v>
      </c>
    </row>
    <row r="49" spans="1:5">
      <c r="A49" s="12" t="s">
        <v>181</v>
      </c>
      <c r="B49" s="1">
        <v>75.091413250000002</v>
      </c>
      <c r="C49" s="1">
        <v>14.56026288</v>
      </c>
      <c r="D49" s="1">
        <v>1.447541688</v>
      </c>
      <c r="E49" s="1">
        <v>8.9007821739999997</v>
      </c>
    </row>
    <row r="50" spans="1:5">
      <c r="A50" s="12" t="s">
        <v>243</v>
      </c>
      <c r="B50" s="1">
        <v>75.091413250000002</v>
      </c>
      <c r="C50" s="1">
        <v>14.56026288</v>
      </c>
      <c r="D50" s="1">
        <v>1.447541688</v>
      </c>
      <c r="E50" s="1">
        <v>8.9007821739999997</v>
      </c>
    </row>
    <row r="56" spans="1:5">
      <c r="A56" s="11" t="s">
        <v>272</v>
      </c>
    </row>
    <row r="57" spans="1:5">
      <c r="A57" s="12" t="s">
        <v>273</v>
      </c>
      <c r="B57" s="1">
        <v>61.887723291600928</v>
      </c>
    </row>
    <row r="58" spans="1:5">
      <c r="A58" s="12" t="s">
        <v>274</v>
      </c>
      <c r="B58" s="1">
        <v>38.112276708399072</v>
      </c>
    </row>
  </sheetData>
  <mergeCells count="5">
    <mergeCell ref="G16:H16"/>
    <mergeCell ref="I16:J16"/>
    <mergeCell ref="G17:H17"/>
    <mergeCell ref="I17:J17"/>
    <mergeCell ref="G15:J15"/>
  </mergeCells>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23B85-D9E8-44AE-B535-B5BAB134EE9B}">
  <dimension ref="A1:P12"/>
  <sheetViews>
    <sheetView zoomScale="81" workbookViewId="0">
      <selection activeCell="G32" sqref="G32"/>
    </sheetView>
  </sheetViews>
  <sheetFormatPr defaultRowHeight="13.8"/>
  <sheetData>
    <row r="1" spans="1:16">
      <c r="A1" s="21" t="s">
        <v>246</v>
      </c>
      <c r="B1" s="21"/>
      <c r="C1" s="21"/>
      <c r="D1" s="21"/>
      <c r="E1" s="21"/>
      <c r="F1" s="21"/>
      <c r="G1" s="21"/>
      <c r="H1" s="21"/>
      <c r="I1" s="21"/>
      <c r="J1" s="21"/>
      <c r="K1" s="21"/>
      <c r="L1" s="21"/>
      <c r="M1" s="21"/>
      <c r="N1" s="21"/>
      <c r="O1" s="21"/>
      <c r="P1" s="21"/>
    </row>
    <row r="2" spans="1:16">
      <c r="A2" s="21"/>
      <c r="B2" s="21"/>
      <c r="C2" s="21"/>
      <c r="D2" s="21"/>
      <c r="E2" s="21"/>
      <c r="F2" s="21"/>
      <c r="G2" s="21"/>
      <c r="H2" s="21"/>
      <c r="I2" s="21"/>
      <c r="J2" s="21"/>
      <c r="K2" s="21"/>
      <c r="L2" s="21"/>
      <c r="M2" s="21"/>
      <c r="N2" s="21"/>
      <c r="O2" s="21"/>
      <c r="P2" s="21"/>
    </row>
    <row r="3" spans="1:16">
      <c r="A3" s="21"/>
      <c r="B3" s="21"/>
      <c r="C3" s="21"/>
      <c r="D3" s="21"/>
      <c r="E3" s="21"/>
      <c r="F3" s="21"/>
      <c r="G3" s="21"/>
      <c r="H3" s="21"/>
      <c r="I3" s="21"/>
      <c r="J3" s="21"/>
      <c r="K3" s="21"/>
      <c r="L3" s="21"/>
      <c r="M3" s="21"/>
      <c r="N3" s="21"/>
      <c r="O3" s="21"/>
      <c r="P3" s="21"/>
    </row>
    <row r="4" spans="1:16">
      <c r="A4" s="22" t="s">
        <v>255</v>
      </c>
      <c r="B4" s="22"/>
      <c r="C4" s="22"/>
      <c r="D4" s="22"/>
      <c r="E4" s="23" t="s">
        <v>256</v>
      </c>
      <c r="F4" s="23"/>
      <c r="G4" s="23"/>
      <c r="H4" s="23"/>
      <c r="I4" s="24" t="s">
        <v>258</v>
      </c>
      <c r="J4" s="24"/>
      <c r="K4" s="24"/>
      <c r="L4" s="24"/>
      <c r="M4" s="20" t="s">
        <v>257</v>
      </c>
      <c r="N4" s="20"/>
      <c r="O4" s="20"/>
      <c r="P4" s="20"/>
    </row>
    <row r="5" spans="1:16">
      <c r="A5" s="22"/>
      <c r="B5" s="22"/>
      <c r="C5" s="22"/>
      <c r="D5" s="22"/>
      <c r="E5" s="23"/>
      <c r="F5" s="23"/>
      <c r="G5" s="23"/>
      <c r="H5" s="23"/>
      <c r="I5" s="24"/>
      <c r="J5" s="24"/>
      <c r="K5" s="24"/>
      <c r="L5" s="24"/>
      <c r="M5" s="20"/>
      <c r="N5" s="20"/>
      <c r="O5" s="20"/>
      <c r="P5" s="20"/>
    </row>
    <row r="6" spans="1:16">
      <c r="B6" s="15" t="s">
        <v>252</v>
      </c>
      <c r="C6" s="14" t="s">
        <v>253</v>
      </c>
      <c r="D6" s="16" t="s">
        <v>254</v>
      </c>
      <c r="F6" s="15" t="s">
        <v>252</v>
      </c>
      <c r="G6" s="14" t="s">
        <v>253</v>
      </c>
      <c r="H6" s="16" t="s">
        <v>254</v>
      </c>
      <c r="J6" s="15" t="s">
        <v>252</v>
      </c>
      <c r="K6" s="14" t="s">
        <v>253</v>
      </c>
      <c r="L6" s="16" t="s">
        <v>254</v>
      </c>
      <c r="N6" s="15" t="s">
        <v>252</v>
      </c>
      <c r="O6" s="14" t="s">
        <v>253</v>
      </c>
      <c r="P6" s="16" t="s">
        <v>254</v>
      </c>
    </row>
    <row r="7" spans="1:16">
      <c r="A7" t="s">
        <v>247</v>
      </c>
      <c r="B7">
        <f>MIN(Estimates_on_the_use_of_water__2020__a_3712[wat_bas_n])</f>
        <v>37.202402050000003</v>
      </c>
      <c r="C7">
        <f>MIN(Estimates_on_the_use_of_water__2020__a_3712[wat_bas_u])</f>
        <v>49.661664950000002</v>
      </c>
      <c r="D7">
        <f>MIN(Estimates_on_the_use_of_water__2020__a_3712[wat_bas_r])</f>
        <v>21.98279234</v>
      </c>
      <c r="F7">
        <f>MIN(Estimates_on_the_use_of_water__2020__a_3712[wat_lim_n])</f>
        <v>0</v>
      </c>
      <c r="G7">
        <f>MIN(Estimates_on_the_use_of_water__2020__a_3712[wat_lim_u])</f>
        <v>0</v>
      </c>
      <c r="H7">
        <f>MIN(Estimates_on_the_use_of_water__2020__a_3712[wat_lim_r])</f>
        <v>0</v>
      </c>
      <c r="J7">
        <f>MIN(Estimates_on_the_use_of_water__2020__a_3712[wat_sur_n])</f>
        <v>0</v>
      </c>
      <c r="K7">
        <f>MIN(Estimates_on_the_use_of_water__2020__a_3712[wat_sur_u])</f>
        <v>0</v>
      </c>
      <c r="L7">
        <f>MIN(Estimates_on_the_use_of_water__2020__a_3712[wat_sur_r])</f>
        <v>0</v>
      </c>
      <c r="N7">
        <f>MIN(Estimates_on_the_use_of_water__2020__a_3712[wat_unimp_n])</f>
        <v>0</v>
      </c>
      <c r="O7">
        <f>MIN(Estimates_on_the_use_of_water__2020__a_3712[wat_unimp_u])</f>
        <v>0</v>
      </c>
      <c r="P7">
        <f>MIN(Estimates_on_the_use_of_water__2020__a_3712[wat_unimp_u])</f>
        <v>0</v>
      </c>
    </row>
    <row r="8" spans="1:16">
      <c r="A8" t="s">
        <v>249</v>
      </c>
      <c r="B8">
        <f>_xlfn.QUARTILE.EXC(Estimates_on_the_use_of_water__2020__a_3712[[#Headers],[#Data],[wat_bas_n]],1)</f>
        <v>85.495625270000005</v>
      </c>
      <c r="C8">
        <f>_xlfn.QUARTILE.EXC(Estimates_on_the_use_of_water__2020__a_3712[[#Headers],[#Data],[wat_bas_u]],1)</f>
        <v>92.357705190000004</v>
      </c>
      <c r="D8">
        <f>_xlfn.QUARTILE.EXC(Estimates_on_the_use_of_water__2020__a_3712[[#Headers],[#Data],[wat_bas_r]],1)</f>
        <v>64.341951625000007</v>
      </c>
      <c r="F8">
        <f>_xlfn.QUARTILE.EXC(Estimates_on_the_use_of_water__2020__a_3712[[#Headers],[#Data],[wat_lim_n]],1)</f>
        <v>0</v>
      </c>
      <c r="G8">
        <f>_xlfn.QUARTILE.EXC(Estimates_on_the_use_of_water__2020__a_3712[[#Headers],[#Data],[wat_lim_u]],1)</f>
        <v>0</v>
      </c>
      <c r="H8">
        <f>_xlfn.QUARTILE.EXC(Estimates_on_the_use_of_water__2020__a_3712[[#Headers],[#Data],[wat_lim_r]],1)</f>
        <v>0</v>
      </c>
      <c r="J8">
        <f>_xlfn.QUARTILE.EXC(Estimates_on_the_use_of_water__2020__a_3712[[#Headers],[#Data],[wat_sur_n]],1)</f>
        <v>0</v>
      </c>
      <c r="K8">
        <f>_xlfn.QUARTILE.EXC(Estimates_on_the_use_of_water__2020__a_3712[[#Headers],[#Data],[wat_sur_u]],1)</f>
        <v>0</v>
      </c>
      <c r="L8">
        <f>_xlfn.QUARTILE.EXC(Estimates_on_the_use_of_water__2020__a_3712[[#Headers],[#Data],[wat_sur_r]],1)</f>
        <v>0</v>
      </c>
      <c r="N8">
        <f>_xlfn.QUARTILE.EXC(Estimates_on_the_use_of_water__2020__a_3712[[#Headers],[#Data],[wat_unimp_n]],1)</f>
        <v>3.3408445289999998E-2</v>
      </c>
      <c r="O8">
        <f>_xlfn.QUARTILE.EXC(Estimates_on_the_use_of_water__2020__a_3712[[#Headers],[#Data],[wat_unimp_u]],1)</f>
        <v>0</v>
      </c>
      <c r="P8">
        <f>_xlfn.QUARTILE.EXC(Estimates_on_the_use_of_water__2020__a_3712[[#Headers],[#Data],[wat_unimp_r]],1)</f>
        <v>0.15562916137499999</v>
      </c>
    </row>
    <row r="9" spans="1:16">
      <c r="A9" t="s">
        <v>250</v>
      </c>
      <c r="B9">
        <f>_xlfn.QUARTILE.EXC(Estimates_on_the_use_of_water__2020__a_3712[wat_bas_n],2)</f>
        <v>97.348139700000004</v>
      </c>
      <c r="C9">
        <f>_xlfn.QUARTILE.EXC(Estimates_on_the_use_of_water__2020__a_3712[wat_bas_u],2)</f>
        <v>98.106628490000006</v>
      </c>
      <c r="D9">
        <f>_xlfn.QUARTILE.EXC(Estimates_on_the_use_of_water__2020__a_3712[wat_bas_r],2)</f>
        <v>90.731616825000003</v>
      </c>
      <c r="F9">
        <f>_xlfn.QUARTILE.EXC(Estimates_on_the_use_of_water__2020__a_3712[wat_lim_n],2)</f>
        <v>0.4707829181</v>
      </c>
      <c r="G9">
        <f>_xlfn.QUARTILE.EXC(Estimates_on_the_use_of_water__2020__a_3712[wat_lim_u],2)</f>
        <v>0.5</v>
      </c>
      <c r="H9">
        <f>_xlfn.QUARTILE.EXC(Estimates_on_the_use_of_water__2020__a_3712[wat_lim_r],2)</f>
        <v>1.8123308345</v>
      </c>
      <c r="J9">
        <f>_xlfn.QUARTILE.EXC(Estimates_on_the_use_of_water__2020__a_3712[wat_sur_n],2)</f>
        <v>0</v>
      </c>
      <c r="K9">
        <f>_xlfn.QUARTILE.EXC(Estimates_on_the_use_of_water__2020__a_3712[wat_sur_u],2)</f>
        <v>0</v>
      </c>
      <c r="L9">
        <f>_xlfn.QUARTILE.EXC(Estimates_on_the_use_of_water__2020__a_3712[wat_sur_r],2)</f>
        <v>0.21968973750000001</v>
      </c>
      <c r="N9">
        <f>_xlfn.QUARTILE.EXC(Estimates_on_the_use_of_water__2020__a_3712[wat_unimp_n],2)</f>
        <v>0.8536474704</v>
      </c>
      <c r="O9">
        <f>_xlfn.QUARTILE.EXC(Estimates_on_the_use_of_water__2020__a_3712[wat_unimp_u],2)</f>
        <v>0.34987400289999998</v>
      </c>
      <c r="P9">
        <f>_xlfn.QUARTILE.EXC(Estimates_on_the_use_of_water__2020__a_3712[wat_unimp_r],2)</f>
        <v>3.2297497130000004</v>
      </c>
    </row>
    <row r="10" spans="1:16">
      <c r="A10" t="s">
        <v>251</v>
      </c>
      <c r="B10">
        <f>_xlfn.QUARTILE.EXC(Estimates_on_the_use_of_water__2020__a_3712[[#Headers],[#Data],[wat_bas_n]],3)</f>
        <v>99.891523800000002</v>
      </c>
      <c r="C10">
        <f>_xlfn.QUARTILE.EXC(Estimates_on_the_use_of_water__2020__a_3712[[#Headers],[#Data],[wat_bas_u]],3)</f>
        <v>99.954481220000005</v>
      </c>
      <c r="D10">
        <f>_xlfn.QUARTILE.EXC(Estimates_on_the_use_of_water__2020__a_3712[[#Headers],[#Data],[wat_bas_r]],3)</f>
        <v>99.135272402499993</v>
      </c>
      <c r="F10">
        <f>_xlfn.QUARTILE.EXC(Estimates_on_the_use_of_water__2020__a_3712[[#Headers],[#Data],[wat_lim_n]],3)</f>
        <v>4.9793993429999999</v>
      </c>
      <c r="G10">
        <f>_xlfn.QUARTILE.EXC(Estimates_on_the_use_of_water__2020__a_3712[[#Headers],[#Data],[wat_lim_u]],3)</f>
        <v>3.9855726439999999</v>
      </c>
      <c r="H10">
        <f>_xlfn.QUARTILE.EXC(Estimates_on_the_use_of_water__2020__a_3712[[#Headers],[#Data],[wat_lim_r]],3)</f>
        <v>8.6780506344999999</v>
      </c>
      <c r="J10">
        <f>_xlfn.QUARTILE.EXC(Estimates_on_the_use_of_water__2020__a_3712[[#Headers],[#Data],[wat_lim_n]],3)</f>
        <v>4.9793993429999999</v>
      </c>
      <c r="K10">
        <f>_xlfn.QUARTILE.EXC(Estimates_on_the_use_of_water__2020__a_3712[[#Headers],[#Data],[wat_lim_u]],3)</f>
        <v>3.9855726439999999</v>
      </c>
      <c r="L10">
        <f>_xlfn.QUARTILE.EXC(Estimates_on_the_use_of_water__2020__a_3712[[#Headers],[#Data],[wat_lim_r]],3)</f>
        <v>8.6780506344999999</v>
      </c>
      <c r="N10">
        <f>_xlfn.QUARTILE.EXC(Estimates_on_the_use_of_water__2020__a_3712[[#Headers],[#Data],[wat_unimp_n]],3)</f>
        <v>5.3489270639999997</v>
      </c>
      <c r="O10">
        <f>_xlfn.QUARTILE.EXC(Estimates_on_the_use_of_water__2020__a_3712[[#Headers],[#Data],[wat_unimp_u]],3)</f>
        <v>2.1222986740000001</v>
      </c>
      <c r="P10">
        <f>_xlfn.QUARTILE.EXC(Estimates_on_the_use_of_water__2020__a_3712[[#Headers],[#Data],[wat_unimp_r]],3)</f>
        <v>13.8062201725</v>
      </c>
    </row>
    <row r="11" spans="1:16">
      <c r="A11" t="s">
        <v>248</v>
      </c>
      <c r="B11">
        <f>MAX(Estimates_on_the_use_of_water__2020__a_3712[[#Headers],[#Data],[wat_bas_n]])</f>
        <v>100.00000369999999</v>
      </c>
      <c r="C11">
        <f>MAX(Estimates_on_the_use_of_water__2020__a_3712[[#Headers],[#Data],[wat_bas_u]])</f>
        <v>100</v>
      </c>
      <c r="D11">
        <f>MAX(Estimates_on_the_use_of_water__2020__a_3712[[#Headers],[#Data],[wat_bas_r]])</f>
        <v>100</v>
      </c>
      <c r="F11">
        <f>MAX(Estimates_on_the_use_of_water__2020__a_3712[[#Headers],[#Data],[wat_lim_n]])</f>
        <v>37.426962869999997</v>
      </c>
      <c r="G11">
        <f>MAX(Estimates_on_the_use_of_water__2020__a_3712[[#Headers],[#Data],[wat_lim_u]])</f>
        <v>34.279780090000003</v>
      </c>
      <c r="H11">
        <f>MAX(Estimates_on_the_use_of_water__2020__a_3712[[#Headers],[#Data],[wat_lim_r]])</f>
        <v>42.164380680000001</v>
      </c>
      <c r="J11">
        <f>MAX(Estimates_on_the_use_of_water__2020__a_3712[[#Headers],[#Data],[wat_sur_n]])</f>
        <v>30.369793080000001</v>
      </c>
      <c r="K11">
        <f>MAX(Estimates_on_the_use_of_water__2020__a_3712[[#Headers],[#Data],[wat_sur_u]])</f>
        <v>6.3621605319999999</v>
      </c>
      <c r="L11">
        <f>MAX(Estimates_on_the_use_of_water__2020__a_3712[[#Headers],[#Data],[wat_sur_r]])</f>
        <v>40.518132420000001</v>
      </c>
      <c r="N11">
        <f>MAX(Estimates_on_the_use_of_water__2020__a_3712[[#Headers],[#Data],[wat_sur_n]])</f>
        <v>30.369793080000001</v>
      </c>
      <c r="O11">
        <f>MAX(Estimates_on_the_use_of_water__2020__a_3712[[#Headers],[#Data],[wat_sur_u]])</f>
        <v>6.3621605319999999</v>
      </c>
      <c r="P11">
        <f>MAX(Estimates_on_the_use_of_water__2020__a_3712[[#Headers],[#Data],[wat_sur_r]])</f>
        <v>40.518132420000001</v>
      </c>
    </row>
    <row r="12" spans="1:16">
      <c r="A12" t="s">
        <v>259</v>
      </c>
      <c r="B12">
        <f>AVERAGE(Estimates_on_the_use_of_water__2020__a_3712[wat_bas_n])</f>
        <v>89.864782531469189</v>
      </c>
      <c r="C12">
        <f>AVERAGE(Estimates_on_the_use_of_water__2020__a_3712[wat_bas_u])</f>
        <v>94.68983974799994</v>
      </c>
      <c r="D12">
        <f>AVERAGE(Estimates_on_the_use_of_water__2020__a_3712[wat_bas_r])</f>
        <v>81.335918026097559</v>
      </c>
      <c r="F12">
        <f>AVERAGE(Estimates_on_the_use_of_water__2020__a_3712[wat_lim_n])</f>
        <v>3.8652653448826966</v>
      </c>
      <c r="G12">
        <f>AVERAGE(Estimates_on_the_use_of_water__2020__a_3712[wat_lim_u])</f>
        <v>3.281838653755258</v>
      </c>
      <c r="H12">
        <f>AVERAGE(Estimates_on_the_use_of_water__2020__a_3712[wat_lim_r])</f>
        <v>5.8365625479550136</v>
      </c>
      <c r="J12">
        <f>AVERAGE(Estimates_on_the_use_of_water__2020__a_3712[wat_sur_n])</f>
        <v>1.9154885837974707</v>
      </c>
      <c r="K12">
        <f>AVERAGE(Estimates_on_the_use_of_water__2020__a_3712[wat_sur_u])</f>
        <v>0.31311484427656067</v>
      </c>
      <c r="L12">
        <f>AVERAGE(Estimates_on_the_use_of_water__2020__a_3712[wat_sur_r])</f>
        <v>4.2240396376764133</v>
      </c>
      <c r="N12">
        <f>AVERAGE(Estimates_on_the_use_of_water__2020__a_3712[wat_unimp_n])</f>
        <v>4.4180106537201365</v>
      </c>
      <c r="O12">
        <f>AVERAGE(Estimates_on_the_use_of_water__2020__a_3712[wat_unimp_u])</f>
        <v>1.7187852095175633</v>
      </c>
      <c r="P12">
        <f>AVERAGE(Estimates_on_the_use_of_water__2020__a_3712[wat_unimp_r])</f>
        <v>8.732261484443903</v>
      </c>
    </row>
  </sheetData>
  <mergeCells count="5">
    <mergeCell ref="M4:P5"/>
    <mergeCell ref="A1:P3"/>
    <mergeCell ref="A4:D5"/>
    <mergeCell ref="E4:H5"/>
    <mergeCell ref="I4:L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46D46-2EF2-48D6-B812-F4F2C2D6ABC8}">
  <dimension ref="A1:AB4"/>
  <sheetViews>
    <sheetView tabSelected="1" zoomScale="27" zoomScaleNormal="145" workbookViewId="0">
      <selection activeCell="AF20" sqref="AF20"/>
    </sheetView>
  </sheetViews>
  <sheetFormatPr defaultRowHeight="13.8"/>
  <sheetData>
    <row r="1" spans="1:28" ht="13.8" customHeight="1">
      <c r="A1" s="25" t="s">
        <v>241</v>
      </c>
      <c r="B1" s="25"/>
      <c r="C1" s="25"/>
      <c r="D1" s="25"/>
      <c r="E1" s="25"/>
      <c r="F1" s="25"/>
      <c r="G1" s="25"/>
      <c r="H1" s="25"/>
      <c r="I1" s="25"/>
      <c r="J1" s="25"/>
      <c r="K1" s="25"/>
      <c r="L1" s="25"/>
      <c r="M1" s="25"/>
      <c r="N1" s="25"/>
      <c r="O1" s="25"/>
      <c r="P1" s="25"/>
      <c r="Q1" s="25"/>
      <c r="R1" s="25"/>
      <c r="S1" s="25"/>
      <c r="T1" s="25"/>
      <c r="U1" s="25"/>
      <c r="V1" s="25"/>
      <c r="W1" s="25"/>
      <c r="X1" s="25"/>
      <c r="Y1" s="25"/>
      <c r="Z1" s="25"/>
      <c r="AA1" s="25"/>
      <c r="AB1" s="25"/>
    </row>
    <row r="2" spans="1:28" ht="13.8" customHeight="1">
      <c r="A2" s="25"/>
      <c r="B2" s="25"/>
      <c r="C2" s="25"/>
      <c r="D2" s="25"/>
      <c r="E2" s="25"/>
      <c r="F2" s="25"/>
      <c r="G2" s="25"/>
      <c r="H2" s="25"/>
      <c r="I2" s="25"/>
      <c r="J2" s="25"/>
      <c r="K2" s="25"/>
      <c r="L2" s="25"/>
      <c r="M2" s="25"/>
      <c r="N2" s="25"/>
      <c r="O2" s="25"/>
      <c r="P2" s="25"/>
      <c r="Q2" s="25"/>
      <c r="R2" s="25"/>
      <c r="S2" s="25"/>
      <c r="T2" s="25"/>
      <c r="U2" s="25"/>
      <c r="V2" s="25"/>
      <c r="W2" s="25"/>
      <c r="X2" s="25"/>
      <c r="Y2" s="25"/>
      <c r="Z2" s="25"/>
      <c r="AA2" s="25"/>
      <c r="AB2" s="25"/>
    </row>
    <row r="3" spans="1:28" ht="13.8" customHeight="1">
      <c r="A3" s="25"/>
      <c r="B3" s="25"/>
      <c r="C3" s="25"/>
      <c r="D3" s="25"/>
      <c r="E3" s="25"/>
      <c r="F3" s="25"/>
      <c r="G3" s="25"/>
      <c r="H3" s="25"/>
      <c r="I3" s="25"/>
      <c r="J3" s="25"/>
      <c r="K3" s="25"/>
      <c r="L3" s="25"/>
      <c r="M3" s="25"/>
      <c r="N3" s="25"/>
      <c r="O3" s="25"/>
      <c r="P3" s="25"/>
      <c r="Q3" s="25"/>
      <c r="R3" s="25"/>
      <c r="S3" s="25"/>
      <c r="T3" s="25"/>
      <c r="U3" s="25"/>
      <c r="V3" s="25"/>
      <c r="W3" s="25"/>
      <c r="X3" s="25"/>
      <c r="Y3" s="25"/>
      <c r="Z3" s="25"/>
      <c r="AA3" s="25"/>
      <c r="AB3" s="25"/>
    </row>
    <row r="4" spans="1:28" ht="13.8" customHeight="1">
      <c r="A4" s="25"/>
      <c r="B4" s="25"/>
      <c r="C4" s="25"/>
      <c r="D4" s="25"/>
      <c r="E4" s="25"/>
      <c r="F4" s="25"/>
      <c r="G4" s="25"/>
      <c r="H4" s="25"/>
      <c r="I4" s="25"/>
      <c r="J4" s="25"/>
      <c r="K4" s="25"/>
      <c r="L4" s="25"/>
      <c r="M4" s="25"/>
      <c r="N4" s="25"/>
      <c r="O4" s="25"/>
      <c r="P4" s="25"/>
      <c r="Q4" s="25"/>
      <c r="R4" s="25"/>
      <c r="S4" s="25"/>
      <c r="T4" s="25"/>
      <c r="U4" s="25"/>
      <c r="V4" s="25"/>
      <c r="W4" s="25"/>
      <c r="X4" s="25"/>
      <c r="Y4" s="25"/>
      <c r="Z4" s="25"/>
      <c r="AA4" s="25"/>
      <c r="AB4" s="25"/>
    </row>
  </sheetData>
  <mergeCells count="1">
    <mergeCell ref="A1:AB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A E A A B Q S w M E F A A C A A g A e l U e W f Y W a 3 O l A A A A 9 g A A A B I A H A B D b 2 5 m a W c v U G F j a 2 F n Z S 5 4 b W w g o h g A K K A U A A A A A A A A A A A A A A A A A A A A A A A A A A A A h Y + x D o I w F E V / h X S n L W U h 5 F E T H V w k M T E x r g 1 U a I S H o c X y b w 5 + k r 8 g R l E 3 x 3 v u G e 6 9 X 2 + w G N s m u O j e m g 4 z E l F O A o 1 F V x q s M j K 4 Y 5 i Q h Y S t K k 6 q 0 s E k o 0 1 H W 2 a k d u 6 c M u a 9 p z 6 m X V 8 x w X n E D v l m V 9 S 6 V e Q j m / 9 y a N A 6 h Y U m E v a v M V L Q K B Y 0 F g n l w G Y I u c G v I K a 9 z / Y H w m p o 3 N B r q T F c L 4 H N E d j 7 g 3 w A U E s D B B Q A A g A I A H p V H 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6 V R 5 Z C a + g s N k B A A D 7 A w A A E w A c A E Z v c m 1 1 b G F z L 1 N l Y 3 R p b 2 4 x L m 0 g o h g A K K A U A A A A A A A A A A A A A A A A A A A A A A A A A A A A l Z J B b 9 p A E I X v S P y H k X M x k o 0 w a U h b 5 A O C V K 1 U p V R Q p V J c o c V M y D b e X W t n l x a h / P e O i 0 O o 7 E t 9 s M f f P M + + e T J h 7 q T R s D g + k 3 G 3 0 + 3 Q o 7 C 4 g Y v g h p x U w i H F R s f u E W N P G J u H + B c z G 4 f D w X D Q i 0 V 8 e Z 0 M A 0 i h Q N f t A F 8 L 4 2 2 O T K a 0 6 8 9 M 7 h V q F 3 6 Q B f a n R j t + o T C Y v s + + E V r K S O 6 F y r 5 o n F m 5 w + x F T 9 n k 8 3 e Y C S d g o k W x d z K n b G 6 x F F b q L W y 4 k d 0 h P k G S f e K Z W 8 u m N j C 3 5 i f v A j F M 8 h y J Y G m A 5 + q n 6 p u 7 y j e E c 2 E d J L 3 s P 9 b r 5 7 Q L e t H 9 D A u p J L f T I A o i m J r C K 0 1 p M o r g R u d m w 6 e k o 6 v B I I n g q z c O F 2 5 f Y P p a 9 m + N x h + 9 6 J j T R c B 2 l a l 8 f 0 S x 4 T C q G J d i z c K 6 U / P w G G k E 9 z W f F M U i F 4 W w l D r r z 0 d O H 4 X e 8 s T l v s T X c U s r N D 0 Y q 4 6 W q y a F L e d H h 0 O g h c K x 5 H U U r r b W + H J c m n K l / 9 7 9 m N N Z r Q X x e 1 V x H H X l t V R l X Z O 3 d V U p 7 U l p z 5 T 2 p L Q n p T 8 p / Z n S n 5 S e M 3 d s H R z + d s 8 R H I I G W C U v S H u 1 R n u E w 6 b u s o n e N N F V E 4 2 a 6 L q J 3 j b R u x a z g x a W t L C W B Z K W D Z J / V 3 j u d T t S t / 4 Z 4 z 9 Q S w E C L Q A U A A I A C A B 6 V R 5 Z 9 h Z r c 6 U A A A D 2 A A A A E g A A A A A A A A A A A A A A A A A A A A A A Q 2 9 u Z m l n L 1 B h Y 2 t h Z 2 U u e G 1 s U E s B A i 0 A F A A C A A g A e l U e W Q / K 6 a u k A A A A 6 Q A A A B M A A A A A A A A A A A A A A A A A 8 Q A A A F t D b 2 5 0 Z W 5 0 X 1 R 5 c G V z X S 5 4 b W x Q S w E C L Q A U A A I A C A B 6 V R 5 Z C a + g s N k B A A D 7 A w A A E w A A A A A A A A A A A A A A A A D i A Q A A R m 9 y b X V s Y X M v U 2 V j d G l v b j E u b V B L B Q Y A A A A A A w A D A M I A A A A I 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q F w A A A A A A A E g 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F c 3 R p b W F 0 Z X M t b 2 4 t d G h l L X V z Z S 1 v Z i 1 3 Y X R l c i 0 o M j A y M C k t Y S 0 z N z E 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T J l M T d k N W U t M D J k N y 0 0 Y j J h L T k 0 O W I t O T M z N D V i Z j Z l M m M 0 I i A v P j x F b n R y e S B U e X B l P S J C d W Z m Z X J O Z X h 0 U m V m c m V z a C I g V m F s d W U 9 I m w x I i A v P j x F b n R y e S B U e X B l P S J S Z X N 1 b H R U e X B l I i B W Y W x 1 Z T 0 i c 1 R h Y m x l I i A v P j x F b n R y e S B U e X B l P S J O Y W 1 l V X B k Y X R l Z E F m d G V y R m l s b C I g V m F s d W U 9 I m w w I i A v P j x F b n R y e S B U e X B l P S J G a W x s V G F y Z 2 V 0 I i B W Y W x 1 Z T 0 i c 0 V z d G l t Y X R l c 1 9 v b l 9 0 a G V f d X N l X 2 9 m X 3 d h d G V y X 1 8 y M D I w X 1 9 h X z M 3 M T I i I C 8 + P E V u d H J 5 I F R 5 c G U 9 I k Z p b G x l Z E N v b X B s Z X R l U m V z d W x 0 V G 9 X b 3 J r c 2 h l Z X Q i I F Z h b H V l P S J s M S I g L z 4 8 R W 5 0 c n k g V H l w Z T 0 i Q W R k Z W R U b 0 R h d G F N b 2 R l b C I g V m F s d W U 9 I m w w I i A v P j x F b n R y e S B U e X B l P S J G a W x s Q 2 9 1 b n Q i I F Z h b H V l P S J s M j E z I i A v P j x F b n R y e S B U e X B l P S J G a W x s R X J y b 3 J D b 2 R l I i B W Y W x 1 Z T 0 i c 1 V u a 2 5 v d 2 4 i I C 8 + P E V u d H J 5 I F R 5 c G U 9 I k Z p b G x F c n J v c k N v d W 5 0 I i B W Y W x 1 Z T 0 i b D A i I C 8 + P E V u d H J 5 I F R 5 c G U 9 I k Z p b G x M Y X N 0 V X B k Y X R l Z C I g V m F s d W U 9 I m Q y M D I 0 L T A 4 L T M w V D A 4 O j Q z O j U y L j I 4 O T c x O D N a I i A v P j x F b n R y e S B U e X B l P S J G a W x s Q 2 9 s d W 1 u V H l w Z X M i I F Z h b H V l P S J z Q m d Z R k J n W U d C Z 1 l H Q m d Z R 0 J n W U d C Z z 0 9 I i A v P j x F b n R y e S B U e X B l P S J G a W x s Q 2 9 s d W 1 u T m F t Z X M i I F Z h b H V l P S J z W y Z x d W 9 0 O 2 5 h b W U 7 a W 5 j b 2 1 l X 2 d y b 3 V w O 3 B v c F 9 u O 3 B v c F 9 1 O 3 d h d F 9 i Y X N f b j t 3 Y X R f b G l t X 2 4 7 d 2 F 0 X 3 V u a W 1 w X 2 4 7 d 2 F 0 X 3 N 1 c l 9 u O 3 d h d F 9 i Y X N f c j t 3 Y X R f b G l t X 3 I 7 d 2 F 0 X 3 V u a W 1 w X 3 I 7 d 2 F 0 X 3 N 1 c l 9 y O 3 d h d F 9 i Y X N f d T t 3 Y X R f b G l t X 3 U 7 d 2 F 0 X 3 V u a W 1 w X 3 U 7 d 2 F 0 X 3 N 1 c l 9 1 J n F 1 b 3 Q 7 L C Z x d W 9 0 O 0 N v b H V t b j E m c X V v d D s s J n F 1 b 3 Q 7 X z E m c X V v d D s s J n F 1 b 3 Q 7 X z I m c X V v d D s s J n F 1 b 3 Q 7 X z M m c X V v d D s s J n F 1 b 3 Q 7 X z Q m c X V v d D s s J n F 1 b 3 Q 7 X z U m c X V v d D s s J n F 1 b 3 Q 7 X z Y m c X V v d D s s J n F 1 b 3 Q 7 X z c m c X V v d D s s J n F 1 b 3 Q 7 X z g m c X V v d D s s J n F 1 b 3 Q 7 X z k m c X V v d D s s J n F 1 b 3 Q 7 X z E w J n F 1 b 3 Q 7 L C Z x d W 9 0 O 1 8 x M S Z x d W 9 0 O y w m c X V v d D t f M T I m c X V v d D s s J n F 1 b 3 Q 7 X z E z J n F 1 b 3 Q 7 L C Z x d W 9 0 O 1 8 x N C 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F c 3 R p b W F 0 Z X M t b 2 4 t d G h l L X V z Z S 1 v Z i 1 3 Y X R l c i 0 o M j A y M C k t Y S 0 z N z E y L 0 F 1 d G 9 S Z W 1 v d m V k Q 2 9 s d W 1 u c z E u e 2 5 h b W U 7 a W 5 j b 2 1 l X 2 d y b 3 V w O 3 B v c F 9 u O 3 B v c F 9 1 O 3 d h d F 9 i Y X N f b j t 3 Y X R f b G l t X 2 4 7 d 2 F 0 X 3 V u a W 1 w X 2 4 7 d 2 F 0 X 3 N 1 c l 9 u O 3 d h d F 9 i Y X N f c j t 3 Y X R f b G l t X 3 I 7 d 2 F 0 X 3 V u a W 1 w X 3 I 7 d 2 F 0 X 3 N 1 c l 9 y O 3 d h d F 9 i Y X N f d T t 3 Y X R f b G l t X 3 U 7 d 2 F 0 X 3 V u a W 1 w X 3 U 7 d 2 F 0 X 3 N 1 c l 9 1 L D B 9 J n F 1 b 3 Q 7 L C Z x d W 9 0 O 1 N l Y 3 R p b 2 4 x L 0 V z d G l t Y X R l c y 1 v b i 1 0 a G U t d X N l L W 9 m L X d h d G V y L S g y M D I w K S 1 h L T M 3 M T I v Q X V 0 b 1 J l b W 9 2 Z W R D b 2 x 1 b W 5 z M S 5 7 Q 2 9 s d W 1 u M S w x f S Z x d W 9 0 O y w m c X V v d D t T Z W N 0 a W 9 u M S 9 F c 3 R p b W F 0 Z X M t b 2 4 t d G h l L X V z Z S 1 v Z i 1 3 Y X R l c i 0 o M j A y M C k t Y S 0 z N z E y L 0 F 1 d G 9 S Z W 1 v d m V k Q 2 9 s d W 1 u c z E u e 1 8 x L D J 9 J n F 1 b 3 Q 7 L C Z x d W 9 0 O 1 N l Y 3 R p b 2 4 x L 0 V z d G l t Y X R l c y 1 v b i 1 0 a G U t d X N l L W 9 m L X d h d G V y L S g y M D I w K S 1 h L T M 3 M T I v Q X V 0 b 1 J l b W 9 2 Z W R D b 2 x 1 b W 5 z M S 5 7 X z I s M 3 0 m c X V v d D s s J n F 1 b 3 Q 7 U 2 V j d G l v b j E v R X N 0 a W 1 h d G V z L W 9 u L X R o Z S 1 1 c 2 U t b 2 Y t d 2 F 0 Z X I t K D I w M j A p L W E t M z c x M i 9 B d X R v U m V t b 3 Z l Z E N v b H V t b n M x L n t f M y w 0 f S Z x d W 9 0 O y w m c X V v d D t T Z W N 0 a W 9 u M S 9 F c 3 R p b W F 0 Z X M t b 2 4 t d G h l L X V z Z S 1 v Z i 1 3 Y X R l c i 0 o M j A y M C k t Y S 0 z N z E y L 0 F 1 d G 9 S Z W 1 v d m V k Q 2 9 s d W 1 u c z E u e 1 8 0 L D V 9 J n F 1 b 3 Q 7 L C Z x d W 9 0 O 1 N l Y 3 R p b 2 4 x L 0 V z d G l t Y X R l c y 1 v b i 1 0 a G U t d X N l L W 9 m L X d h d G V y L S g y M D I w K S 1 h L T M 3 M T I v Q X V 0 b 1 J l b W 9 2 Z W R D b 2 x 1 b W 5 z M S 5 7 X z U s N n 0 m c X V v d D s s J n F 1 b 3 Q 7 U 2 V j d G l v b j E v R X N 0 a W 1 h d G V z L W 9 u L X R o Z S 1 1 c 2 U t b 2 Y t d 2 F 0 Z X I t K D I w M j A p L W E t M z c x M i 9 B d X R v U m V t b 3 Z l Z E N v b H V t b n M x L n t f N i w 3 f S Z x d W 9 0 O y w m c X V v d D t T Z W N 0 a W 9 u M S 9 F c 3 R p b W F 0 Z X M t b 2 4 t d G h l L X V z Z S 1 v Z i 1 3 Y X R l c i 0 o M j A y M C k t Y S 0 z N z E y L 0 F 1 d G 9 S Z W 1 v d m V k Q 2 9 s d W 1 u c z E u e 1 8 3 L D h 9 J n F 1 b 3 Q 7 L C Z x d W 9 0 O 1 N l Y 3 R p b 2 4 x L 0 V z d G l t Y X R l c y 1 v b i 1 0 a G U t d X N l L W 9 m L X d h d G V y L S g y M D I w K S 1 h L T M 3 M T I v Q X V 0 b 1 J l b W 9 2 Z W R D b 2 x 1 b W 5 z M S 5 7 X z g s O X 0 m c X V v d D s s J n F 1 b 3 Q 7 U 2 V j d G l v b j E v R X N 0 a W 1 h d G V z L W 9 u L X R o Z S 1 1 c 2 U t b 2 Y t d 2 F 0 Z X I t K D I w M j A p L W E t M z c x M i 9 B d X R v U m V t b 3 Z l Z E N v b H V t b n M x L n t f O S w x M H 0 m c X V v d D s s J n F 1 b 3 Q 7 U 2 V j d G l v b j E v R X N 0 a W 1 h d G V z L W 9 u L X R o Z S 1 1 c 2 U t b 2 Y t d 2 F 0 Z X I t K D I w M j A p L W E t M z c x M i 9 B d X R v U m V t b 3 Z l Z E N v b H V t b n M x L n t f M T A s M T F 9 J n F 1 b 3 Q 7 L C Z x d W 9 0 O 1 N l Y 3 R p b 2 4 x L 0 V z d G l t Y X R l c y 1 v b i 1 0 a G U t d X N l L W 9 m L X d h d G V y L S g y M D I w K S 1 h L T M 3 M T I v Q X V 0 b 1 J l b W 9 2 Z W R D b 2 x 1 b W 5 z M S 5 7 X z E x L D E y f S Z x d W 9 0 O y w m c X V v d D t T Z W N 0 a W 9 u M S 9 F c 3 R p b W F 0 Z X M t b 2 4 t d G h l L X V z Z S 1 v Z i 1 3 Y X R l c i 0 o M j A y M C k t Y S 0 z N z E y L 0 F 1 d G 9 S Z W 1 v d m V k Q 2 9 s d W 1 u c z E u e 1 8 x M i w x M 3 0 m c X V v d D s s J n F 1 b 3 Q 7 U 2 V j d G l v b j E v R X N 0 a W 1 h d G V z L W 9 u L X R o Z S 1 1 c 2 U t b 2 Y t d 2 F 0 Z X I t K D I w M j A p L W E t M z c x M i 9 B d X R v U m V t b 3 Z l Z E N v b H V t b n M x L n t f M T M s M T R 9 J n F 1 b 3 Q 7 L C Z x d W 9 0 O 1 N l Y 3 R p b 2 4 x L 0 V z d G l t Y X R l c y 1 v b i 1 0 a G U t d X N l L W 9 m L X d h d G V y L S g y M D I w K S 1 h L T M 3 M T I v Q X V 0 b 1 J l b W 9 2 Z W R D b 2 x 1 b W 5 z M S 5 7 X z E 0 L D E 1 f S Z x d W 9 0 O 1 0 s J n F 1 b 3 Q 7 Q 2 9 s d W 1 u Q 2 9 1 b n Q m c X V v d D s 6 M T Y s J n F 1 b 3 Q 7 S 2 V 5 Q 2 9 s d W 1 u T m F t Z X M m c X V v d D s 6 W 1 0 s J n F 1 b 3 Q 7 Q 2 9 s d W 1 u S W R l b n R p d G l l c y Z x d W 9 0 O z p b J n F 1 b 3 Q 7 U 2 V j d G l v b j E v R X N 0 a W 1 h d G V z L W 9 u L X R o Z S 1 1 c 2 U t b 2 Y t d 2 F 0 Z X I t K D I w M j A p L W E t M z c x M i 9 B d X R v U m V t b 3 Z l Z E N v b H V t b n M x L n t u Y W 1 l O 2 l u Y 2 9 t Z V 9 n c m 9 1 c D t w b 3 B f b j t w b 3 B f d T t 3 Y X R f Y m F z X 2 4 7 d 2 F 0 X 2 x p b V 9 u O 3 d h d F 9 1 b m l t c F 9 u O 3 d h d F 9 z d X J f b j t 3 Y X R f Y m F z X 3 I 7 d 2 F 0 X 2 x p b V 9 y O 3 d h d F 9 1 b m l t c F 9 y O 3 d h d F 9 z d X J f c j t 3 Y X R f Y m F z X 3 U 7 d 2 F 0 X 2 x p b V 9 1 O 3 d h d F 9 1 b m l t c F 9 1 O 3 d h d F 9 z d X J f d S w w f S Z x d W 9 0 O y w m c X V v d D t T Z W N 0 a W 9 u M S 9 F c 3 R p b W F 0 Z X M t b 2 4 t d G h l L X V z Z S 1 v Z i 1 3 Y X R l c i 0 o M j A y M C k t Y S 0 z N z E y L 0 F 1 d G 9 S Z W 1 v d m V k Q 2 9 s d W 1 u c z E u e 0 N v b H V t b j E s M X 0 m c X V v d D s s J n F 1 b 3 Q 7 U 2 V j d G l v b j E v R X N 0 a W 1 h d G V z L W 9 u L X R o Z S 1 1 c 2 U t b 2 Y t d 2 F 0 Z X I t K D I w M j A p L W E t M z c x M i 9 B d X R v U m V t b 3 Z l Z E N v b H V t b n M x L n t f M S w y f S Z x d W 9 0 O y w m c X V v d D t T Z W N 0 a W 9 u M S 9 F c 3 R p b W F 0 Z X M t b 2 4 t d G h l L X V z Z S 1 v Z i 1 3 Y X R l c i 0 o M j A y M C k t Y S 0 z N z E y L 0 F 1 d G 9 S Z W 1 v d m V k Q 2 9 s d W 1 u c z E u e 1 8 y L D N 9 J n F 1 b 3 Q 7 L C Z x d W 9 0 O 1 N l Y 3 R p b 2 4 x L 0 V z d G l t Y X R l c y 1 v b i 1 0 a G U t d X N l L W 9 m L X d h d G V y L S g y M D I w K S 1 h L T M 3 M T I v Q X V 0 b 1 J l b W 9 2 Z W R D b 2 x 1 b W 5 z M S 5 7 X z M s N H 0 m c X V v d D s s J n F 1 b 3 Q 7 U 2 V j d G l v b j E v R X N 0 a W 1 h d G V z L W 9 u L X R o Z S 1 1 c 2 U t b 2 Y t d 2 F 0 Z X I t K D I w M j A p L W E t M z c x M i 9 B d X R v U m V t b 3 Z l Z E N v b H V t b n M x L n t f N C w 1 f S Z x d W 9 0 O y w m c X V v d D t T Z W N 0 a W 9 u M S 9 F c 3 R p b W F 0 Z X M t b 2 4 t d G h l L X V z Z S 1 v Z i 1 3 Y X R l c i 0 o M j A y M C k t Y S 0 z N z E y L 0 F 1 d G 9 S Z W 1 v d m V k Q 2 9 s d W 1 u c z E u e 1 8 1 L D Z 9 J n F 1 b 3 Q 7 L C Z x d W 9 0 O 1 N l Y 3 R p b 2 4 x L 0 V z d G l t Y X R l c y 1 v b i 1 0 a G U t d X N l L W 9 m L X d h d G V y L S g y M D I w K S 1 h L T M 3 M T I v Q X V 0 b 1 J l b W 9 2 Z W R D b 2 x 1 b W 5 z M S 5 7 X z Y s N 3 0 m c X V v d D s s J n F 1 b 3 Q 7 U 2 V j d G l v b j E v R X N 0 a W 1 h d G V z L W 9 u L X R o Z S 1 1 c 2 U t b 2 Y t d 2 F 0 Z X I t K D I w M j A p L W E t M z c x M i 9 B d X R v U m V t b 3 Z l Z E N v b H V t b n M x L n t f N y w 4 f S Z x d W 9 0 O y w m c X V v d D t T Z W N 0 a W 9 u M S 9 F c 3 R p b W F 0 Z X M t b 2 4 t d G h l L X V z Z S 1 v Z i 1 3 Y X R l c i 0 o M j A y M C k t Y S 0 z N z E y L 0 F 1 d G 9 S Z W 1 v d m V k Q 2 9 s d W 1 u c z E u e 1 8 4 L D l 9 J n F 1 b 3 Q 7 L C Z x d W 9 0 O 1 N l Y 3 R p b 2 4 x L 0 V z d G l t Y X R l c y 1 v b i 1 0 a G U t d X N l L W 9 m L X d h d G V y L S g y M D I w K S 1 h L T M 3 M T I v Q X V 0 b 1 J l b W 9 2 Z W R D b 2 x 1 b W 5 z M S 5 7 X z k s M T B 9 J n F 1 b 3 Q 7 L C Z x d W 9 0 O 1 N l Y 3 R p b 2 4 x L 0 V z d G l t Y X R l c y 1 v b i 1 0 a G U t d X N l L W 9 m L X d h d G V y L S g y M D I w K S 1 h L T M 3 M T I v Q X V 0 b 1 J l b W 9 2 Z W R D b 2 x 1 b W 5 z M S 5 7 X z E w L D E x f S Z x d W 9 0 O y w m c X V v d D t T Z W N 0 a W 9 u M S 9 F c 3 R p b W F 0 Z X M t b 2 4 t d G h l L X V z Z S 1 v Z i 1 3 Y X R l c i 0 o M j A y M C k t Y S 0 z N z E y L 0 F 1 d G 9 S Z W 1 v d m V k Q 2 9 s d W 1 u c z E u e 1 8 x M S w x M n 0 m c X V v d D s s J n F 1 b 3 Q 7 U 2 V j d G l v b j E v R X N 0 a W 1 h d G V z L W 9 u L X R o Z S 1 1 c 2 U t b 2 Y t d 2 F 0 Z X I t K D I w M j A p L W E t M z c x M i 9 B d X R v U m V t b 3 Z l Z E N v b H V t b n M x L n t f M T I s M T N 9 J n F 1 b 3 Q 7 L C Z x d W 9 0 O 1 N l Y 3 R p b 2 4 x L 0 V z d G l t Y X R l c y 1 v b i 1 0 a G U t d X N l L W 9 m L X d h d G V y L S g y M D I w K S 1 h L T M 3 M T I v Q X V 0 b 1 J l b W 9 2 Z W R D b 2 x 1 b W 5 z M S 5 7 X z E z L D E 0 f S Z x d W 9 0 O y w m c X V v d D t T Z W N 0 a W 9 u M S 9 F c 3 R p b W F 0 Z X M t b 2 4 t d G h l L X V z Z S 1 v Z i 1 3 Y X R l c i 0 o M j A y M C k t Y S 0 z N z E y L 0 F 1 d G 9 S Z W 1 v d m V k Q 2 9 s d W 1 u c z E u e 1 8 x N C w x N X 0 m c X V v d D t d L C Z x d W 9 0 O 1 J l b G F 0 a W 9 u c 2 h p c E l u Z m 8 m c X V v d D s 6 W 1 1 9 I i A v P j w v U 3 R h Y m x l R W 5 0 c m l l c z 4 8 L 0 l 0 Z W 0 + P E l 0 Z W 0 + P E l 0 Z W 1 M b 2 N h d G l v b j 4 8 S X R l b V R 5 c G U + R m 9 y b X V s Y T w v S X R l b V R 5 c G U + P E l 0 Z W 1 Q Y X R o P l N l Y 3 R p b 2 4 x L 0 V z d G l t Y X R l c y 1 v b i 1 0 a G U t d X N l L W 9 m L X d h d G V y L S g y M D I w K S 1 h L T M 3 M T I v U 2 9 1 c m N l P C 9 J d G V t U G F 0 a D 4 8 L 0 l 0 Z W 1 M b 2 N h d G l v b j 4 8 U 3 R h Y m x l R W 5 0 c m l l c y A v P j w v S X R l b T 4 8 S X R l b T 4 8 S X R l b U x v Y 2 F 0 a W 9 u P j x J d G V t V H l w Z T 5 G b 3 J t d W x h P C 9 J d G V t V H l w Z T 4 8 S X R l b V B h d G g + U 2 V j d G l v b j E v R X N 0 a W 1 h d G V z L W 9 u L X R o Z S 1 1 c 2 U t b 2 Y t d 2 F 0 Z X I t K D I w M j A p L W E t M z c x M i 9 Q c m 9 t b 3 R l Z C U y M E h l Y W R l c n M 8 L 0 l 0 Z W 1 Q Y X R o P j w v S X R l b U x v Y 2 F 0 a W 9 u P j x T d G F i b G V F b n R y a W V z I C 8 + P C 9 J d G V t P j x J d G V t P j x J d G V t T G 9 j Y X R p b 2 4 + P E l 0 Z W 1 U e X B l P k Z v c m 1 1 b G E 8 L 0 l 0 Z W 1 U e X B l P j x J d G V t U G F 0 a D 5 T Z W N 0 a W 9 u M S 9 F c 3 R p b W F 0 Z X M t b 2 4 t d G h l L X V z Z S 1 v Z i 1 3 Y X R l c i 0 o M j A y M C k t Y S 0 z N z E y L 0 N o Y W 5 n Z W Q l M j B U e X B l P C 9 J d G V t U G F 0 a D 4 8 L 0 l 0 Z W 1 M b 2 N h d G l v b j 4 8 U 3 R h Y m x l R W 5 0 c m l l c y A v P j w v S X R l b T 4 8 L 0 l 0 Z W 1 z P j w v T G 9 j Y W x Q Y W N r Y W d l T W V 0 Y W R h d G F G a W x l P h Y A A A B Q S w U G A A A A A A A A A A A A A A A A A A A A A A A A J g E A A A E A A A D Q j J 3 f A R X R E Y x 6 A M B P w p f r A Q A A A F + R m v D s u 6 9 G t 1 z W j g 6 P S Q M A A A A A A g A A A A A A E G Y A A A A B A A A g A A A A 1 N 8 E w Q z 6 0 D X o l W S W 5 5 D n X N Z q R R x f T A r k 1 o 2 3 o 1 p U G 4 E A A A A A D o A A A A A C A A A g A A A A 1 H p I / z o i V r 9 R J I W y Y 1 p Y Y f H P g u K J Z Q T p r + D j v 2 K 2 d a F Q A A A A z j + A 2 B A C n W 6 w N f j p c / H N X v s J 5 a 8 t y P G H t i Y E 5 t J 5 C a G c R 2 u y K a T q L N m n G h o g / b V E 5 P h 8 Q A L P 9 f T I s q L 8 O s 8 7 H L L A e 8 h G X 8 y k A 1 g l 6 t m 3 e 4 J A A A A A s c U P u L e D Z T D n 9 h L 0 1 A 7 B D U S 6 t I l W e 2 e v o f I G q W F d M x H S x D U l s u F p Z h 2 S f a y o D y 4 l T P b e h 6 D 1 Q l J U k 8 u B A 0 W 1 G w = = < / D a t a M a s h u p > 
</file>

<file path=customXml/itemProps1.xml><?xml version="1.0" encoding="utf-8"?>
<ds:datastoreItem xmlns:ds="http://schemas.openxmlformats.org/officeDocument/2006/customXml" ds:itemID="{504CFDFA-DEA9-4A9E-8CE5-FB781188D77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Estimates-on-the-use-of-water-(</vt:lpstr>
      <vt:lpstr>Pivot Tables</vt:lpstr>
      <vt:lpstr>Statistical 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Siya Mabunda</dc:creator>
  <cp:lastModifiedBy>Siya Mabunda</cp:lastModifiedBy>
  <dcterms:created xsi:type="dcterms:W3CDTF">2024-08-30T08:40:55Z</dcterms:created>
  <dcterms:modified xsi:type="dcterms:W3CDTF">2024-09-12T09:03:45Z</dcterms:modified>
</cp:coreProperties>
</file>