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budinge\Documents\Bureautique\Enseignement\INSA\5A_Sizing\VehiculeElectrique\NoteBooks\08\"/>
    </mc:Choice>
  </mc:AlternateContent>
  <bookViews>
    <workbookView xWindow="0" yWindow="0" windowWidth="13845" windowHeight="7425" activeTab="6"/>
  </bookViews>
  <sheets>
    <sheet name="Reg" sheetId="14" r:id="rId1"/>
    <sheet name="Bilan" sheetId="2" r:id="rId2"/>
    <sheet name="360" sheetId="6" r:id="rId3"/>
    <sheet name="430" sheetId="1" r:id="rId4"/>
    <sheet name="700" sheetId="7" r:id="rId5"/>
    <sheet name="1230" sheetId="8" r:id="rId6"/>
    <sheet name="2000" sheetId="9" r:id="rId7"/>
    <sheet name="2110" sheetId="4" r:id="rId8"/>
    <sheet name="3000" sheetId="10" r:id="rId9"/>
    <sheet name="7600" sheetId="5" r:id="rId10"/>
  </sheets>
  <definedNames>
    <definedName name="solver_adj" localSheetId="5" hidden="1">'1230'!$C$9</definedName>
    <definedName name="solver_adj" localSheetId="6" hidden="1">'2000'!$C$9</definedName>
    <definedName name="solver_adj" localSheetId="7" hidden="1">'2110'!$C$9</definedName>
    <definedName name="solver_adj" localSheetId="8" hidden="1">'3000'!$C$9</definedName>
    <definedName name="solver_adj" localSheetId="2" hidden="1">'360'!$C$9</definedName>
    <definedName name="solver_adj" localSheetId="3" hidden="1">'430'!$C$9</definedName>
    <definedName name="solver_adj" localSheetId="4" hidden="1">'700'!$C$9</definedName>
    <definedName name="solver_adj" localSheetId="9" hidden="1">'7600'!$C$9</definedName>
    <definedName name="solver_cvg" localSheetId="5" hidden="1">"""""""""""""""0,0001"""""""""""""""</definedName>
    <definedName name="solver_cvg" localSheetId="6" hidden="1">"""""""""""""""""""""""""""""""0,0001"""""""""""""""""""""""""""""""</definedName>
    <definedName name="solver_cvg" localSheetId="7" hidden="1">"""""""""""""""0,0001"""""""""""""""</definedName>
    <definedName name="solver_cvg" localSheetId="8" hidden="1">"""""""""""""""0,0001"""""""""""""""</definedName>
    <definedName name="solver_cvg" localSheetId="2" hidden="1">"""""""""""""""0,0001"""""""""""""""</definedName>
    <definedName name="solver_cvg" localSheetId="3" hidden="1">"""""""0,0001"""""""</definedName>
    <definedName name="solver_cvg" localSheetId="4" hidden="1">"""""""""""""""0,0001"""""""""""""""</definedName>
    <definedName name="solver_cvg" localSheetId="9" hidden="1">"""""""""""""""""""""""""""""""0,0001"""""""""""""""""""""""""""""""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9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9" hidden="1">1</definedName>
    <definedName name="solver_eng" localSheetId="1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9" hidden="1">1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9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9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9" hidden="1">30</definedName>
    <definedName name="solver_mrt" localSheetId="5" hidden="1">"""""""""""""""0,075"""""""""""""""</definedName>
    <definedName name="solver_mrt" localSheetId="6" hidden="1">"""""""""""""""""""""""""""""""0,075"""""""""""""""""""""""""""""""</definedName>
    <definedName name="solver_mrt" localSheetId="7" hidden="1">"""""""""""""""0,075"""""""""""""""</definedName>
    <definedName name="solver_mrt" localSheetId="8" hidden="1">"""""""""""""""0,075"""""""""""""""</definedName>
    <definedName name="solver_mrt" localSheetId="2" hidden="1">"""""""""""""""0,075"""""""""""""""</definedName>
    <definedName name="solver_mrt" localSheetId="3" hidden="1">"""""""0,075"""""""</definedName>
    <definedName name="solver_mrt" localSheetId="4" hidden="1">"""""""""""""""0,075"""""""""""""""</definedName>
    <definedName name="solver_mrt" localSheetId="9" hidden="1">"""""""""""""""""""""""""""""""0,075"""""""""""""""""""""""""""""""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9" hidden="1">2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9" hidden="1">1</definedName>
    <definedName name="solver_neg" localSheetId="1" hidden="1">1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9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9" hidden="1">0</definedName>
    <definedName name="solver_num" localSheetId="1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9" hidden="1">1</definedName>
    <definedName name="solver_opt" localSheetId="5" hidden="1">'1230'!$L$21</definedName>
    <definedName name="solver_opt" localSheetId="6" hidden="1">'2000'!$L$21</definedName>
    <definedName name="solver_opt" localSheetId="7" hidden="1">'2110'!$L$23</definedName>
    <definedName name="solver_opt" localSheetId="8" hidden="1">'3000'!$L$21</definedName>
    <definedName name="solver_opt" localSheetId="2" hidden="1">'360'!$L$21</definedName>
    <definedName name="solver_opt" localSheetId="3" hidden="1">'430'!$L$21</definedName>
    <definedName name="solver_opt" localSheetId="4" hidden="1">'700'!$L$21</definedName>
    <definedName name="solver_opt" localSheetId="9" hidden="1">'7600'!$L$23</definedName>
    <definedName name="solver_opt" localSheetId="1" hidden="1">Bilan!$N$34</definedName>
    <definedName name="solver_pre" localSheetId="5" hidden="1">"""""""""""""""0,000001"""""""""""""""</definedName>
    <definedName name="solver_pre" localSheetId="6" hidden="1">"""""""""""""""""""""""""""""""0,000001"""""""""""""""""""""""""""""""</definedName>
    <definedName name="solver_pre" localSheetId="7" hidden="1">"""""""""""""""0,000001"""""""""""""""</definedName>
    <definedName name="solver_pre" localSheetId="8" hidden="1">"""""""""""""""0,000001"""""""""""""""</definedName>
    <definedName name="solver_pre" localSheetId="2" hidden="1">"""""""""""""""0,000001"""""""""""""""</definedName>
    <definedName name="solver_pre" localSheetId="3" hidden="1">"""""""0,000001"""""""</definedName>
    <definedName name="solver_pre" localSheetId="4" hidden="1">"""""""""""""""0,000001"""""""""""""""</definedName>
    <definedName name="solver_pre" localSheetId="9" hidden="1">"""""""""""""""""""""""""""""""0,000001"""""""""""""""""""""""""""""""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9" hidden="1">1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9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9" hidden="1">0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9" hidden="1">1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9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9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9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9" hidden="1">0.01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9" hidden="1">2</definedName>
    <definedName name="solver_typ" localSheetId="1" hidden="1">1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9" hidden="1">0</definedName>
    <definedName name="solver_val" localSheetId="1" hidden="1">0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9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5" l="1"/>
  <c r="I20" i="5"/>
  <c r="I19" i="5"/>
  <c r="I18" i="5"/>
  <c r="I17" i="5"/>
  <c r="I16" i="5"/>
  <c r="I15" i="5"/>
  <c r="I20" i="10"/>
  <c r="I19" i="10"/>
  <c r="I18" i="10"/>
  <c r="I17" i="10"/>
  <c r="I16" i="10"/>
  <c r="I15" i="10"/>
  <c r="I20" i="4"/>
  <c r="I21" i="4"/>
  <c r="I19" i="4"/>
  <c r="I18" i="4"/>
  <c r="I17" i="4"/>
  <c r="I16" i="4"/>
  <c r="I15" i="4"/>
  <c r="I19" i="9"/>
  <c r="I18" i="9"/>
  <c r="I17" i="9"/>
  <c r="I16" i="9"/>
  <c r="I15" i="9"/>
  <c r="I19" i="8"/>
  <c r="I18" i="8"/>
  <c r="I17" i="8"/>
  <c r="I16" i="8"/>
  <c r="I15" i="8"/>
  <c r="I19" i="7"/>
  <c r="I18" i="7"/>
  <c r="I17" i="7"/>
  <c r="I16" i="7"/>
  <c r="I15" i="7"/>
  <c r="I19" i="6"/>
  <c r="I18" i="6"/>
  <c r="I17" i="6"/>
  <c r="I16" i="6"/>
  <c r="I15" i="6"/>
  <c r="I16" i="1"/>
  <c r="I17" i="1"/>
  <c r="I18" i="1"/>
  <c r="I19" i="1"/>
  <c r="I15" i="1"/>
  <c r="D14" i="1"/>
  <c r="T8" i="2"/>
  <c r="T9" i="2"/>
  <c r="T10" i="2"/>
  <c r="T11" i="2"/>
  <c r="T12" i="2"/>
  <c r="T13" i="2"/>
  <c r="T14" i="2"/>
  <c r="T7" i="2"/>
  <c r="S7" i="2"/>
  <c r="S8" i="2"/>
  <c r="S9" i="2"/>
  <c r="S10" i="2"/>
  <c r="S11" i="2"/>
  <c r="S12" i="2"/>
  <c r="S13" i="2"/>
  <c r="S14" i="2"/>
  <c r="F35" i="2"/>
  <c r="F36" i="2"/>
  <c r="F37" i="2"/>
  <c r="F38" i="2"/>
  <c r="F39" i="2"/>
  <c r="F40" i="2"/>
  <c r="F41" i="2"/>
  <c r="F34" i="2"/>
  <c r="D35" i="2"/>
  <c r="D36" i="2"/>
  <c r="D37" i="2"/>
  <c r="D38" i="2"/>
  <c r="D39" i="2"/>
  <c r="D40" i="2"/>
  <c r="D41" i="2"/>
  <c r="D34" i="2"/>
  <c r="N35" i="2" l="1"/>
  <c r="N36" i="2"/>
  <c r="N37" i="2"/>
  <c r="N38" i="2"/>
  <c r="N39" i="2"/>
  <c r="N40" i="2"/>
  <c r="N41" i="2"/>
  <c r="N34" i="2"/>
  <c r="M35" i="2"/>
  <c r="M36" i="2"/>
  <c r="M37" i="2"/>
  <c r="M38" i="2"/>
  <c r="M39" i="2"/>
  <c r="M40" i="2"/>
  <c r="M41" i="2"/>
  <c r="M34" i="2"/>
  <c r="N8" i="2"/>
  <c r="N9" i="2"/>
  <c r="N10" i="2"/>
  <c r="N11" i="2"/>
  <c r="N12" i="2"/>
  <c r="N13" i="2"/>
  <c r="N14" i="2"/>
  <c r="N7" i="2"/>
  <c r="K8" i="2"/>
  <c r="K9" i="2"/>
  <c r="K10" i="2"/>
  <c r="K11" i="2"/>
  <c r="K12" i="2"/>
  <c r="K13" i="2"/>
  <c r="K14" i="2"/>
  <c r="K7" i="2"/>
  <c r="B35" i="2" l="1"/>
  <c r="B36" i="2"/>
  <c r="B37" i="2"/>
  <c r="B38" i="2"/>
  <c r="B39" i="2"/>
  <c r="B40" i="2"/>
  <c r="B41" i="2"/>
  <c r="B34" i="2"/>
  <c r="P34" i="2" l="1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39" i="2"/>
  <c r="Q39" i="2"/>
  <c r="R39" i="2"/>
  <c r="P40" i="2"/>
  <c r="Q40" i="2"/>
  <c r="R40" i="2"/>
  <c r="P41" i="2"/>
  <c r="Q41" i="2"/>
  <c r="R41" i="2"/>
  <c r="L35" i="2"/>
  <c r="L36" i="2"/>
  <c r="L37" i="2"/>
  <c r="L38" i="2"/>
  <c r="L39" i="2"/>
  <c r="L40" i="2"/>
  <c r="L41" i="2"/>
  <c r="L34" i="2"/>
  <c r="R8" i="2" l="1"/>
  <c r="R9" i="2"/>
  <c r="R10" i="2"/>
  <c r="R11" i="2"/>
  <c r="R12" i="2"/>
  <c r="R13" i="2"/>
  <c r="R14" i="2"/>
  <c r="R7" i="2"/>
  <c r="P10" i="2"/>
  <c r="Q10" i="2"/>
  <c r="P11" i="2"/>
  <c r="Q11" i="2"/>
  <c r="P12" i="2"/>
  <c r="Q12" i="2"/>
  <c r="P13" i="2"/>
  <c r="Q13" i="2"/>
  <c r="P14" i="2"/>
  <c r="Q14" i="2"/>
  <c r="J20" i="10"/>
  <c r="K20" i="10" s="1"/>
  <c r="L20" i="10" s="1"/>
  <c r="H20" i="10"/>
  <c r="E20" i="10"/>
  <c r="F20" i="10"/>
  <c r="D20" i="10"/>
  <c r="G20" i="10"/>
  <c r="G19" i="10" l="1"/>
  <c r="E19" i="10"/>
  <c r="D19" i="10"/>
  <c r="H19" i="10" s="1"/>
  <c r="G18" i="10"/>
  <c r="E18" i="10"/>
  <c r="D18" i="10"/>
  <c r="F18" i="10" s="1"/>
  <c r="G17" i="10"/>
  <c r="E17" i="10"/>
  <c r="D17" i="10"/>
  <c r="H17" i="10" s="1"/>
  <c r="G16" i="10"/>
  <c r="F16" i="10"/>
  <c r="E16" i="10"/>
  <c r="D16" i="10"/>
  <c r="H16" i="10" s="1"/>
  <c r="G15" i="10"/>
  <c r="F15" i="10"/>
  <c r="E15" i="10"/>
  <c r="D15" i="10"/>
  <c r="H15" i="10" s="1"/>
  <c r="H14" i="10"/>
  <c r="G14" i="10"/>
  <c r="E14" i="10"/>
  <c r="D14" i="10"/>
  <c r="G9" i="10"/>
  <c r="F9" i="10"/>
  <c r="E9" i="10"/>
  <c r="D9" i="10"/>
  <c r="G19" i="9"/>
  <c r="E19" i="9"/>
  <c r="D19" i="9"/>
  <c r="F19" i="9" s="1"/>
  <c r="G18" i="9"/>
  <c r="E18" i="9"/>
  <c r="D18" i="9"/>
  <c r="F18" i="9" s="1"/>
  <c r="G17" i="9"/>
  <c r="E17" i="9"/>
  <c r="D17" i="9"/>
  <c r="F17" i="9" s="1"/>
  <c r="G16" i="9"/>
  <c r="E16" i="9"/>
  <c r="D16" i="9"/>
  <c r="H16" i="9" s="1"/>
  <c r="G15" i="9"/>
  <c r="F15" i="9"/>
  <c r="E15" i="9"/>
  <c r="D15" i="9"/>
  <c r="H15" i="9" s="1"/>
  <c r="G14" i="9"/>
  <c r="E14" i="9"/>
  <c r="H14" i="9" s="1"/>
  <c r="D14" i="9"/>
  <c r="G9" i="9"/>
  <c r="F9" i="9"/>
  <c r="E9" i="9"/>
  <c r="D9" i="9"/>
  <c r="G19" i="8"/>
  <c r="E19" i="8"/>
  <c r="D19" i="8"/>
  <c r="H19" i="8" s="1"/>
  <c r="G18" i="8"/>
  <c r="E18" i="8"/>
  <c r="D18" i="8"/>
  <c r="H18" i="8" s="1"/>
  <c r="G17" i="8"/>
  <c r="E17" i="8"/>
  <c r="D17" i="8"/>
  <c r="F17" i="8" s="1"/>
  <c r="G16" i="8"/>
  <c r="E16" i="8"/>
  <c r="D16" i="8"/>
  <c r="H16" i="8" s="1"/>
  <c r="G15" i="8"/>
  <c r="F15" i="8"/>
  <c r="E15" i="8"/>
  <c r="D15" i="8"/>
  <c r="H15" i="8" s="1"/>
  <c r="G14" i="8"/>
  <c r="E14" i="8"/>
  <c r="D14" i="8"/>
  <c r="G9" i="8"/>
  <c r="F9" i="8"/>
  <c r="E9" i="8"/>
  <c r="D9" i="8"/>
  <c r="G19" i="7"/>
  <c r="E19" i="7"/>
  <c r="D19" i="7"/>
  <c r="H19" i="7" s="1"/>
  <c r="G18" i="7"/>
  <c r="E18" i="7"/>
  <c r="D18" i="7"/>
  <c r="F18" i="7" s="1"/>
  <c r="G17" i="7"/>
  <c r="E17" i="7"/>
  <c r="D17" i="7"/>
  <c r="F17" i="7" s="1"/>
  <c r="G16" i="7"/>
  <c r="E16" i="7"/>
  <c r="D16" i="7"/>
  <c r="H16" i="7" s="1"/>
  <c r="G15" i="7"/>
  <c r="E15" i="7"/>
  <c r="D15" i="7"/>
  <c r="H15" i="7" s="1"/>
  <c r="G14" i="7"/>
  <c r="E14" i="7"/>
  <c r="D14" i="7"/>
  <c r="H14" i="7" s="1"/>
  <c r="G9" i="7"/>
  <c r="F9" i="7"/>
  <c r="E9" i="7"/>
  <c r="D9" i="7"/>
  <c r="G19" i="6"/>
  <c r="E19" i="6"/>
  <c r="D19" i="6"/>
  <c r="F19" i="6" s="1"/>
  <c r="G18" i="6"/>
  <c r="F18" i="6"/>
  <c r="E18" i="6"/>
  <c r="D18" i="6"/>
  <c r="H18" i="6" s="1"/>
  <c r="G17" i="6"/>
  <c r="F17" i="6"/>
  <c r="E17" i="6"/>
  <c r="D17" i="6"/>
  <c r="H17" i="6" s="1"/>
  <c r="G16" i="6"/>
  <c r="E16" i="6"/>
  <c r="D16" i="6"/>
  <c r="F16" i="6" s="1"/>
  <c r="G15" i="6"/>
  <c r="E15" i="6"/>
  <c r="D15" i="6"/>
  <c r="F15" i="6" s="1"/>
  <c r="G14" i="6"/>
  <c r="E14" i="6"/>
  <c r="D14" i="6"/>
  <c r="H14" i="6" s="1"/>
  <c r="G9" i="6"/>
  <c r="F9" i="6"/>
  <c r="E9" i="6"/>
  <c r="D9" i="6"/>
  <c r="Q8" i="2"/>
  <c r="Q9" i="2"/>
  <c r="P8" i="2"/>
  <c r="P9" i="2"/>
  <c r="Q7" i="2"/>
  <c r="P7" i="2"/>
  <c r="H9" i="5"/>
  <c r="G21" i="5"/>
  <c r="E21" i="5"/>
  <c r="D21" i="5"/>
  <c r="F21" i="5" s="1"/>
  <c r="G20" i="5"/>
  <c r="F20" i="5"/>
  <c r="E20" i="5"/>
  <c r="D20" i="5"/>
  <c r="H20" i="5" s="1"/>
  <c r="G19" i="5"/>
  <c r="E19" i="5"/>
  <c r="D19" i="5"/>
  <c r="H19" i="5" s="1"/>
  <c r="G18" i="5"/>
  <c r="E18" i="5"/>
  <c r="D18" i="5"/>
  <c r="F18" i="5" s="1"/>
  <c r="G17" i="5"/>
  <c r="E17" i="5"/>
  <c r="D17" i="5"/>
  <c r="F17" i="5" s="1"/>
  <c r="G16" i="5"/>
  <c r="E16" i="5"/>
  <c r="D16" i="5"/>
  <c r="F16" i="5" s="1"/>
  <c r="G15" i="5"/>
  <c r="F15" i="5"/>
  <c r="E15" i="5"/>
  <c r="D15" i="5"/>
  <c r="G14" i="5"/>
  <c r="E14" i="5"/>
  <c r="H14" i="5" s="1"/>
  <c r="D14" i="5"/>
  <c r="I9" i="5"/>
  <c r="G9" i="5"/>
  <c r="F9" i="5"/>
  <c r="E9" i="5"/>
  <c r="D9" i="5"/>
  <c r="I9" i="4"/>
  <c r="J20" i="4"/>
  <c r="K20" i="4" s="1"/>
  <c r="L20" i="4" s="1"/>
  <c r="J21" i="4"/>
  <c r="K21" i="4" s="1"/>
  <c r="L21" i="4" s="1"/>
  <c r="H20" i="4"/>
  <c r="H21" i="4"/>
  <c r="G14" i="4"/>
  <c r="G9" i="4"/>
  <c r="F16" i="4"/>
  <c r="F17" i="4"/>
  <c r="F18" i="4"/>
  <c r="F19" i="4"/>
  <c r="F20" i="4"/>
  <c r="F21" i="4"/>
  <c r="F15" i="4"/>
  <c r="E20" i="4"/>
  <c r="E21" i="4"/>
  <c r="D21" i="4"/>
  <c r="G21" i="4"/>
  <c r="D20" i="4"/>
  <c r="G20" i="4"/>
  <c r="G19" i="4"/>
  <c r="E19" i="4"/>
  <c r="D19" i="4"/>
  <c r="H19" i="4" s="1"/>
  <c r="G18" i="4"/>
  <c r="E18" i="4"/>
  <c r="D18" i="4"/>
  <c r="G17" i="4"/>
  <c r="E17" i="4"/>
  <c r="D17" i="4"/>
  <c r="G16" i="4"/>
  <c r="E16" i="4"/>
  <c r="D16" i="4"/>
  <c r="G15" i="4"/>
  <c r="E15" i="4"/>
  <c r="D15" i="4"/>
  <c r="E14" i="4"/>
  <c r="H14" i="4" s="1"/>
  <c r="D14" i="4"/>
  <c r="F9" i="4"/>
  <c r="E9" i="4"/>
  <c r="D9" i="4"/>
  <c r="G9" i="1"/>
  <c r="F9" i="1"/>
  <c r="E9" i="1"/>
  <c r="D9" i="1"/>
  <c r="F19" i="10" l="1"/>
  <c r="F16" i="9"/>
  <c r="H19" i="9"/>
  <c r="J19" i="9" s="1"/>
  <c r="K19" i="9" s="1"/>
  <c r="L19" i="9" s="1"/>
  <c r="F19" i="8"/>
  <c r="F18" i="8"/>
  <c r="H14" i="8"/>
  <c r="H17" i="7"/>
  <c r="J19" i="10"/>
  <c r="K19" i="10" s="1"/>
  <c r="L19" i="10" s="1"/>
  <c r="J15" i="10"/>
  <c r="K15" i="10" s="1"/>
  <c r="L15" i="10" s="1"/>
  <c r="J16" i="10"/>
  <c r="K16" i="10" s="1"/>
  <c r="L16" i="10" s="1"/>
  <c r="J17" i="10"/>
  <c r="H18" i="10"/>
  <c r="F17" i="10"/>
  <c r="J15" i="9"/>
  <c r="K15" i="9" s="1"/>
  <c r="L15" i="9" s="1"/>
  <c r="J16" i="9"/>
  <c r="K16" i="9" s="1"/>
  <c r="L16" i="9" s="1"/>
  <c r="H17" i="9"/>
  <c r="H18" i="9"/>
  <c r="J19" i="8"/>
  <c r="K19" i="8" s="1"/>
  <c r="L19" i="8" s="1"/>
  <c r="J18" i="8"/>
  <c r="J15" i="8"/>
  <c r="K15" i="8" s="1"/>
  <c r="L15" i="8" s="1"/>
  <c r="J16" i="8"/>
  <c r="H17" i="8"/>
  <c r="F16" i="8"/>
  <c r="J17" i="7"/>
  <c r="K17" i="7" s="1"/>
  <c r="L17" i="7" s="1"/>
  <c r="J16" i="7"/>
  <c r="J15" i="7"/>
  <c r="J19" i="7"/>
  <c r="F15" i="7"/>
  <c r="F19" i="7"/>
  <c r="F16" i="7"/>
  <c r="H18" i="7"/>
  <c r="J17" i="6"/>
  <c r="K17" i="6" s="1"/>
  <c r="L17" i="6" s="1"/>
  <c r="J18" i="6"/>
  <c r="K18" i="6" s="1"/>
  <c r="L18" i="6" s="1"/>
  <c r="H15" i="6"/>
  <c r="H19" i="6"/>
  <c r="H16" i="6"/>
  <c r="F19" i="5"/>
  <c r="H15" i="5"/>
  <c r="H16" i="5"/>
  <c r="J15" i="5"/>
  <c r="K15" i="5" s="1"/>
  <c r="L15" i="5" s="1"/>
  <c r="J16" i="5"/>
  <c r="K16" i="5" s="1"/>
  <c r="L16" i="5" s="1"/>
  <c r="J19" i="5"/>
  <c r="J20" i="5"/>
  <c r="K20" i="5" s="1"/>
  <c r="L20" i="5" s="1"/>
  <c r="H17" i="5"/>
  <c r="H21" i="5"/>
  <c r="H18" i="5"/>
  <c r="H15" i="4"/>
  <c r="H16" i="4"/>
  <c r="J19" i="4"/>
  <c r="J15" i="4"/>
  <c r="K15" i="4" s="1"/>
  <c r="L15" i="4" s="1"/>
  <c r="J16" i="4"/>
  <c r="K16" i="4" s="1"/>
  <c r="L16" i="4" s="1"/>
  <c r="H17" i="4"/>
  <c r="H18" i="4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H15" i="1"/>
  <c r="H16" i="1"/>
  <c r="H17" i="1"/>
  <c r="H18" i="1"/>
  <c r="H19" i="1"/>
  <c r="H14" i="1"/>
  <c r="E15" i="1"/>
  <c r="E16" i="1"/>
  <c r="E17" i="1"/>
  <c r="E18" i="1"/>
  <c r="E19" i="1"/>
  <c r="E14" i="1"/>
  <c r="G15" i="1"/>
  <c r="G16" i="1"/>
  <c r="G17" i="1"/>
  <c r="G18" i="1"/>
  <c r="G19" i="1"/>
  <c r="G14" i="1"/>
  <c r="F16" i="1"/>
  <c r="F17" i="1"/>
  <c r="D15" i="1"/>
  <c r="F15" i="1" s="1"/>
  <c r="D16" i="1"/>
  <c r="D17" i="1"/>
  <c r="D18" i="1"/>
  <c r="F18" i="1" s="1"/>
  <c r="D19" i="1"/>
  <c r="F19" i="1" s="1"/>
  <c r="K17" i="10" l="1"/>
  <c r="L17" i="10" s="1"/>
  <c r="K18" i="8"/>
  <c r="L18" i="8" s="1"/>
  <c r="K16" i="8"/>
  <c r="L16" i="8" s="1"/>
  <c r="K19" i="7"/>
  <c r="L19" i="7" s="1"/>
  <c r="K16" i="7"/>
  <c r="L16" i="7" s="1"/>
  <c r="K15" i="7"/>
  <c r="L15" i="7" s="1"/>
  <c r="J18" i="10"/>
  <c r="K18" i="10" s="1"/>
  <c r="L18" i="10" s="1"/>
  <c r="J18" i="9"/>
  <c r="K18" i="9" s="1"/>
  <c r="L18" i="9" s="1"/>
  <c r="J17" i="9"/>
  <c r="K17" i="9" s="1"/>
  <c r="L17" i="9" s="1"/>
  <c r="J17" i="8"/>
  <c r="K17" i="8" s="1"/>
  <c r="L17" i="8" s="1"/>
  <c r="J18" i="7"/>
  <c r="K18" i="7" s="1"/>
  <c r="L18" i="7" s="1"/>
  <c r="J16" i="6"/>
  <c r="K16" i="6" s="1"/>
  <c r="L16" i="6" s="1"/>
  <c r="J19" i="6"/>
  <c r="K19" i="6" s="1"/>
  <c r="L19" i="6" s="1"/>
  <c r="J15" i="6"/>
  <c r="K15" i="6" s="1"/>
  <c r="L15" i="6" s="1"/>
  <c r="K19" i="5"/>
  <c r="L19" i="5" s="1"/>
  <c r="J17" i="5"/>
  <c r="K17" i="5" s="1"/>
  <c r="L17" i="5" s="1"/>
  <c r="J18" i="5"/>
  <c r="K18" i="5" s="1"/>
  <c r="L18" i="5" s="1"/>
  <c r="J21" i="5"/>
  <c r="K21" i="5" s="1"/>
  <c r="L21" i="5" s="1"/>
  <c r="K19" i="4"/>
  <c r="L19" i="4" s="1"/>
  <c r="J17" i="4"/>
  <c r="K17" i="4" s="1"/>
  <c r="L17" i="4" s="1"/>
  <c r="J18" i="4"/>
  <c r="K18" i="4" s="1"/>
  <c r="L18" i="4" s="1"/>
  <c r="L21" i="1"/>
  <c r="L21" i="10" l="1"/>
  <c r="L21" i="9"/>
  <c r="L21" i="8"/>
  <c r="L21" i="7"/>
  <c r="L21" i="6"/>
  <c r="L23" i="5"/>
  <c r="L23" i="4"/>
</calcChain>
</file>

<file path=xl/sharedStrings.xml><?xml version="1.0" encoding="utf-8"?>
<sst xmlns="http://schemas.openxmlformats.org/spreadsheetml/2006/main" count="686" uniqueCount="170">
  <si>
    <t>AirFlow</t>
  </si>
  <si>
    <t>m^3/min</t>
  </si>
  <si>
    <t>Q/dT</t>
  </si>
  <si>
    <t>W/°C</t>
  </si>
  <si>
    <t>Débit eau</t>
  </si>
  <si>
    <t>lpm</t>
  </si>
  <si>
    <t>Efficacite</t>
  </si>
  <si>
    <t>-</t>
  </si>
  <si>
    <t>Cp air</t>
  </si>
  <si>
    <t>J/kg/K</t>
  </si>
  <si>
    <t>Rho air</t>
  </si>
  <si>
    <t>kg/m^3</t>
  </si>
  <si>
    <t>W/K</t>
  </si>
  <si>
    <t>https://www.boydcorpdirect.com/6110g1-copper-tube-fin-heat-exchanger/6110g1/</t>
  </si>
  <si>
    <t>Masse</t>
  </si>
  <si>
    <t>Dimensions</t>
  </si>
  <si>
    <t>L</t>
  </si>
  <si>
    <t>W</t>
  </si>
  <si>
    <t>H</t>
  </si>
  <si>
    <t>mm</t>
  </si>
  <si>
    <t>m/s</t>
  </si>
  <si>
    <t>Vitesse air</t>
  </si>
  <si>
    <t>Cmin</t>
  </si>
  <si>
    <t>Cmax</t>
  </si>
  <si>
    <t>kg</t>
  </si>
  <si>
    <t>Cp eau</t>
  </si>
  <si>
    <t>NUT=AsU/Cmin</t>
  </si>
  <si>
    <t>Cr=Cmin/Cmax</t>
  </si>
  <si>
    <t>Erreur</t>
  </si>
  <si>
    <t>Erreur ^2</t>
  </si>
  <si>
    <t>Somme erreur</t>
  </si>
  <si>
    <t>Efficacité calculée</t>
  </si>
  <si>
    <t xml:space="preserve">AsU </t>
  </si>
  <si>
    <t>L [m]</t>
  </si>
  <si>
    <t>W [m]</t>
  </si>
  <si>
    <t>H [m]</t>
  </si>
  <si>
    <t xml:space="preserve"> Masse [kg]</t>
  </si>
  <si>
    <t>Power [W]</t>
  </si>
  <si>
    <t>Ref</t>
  </si>
  <si>
    <t>6110G1</t>
  </si>
  <si>
    <t>Efficacité</t>
  </si>
  <si>
    <t>Air DP [Pa]</t>
  </si>
  <si>
    <t>Water DP [bar]</t>
  </si>
  <si>
    <t>Flow Air [m^3/min]</t>
  </si>
  <si>
    <t>Flow Water [lpm]</t>
  </si>
  <si>
    <t>https://www.boydcorpdirect.com/6310g3-copper-tube-fin-heat-exchanger/6310g3/</t>
  </si>
  <si>
    <t>Somme Erreur</t>
  </si>
  <si>
    <t>NTU=AsU/Cmin</t>
  </si>
  <si>
    <t>https://www.boydcorpdirect.com/6340-copper-tube-fin-heat-exchanger/6340/?F_All=Y</t>
  </si>
  <si>
    <t>L/W</t>
  </si>
  <si>
    <t>L/H</t>
  </si>
  <si>
    <t>https://www.boydcorpdirect.com/6105g1-copper-tube-fin-heat-exchanger/6105g1/</t>
  </si>
  <si>
    <t>Dimensions L x W x H</t>
  </si>
  <si>
    <t>7.4" x 1.3" x 6.6" (188 mm x 33 mm x 168 mm)</t>
  </si>
  <si>
    <r>
      <t>Performance</t>
    </r>
    <r>
      <rPr>
        <sz val="11"/>
        <color theme="1"/>
        <rFont val="Calibri"/>
        <family val="2"/>
        <scheme val="minor"/>
      </rPr>
      <t xml:space="preserve"> </t>
    </r>
  </si>
  <si>
    <t>360 W (1,230 BTU/Hr)</t>
  </si>
  <si>
    <t>Fluid Compatibility</t>
  </si>
  <si>
    <t>Water, Common Coolants</t>
  </si>
  <si>
    <t>Wetted Path</t>
  </si>
  <si>
    <t>Copper</t>
  </si>
  <si>
    <t>Type</t>
  </si>
  <si>
    <t>Tube-Fin Liquid-to-Air</t>
  </si>
  <si>
    <t>Fluid Volume</t>
  </si>
  <si>
    <t>3 in³ (50 ml)</t>
  </si>
  <si>
    <t>Fin Material</t>
  </si>
  <si>
    <t>Maximum Temperature</t>
  </si>
  <si>
    <t>200°C (400°F)</t>
  </si>
  <si>
    <t>Maximum Pressure</t>
  </si>
  <si>
    <t>150 psi (10 BAR)</t>
  </si>
  <si>
    <t>Maximum Flow Rate</t>
  </si>
  <si>
    <t>2.0 gpm (7.6 lpm)</t>
  </si>
  <si>
    <t>Liquid Pressure Drop</t>
  </si>
  <si>
    <t>2.0 psi (0.1 BAR)</t>
  </si>
  <si>
    <t>Air Pressure Drop</t>
  </si>
  <si>
    <t>0.20 in H₂O (49.82 Pa)</t>
  </si>
  <si>
    <t>Fan Plate</t>
  </si>
  <si>
    <t>Included</t>
  </si>
  <si>
    <t>Finish</t>
  </si>
  <si>
    <t>Painted Black</t>
  </si>
  <si>
    <t>Shipping Weight</t>
  </si>
  <si>
    <t>2.6 lb (1.18 kg)</t>
  </si>
  <si>
    <t>https://www.boydcorpdirect.com/6120g1-copper-tube-fin-heat-exchanger/6120g1/</t>
  </si>
  <si>
    <t>12.2" x 1.8" x 5.8" (310 mm x 46 mm x 147 mm)</t>
  </si>
  <si>
    <t>700 W (2389 BTU/Hr)</t>
  </si>
  <si>
    <t>12.5 in³ (205 ml)</t>
  </si>
  <si>
    <t>5.5 psi (0.4 BAR)</t>
  </si>
  <si>
    <t>0.15 in H₂O (37.37 Pa)</t>
  </si>
  <si>
    <t>5.1 lb (2.31 kg)</t>
  </si>
  <si>
    <t>11.9" x 2.5" x 9.0" (301 mm x 64 mm x 229 mm)</t>
  </si>
  <si>
    <t>1240 W (4232 BTU/Hr</t>
  </si>
  <si>
    <t>17.5 in³ (288 ml)</t>
  </si>
  <si>
    <t>7.9 psi (0.6 BAR)</t>
  </si>
  <si>
    <t>6.6 lb (2.99 kg)</t>
  </si>
  <si>
    <t>https://www.boydcorpdirect.com/6220g1-copper-tube-fin-heat-exchanger/6220g1/</t>
  </si>
  <si>
    <t>19.9" x 2.5" x 9.0" (505 mm x 64 mm x 229 mm)</t>
  </si>
  <si>
    <t>2000 W (6826 BTU/Hr)</t>
  </si>
  <si>
    <t>30.5 in³ (500 ml)</t>
  </si>
  <si>
    <t>14.0 psi (1.0 BAR)</t>
  </si>
  <si>
    <t>0.18 in H₂O (44.84 Pa)</t>
  </si>
  <si>
    <t>11 lb (4.99 kg)</t>
  </si>
  <si>
    <t>22.9" x 2.1" x 12.0" (583 mm x 53 mm x 305 mm)</t>
  </si>
  <si>
    <t>3000 W (10239 BTU/Hr)</t>
  </si>
  <si>
    <t>51.5 in³ (844 ml)</t>
  </si>
  <si>
    <t>4.0 gpm (15.1 lpm)</t>
  </si>
  <si>
    <t>12.9 psi (0.9 BAR)</t>
  </si>
  <si>
    <t>0.10 in H₂O (24.91 Pa)</t>
  </si>
  <si>
    <t>18.1 lb (8.21 kg)</t>
  </si>
  <si>
    <t>6105g1</t>
  </si>
  <si>
    <t>6120g1</t>
  </si>
  <si>
    <t>hS [W/K]</t>
  </si>
  <si>
    <t>V</t>
  </si>
  <si>
    <t>log hS</t>
  </si>
  <si>
    <t>log L</t>
  </si>
  <si>
    <t>log W</t>
  </si>
  <si>
    <t>log H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</si>
  <si>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</si>
  <si>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</si>
  <si>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</si>
  <si>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</si>
  <si>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</si>
  <si>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</si>
  <si>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</si>
  <si>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</si>
  <si>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</si>
  <si>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</si>
  <si>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</si>
  <si>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</si>
  <si>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</si>
  <si>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</si>
  <si>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</si>
  <si>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</si>
  <si>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</si>
  <si>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</si>
  <si>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</si>
  <si>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</si>
  <si>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</si>
  <si>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95.0%</t>
  </si>
  <si>
    <t>Limite supérieure pour seuil de confiance =  95.0%</t>
  </si>
  <si>
    <r>
      <t xml:space="preserve">Air DP/Q^2 </t>
    </r>
    <r>
      <rPr>
        <b/>
        <sz val="9"/>
        <color theme="1"/>
        <rFont val="Calibri"/>
        <family val="2"/>
        <scheme val="minor"/>
      </rPr>
      <t>[Pa/(m^3/s)²]</t>
    </r>
  </si>
  <si>
    <r>
      <t xml:space="preserve">Water DP/Q^2 </t>
    </r>
    <r>
      <rPr>
        <b/>
        <sz val="9"/>
        <color theme="1"/>
        <rFont val="Calibri"/>
        <family val="2"/>
        <scheme val="minor"/>
      </rPr>
      <t>[Pa/(m^3/s)²]</t>
    </r>
  </si>
  <si>
    <t>Coef hS</t>
  </si>
  <si>
    <t>hS est</t>
  </si>
  <si>
    <r>
      <t xml:space="preserve">Air DP/Q^2 </t>
    </r>
    <r>
      <rPr>
        <b/>
        <sz val="8"/>
        <color theme="1"/>
        <rFont val="Calibri"/>
        <family val="2"/>
        <scheme val="minor"/>
      </rPr>
      <t>[Pa/(m^3/s)²]</t>
    </r>
  </si>
  <si>
    <t>log Air DP/Q²</t>
  </si>
  <si>
    <t>log Water DP/Q²</t>
  </si>
  <si>
    <t>Coef AirDP</t>
  </si>
  <si>
    <r>
      <t xml:space="preserve">Water DP/Q^2 </t>
    </r>
    <r>
      <rPr>
        <b/>
        <sz val="8"/>
        <color theme="1"/>
        <rFont val="Calibri"/>
        <family val="2"/>
        <scheme val="minor"/>
      </rPr>
      <t>[Pa/(m^3/s)²]</t>
    </r>
  </si>
  <si>
    <t>Coef WaterDP</t>
  </si>
  <si>
    <t>27.5" x 3.5" x 22.2" (699 mm x 89 mm x 564 mm)</t>
  </si>
  <si>
    <t>7600 W (25939 BTU/Hr)</t>
  </si>
  <si>
    <t>106 in³ (1737 ml)</t>
  </si>
  <si>
    <t>Aluminum</t>
  </si>
  <si>
    <t>10.0 gpm (37.8 lpm)</t>
  </si>
  <si>
    <t>3.0 psi (0.2 BAR)</t>
  </si>
  <si>
    <t>0.11 in H₂O (27.40 Pa)</t>
  </si>
  <si>
    <t>36.2 lb (16.42 kg)</t>
  </si>
  <si>
    <t>Fitting</t>
  </si>
  <si>
    <t>0.875” O.D. union fitting</t>
  </si>
  <si>
    <t>12.9" x 2.1" x 12.0" (328 mm x 53 mm x 305 mm)</t>
  </si>
  <si>
    <t>2110 W (7201 BTU/Hr)</t>
  </si>
  <si>
    <t>29.5 in³ (483 ml)</t>
  </si>
  <si>
    <t>8.9 psi (0.6 BAR)</t>
  </si>
  <si>
    <t>0.13 in H₂O (32.38 Pa)</t>
  </si>
  <si>
    <t>15.5 lb (7.03 kg)</t>
  </si>
  <si>
    <t>Liquid volume [l]</t>
  </si>
  <si>
    <t>7.4" x 1.8" x 5.8" (188 mm x 46 mm x 147 mm)</t>
  </si>
  <si>
    <t>430 W (1468 BTU/Hr)</t>
  </si>
  <si>
    <t>8 in³ (131 ml)</t>
  </si>
  <si>
    <t>5.0 psi (0.4 BAR)</t>
  </si>
  <si>
    <t>0.30 in H₂O (74.73 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</si>
</sst>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/>
    <xf numFmtId="2" fontId="0" fillId="0" borderId="0" xfId="1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3" fillId="0" borderId="0" xfId="2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1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11" fontId="0" fillId="0" borderId="0" xfId="0" applyNumberFormat="1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Bilan!$D$7:$D$14</c:f>
              <c:numCache>
                <c:formatCode>0.00</c:formatCode>
                <c:ptCount val="8"/>
                <c:pt idx="0">
                  <c:v>13.1</c:v>
                </c:pt>
                <c:pt idx="1">
                  <c:v>24.42</c:v>
                </c:pt>
                <c:pt idx="2">
                  <c:v>48.77</c:v>
                </c:pt>
                <c:pt idx="3">
                  <c:v>69.917000000000002</c:v>
                </c:pt>
                <c:pt idx="4">
                  <c:v>132.465</c:v>
                </c:pt>
                <c:pt idx="5">
                  <c:v>99.46</c:v>
                </c:pt>
                <c:pt idx="6">
                  <c:v>195.76</c:v>
                </c:pt>
                <c:pt idx="7">
                  <c:v>500</c:v>
                </c:pt>
              </c:numCache>
            </c:numRef>
          </c:xVal>
          <c:yVal>
            <c:numRef>
              <c:f>Bilan!$H$7:$H$14</c:f>
              <c:numCache>
                <c:formatCode>0.00</c:formatCode>
                <c:ptCount val="8"/>
                <c:pt idx="0">
                  <c:v>1.18</c:v>
                </c:pt>
                <c:pt idx="1">
                  <c:v>1.1499999999999999</c:v>
                </c:pt>
                <c:pt idx="2">
                  <c:v>2.31</c:v>
                </c:pt>
                <c:pt idx="3">
                  <c:v>2.99</c:v>
                </c:pt>
                <c:pt idx="4">
                  <c:v>4.99</c:v>
                </c:pt>
                <c:pt idx="5">
                  <c:v>7.03</c:v>
                </c:pt>
                <c:pt idx="6">
                  <c:v>8.2100000000000009</c:v>
                </c:pt>
                <c:pt idx="7">
                  <c:v>16.420000000000002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672512"/>
        <c:axId val="-677663808"/>
      </c:scatterChart>
      <c:valAx>
        <c:axId val="-6776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hS [W/K]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3808"/>
        <c:crosses val="autoZero"/>
        <c:crossBetween val="midCat"/>
      </c:valAx>
      <c:valAx>
        <c:axId val="-677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Mass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Heat exchanger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'430'!$I$14:$I$19</c:f>
              <c:numCache>
                <c:formatCode>0.00</c:formatCode>
                <c:ptCount val="6"/>
                <c:pt idx="1">
                  <c:v>2.4322599509298701</c:v>
                </c:pt>
                <c:pt idx="2">
                  <c:v>1.2161299754649351</c:v>
                </c:pt>
                <c:pt idx="3">
                  <c:v>0.81075331697662345</c:v>
                </c:pt>
                <c:pt idx="4">
                  <c:v>0.60806498773246753</c:v>
                </c:pt>
                <c:pt idx="5">
                  <c:v>0.48645199018597407</c:v>
                </c:pt>
              </c:numCache>
            </c:numRef>
          </c:xVal>
          <c:yVal>
            <c:numRef>
              <c:f>'430'!$F$14:$F$19</c:f>
              <c:numCache>
                <c:formatCode>0.00</c:formatCode>
                <c:ptCount val="6"/>
                <c:pt idx="0">
                  <c:v>1</c:v>
                </c:pt>
                <c:pt idx="1">
                  <c:v>0.79681274900398402</c:v>
                </c:pt>
                <c:pt idx="2">
                  <c:v>0.64741035856573703</c:v>
                </c:pt>
                <c:pt idx="3">
                  <c:v>0.53120849933598946</c:v>
                </c:pt>
                <c:pt idx="4">
                  <c:v>0.46065737051792827</c:v>
                </c:pt>
                <c:pt idx="5">
                  <c:v>0.40836653386454186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'430'!$I$14:$I$19</c:f>
              <c:numCache>
                <c:formatCode>0.00</c:formatCode>
                <c:ptCount val="6"/>
                <c:pt idx="1">
                  <c:v>2.4322599509298701</c:v>
                </c:pt>
                <c:pt idx="2">
                  <c:v>1.2161299754649351</c:v>
                </c:pt>
                <c:pt idx="3">
                  <c:v>0.81075331697662345</c:v>
                </c:pt>
                <c:pt idx="4">
                  <c:v>0.60806498773246753</c:v>
                </c:pt>
                <c:pt idx="5">
                  <c:v>0.48645199018597407</c:v>
                </c:pt>
              </c:numCache>
            </c:numRef>
          </c:xVal>
          <c:yVal>
            <c:numRef>
              <c:f>'430'!$J$14:$J$19</c:f>
              <c:numCache>
                <c:formatCode>0.00</c:formatCode>
                <c:ptCount val="6"/>
                <c:pt idx="0">
                  <c:v>1</c:v>
                </c:pt>
                <c:pt idx="1">
                  <c:v>0.89435818880084983</c:v>
                </c:pt>
                <c:pt idx="2">
                  <c:v>0.67029673620185393</c:v>
                </c:pt>
                <c:pt idx="3">
                  <c:v>0.5197814280325278</c:v>
                </c:pt>
                <c:pt idx="4">
                  <c:v>0.42109350725318517</c:v>
                </c:pt>
                <c:pt idx="5">
                  <c:v>0.35273443137799876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'430'!$I$14:$I$19</c:f>
              <c:numCache>
                <c:formatCode>0.00</c:formatCode>
                <c:ptCount val="6"/>
                <c:pt idx="1">
                  <c:v>2.4322599509298701</c:v>
                </c:pt>
                <c:pt idx="2">
                  <c:v>1.2161299754649351</c:v>
                </c:pt>
                <c:pt idx="3">
                  <c:v>0.81075331697662345</c:v>
                </c:pt>
                <c:pt idx="4">
                  <c:v>0.60806498773246753</c:v>
                </c:pt>
                <c:pt idx="5">
                  <c:v>0.48645199018597407</c:v>
                </c:pt>
              </c:numCache>
            </c:numRef>
          </c:xVal>
          <c:yVal>
            <c:numRef>
              <c:f>'430'!$J$14:$J$19</c:f>
              <c:numCache>
                <c:formatCode>0.00</c:formatCode>
                <c:ptCount val="6"/>
                <c:pt idx="0">
                  <c:v>1</c:v>
                </c:pt>
                <c:pt idx="1">
                  <c:v>0.89435818880084983</c:v>
                </c:pt>
                <c:pt idx="2">
                  <c:v>0.67029673620185393</c:v>
                </c:pt>
                <c:pt idx="3">
                  <c:v>0.5197814280325278</c:v>
                </c:pt>
                <c:pt idx="4">
                  <c:v>0.42109350725318517</c:v>
                </c:pt>
                <c:pt idx="5">
                  <c:v>0.35273443137799876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664352"/>
        <c:axId val="-677662176"/>
      </c:scatterChart>
      <c:valAx>
        <c:axId val="-67766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2176"/>
        <c:crosses val="autoZero"/>
        <c:crossBetween val="midCat"/>
      </c:valAx>
      <c:valAx>
        <c:axId val="-6776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Data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'700'!$D$14:$D$19</c:f>
              <c:numCache>
                <c:formatCode>0.00</c:formatCode>
                <c:ptCount val="6"/>
                <c:pt idx="0">
                  <c:v>0</c:v>
                </c:pt>
                <c:pt idx="1">
                  <c:v>20.080000000000002</c:v>
                </c:pt>
                <c:pt idx="2">
                  <c:v>30.119999999999997</c:v>
                </c:pt>
                <c:pt idx="3">
                  <c:v>40.160000000000004</c:v>
                </c:pt>
                <c:pt idx="4">
                  <c:v>50.199999999999996</c:v>
                </c:pt>
                <c:pt idx="5">
                  <c:v>60.239999999999995</c:v>
                </c:pt>
              </c:numCache>
            </c:numRef>
          </c:xVal>
          <c:yVal>
            <c:numRef>
              <c:f>'700'!$F$14:$F$19</c:f>
              <c:numCache>
                <c:formatCode>0.00</c:formatCode>
                <c:ptCount val="6"/>
                <c:pt idx="0">
                  <c:v>1</c:v>
                </c:pt>
                <c:pt idx="1">
                  <c:v>0.79681274900398402</c:v>
                </c:pt>
                <c:pt idx="2">
                  <c:v>0.76361221779548483</c:v>
                </c:pt>
                <c:pt idx="3">
                  <c:v>0.67231075697211151</c:v>
                </c:pt>
                <c:pt idx="4">
                  <c:v>0.61752988047808766</c:v>
                </c:pt>
                <c:pt idx="5">
                  <c:v>0.56440903054448877</c:v>
                </c:pt>
              </c:numCache>
            </c:numRef>
          </c:yVal>
          <c:smooth val="0"/>
        </c:ser>
        <c:ser>
          <c:idx val="3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'700'!$D$14:$D$19</c:f>
              <c:numCache>
                <c:formatCode>0.00</c:formatCode>
                <c:ptCount val="6"/>
                <c:pt idx="0">
                  <c:v>0</c:v>
                </c:pt>
                <c:pt idx="1">
                  <c:v>20.080000000000002</c:v>
                </c:pt>
                <c:pt idx="2">
                  <c:v>30.119999999999997</c:v>
                </c:pt>
                <c:pt idx="3">
                  <c:v>40.160000000000004</c:v>
                </c:pt>
                <c:pt idx="4">
                  <c:v>50.199999999999996</c:v>
                </c:pt>
                <c:pt idx="5">
                  <c:v>60.239999999999995</c:v>
                </c:pt>
              </c:numCache>
            </c:numRef>
          </c:xVal>
          <c:yVal>
            <c:numRef>
              <c:f>'700'!$J$14:$J$19</c:f>
              <c:numCache>
                <c:formatCode>0.00</c:formatCode>
                <c:ptCount val="6"/>
                <c:pt idx="0">
                  <c:v>1</c:v>
                </c:pt>
                <c:pt idx="1">
                  <c:v>0.89455255121737398</c:v>
                </c:pt>
                <c:pt idx="2">
                  <c:v>0.77443574776949842</c:v>
                </c:pt>
                <c:pt idx="3">
                  <c:v>0.6707238766464968</c:v>
                </c:pt>
                <c:pt idx="4">
                  <c:v>0.58719178777734404</c:v>
                </c:pt>
                <c:pt idx="5">
                  <c:v>0.52027324912662354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661632"/>
        <c:axId val="-677660544"/>
      </c:scatterChart>
      <c:valAx>
        <c:axId val="-6776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0544"/>
        <c:crosses val="autoZero"/>
        <c:crossBetween val="midCat"/>
      </c:valAx>
      <c:valAx>
        <c:axId val="-6776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Heat exchanger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'700'!$I$14:$I$19</c:f>
              <c:numCache>
                <c:formatCode>0.00</c:formatCode>
                <c:ptCount val="6"/>
                <c:pt idx="1">
                  <c:v>2.428938383209339</c:v>
                </c:pt>
                <c:pt idx="2">
                  <c:v>1.619292255472893</c:v>
                </c:pt>
                <c:pt idx="3">
                  <c:v>1.2144691916046695</c:v>
                </c:pt>
                <c:pt idx="4">
                  <c:v>0.97157535328373579</c:v>
                </c:pt>
                <c:pt idx="5">
                  <c:v>0.80964612773644651</c:v>
                </c:pt>
              </c:numCache>
            </c:numRef>
          </c:xVal>
          <c:yVal>
            <c:numRef>
              <c:f>'700'!$F$14:$F$19</c:f>
              <c:numCache>
                <c:formatCode>0.00</c:formatCode>
                <c:ptCount val="6"/>
                <c:pt idx="0">
                  <c:v>1</c:v>
                </c:pt>
                <c:pt idx="1">
                  <c:v>0.79681274900398402</c:v>
                </c:pt>
                <c:pt idx="2">
                  <c:v>0.76361221779548483</c:v>
                </c:pt>
                <c:pt idx="3">
                  <c:v>0.67231075697211151</c:v>
                </c:pt>
                <c:pt idx="4">
                  <c:v>0.61752988047808766</c:v>
                </c:pt>
                <c:pt idx="5">
                  <c:v>0.56440903054448877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'700'!$I$14:$I$19</c:f>
              <c:numCache>
                <c:formatCode>0.00</c:formatCode>
                <c:ptCount val="6"/>
                <c:pt idx="1">
                  <c:v>2.428938383209339</c:v>
                </c:pt>
                <c:pt idx="2">
                  <c:v>1.619292255472893</c:v>
                </c:pt>
                <c:pt idx="3">
                  <c:v>1.2144691916046695</c:v>
                </c:pt>
                <c:pt idx="4">
                  <c:v>0.97157535328373579</c:v>
                </c:pt>
                <c:pt idx="5">
                  <c:v>0.80964612773644651</c:v>
                </c:pt>
              </c:numCache>
            </c:numRef>
          </c:xVal>
          <c:yVal>
            <c:numRef>
              <c:f>'700'!$J$14:$J$19</c:f>
              <c:numCache>
                <c:formatCode>0.00</c:formatCode>
                <c:ptCount val="6"/>
                <c:pt idx="0">
                  <c:v>1</c:v>
                </c:pt>
                <c:pt idx="1">
                  <c:v>0.89455255121737398</c:v>
                </c:pt>
                <c:pt idx="2">
                  <c:v>0.77443574776949842</c:v>
                </c:pt>
                <c:pt idx="3">
                  <c:v>0.6707238766464968</c:v>
                </c:pt>
                <c:pt idx="4">
                  <c:v>0.58719178777734404</c:v>
                </c:pt>
                <c:pt idx="5">
                  <c:v>0.52027324912662354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'700'!$I$14:$I$19</c:f>
              <c:numCache>
                <c:formatCode>0.00</c:formatCode>
                <c:ptCount val="6"/>
                <c:pt idx="1">
                  <c:v>2.428938383209339</c:v>
                </c:pt>
                <c:pt idx="2">
                  <c:v>1.619292255472893</c:v>
                </c:pt>
                <c:pt idx="3">
                  <c:v>1.2144691916046695</c:v>
                </c:pt>
                <c:pt idx="4">
                  <c:v>0.97157535328373579</c:v>
                </c:pt>
                <c:pt idx="5">
                  <c:v>0.80964612773644651</c:v>
                </c:pt>
              </c:numCache>
            </c:numRef>
          </c:xVal>
          <c:yVal>
            <c:numRef>
              <c:f>'700'!$J$14:$J$19</c:f>
              <c:numCache>
                <c:formatCode>0.00</c:formatCode>
                <c:ptCount val="6"/>
                <c:pt idx="0">
                  <c:v>1</c:v>
                </c:pt>
                <c:pt idx="1">
                  <c:v>0.89455255121737398</c:v>
                </c:pt>
                <c:pt idx="2">
                  <c:v>0.77443574776949842</c:v>
                </c:pt>
                <c:pt idx="3">
                  <c:v>0.6707238766464968</c:v>
                </c:pt>
                <c:pt idx="4">
                  <c:v>0.58719178777734404</c:v>
                </c:pt>
                <c:pt idx="5">
                  <c:v>0.52027324912662354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675776"/>
        <c:axId val="-244892192"/>
      </c:scatterChart>
      <c:valAx>
        <c:axId val="-67767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92192"/>
        <c:crosses val="autoZero"/>
        <c:crossBetween val="midCat"/>
      </c:valAx>
      <c:valAx>
        <c:axId val="-2448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7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Data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'1230'!$D$14:$D$19</c:f>
              <c:numCache>
                <c:formatCode>0.00</c:formatCode>
                <c:ptCount val="6"/>
                <c:pt idx="0">
                  <c:v>0</c:v>
                </c:pt>
                <c:pt idx="1">
                  <c:v>20.080000000000002</c:v>
                </c:pt>
                <c:pt idx="2">
                  <c:v>40.160000000000004</c:v>
                </c:pt>
                <c:pt idx="3">
                  <c:v>60.239999999999995</c:v>
                </c:pt>
                <c:pt idx="4">
                  <c:v>80.320000000000007</c:v>
                </c:pt>
                <c:pt idx="5">
                  <c:v>100.39999999999999</c:v>
                </c:pt>
              </c:numCache>
            </c:numRef>
          </c:xVal>
          <c:yVal>
            <c:numRef>
              <c:f>'1230'!$F$14:$F$19</c:f>
              <c:numCache>
                <c:formatCode>0.00</c:formatCode>
                <c:ptCount val="6"/>
                <c:pt idx="0">
                  <c:v>1</c:v>
                </c:pt>
                <c:pt idx="1">
                  <c:v>0.74701195219123495</c:v>
                </c:pt>
                <c:pt idx="2">
                  <c:v>0.72211155378486047</c:v>
                </c:pt>
                <c:pt idx="3">
                  <c:v>0.63081009296148749</c:v>
                </c:pt>
                <c:pt idx="4">
                  <c:v>0.547808764940239</c:v>
                </c:pt>
                <c:pt idx="5">
                  <c:v>0.4980079681274901</c:v>
                </c:pt>
              </c:numCache>
            </c:numRef>
          </c:yVal>
          <c:smooth val="0"/>
        </c:ser>
        <c:ser>
          <c:idx val="3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'1230'!$D$14:$D$19</c:f>
              <c:numCache>
                <c:formatCode>0.00</c:formatCode>
                <c:ptCount val="6"/>
                <c:pt idx="0">
                  <c:v>0</c:v>
                </c:pt>
                <c:pt idx="1">
                  <c:v>20.080000000000002</c:v>
                </c:pt>
                <c:pt idx="2">
                  <c:v>40.160000000000004</c:v>
                </c:pt>
                <c:pt idx="3">
                  <c:v>60.239999999999995</c:v>
                </c:pt>
                <c:pt idx="4">
                  <c:v>80.320000000000007</c:v>
                </c:pt>
                <c:pt idx="5">
                  <c:v>100.39999999999999</c:v>
                </c:pt>
              </c:numCache>
            </c:numRef>
          </c:xVal>
          <c:yVal>
            <c:numRef>
              <c:f>'1230'!$J$14:$J$19</c:f>
              <c:numCache>
                <c:formatCode>0.00</c:formatCode>
                <c:ptCount val="6"/>
                <c:pt idx="0">
                  <c:v>1</c:v>
                </c:pt>
                <c:pt idx="1">
                  <c:v>0.94476875741655753</c:v>
                </c:pt>
                <c:pt idx="2">
                  <c:v>0.75977409608237501</c:v>
                </c:pt>
                <c:pt idx="3">
                  <c:v>0.60987968316734409</c:v>
                </c:pt>
                <c:pt idx="4">
                  <c:v>0.50370992606802667</c:v>
                </c:pt>
                <c:pt idx="5">
                  <c:v>0.42706194312857793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83488"/>
        <c:axId val="-244880768"/>
      </c:scatterChart>
      <c:valAx>
        <c:axId val="-24488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80768"/>
        <c:crosses val="autoZero"/>
        <c:crossBetween val="midCat"/>
      </c:valAx>
      <c:valAx>
        <c:axId val="-2448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8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Heat exchanger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'1230'!$I$14:$I$19</c:f>
              <c:numCache>
                <c:formatCode>0.00</c:formatCode>
                <c:ptCount val="6"/>
                <c:pt idx="1">
                  <c:v>3.1831161306034379</c:v>
                </c:pt>
                <c:pt idx="2">
                  <c:v>1.5915580653017189</c:v>
                </c:pt>
                <c:pt idx="3">
                  <c:v>1.0610387102011463</c:v>
                </c:pt>
                <c:pt idx="4">
                  <c:v>0.79577903265085947</c:v>
                </c:pt>
                <c:pt idx="5">
                  <c:v>0.63662322612068767</c:v>
                </c:pt>
              </c:numCache>
            </c:numRef>
          </c:xVal>
          <c:yVal>
            <c:numRef>
              <c:f>'1230'!$F$14:$F$19</c:f>
              <c:numCache>
                <c:formatCode>0.00</c:formatCode>
                <c:ptCount val="6"/>
                <c:pt idx="0">
                  <c:v>1</c:v>
                </c:pt>
                <c:pt idx="1">
                  <c:v>0.74701195219123495</c:v>
                </c:pt>
                <c:pt idx="2">
                  <c:v>0.72211155378486047</c:v>
                </c:pt>
                <c:pt idx="3">
                  <c:v>0.63081009296148749</c:v>
                </c:pt>
                <c:pt idx="4">
                  <c:v>0.547808764940239</c:v>
                </c:pt>
                <c:pt idx="5">
                  <c:v>0.4980079681274901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'1230'!$I$14:$I$19</c:f>
              <c:numCache>
                <c:formatCode>0.00</c:formatCode>
                <c:ptCount val="6"/>
                <c:pt idx="1">
                  <c:v>3.1831161306034379</c:v>
                </c:pt>
                <c:pt idx="2">
                  <c:v>1.5915580653017189</c:v>
                </c:pt>
                <c:pt idx="3">
                  <c:v>1.0610387102011463</c:v>
                </c:pt>
                <c:pt idx="4">
                  <c:v>0.79577903265085947</c:v>
                </c:pt>
                <c:pt idx="5">
                  <c:v>0.63662322612068767</c:v>
                </c:pt>
              </c:numCache>
            </c:numRef>
          </c:xVal>
          <c:yVal>
            <c:numRef>
              <c:f>'1230'!$J$14:$J$19</c:f>
              <c:numCache>
                <c:formatCode>0.00</c:formatCode>
                <c:ptCount val="6"/>
                <c:pt idx="0">
                  <c:v>1</c:v>
                </c:pt>
                <c:pt idx="1">
                  <c:v>0.94476875741655753</c:v>
                </c:pt>
                <c:pt idx="2">
                  <c:v>0.75977409608237501</c:v>
                </c:pt>
                <c:pt idx="3">
                  <c:v>0.60987968316734409</c:v>
                </c:pt>
                <c:pt idx="4">
                  <c:v>0.50370992606802667</c:v>
                </c:pt>
                <c:pt idx="5">
                  <c:v>0.42706194312857793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'1230'!$I$14:$I$19</c:f>
              <c:numCache>
                <c:formatCode>0.00</c:formatCode>
                <c:ptCount val="6"/>
                <c:pt idx="1">
                  <c:v>3.1831161306034379</c:v>
                </c:pt>
                <c:pt idx="2">
                  <c:v>1.5915580653017189</c:v>
                </c:pt>
                <c:pt idx="3">
                  <c:v>1.0610387102011463</c:v>
                </c:pt>
                <c:pt idx="4">
                  <c:v>0.79577903265085947</c:v>
                </c:pt>
                <c:pt idx="5">
                  <c:v>0.63662322612068767</c:v>
                </c:pt>
              </c:numCache>
            </c:numRef>
          </c:xVal>
          <c:yVal>
            <c:numRef>
              <c:f>'1230'!$J$14:$J$19</c:f>
              <c:numCache>
                <c:formatCode>0.00</c:formatCode>
                <c:ptCount val="6"/>
                <c:pt idx="0">
                  <c:v>1</c:v>
                </c:pt>
                <c:pt idx="1">
                  <c:v>0.94476875741655753</c:v>
                </c:pt>
                <c:pt idx="2">
                  <c:v>0.75977409608237501</c:v>
                </c:pt>
                <c:pt idx="3">
                  <c:v>0.60987968316734409</c:v>
                </c:pt>
                <c:pt idx="4">
                  <c:v>0.50370992606802667</c:v>
                </c:pt>
                <c:pt idx="5">
                  <c:v>0.42706194312857793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85664"/>
        <c:axId val="-244881856"/>
      </c:scatterChart>
      <c:valAx>
        <c:axId val="-24488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81856"/>
        <c:crosses val="autoZero"/>
        <c:crossBetween val="midCat"/>
      </c:valAx>
      <c:valAx>
        <c:axId val="-2448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8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Data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'2000'!$D$14:$D$19</c:f>
              <c:numCache>
                <c:formatCode>0.00</c:formatCode>
                <c:ptCount val="6"/>
                <c:pt idx="0">
                  <c:v>0</c:v>
                </c:pt>
                <c:pt idx="1">
                  <c:v>40.160000000000004</c:v>
                </c:pt>
                <c:pt idx="2">
                  <c:v>80.320000000000007</c:v>
                </c:pt>
                <c:pt idx="3">
                  <c:v>120.47999999999999</c:v>
                </c:pt>
                <c:pt idx="4">
                  <c:v>160.64000000000001</c:v>
                </c:pt>
                <c:pt idx="5">
                  <c:v>200.79999999999998</c:v>
                </c:pt>
              </c:numCache>
            </c:numRef>
          </c:xVal>
          <c:yVal>
            <c:numRef>
              <c:f>'2000'!$F$14:$F$19</c:f>
              <c:numCache>
                <c:formatCode>0.00</c:formatCode>
                <c:ptCount val="6"/>
                <c:pt idx="0">
                  <c:v>1</c:v>
                </c:pt>
                <c:pt idx="1">
                  <c:v>0.87151394422310746</c:v>
                </c:pt>
                <c:pt idx="2">
                  <c:v>0.68476095617529875</c:v>
                </c:pt>
                <c:pt idx="3">
                  <c:v>0.58100929614873842</c:v>
                </c:pt>
                <c:pt idx="4">
                  <c:v>0.51045816733067728</c:v>
                </c:pt>
                <c:pt idx="5">
                  <c:v>0.44820717131474108</c:v>
                </c:pt>
              </c:numCache>
            </c:numRef>
          </c:yVal>
          <c:smooth val="0"/>
        </c:ser>
        <c:ser>
          <c:idx val="3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'2000'!$D$14:$D$19</c:f>
              <c:numCache>
                <c:formatCode>0.00</c:formatCode>
                <c:ptCount val="6"/>
                <c:pt idx="0">
                  <c:v>0</c:v>
                </c:pt>
                <c:pt idx="1">
                  <c:v>40.160000000000004</c:v>
                </c:pt>
                <c:pt idx="2">
                  <c:v>80.320000000000007</c:v>
                </c:pt>
                <c:pt idx="3">
                  <c:v>120.47999999999999</c:v>
                </c:pt>
                <c:pt idx="4">
                  <c:v>160.64000000000001</c:v>
                </c:pt>
                <c:pt idx="5">
                  <c:v>200.79999999999998</c:v>
                </c:pt>
              </c:numCache>
            </c:numRef>
          </c:xVal>
          <c:yVal>
            <c:numRef>
              <c:f>'2000'!$J$14:$J$19</c:f>
              <c:numCache>
                <c:formatCode>0.00</c:formatCode>
                <c:ptCount val="6"/>
                <c:pt idx="0">
                  <c:v>1</c:v>
                </c:pt>
                <c:pt idx="1">
                  <c:v>0.93446947884189702</c:v>
                </c:pt>
                <c:pt idx="2">
                  <c:v>0.73341849760392952</c:v>
                </c:pt>
                <c:pt idx="3">
                  <c:v>0.57859434112286579</c:v>
                </c:pt>
                <c:pt idx="4">
                  <c:v>0.47189790940713361</c:v>
                </c:pt>
                <c:pt idx="5">
                  <c:v>0.3962261617245435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96000"/>
        <c:axId val="-244894912"/>
      </c:scatterChart>
      <c:valAx>
        <c:axId val="-2448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Cmin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94912"/>
        <c:crosses val="autoZero"/>
        <c:crossBetween val="midCat"/>
      </c:valAx>
      <c:valAx>
        <c:axId val="-2448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Efficacité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9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Heat exchanger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'2000'!$I$14:$I$19</c:f>
              <c:numCache>
                <c:formatCode>0.00</c:formatCode>
                <c:ptCount val="6"/>
                <c:pt idx="1">
                  <c:v>3.2984395541129823</c:v>
                </c:pt>
                <c:pt idx="2">
                  <c:v>1.6492197770564911</c:v>
                </c:pt>
                <c:pt idx="3">
                  <c:v>1.0994798513709942</c:v>
                </c:pt>
                <c:pt idx="4">
                  <c:v>0.82460988852824557</c:v>
                </c:pt>
                <c:pt idx="5">
                  <c:v>0.65968791082259659</c:v>
                </c:pt>
              </c:numCache>
            </c:numRef>
          </c:xVal>
          <c:yVal>
            <c:numRef>
              <c:f>'2000'!$F$14:$F$19</c:f>
              <c:numCache>
                <c:formatCode>0.00</c:formatCode>
                <c:ptCount val="6"/>
                <c:pt idx="0">
                  <c:v>1</c:v>
                </c:pt>
                <c:pt idx="1">
                  <c:v>0.87151394422310746</c:v>
                </c:pt>
                <c:pt idx="2">
                  <c:v>0.68476095617529875</c:v>
                </c:pt>
                <c:pt idx="3">
                  <c:v>0.58100929614873842</c:v>
                </c:pt>
                <c:pt idx="4">
                  <c:v>0.51045816733067728</c:v>
                </c:pt>
                <c:pt idx="5">
                  <c:v>0.44820717131474108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'2000'!$I$14:$I$19</c:f>
              <c:numCache>
                <c:formatCode>0.00</c:formatCode>
                <c:ptCount val="6"/>
                <c:pt idx="1">
                  <c:v>3.2984395541129823</c:v>
                </c:pt>
                <c:pt idx="2">
                  <c:v>1.6492197770564911</c:v>
                </c:pt>
                <c:pt idx="3">
                  <c:v>1.0994798513709942</c:v>
                </c:pt>
                <c:pt idx="4">
                  <c:v>0.82460988852824557</c:v>
                </c:pt>
                <c:pt idx="5">
                  <c:v>0.65968791082259659</c:v>
                </c:pt>
              </c:numCache>
            </c:numRef>
          </c:xVal>
          <c:yVal>
            <c:numRef>
              <c:f>'2000'!$J$14:$J$19</c:f>
              <c:numCache>
                <c:formatCode>0.00</c:formatCode>
                <c:ptCount val="6"/>
                <c:pt idx="0">
                  <c:v>1</c:v>
                </c:pt>
                <c:pt idx="1">
                  <c:v>0.93446947884189702</c:v>
                </c:pt>
                <c:pt idx="2">
                  <c:v>0.73341849760392952</c:v>
                </c:pt>
                <c:pt idx="3">
                  <c:v>0.57859434112286579</c:v>
                </c:pt>
                <c:pt idx="4">
                  <c:v>0.47189790940713361</c:v>
                </c:pt>
                <c:pt idx="5">
                  <c:v>0.3962261617245435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'2000'!$I$14:$I$19</c:f>
              <c:numCache>
                <c:formatCode>0.00</c:formatCode>
                <c:ptCount val="6"/>
                <c:pt idx="1">
                  <c:v>3.2984395541129823</c:v>
                </c:pt>
                <c:pt idx="2">
                  <c:v>1.6492197770564911</c:v>
                </c:pt>
                <c:pt idx="3">
                  <c:v>1.0994798513709942</c:v>
                </c:pt>
                <c:pt idx="4">
                  <c:v>0.82460988852824557</c:v>
                </c:pt>
                <c:pt idx="5">
                  <c:v>0.65968791082259659</c:v>
                </c:pt>
              </c:numCache>
            </c:numRef>
          </c:xVal>
          <c:yVal>
            <c:numRef>
              <c:f>'2000'!$J$14:$J$19</c:f>
              <c:numCache>
                <c:formatCode>0.00</c:formatCode>
                <c:ptCount val="6"/>
                <c:pt idx="0">
                  <c:v>1</c:v>
                </c:pt>
                <c:pt idx="1">
                  <c:v>0.93446947884189702</c:v>
                </c:pt>
                <c:pt idx="2">
                  <c:v>0.73341849760392952</c:v>
                </c:pt>
                <c:pt idx="3">
                  <c:v>0.57859434112286579</c:v>
                </c:pt>
                <c:pt idx="4">
                  <c:v>0.47189790940713361</c:v>
                </c:pt>
                <c:pt idx="5">
                  <c:v>0.3962261617245435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94368"/>
        <c:axId val="-244893824"/>
      </c:scatterChart>
      <c:valAx>
        <c:axId val="-24489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93824"/>
        <c:crosses val="autoZero"/>
        <c:crossBetween val="midCat"/>
      </c:valAx>
      <c:valAx>
        <c:axId val="-2448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Efficacité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9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'2110'!$D$14:$D$21</c:f>
              <c:numCache>
                <c:formatCode>0.00</c:formatCode>
                <c:ptCount val="8"/>
                <c:pt idx="0">
                  <c:v>0</c:v>
                </c:pt>
                <c:pt idx="1">
                  <c:v>20.080000000000002</c:v>
                </c:pt>
                <c:pt idx="2">
                  <c:v>40.160000000000004</c:v>
                </c:pt>
                <c:pt idx="3">
                  <c:v>60.239999999999995</c:v>
                </c:pt>
                <c:pt idx="4">
                  <c:v>80.320000000000007</c:v>
                </c:pt>
                <c:pt idx="5">
                  <c:v>100.39999999999999</c:v>
                </c:pt>
                <c:pt idx="6">
                  <c:v>120.47999999999999</c:v>
                </c:pt>
                <c:pt idx="7">
                  <c:v>140.55999999999997</c:v>
                </c:pt>
              </c:numCache>
            </c:numRef>
          </c:xVal>
          <c:yVal>
            <c:numRef>
              <c:f>'2110'!$F$14:$F$21</c:f>
              <c:numCache>
                <c:formatCode>0.00</c:formatCode>
                <c:ptCount val="8"/>
                <c:pt idx="0">
                  <c:v>1</c:v>
                </c:pt>
                <c:pt idx="1">
                  <c:v>0.89641434262948194</c:v>
                </c:pt>
                <c:pt idx="2">
                  <c:v>0.8217131474103585</c:v>
                </c:pt>
                <c:pt idx="3">
                  <c:v>0.71381142098273576</c:v>
                </c:pt>
                <c:pt idx="4">
                  <c:v>0.64741035856573703</c:v>
                </c:pt>
                <c:pt idx="5">
                  <c:v>0.57768924302788849</c:v>
                </c:pt>
                <c:pt idx="6">
                  <c:v>0.53120849933598946</c:v>
                </c:pt>
                <c:pt idx="7">
                  <c:v>0.48377916903813328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'2110'!$D$14:$D$21</c:f>
              <c:numCache>
                <c:formatCode>0.00</c:formatCode>
                <c:ptCount val="8"/>
                <c:pt idx="0">
                  <c:v>0</c:v>
                </c:pt>
                <c:pt idx="1">
                  <c:v>20.080000000000002</c:v>
                </c:pt>
                <c:pt idx="2">
                  <c:v>40.160000000000004</c:v>
                </c:pt>
                <c:pt idx="3">
                  <c:v>60.239999999999995</c:v>
                </c:pt>
                <c:pt idx="4">
                  <c:v>80.320000000000007</c:v>
                </c:pt>
                <c:pt idx="5">
                  <c:v>100.39999999999999</c:v>
                </c:pt>
                <c:pt idx="6">
                  <c:v>120.47999999999999</c:v>
                </c:pt>
                <c:pt idx="7">
                  <c:v>140.55999999999997</c:v>
                </c:pt>
              </c:numCache>
            </c:numRef>
          </c:xVal>
          <c:yVal>
            <c:numRef>
              <c:f>'2110'!$J$14:$J$21</c:f>
              <c:numCache>
                <c:formatCode>0.00</c:formatCode>
                <c:ptCount val="8"/>
                <c:pt idx="0">
                  <c:v>1</c:v>
                </c:pt>
                <c:pt idx="1">
                  <c:v>0.98694646056668556</c:v>
                </c:pt>
                <c:pt idx="2">
                  <c:v>0.88041987214525719</c:v>
                </c:pt>
                <c:pt idx="3">
                  <c:v>0.7524832885029783</c:v>
                </c:pt>
                <c:pt idx="4">
                  <c:v>0.64518516390588387</c:v>
                </c:pt>
                <c:pt idx="5">
                  <c:v>0.56034769692958508</c:v>
                </c:pt>
                <c:pt idx="6">
                  <c:v>0.49326678234838772</c:v>
                </c:pt>
                <c:pt idx="7">
                  <c:v>0.43948956867433797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93280"/>
        <c:axId val="-244890560"/>
      </c:scatterChart>
      <c:valAx>
        <c:axId val="-2448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90560"/>
        <c:crosses val="autoZero"/>
        <c:crossBetween val="midCat"/>
      </c:valAx>
      <c:valAx>
        <c:axId val="-2448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9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Heat exchanger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'2110'!$I$14:$I$21</c:f>
              <c:numCache>
                <c:formatCode>0.00</c:formatCode>
                <c:ptCount val="8"/>
                <c:pt idx="1">
                  <c:v>4.9531974891261559</c:v>
                </c:pt>
                <c:pt idx="2">
                  <c:v>2.4765987445630779</c:v>
                </c:pt>
                <c:pt idx="3">
                  <c:v>1.6510658297087191</c:v>
                </c:pt>
                <c:pt idx="4">
                  <c:v>1.238299372281539</c:v>
                </c:pt>
                <c:pt idx="5">
                  <c:v>0.99063949782523142</c:v>
                </c:pt>
                <c:pt idx="6">
                  <c:v>0.82553291485435953</c:v>
                </c:pt>
                <c:pt idx="7">
                  <c:v>0.70759964130373676</c:v>
                </c:pt>
              </c:numCache>
            </c:numRef>
          </c:xVal>
          <c:yVal>
            <c:numRef>
              <c:f>'2110'!$F$14:$F$21</c:f>
              <c:numCache>
                <c:formatCode>0.00</c:formatCode>
                <c:ptCount val="8"/>
                <c:pt idx="0">
                  <c:v>1</c:v>
                </c:pt>
                <c:pt idx="1">
                  <c:v>0.89641434262948194</c:v>
                </c:pt>
                <c:pt idx="2">
                  <c:v>0.8217131474103585</c:v>
                </c:pt>
                <c:pt idx="3">
                  <c:v>0.71381142098273576</c:v>
                </c:pt>
                <c:pt idx="4">
                  <c:v>0.64741035856573703</c:v>
                </c:pt>
                <c:pt idx="5">
                  <c:v>0.57768924302788849</c:v>
                </c:pt>
                <c:pt idx="6">
                  <c:v>0.53120849933598946</c:v>
                </c:pt>
                <c:pt idx="7">
                  <c:v>0.48377916903813328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'2110'!$I$14:$I$19</c:f>
              <c:numCache>
                <c:formatCode>0.00</c:formatCode>
                <c:ptCount val="6"/>
                <c:pt idx="1">
                  <c:v>4.9531974891261559</c:v>
                </c:pt>
                <c:pt idx="2">
                  <c:v>2.4765987445630779</c:v>
                </c:pt>
                <c:pt idx="3">
                  <c:v>1.6510658297087191</c:v>
                </c:pt>
                <c:pt idx="4">
                  <c:v>1.238299372281539</c:v>
                </c:pt>
                <c:pt idx="5">
                  <c:v>0.99063949782523142</c:v>
                </c:pt>
              </c:numCache>
            </c:numRef>
          </c:xVal>
          <c:yVal>
            <c:numRef>
              <c:f>'2110'!$J$14:$J$19</c:f>
              <c:numCache>
                <c:formatCode>0.00</c:formatCode>
                <c:ptCount val="6"/>
                <c:pt idx="0">
                  <c:v>1</c:v>
                </c:pt>
                <c:pt idx="1">
                  <c:v>0.98694646056668556</c:v>
                </c:pt>
                <c:pt idx="2">
                  <c:v>0.88041987214525719</c:v>
                </c:pt>
                <c:pt idx="3">
                  <c:v>0.7524832885029783</c:v>
                </c:pt>
                <c:pt idx="4">
                  <c:v>0.64518516390588387</c:v>
                </c:pt>
                <c:pt idx="5">
                  <c:v>0.56034769692958508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'2110'!$I$14:$I$21</c:f>
              <c:numCache>
                <c:formatCode>0.00</c:formatCode>
                <c:ptCount val="8"/>
                <c:pt idx="1">
                  <c:v>4.9531974891261559</c:v>
                </c:pt>
                <c:pt idx="2">
                  <c:v>2.4765987445630779</c:v>
                </c:pt>
                <c:pt idx="3">
                  <c:v>1.6510658297087191</c:v>
                </c:pt>
                <c:pt idx="4">
                  <c:v>1.238299372281539</c:v>
                </c:pt>
                <c:pt idx="5">
                  <c:v>0.99063949782523142</c:v>
                </c:pt>
                <c:pt idx="6">
                  <c:v>0.82553291485435953</c:v>
                </c:pt>
                <c:pt idx="7">
                  <c:v>0.70759964130373676</c:v>
                </c:pt>
              </c:numCache>
            </c:numRef>
          </c:xVal>
          <c:yVal>
            <c:numRef>
              <c:f>'2110'!$J$14:$J$21</c:f>
              <c:numCache>
                <c:formatCode>0.00</c:formatCode>
                <c:ptCount val="8"/>
                <c:pt idx="0">
                  <c:v>1</c:v>
                </c:pt>
                <c:pt idx="1">
                  <c:v>0.98694646056668556</c:v>
                </c:pt>
                <c:pt idx="2">
                  <c:v>0.88041987214525719</c:v>
                </c:pt>
                <c:pt idx="3">
                  <c:v>0.7524832885029783</c:v>
                </c:pt>
                <c:pt idx="4">
                  <c:v>0.64518516390588387</c:v>
                </c:pt>
                <c:pt idx="5">
                  <c:v>0.56034769692958508</c:v>
                </c:pt>
                <c:pt idx="6">
                  <c:v>0.49326678234838772</c:v>
                </c:pt>
                <c:pt idx="7">
                  <c:v>0.43948956867433797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87840"/>
        <c:axId val="-244884576"/>
      </c:scatterChart>
      <c:valAx>
        <c:axId val="-24488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84576"/>
        <c:crosses val="autoZero"/>
        <c:crossBetween val="midCat"/>
      </c:valAx>
      <c:valAx>
        <c:axId val="-2448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8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Data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'3000'!$D$14:$D$19</c:f>
              <c:numCache>
                <c:formatCode>0.00</c:formatCode>
                <c:ptCount val="6"/>
                <c:pt idx="0">
                  <c:v>0</c:v>
                </c:pt>
                <c:pt idx="1">
                  <c:v>40.160000000000004</c:v>
                </c:pt>
                <c:pt idx="2">
                  <c:v>80.320000000000007</c:v>
                </c:pt>
                <c:pt idx="3">
                  <c:v>120.47999999999999</c:v>
                </c:pt>
                <c:pt idx="4">
                  <c:v>160.64000000000001</c:v>
                </c:pt>
                <c:pt idx="5">
                  <c:v>200.79999999999998</c:v>
                </c:pt>
              </c:numCache>
            </c:numRef>
          </c:xVal>
          <c:yVal>
            <c:numRef>
              <c:f>'3000'!$F$14:$F$19</c:f>
              <c:numCache>
                <c:formatCode>0.00</c:formatCode>
                <c:ptCount val="6"/>
                <c:pt idx="0">
                  <c:v>1</c:v>
                </c:pt>
                <c:pt idx="1">
                  <c:v>0.93376494023904377</c:v>
                </c:pt>
                <c:pt idx="2">
                  <c:v>0.77813745019920311</c:v>
                </c:pt>
                <c:pt idx="3">
                  <c:v>0.68061088977423645</c:v>
                </c:pt>
                <c:pt idx="4">
                  <c:v>0.5913844621513944</c:v>
                </c:pt>
                <c:pt idx="5">
                  <c:v>0.52290836653386463</c:v>
                </c:pt>
              </c:numCache>
            </c:numRef>
          </c:yVal>
          <c:smooth val="0"/>
        </c:ser>
        <c:ser>
          <c:idx val="3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'3000'!$D$14:$D$19</c:f>
              <c:numCache>
                <c:formatCode>0.00</c:formatCode>
                <c:ptCount val="6"/>
                <c:pt idx="0">
                  <c:v>0</c:v>
                </c:pt>
                <c:pt idx="1">
                  <c:v>40.160000000000004</c:v>
                </c:pt>
                <c:pt idx="2">
                  <c:v>80.320000000000007</c:v>
                </c:pt>
                <c:pt idx="3">
                  <c:v>120.47999999999999</c:v>
                </c:pt>
                <c:pt idx="4">
                  <c:v>160.64000000000001</c:v>
                </c:pt>
                <c:pt idx="5">
                  <c:v>200.79999999999998</c:v>
                </c:pt>
              </c:numCache>
            </c:numRef>
          </c:xVal>
          <c:yVal>
            <c:numRef>
              <c:f>'3000'!$J$14:$J$19</c:f>
              <c:numCache>
                <c:formatCode>0.00</c:formatCode>
                <c:ptCount val="6"/>
                <c:pt idx="0">
                  <c:v>1</c:v>
                </c:pt>
                <c:pt idx="1">
                  <c:v>0.97705336586494518</c:v>
                </c:pt>
                <c:pt idx="2">
                  <c:v>0.83692451591612249</c:v>
                </c:pt>
                <c:pt idx="3">
                  <c:v>0.69212468201188049</c:v>
                </c:pt>
                <c:pt idx="4">
                  <c:v>0.57950722837768098</c:v>
                </c:pt>
                <c:pt idx="5">
                  <c:v>0.49441773725766036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90016"/>
        <c:axId val="-244881312"/>
      </c:scatterChart>
      <c:valAx>
        <c:axId val="-2448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Cmin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81312"/>
        <c:crosses val="autoZero"/>
        <c:crossBetween val="midCat"/>
      </c:valAx>
      <c:valAx>
        <c:axId val="-2448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Efficacité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9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Bilan!$D$7:$D$14</c:f>
              <c:numCache>
                <c:formatCode>0.00</c:formatCode>
                <c:ptCount val="8"/>
                <c:pt idx="0">
                  <c:v>13.1</c:v>
                </c:pt>
                <c:pt idx="1">
                  <c:v>24.42</c:v>
                </c:pt>
                <c:pt idx="2">
                  <c:v>48.77</c:v>
                </c:pt>
                <c:pt idx="3">
                  <c:v>69.917000000000002</c:v>
                </c:pt>
                <c:pt idx="4">
                  <c:v>132.465</c:v>
                </c:pt>
                <c:pt idx="5">
                  <c:v>99.46</c:v>
                </c:pt>
                <c:pt idx="6">
                  <c:v>195.76</c:v>
                </c:pt>
                <c:pt idx="7">
                  <c:v>500</c:v>
                </c:pt>
              </c:numCache>
            </c:numRef>
          </c:xVal>
          <c:yVal>
            <c:numRef>
              <c:f>Bilan!$H$7:$H$14</c:f>
              <c:numCache>
                <c:formatCode>0.00</c:formatCode>
                <c:ptCount val="8"/>
                <c:pt idx="0">
                  <c:v>1.18</c:v>
                </c:pt>
                <c:pt idx="1">
                  <c:v>1.1499999999999999</c:v>
                </c:pt>
                <c:pt idx="2">
                  <c:v>2.31</c:v>
                </c:pt>
                <c:pt idx="3">
                  <c:v>2.99</c:v>
                </c:pt>
                <c:pt idx="4">
                  <c:v>4.99</c:v>
                </c:pt>
                <c:pt idx="5">
                  <c:v>7.03</c:v>
                </c:pt>
                <c:pt idx="6">
                  <c:v>8.2100000000000009</c:v>
                </c:pt>
                <c:pt idx="7">
                  <c:v>16.420000000000002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670880"/>
        <c:axId val="-677670336"/>
      </c:scatterChart>
      <c:valAx>
        <c:axId val="-6776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UA (W/K)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70336"/>
        <c:crosses val="autoZero"/>
        <c:crossBetween val="midCat"/>
      </c:valAx>
      <c:valAx>
        <c:axId val="-6776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Masse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Heat exchanger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'3000'!$I$14:$I$19</c:f>
              <c:numCache>
                <c:formatCode>0.00</c:formatCode>
                <c:ptCount val="6"/>
                <c:pt idx="1">
                  <c:v>4.8746915197340899</c:v>
                </c:pt>
                <c:pt idx="2">
                  <c:v>2.4373457598670449</c:v>
                </c:pt>
                <c:pt idx="3">
                  <c:v>1.6248971732446968</c:v>
                </c:pt>
                <c:pt idx="4">
                  <c:v>1.2186728799335225</c:v>
                </c:pt>
                <c:pt idx="5">
                  <c:v>0.97493830394681802</c:v>
                </c:pt>
              </c:numCache>
            </c:numRef>
          </c:xVal>
          <c:yVal>
            <c:numRef>
              <c:f>'3000'!$F$14:$F$19</c:f>
              <c:numCache>
                <c:formatCode>0.00</c:formatCode>
                <c:ptCount val="6"/>
                <c:pt idx="0">
                  <c:v>1</c:v>
                </c:pt>
                <c:pt idx="1">
                  <c:v>0.93376494023904377</c:v>
                </c:pt>
                <c:pt idx="2">
                  <c:v>0.77813745019920311</c:v>
                </c:pt>
                <c:pt idx="3">
                  <c:v>0.68061088977423645</c:v>
                </c:pt>
                <c:pt idx="4">
                  <c:v>0.5913844621513944</c:v>
                </c:pt>
                <c:pt idx="5">
                  <c:v>0.52290836653386463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'3000'!$I$14:$I$19</c:f>
              <c:numCache>
                <c:formatCode>0.00</c:formatCode>
                <c:ptCount val="6"/>
                <c:pt idx="1">
                  <c:v>4.8746915197340899</c:v>
                </c:pt>
                <c:pt idx="2">
                  <c:v>2.4373457598670449</c:v>
                </c:pt>
                <c:pt idx="3">
                  <c:v>1.6248971732446968</c:v>
                </c:pt>
                <c:pt idx="4">
                  <c:v>1.2186728799335225</c:v>
                </c:pt>
                <c:pt idx="5">
                  <c:v>0.97493830394681802</c:v>
                </c:pt>
              </c:numCache>
            </c:numRef>
          </c:xVal>
          <c:yVal>
            <c:numRef>
              <c:f>'3000'!$J$14:$J$19</c:f>
              <c:numCache>
                <c:formatCode>0.00</c:formatCode>
                <c:ptCount val="6"/>
                <c:pt idx="0">
                  <c:v>1</c:v>
                </c:pt>
                <c:pt idx="1">
                  <c:v>0.97705336586494518</c:v>
                </c:pt>
                <c:pt idx="2">
                  <c:v>0.83692451591612249</c:v>
                </c:pt>
                <c:pt idx="3">
                  <c:v>0.69212468201188049</c:v>
                </c:pt>
                <c:pt idx="4">
                  <c:v>0.57950722837768098</c:v>
                </c:pt>
                <c:pt idx="5">
                  <c:v>0.49441773725766036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'3000'!$I$14:$I$19</c:f>
              <c:numCache>
                <c:formatCode>0.00</c:formatCode>
                <c:ptCount val="6"/>
                <c:pt idx="1">
                  <c:v>4.8746915197340899</c:v>
                </c:pt>
                <c:pt idx="2">
                  <c:v>2.4373457598670449</c:v>
                </c:pt>
                <c:pt idx="3">
                  <c:v>1.6248971732446968</c:v>
                </c:pt>
                <c:pt idx="4">
                  <c:v>1.2186728799335225</c:v>
                </c:pt>
                <c:pt idx="5">
                  <c:v>0.97493830394681802</c:v>
                </c:pt>
              </c:numCache>
            </c:numRef>
          </c:xVal>
          <c:yVal>
            <c:numRef>
              <c:f>'3000'!$J$14:$J$19</c:f>
              <c:numCache>
                <c:formatCode>0.00</c:formatCode>
                <c:ptCount val="6"/>
                <c:pt idx="0">
                  <c:v>1</c:v>
                </c:pt>
                <c:pt idx="1">
                  <c:v>0.97705336586494518</c:v>
                </c:pt>
                <c:pt idx="2">
                  <c:v>0.83692451591612249</c:v>
                </c:pt>
                <c:pt idx="3">
                  <c:v>0.69212468201188049</c:v>
                </c:pt>
                <c:pt idx="4">
                  <c:v>0.57950722837768098</c:v>
                </c:pt>
                <c:pt idx="5">
                  <c:v>0.49441773725766036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84032"/>
        <c:axId val="-244892736"/>
      </c:scatterChart>
      <c:valAx>
        <c:axId val="-24488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92736"/>
        <c:crosses val="autoZero"/>
        <c:crossBetween val="midCat"/>
      </c:valAx>
      <c:valAx>
        <c:axId val="-2448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Efficacité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8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'7600'!$D$14:$D$21</c:f>
              <c:numCache>
                <c:formatCode>0.00</c:formatCode>
                <c:ptCount val="8"/>
                <c:pt idx="0">
                  <c:v>0</c:v>
                </c:pt>
                <c:pt idx="1">
                  <c:v>100.39999999999999</c:v>
                </c:pt>
                <c:pt idx="2">
                  <c:v>200.79999999999998</c:v>
                </c:pt>
                <c:pt idx="3">
                  <c:v>301.2</c:v>
                </c:pt>
                <c:pt idx="4">
                  <c:v>401.59999999999997</c:v>
                </c:pt>
                <c:pt idx="5">
                  <c:v>502</c:v>
                </c:pt>
                <c:pt idx="6">
                  <c:v>602.4</c:v>
                </c:pt>
                <c:pt idx="7">
                  <c:v>702.80000000000007</c:v>
                </c:pt>
              </c:numCache>
            </c:numRef>
          </c:xVal>
          <c:yVal>
            <c:numRef>
              <c:f>'7600'!$F$14:$F$21</c:f>
              <c:numCache>
                <c:formatCode>0.00</c:formatCode>
                <c:ptCount val="8"/>
                <c:pt idx="0">
                  <c:v>1</c:v>
                </c:pt>
                <c:pt idx="1">
                  <c:v>0.99601593625498019</c:v>
                </c:pt>
                <c:pt idx="2">
                  <c:v>0.77191235059760965</c:v>
                </c:pt>
                <c:pt idx="3">
                  <c:v>0.64741035856573703</c:v>
                </c:pt>
                <c:pt idx="4">
                  <c:v>0.56025896414342635</c:v>
                </c:pt>
                <c:pt idx="5">
                  <c:v>0.48804780876494025</c:v>
                </c:pt>
                <c:pt idx="6">
                  <c:v>0.43160690571049137</c:v>
                </c:pt>
                <c:pt idx="7">
                  <c:v>0.39840637450199201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'7600'!$D$14:$D$21</c:f>
              <c:numCache>
                <c:formatCode>0.00</c:formatCode>
                <c:ptCount val="8"/>
                <c:pt idx="0">
                  <c:v>0</c:v>
                </c:pt>
                <c:pt idx="1">
                  <c:v>100.39999999999999</c:v>
                </c:pt>
                <c:pt idx="2">
                  <c:v>200.79999999999998</c:v>
                </c:pt>
                <c:pt idx="3">
                  <c:v>301.2</c:v>
                </c:pt>
                <c:pt idx="4">
                  <c:v>401.59999999999997</c:v>
                </c:pt>
                <c:pt idx="5">
                  <c:v>502</c:v>
                </c:pt>
                <c:pt idx="6">
                  <c:v>602.4</c:v>
                </c:pt>
                <c:pt idx="7">
                  <c:v>702.80000000000007</c:v>
                </c:pt>
              </c:numCache>
            </c:numRef>
          </c:xVal>
          <c:yVal>
            <c:numRef>
              <c:f>'7600'!$J$14:$J$21</c:f>
              <c:numCache>
                <c:formatCode>0.00</c:formatCode>
                <c:ptCount val="8"/>
                <c:pt idx="0">
                  <c:v>1</c:v>
                </c:pt>
                <c:pt idx="1">
                  <c:v>0.97342014449305148</c:v>
                </c:pt>
                <c:pt idx="2">
                  <c:v>0.82229755293052942</c:v>
                </c:pt>
                <c:pt idx="3">
                  <c:v>0.67240565154012211</c:v>
                </c:pt>
                <c:pt idx="4">
                  <c:v>0.55835047042225017</c:v>
                </c:pt>
                <c:pt idx="5">
                  <c:v>0.47335522930717111</c:v>
                </c:pt>
                <c:pt idx="6">
                  <c:v>0.4088252726225764</c:v>
                </c:pt>
                <c:pt idx="7">
                  <c:v>0.35862671215669129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86752"/>
        <c:axId val="-244882944"/>
      </c:scatterChart>
      <c:valAx>
        <c:axId val="-2448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82944"/>
        <c:crosses val="autoZero"/>
        <c:crossBetween val="midCat"/>
      </c:valAx>
      <c:valAx>
        <c:axId val="-2448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8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Heat exchanger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'7600'!$I$14:$I$21</c:f>
              <c:numCache>
                <c:formatCode>0.00</c:formatCode>
                <c:ptCount val="8"/>
                <c:pt idx="1">
                  <c:v>4.9807771126848186</c:v>
                </c:pt>
                <c:pt idx="2">
                  <c:v>2.4903885563424093</c:v>
                </c:pt>
                <c:pt idx="3">
                  <c:v>1.6602590375616062</c:v>
                </c:pt>
                <c:pt idx="4">
                  <c:v>1.2451942781712046</c:v>
                </c:pt>
                <c:pt idx="5">
                  <c:v>0.99615542253696365</c:v>
                </c:pt>
                <c:pt idx="6">
                  <c:v>0.8301295187808031</c:v>
                </c:pt>
                <c:pt idx="7">
                  <c:v>0.71153958752640256</c:v>
                </c:pt>
              </c:numCache>
            </c:numRef>
          </c:xVal>
          <c:yVal>
            <c:numRef>
              <c:f>'7600'!$F$14:$F$21</c:f>
              <c:numCache>
                <c:formatCode>0.00</c:formatCode>
                <c:ptCount val="8"/>
                <c:pt idx="0">
                  <c:v>1</c:v>
                </c:pt>
                <c:pt idx="1">
                  <c:v>0.99601593625498019</c:v>
                </c:pt>
                <c:pt idx="2">
                  <c:v>0.77191235059760965</c:v>
                </c:pt>
                <c:pt idx="3">
                  <c:v>0.64741035856573703</c:v>
                </c:pt>
                <c:pt idx="4">
                  <c:v>0.56025896414342635</c:v>
                </c:pt>
                <c:pt idx="5">
                  <c:v>0.48804780876494025</c:v>
                </c:pt>
                <c:pt idx="6">
                  <c:v>0.43160690571049137</c:v>
                </c:pt>
                <c:pt idx="7">
                  <c:v>0.39840637450199201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'7600'!$I$14:$I$19</c:f>
              <c:numCache>
                <c:formatCode>0.00</c:formatCode>
                <c:ptCount val="6"/>
                <c:pt idx="1">
                  <c:v>4.9807771126848186</c:v>
                </c:pt>
                <c:pt idx="2">
                  <c:v>2.4903885563424093</c:v>
                </c:pt>
                <c:pt idx="3">
                  <c:v>1.6602590375616062</c:v>
                </c:pt>
                <c:pt idx="4">
                  <c:v>1.2451942781712046</c:v>
                </c:pt>
                <c:pt idx="5">
                  <c:v>0.99615542253696365</c:v>
                </c:pt>
              </c:numCache>
            </c:numRef>
          </c:xVal>
          <c:yVal>
            <c:numRef>
              <c:f>'7600'!$J$14:$J$19</c:f>
              <c:numCache>
                <c:formatCode>0.00</c:formatCode>
                <c:ptCount val="6"/>
                <c:pt idx="0">
                  <c:v>1</c:v>
                </c:pt>
                <c:pt idx="1">
                  <c:v>0.97342014449305148</c:v>
                </c:pt>
                <c:pt idx="2">
                  <c:v>0.82229755293052942</c:v>
                </c:pt>
                <c:pt idx="3">
                  <c:v>0.67240565154012211</c:v>
                </c:pt>
                <c:pt idx="4">
                  <c:v>0.55835047042225017</c:v>
                </c:pt>
                <c:pt idx="5">
                  <c:v>0.47335522930717111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'7600'!$I$14:$I$21</c:f>
              <c:numCache>
                <c:formatCode>0.00</c:formatCode>
                <c:ptCount val="8"/>
                <c:pt idx="1">
                  <c:v>4.9807771126848186</c:v>
                </c:pt>
                <c:pt idx="2">
                  <c:v>2.4903885563424093</c:v>
                </c:pt>
                <c:pt idx="3">
                  <c:v>1.6602590375616062</c:v>
                </c:pt>
                <c:pt idx="4">
                  <c:v>1.2451942781712046</c:v>
                </c:pt>
                <c:pt idx="5">
                  <c:v>0.99615542253696365</c:v>
                </c:pt>
                <c:pt idx="6">
                  <c:v>0.8301295187808031</c:v>
                </c:pt>
                <c:pt idx="7">
                  <c:v>0.71153958752640256</c:v>
                </c:pt>
              </c:numCache>
            </c:numRef>
          </c:xVal>
          <c:yVal>
            <c:numRef>
              <c:f>'7600'!$J$14:$J$21</c:f>
              <c:numCache>
                <c:formatCode>0.00</c:formatCode>
                <c:ptCount val="8"/>
                <c:pt idx="0">
                  <c:v>1</c:v>
                </c:pt>
                <c:pt idx="1">
                  <c:v>0.97342014449305148</c:v>
                </c:pt>
                <c:pt idx="2">
                  <c:v>0.82229755293052942</c:v>
                </c:pt>
                <c:pt idx="3">
                  <c:v>0.67240565154012211</c:v>
                </c:pt>
                <c:pt idx="4">
                  <c:v>0.55835047042225017</c:v>
                </c:pt>
                <c:pt idx="5">
                  <c:v>0.47335522930717111</c:v>
                </c:pt>
                <c:pt idx="6">
                  <c:v>0.4088252726225764</c:v>
                </c:pt>
                <c:pt idx="7">
                  <c:v>0.35862671215669129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82400"/>
        <c:axId val="-244891648"/>
      </c:scatterChart>
      <c:valAx>
        <c:axId val="-24488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91648"/>
        <c:crosses val="autoZero"/>
        <c:crossBetween val="midCat"/>
      </c:valAx>
      <c:valAx>
        <c:axId val="-244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4488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Bilan!$B$34:$B$41</c:f>
              <c:numCache>
                <c:formatCode>0.00</c:formatCode>
                <c:ptCount val="8"/>
                <c:pt idx="0">
                  <c:v>16.283445760049336</c:v>
                </c:pt>
                <c:pt idx="1">
                  <c:v>22.544759321583292</c:v>
                </c:pt>
                <c:pt idx="2">
                  <c:v>43.612429484921641</c:v>
                </c:pt>
                <c:pt idx="3">
                  <c:v>74.03389816198208</c:v>
                </c:pt>
                <c:pt idx="4">
                  <c:v>153.45201574350503</c:v>
                </c:pt>
                <c:pt idx="5">
                  <c:v>79.265327346269515</c:v>
                </c:pt>
                <c:pt idx="6">
                  <c:v>180.36907197096946</c:v>
                </c:pt>
                <c:pt idx="7">
                  <c:v>540.93529211707073</c:v>
                </c:pt>
              </c:numCache>
            </c:numRef>
          </c:xVal>
          <c:yVal>
            <c:numRef>
              <c:f>Bilan!$C$34:$C$41</c:f>
              <c:numCache>
                <c:formatCode>0.00</c:formatCode>
                <c:ptCount val="8"/>
                <c:pt idx="0">
                  <c:v>13.1</c:v>
                </c:pt>
                <c:pt idx="1">
                  <c:v>24.42</c:v>
                </c:pt>
                <c:pt idx="2">
                  <c:v>48.77</c:v>
                </c:pt>
                <c:pt idx="3">
                  <c:v>69.917000000000002</c:v>
                </c:pt>
                <c:pt idx="4">
                  <c:v>132.465</c:v>
                </c:pt>
                <c:pt idx="5">
                  <c:v>99.46</c:v>
                </c:pt>
                <c:pt idx="6">
                  <c:v>195.76</c:v>
                </c:pt>
                <c:pt idx="7">
                  <c:v>500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Bilan!$C$34:$C$41</c:f>
              <c:numCache>
                <c:formatCode>0.00</c:formatCode>
                <c:ptCount val="8"/>
                <c:pt idx="0">
                  <c:v>13.1</c:v>
                </c:pt>
                <c:pt idx="1">
                  <c:v>24.42</c:v>
                </c:pt>
                <c:pt idx="2">
                  <c:v>48.77</c:v>
                </c:pt>
                <c:pt idx="3">
                  <c:v>69.917000000000002</c:v>
                </c:pt>
                <c:pt idx="4">
                  <c:v>132.465</c:v>
                </c:pt>
                <c:pt idx="5">
                  <c:v>99.46</c:v>
                </c:pt>
                <c:pt idx="6">
                  <c:v>195.76</c:v>
                </c:pt>
                <c:pt idx="7">
                  <c:v>500</c:v>
                </c:pt>
              </c:numCache>
            </c:numRef>
          </c:xVal>
          <c:yVal>
            <c:numRef>
              <c:f>Bilan!$C$34:$C$41</c:f>
              <c:numCache>
                <c:formatCode>0.00</c:formatCode>
                <c:ptCount val="8"/>
                <c:pt idx="0">
                  <c:v>13.1</c:v>
                </c:pt>
                <c:pt idx="1">
                  <c:v>24.42</c:v>
                </c:pt>
                <c:pt idx="2">
                  <c:v>48.77</c:v>
                </c:pt>
                <c:pt idx="3">
                  <c:v>69.917000000000002</c:v>
                </c:pt>
                <c:pt idx="4">
                  <c:v>132.465</c:v>
                </c:pt>
                <c:pt idx="5">
                  <c:v>99.46</c:v>
                </c:pt>
                <c:pt idx="6">
                  <c:v>195.76</c:v>
                </c:pt>
                <c:pt idx="7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667616"/>
        <c:axId val="-677668160"/>
      </c:scatterChart>
      <c:valAx>
        <c:axId val="-6776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8160"/>
        <c:crosses val="autoZero"/>
        <c:crossBetween val="midCat"/>
      </c:valAx>
      <c:valAx>
        <c:axId val="-6776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1573993875765535"/>
                  <c:y val="6.57177748614756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Bilan!$I$34:$I$41</c:f>
              <c:numCache>
                <c:formatCode>0.00</c:formatCode>
                <c:ptCount val="8"/>
                <c:pt idx="0">
                  <c:v>3.3000000000000002E-2</c:v>
                </c:pt>
                <c:pt idx="1">
                  <c:v>4.8000000000000001E-2</c:v>
                </c:pt>
                <c:pt idx="2">
                  <c:v>4.5999999999999999E-2</c:v>
                </c:pt>
                <c:pt idx="3">
                  <c:v>6.4000000000000001E-2</c:v>
                </c:pt>
                <c:pt idx="4">
                  <c:v>6.4000000000000001E-2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8.8999999999999996E-2</c:v>
                </c:pt>
              </c:numCache>
            </c:numRef>
          </c:xVal>
          <c:yVal>
            <c:numRef>
              <c:f>Bilan!$E$34:$E$41</c:f>
              <c:numCache>
                <c:formatCode>General</c:formatCode>
                <c:ptCount val="8"/>
                <c:pt idx="0">
                  <c:v>11250</c:v>
                </c:pt>
                <c:pt idx="1">
                  <c:v>29999.999999999993</c:v>
                </c:pt>
                <c:pt idx="2">
                  <c:v>11250</c:v>
                </c:pt>
                <c:pt idx="3">
                  <c:v>4591.8367346938776</c:v>
                </c:pt>
                <c:pt idx="4">
                  <c:v>1434.9489795918371</c:v>
                </c:pt>
                <c:pt idx="5">
                  <c:v>1797.9997253055978</c:v>
                </c:pt>
                <c:pt idx="6">
                  <c:v>459.18367346938771</c:v>
                </c:pt>
                <c:pt idx="7">
                  <c:v>337.12494849479958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669792"/>
        <c:axId val="-677663264"/>
      </c:scatterChart>
      <c:valAx>
        <c:axId val="-6776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3264"/>
        <c:crosses val="autoZero"/>
        <c:crossBetween val="midCat"/>
      </c:valAx>
      <c:valAx>
        <c:axId val="-6776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Bilan!$S$7:$S$14</c:f>
              <c:numCache>
                <c:formatCode>0.00E+00</c:formatCode>
                <c:ptCount val="8"/>
                <c:pt idx="0">
                  <c:v>1.5830800405268488</c:v>
                </c:pt>
                <c:pt idx="1">
                  <c:v>4.7401939499203936</c:v>
                </c:pt>
                <c:pt idx="2">
                  <c:v>4.4985736229975863</c:v>
                </c:pt>
                <c:pt idx="3">
                  <c:v>4.1782123634464448</c:v>
                </c:pt>
                <c:pt idx="4">
                  <c:v>4.3235764624497381</c:v>
                </c:pt>
                <c:pt idx="5">
                  <c:v>4.8780487804878048</c:v>
                </c:pt>
                <c:pt idx="6">
                  <c:v>4.7061447529831604</c:v>
                </c:pt>
                <c:pt idx="7">
                  <c:v>4.4059903205186748</c:v>
                </c:pt>
              </c:numCache>
            </c:numRef>
          </c:xVal>
          <c:yVal>
            <c:numRef>
              <c:f>Bilan!$N$7</c:f>
              <c:numCache>
                <c:formatCode>0.00E+00</c:formatCode>
                <c:ptCount val="1"/>
                <c:pt idx="0">
                  <c:v>623268698060.94177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Bilan!$S$7:$S$14</c:f>
              <c:numCache>
                <c:formatCode>0.00E+00</c:formatCode>
                <c:ptCount val="8"/>
                <c:pt idx="0">
                  <c:v>1.5830800405268488</c:v>
                </c:pt>
                <c:pt idx="1">
                  <c:v>4.7401939499203936</c:v>
                </c:pt>
                <c:pt idx="2">
                  <c:v>4.4985736229975863</c:v>
                </c:pt>
                <c:pt idx="3">
                  <c:v>4.1782123634464448</c:v>
                </c:pt>
                <c:pt idx="4">
                  <c:v>4.3235764624497381</c:v>
                </c:pt>
                <c:pt idx="5">
                  <c:v>4.8780487804878048</c:v>
                </c:pt>
                <c:pt idx="6">
                  <c:v>4.7061447529831604</c:v>
                </c:pt>
                <c:pt idx="7">
                  <c:v>4.4059903205186748</c:v>
                </c:pt>
              </c:numCache>
            </c:numRef>
          </c:xVal>
          <c:yVal>
            <c:numRef>
              <c:f>Bilan!$N$7:$N$14</c:f>
              <c:numCache>
                <c:formatCode>0.00E+00</c:formatCode>
                <c:ptCount val="8"/>
                <c:pt idx="0">
                  <c:v>623268698060.94177</c:v>
                </c:pt>
                <c:pt idx="1">
                  <c:v>2077562326869.8057</c:v>
                </c:pt>
                <c:pt idx="2">
                  <c:v>2493074792243.7671</c:v>
                </c:pt>
                <c:pt idx="3">
                  <c:v>3739612188365.6509</c:v>
                </c:pt>
                <c:pt idx="4">
                  <c:v>6232686980609.418</c:v>
                </c:pt>
                <c:pt idx="5">
                  <c:v>947326871628.43762</c:v>
                </c:pt>
                <c:pt idx="6">
                  <c:v>1420990307442.6565</c:v>
                </c:pt>
                <c:pt idx="7">
                  <c:v>50390526581.002769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669248"/>
        <c:axId val="-677667072"/>
      </c:scatterChart>
      <c:valAx>
        <c:axId val="-6776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7072"/>
        <c:crosses val="autoZero"/>
        <c:crossBetween val="midCat"/>
      </c:valAx>
      <c:valAx>
        <c:axId val="-6776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Bilan!$D$7:$D$14</c:f>
              <c:numCache>
                <c:formatCode>0.00</c:formatCode>
                <c:ptCount val="8"/>
                <c:pt idx="0">
                  <c:v>13.1</c:v>
                </c:pt>
                <c:pt idx="1">
                  <c:v>24.42</c:v>
                </c:pt>
                <c:pt idx="2">
                  <c:v>48.77</c:v>
                </c:pt>
                <c:pt idx="3">
                  <c:v>69.917000000000002</c:v>
                </c:pt>
                <c:pt idx="4">
                  <c:v>132.465</c:v>
                </c:pt>
                <c:pt idx="5">
                  <c:v>99.46</c:v>
                </c:pt>
                <c:pt idx="6">
                  <c:v>195.76</c:v>
                </c:pt>
                <c:pt idx="7">
                  <c:v>500</c:v>
                </c:pt>
              </c:numCache>
            </c:numRef>
          </c:xVal>
          <c:yVal>
            <c:numRef>
              <c:f>Bilan!$O$7:$O$14</c:f>
              <c:numCache>
                <c:formatCode>0.00E+00</c:formatCode>
                <c:ptCount val="8"/>
                <c:pt idx="0">
                  <c:v>0.05</c:v>
                </c:pt>
                <c:pt idx="1">
                  <c:v>0.13100000000000001</c:v>
                </c:pt>
                <c:pt idx="2">
                  <c:v>0.20499999999999999</c:v>
                </c:pt>
                <c:pt idx="3">
                  <c:v>0.28799999999999998</c:v>
                </c:pt>
                <c:pt idx="4">
                  <c:v>0.5</c:v>
                </c:pt>
                <c:pt idx="5">
                  <c:v>0.48799999999999999</c:v>
                </c:pt>
                <c:pt idx="6">
                  <c:v>0.84399999999999997</c:v>
                </c:pt>
                <c:pt idx="7">
                  <c:v>1.7370000000000001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30064"/>
        <c:axId val="-2141422448"/>
      </c:scatterChart>
      <c:valAx>
        <c:axId val="-21414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UA (W/K)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1422448"/>
        <c:crosses val="autoZero"/>
        <c:crossBetween val="midCat"/>
      </c:valAx>
      <c:valAx>
        <c:axId val="-21414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 (l)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143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Data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'360'!$D$14:$D$19</c:f>
              <c:numCache>
                <c:formatCode>0.00</c:formatCode>
                <c:ptCount val="6"/>
                <c:pt idx="0">
                  <c:v>0</c:v>
                </c:pt>
                <c:pt idx="1">
                  <c:v>10.040000000000001</c:v>
                </c:pt>
                <c:pt idx="2">
                  <c:v>20.080000000000002</c:v>
                </c:pt>
                <c:pt idx="3">
                  <c:v>30.119999999999997</c:v>
                </c:pt>
                <c:pt idx="4">
                  <c:v>40.160000000000004</c:v>
                </c:pt>
                <c:pt idx="5">
                  <c:v>50.199999999999996</c:v>
                </c:pt>
              </c:numCache>
            </c:numRef>
          </c:xVal>
          <c:yVal>
            <c:numRef>
              <c:f>'360'!$F$14:$F$19</c:f>
              <c:numCache>
                <c:formatCode>0.00</c:formatCode>
                <c:ptCount val="6"/>
                <c:pt idx="0">
                  <c:v>1</c:v>
                </c:pt>
                <c:pt idx="1">
                  <c:v>0.59760956175298796</c:v>
                </c:pt>
                <c:pt idx="2">
                  <c:v>0.47310756972111551</c:v>
                </c:pt>
                <c:pt idx="3">
                  <c:v>0.38180610889774241</c:v>
                </c:pt>
                <c:pt idx="4">
                  <c:v>0.31872509960159362</c:v>
                </c:pt>
                <c:pt idx="5">
                  <c:v>0.27888446215139445</c:v>
                </c:pt>
              </c:numCache>
            </c:numRef>
          </c:yVal>
          <c:smooth val="0"/>
        </c:ser>
        <c:ser>
          <c:idx val="3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'360'!$D$14:$D$19</c:f>
              <c:numCache>
                <c:formatCode>0.00</c:formatCode>
                <c:ptCount val="6"/>
                <c:pt idx="0">
                  <c:v>0</c:v>
                </c:pt>
                <c:pt idx="1">
                  <c:v>10.040000000000001</c:v>
                </c:pt>
                <c:pt idx="2">
                  <c:v>20.080000000000002</c:v>
                </c:pt>
                <c:pt idx="3">
                  <c:v>30.119999999999997</c:v>
                </c:pt>
                <c:pt idx="4">
                  <c:v>40.160000000000004</c:v>
                </c:pt>
                <c:pt idx="5">
                  <c:v>50.199999999999996</c:v>
                </c:pt>
              </c:numCache>
            </c:numRef>
          </c:xVal>
          <c:yVal>
            <c:numRef>
              <c:f>'360'!$J$14:$J$19</c:f>
              <c:numCache>
                <c:formatCode>0.00</c:formatCode>
                <c:ptCount val="6"/>
                <c:pt idx="0">
                  <c:v>1</c:v>
                </c:pt>
                <c:pt idx="1">
                  <c:v>0.71142936514170385</c:v>
                </c:pt>
                <c:pt idx="2">
                  <c:v>0.46015825653301934</c:v>
                </c:pt>
                <c:pt idx="3">
                  <c:v>0.33557805628732229</c:v>
                </c:pt>
                <c:pt idx="4">
                  <c:v>0.26317327192316531</c:v>
                </c:pt>
                <c:pt idx="5">
                  <c:v>0.21613725751445467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662720"/>
        <c:axId val="-677664896"/>
      </c:scatterChart>
      <c:valAx>
        <c:axId val="-6776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4896"/>
        <c:crosses val="autoZero"/>
        <c:crossBetween val="midCat"/>
      </c:valAx>
      <c:valAx>
        <c:axId val="-6776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Heat exchanger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'360'!$I$14:$I$19</c:f>
              <c:numCache>
                <c:formatCode>0.00</c:formatCode>
                <c:ptCount val="6"/>
                <c:pt idx="1">
                  <c:v>1.3049779810324351</c:v>
                </c:pt>
                <c:pt idx="2">
                  <c:v>0.65248899051621756</c:v>
                </c:pt>
                <c:pt idx="3">
                  <c:v>0.43499266034414513</c:v>
                </c:pt>
                <c:pt idx="4">
                  <c:v>0.32624449525810878</c:v>
                </c:pt>
                <c:pt idx="5">
                  <c:v>0.2609955962064871</c:v>
                </c:pt>
              </c:numCache>
            </c:numRef>
          </c:xVal>
          <c:yVal>
            <c:numRef>
              <c:f>'360'!$F$14:$F$19</c:f>
              <c:numCache>
                <c:formatCode>0.00</c:formatCode>
                <c:ptCount val="6"/>
                <c:pt idx="0">
                  <c:v>1</c:v>
                </c:pt>
                <c:pt idx="1">
                  <c:v>0.59760956175298796</c:v>
                </c:pt>
                <c:pt idx="2">
                  <c:v>0.47310756972111551</c:v>
                </c:pt>
                <c:pt idx="3">
                  <c:v>0.38180610889774241</c:v>
                </c:pt>
                <c:pt idx="4">
                  <c:v>0.31872509960159362</c:v>
                </c:pt>
                <c:pt idx="5">
                  <c:v>0.27888446215139445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'360'!$I$14:$I$19</c:f>
              <c:numCache>
                <c:formatCode>0.00</c:formatCode>
                <c:ptCount val="6"/>
                <c:pt idx="1">
                  <c:v>1.3049779810324351</c:v>
                </c:pt>
                <c:pt idx="2">
                  <c:v>0.65248899051621756</c:v>
                </c:pt>
                <c:pt idx="3">
                  <c:v>0.43499266034414513</c:v>
                </c:pt>
                <c:pt idx="4">
                  <c:v>0.32624449525810878</c:v>
                </c:pt>
                <c:pt idx="5">
                  <c:v>0.2609955962064871</c:v>
                </c:pt>
              </c:numCache>
            </c:numRef>
          </c:xVal>
          <c:yVal>
            <c:numRef>
              <c:f>'360'!$J$14:$J$19</c:f>
              <c:numCache>
                <c:formatCode>0.00</c:formatCode>
                <c:ptCount val="6"/>
                <c:pt idx="0">
                  <c:v>1</c:v>
                </c:pt>
                <c:pt idx="1">
                  <c:v>0.71142936514170385</c:v>
                </c:pt>
                <c:pt idx="2">
                  <c:v>0.46015825653301934</c:v>
                </c:pt>
                <c:pt idx="3">
                  <c:v>0.33557805628732229</c:v>
                </c:pt>
                <c:pt idx="4">
                  <c:v>0.26317327192316531</c:v>
                </c:pt>
                <c:pt idx="5">
                  <c:v>0.21613725751445467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'360'!$I$14:$I$19</c:f>
              <c:numCache>
                <c:formatCode>0.00</c:formatCode>
                <c:ptCount val="6"/>
                <c:pt idx="1">
                  <c:v>1.3049779810324351</c:v>
                </c:pt>
                <c:pt idx="2">
                  <c:v>0.65248899051621756</c:v>
                </c:pt>
                <c:pt idx="3">
                  <c:v>0.43499266034414513</c:v>
                </c:pt>
                <c:pt idx="4">
                  <c:v>0.32624449525810878</c:v>
                </c:pt>
                <c:pt idx="5">
                  <c:v>0.2609955962064871</c:v>
                </c:pt>
              </c:numCache>
            </c:numRef>
          </c:xVal>
          <c:yVal>
            <c:numRef>
              <c:f>'360'!$J$14:$J$19</c:f>
              <c:numCache>
                <c:formatCode>0.00</c:formatCode>
                <c:ptCount val="6"/>
                <c:pt idx="0">
                  <c:v>1</c:v>
                </c:pt>
                <c:pt idx="1">
                  <c:v>0.71142936514170385</c:v>
                </c:pt>
                <c:pt idx="2">
                  <c:v>0.46015825653301934</c:v>
                </c:pt>
                <c:pt idx="3">
                  <c:v>0.33557805628732229</c:v>
                </c:pt>
                <c:pt idx="4">
                  <c:v>0.26317327192316531</c:v>
                </c:pt>
                <c:pt idx="5">
                  <c:v>0.21613725751445467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665440"/>
        <c:axId val="-677666528"/>
      </c:scatterChart>
      <c:valAx>
        <c:axId val="-67766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6528"/>
        <c:crosses val="autoZero"/>
        <c:crossBetween val="midCat"/>
      </c:valAx>
      <c:valAx>
        <c:axId val="-6776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Data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'430'!$D$14:$D$19</c:f>
              <c:numCache>
                <c:formatCode>0.00</c:formatCode>
                <c:ptCount val="6"/>
                <c:pt idx="0">
                  <c:v>0</c:v>
                </c:pt>
                <c:pt idx="1">
                  <c:v>10.040000000000001</c:v>
                </c:pt>
                <c:pt idx="2">
                  <c:v>20.080000000000002</c:v>
                </c:pt>
                <c:pt idx="3">
                  <c:v>30.119999999999997</c:v>
                </c:pt>
                <c:pt idx="4">
                  <c:v>40.160000000000004</c:v>
                </c:pt>
                <c:pt idx="5">
                  <c:v>50.199999999999996</c:v>
                </c:pt>
              </c:numCache>
            </c:numRef>
          </c:xVal>
          <c:yVal>
            <c:numRef>
              <c:f>'430'!$F$14:$F$19</c:f>
              <c:numCache>
                <c:formatCode>0.00</c:formatCode>
                <c:ptCount val="6"/>
                <c:pt idx="0">
                  <c:v>1</c:v>
                </c:pt>
                <c:pt idx="1">
                  <c:v>0.79681274900398402</c:v>
                </c:pt>
                <c:pt idx="2">
                  <c:v>0.64741035856573703</c:v>
                </c:pt>
                <c:pt idx="3">
                  <c:v>0.53120849933598946</c:v>
                </c:pt>
                <c:pt idx="4">
                  <c:v>0.46065737051792827</c:v>
                </c:pt>
                <c:pt idx="5">
                  <c:v>0.40836653386454186</c:v>
                </c:pt>
              </c:numCache>
            </c:numRef>
          </c:yVal>
          <c:smooth val="0"/>
        </c:ser>
        <c:ser>
          <c:idx val="3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'430'!$D$14:$D$19</c:f>
              <c:numCache>
                <c:formatCode>0.00</c:formatCode>
                <c:ptCount val="6"/>
                <c:pt idx="0">
                  <c:v>0</c:v>
                </c:pt>
                <c:pt idx="1">
                  <c:v>10.040000000000001</c:v>
                </c:pt>
                <c:pt idx="2">
                  <c:v>20.080000000000002</c:v>
                </c:pt>
                <c:pt idx="3">
                  <c:v>30.119999999999997</c:v>
                </c:pt>
                <c:pt idx="4">
                  <c:v>40.160000000000004</c:v>
                </c:pt>
                <c:pt idx="5">
                  <c:v>50.199999999999996</c:v>
                </c:pt>
              </c:numCache>
            </c:numRef>
          </c:xVal>
          <c:yVal>
            <c:numRef>
              <c:f>'430'!$J$14:$J$19</c:f>
              <c:numCache>
                <c:formatCode>0.00</c:formatCode>
                <c:ptCount val="6"/>
                <c:pt idx="0">
                  <c:v>1</c:v>
                </c:pt>
                <c:pt idx="1">
                  <c:v>0.89435818880084983</c:v>
                </c:pt>
                <c:pt idx="2">
                  <c:v>0.67029673620185393</c:v>
                </c:pt>
                <c:pt idx="3">
                  <c:v>0.5197814280325278</c:v>
                </c:pt>
                <c:pt idx="4">
                  <c:v>0.42109350725318517</c:v>
                </c:pt>
                <c:pt idx="5">
                  <c:v>0.35273443137799876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668704"/>
        <c:axId val="-677665984"/>
      </c:scatterChart>
      <c:valAx>
        <c:axId val="-67766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5984"/>
        <c:crosses val="autoZero"/>
        <c:crossBetween val="midCat"/>
      </c:valAx>
      <c:valAx>
        <c:axId val="-6776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7766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3" Type="http://schemas.openxmlformats.org/officeDocument/2006/relationships/chart" Target="../charts/chart7.xml"/><Relationship Id="rId7" Type="http://schemas.openxmlformats.org/officeDocument/2006/relationships/image" Target="../media/image5.jpe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4.png"/><Relationship Id="rId5" Type="http://schemas.openxmlformats.org/officeDocument/2006/relationships/image" Target="../media/image3.jpeg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5" Type="http://schemas.openxmlformats.org/officeDocument/2006/relationships/image" Target="../media/image4.png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11.xml"/><Relationship Id="rId7" Type="http://schemas.openxmlformats.org/officeDocument/2006/relationships/image" Target="../media/image9.jpe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8.jpeg"/><Relationship Id="rId5" Type="http://schemas.openxmlformats.org/officeDocument/2006/relationships/image" Target="../media/image7.jpeg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eg"/><Relationship Id="rId3" Type="http://schemas.openxmlformats.org/officeDocument/2006/relationships/chart" Target="../charts/chart13.xml"/><Relationship Id="rId7" Type="http://schemas.openxmlformats.org/officeDocument/2006/relationships/image" Target="../media/image11.jpe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10.jpeg"/><Relationship Id="rId5" Type="http://schemas.openxmlformats.org/officeDocument/2006/relationships/image" Target="../media/image4.png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jpeg"/><Relationship Id="rId3" Type="http://schemas.openxmlformats.org/officeDocument/2006/relationships/chart" Target="../charts/chart15.xml"/><Relationship Id="rId7" Type="http://schemas.openxmlformats.org/officeDocument/2006/relationships/image" Target="../media/image14.jpe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13.jpeg"/><Relationship Id="rId5" Type="http://schemas.openxmlformats.org/officeDocument/2006/relationships/image" Target="../media/image4.png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5" Type="http://schemas.openxmlformats.org/officeDocument/2006/relationships/image" Target="../media/image4.png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jpeg"/><Relationship Id="rId3" Type="http://schemas.openxmlformats.org/officeDocument/2006/relationships/chart" Target="../charts/chart19.xml"/><Relationship Id="rId7" Type="http://schemas.openxmlformats.org/officeDocument/2006/relationships/image" Target="../media/image17.jpe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16.jpeg"/><Relationship Id="rId5" Type="http://schemas.openxmlformats.org/officeDocument/2006/relationships/image" Target="../media/image4.png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5" Type="http://schemas.openxmlformats.org/officeDocument/2006/relationships/image" Target="../media/image4.png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</xdr:colOff>
      <xdr:row>4</xdr:row>
      <xdr:rowOff>138112</xdr:rowOff>
    </xdr:from>
    <xdr:to>
      <xdr:col>26</xdr:col>
      <xdr:colOff>76200</xdr:colOff>
      <xdr:row>18</xdr:row>
      <xdr:rowOff>23812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</xdr:colOff>
      <xdr:row>16</xdr:row>
      <xdr:rowOff>52387</xdr:rowOff>
    </xdr:from>
    <xdr:to>
      <xdr:col>8</xdr:col>
      <xdr:colOff>52387</xdr:colOff>
      <xdr:row>30</xdr:row>
      <xdr:rowOff>128587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195262</xdr:colOff>
      <xdr:row>16</xdr:row>
      <xdr:rowOff>28575</xdr:rowOff>
    </xdr:from>
    <xdr:to>
      <xdr:col>17</xdr:col>
      <xdr:colOff>195262</xdr:colOff>
      <xdr:row>30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695325</xdr:colOff>
      <xdr:row>16</xdr:row>
      <xdr:rowOff>52387</xdr:rowOff>
    </xdr:from>
    <xdr:to>
      <xdr:col>20</xdr:col>
      <xdr:colOff>419100</xdr:colOff>
      <xdr:row>30</xdr:row>
      <xdr:rowOff>128587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552450</xdr:colOff>
      <xdr:row>18</xdr:row>
      <xdr:rowOff>71437</xdr:rowOff>
    </xdr:from>
    <xdr:to>
      <xdr:col>22</xdr:col>
      <xdr:colOff>552450</xdr:colOff>
      <xdr:row>32</xdr:row>
      <xdr:rowOff>147637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161925</xdr:colOff>
      <xdr:row>15</xdr:row>
      <xdr:rowOff>123825</xdr:rowOff>
    </xdr:from>
    <xdr:to>
      <xdr:col>14</xdr:col>
      <xdr:colOff>161925</xdr:colOff>
      <xdr:row>30</xdr:row>
      <xdr:rowOff>9525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5</xdr:row>
      <xdr:rowOff>66675</xdr:rowOff>
    </xdr:from>
    <xdr:to>
      <xdr:col>16</xdr:col>
      <xdr:colOff>283044</xdr:colOff>
      <xdr:row>19</xdr:row>
      <xdr:rowOff>89495</xdr:rowOff>
    </xdr:to>
    <xdr:pic>
      <xdr:nvPicPr>
        <xdr:cNvPr id="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39300" y="1019175"/>
          <a:ext cx="2835744" cy="2880320"/>
        </a:xfrm>
        <a:prstGeom prst="rect">
          <a:avLst/>
        </a:prstGeom>
        <a:noFill/>
        <a:ln/>
      </xdr:spPr>
    </xdr:pic>
    <xdr:clientData/>
  </xdr:twoCellAnchor>
  <xdr:twoCellAnchor editAs="oneCell">
    <xdr:from>
      <xdr:col>8</xdr:col>
      <xdr:colOff>742950</xdr:colOff>
      <xdr:row>1</xdr:row>
      <xdr:rowOff>114300</xdr:rowOff>
    </xdr:from>
    <xdr:to>
      <xdr:col>16</xdr:col>
      <xdr:colOff>370759</xdr:colOff>
      <xdr:row>4</xdr:row>
      <xdr:rowOff>66675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7878" b="22671"/>
        <a:stretch/>
      </xdr:blipFill>
      <xdr:spPr>
        <a:xfrm>
          <a:off x="6838950" y="304800"/>
          <a:ext cx="5723809" cy="523875"/>
        </a:xfrm>
        <a:prstGeom prst="rect">
          <a:avLst/>
        </a:prstGeom>
      </xdr:spPr>
    </xdr:pic>
    <xdr:clientData/>
  </xdr:twoCellAnchor>
  <xdr:twoCellAnchor>
    <xdr:from>
      <xdr:col>17</xdr:col>
      <xdr:colOff>28575</xdr:colOff>
      <xdr:row>16</xdr:row>
      <xdr:rowOff>14287</xdr:rowOff>
    </xdr:from>
    <xdr:to>
      <xdr:col>23</xdr:col>
      <xdr:colOff>28575</xdr:colOff>
      <xdr:row>30</xdr:row>
      <xdr:rowOff>90487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0</xdr:row>
      <xdr:rowOff>95250</xdr:rowOff>
    </xdr:from>
    <xdr:to>
      <xdr:col>23</xdr:col>
      <xdr:colOff>9525</xdr:colOff>
      <xdr:row>14</xdr:row>
      <xdr:rowOff>171450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24</xdr:row>
      <xdr:rowOff>0</xdr:rowOff>
    </xdr:from>
    <xdr:to>
      <xdr:col>8</xdr:col>
      <xdr:colOff>47625</xdr:colOff>
      <xdr:row>52</xdr:row>
      <xdr:rowOff>47625</xdr:rowOff>
    </xdr:to>
    <xdr:pic>
      <xdr:nvPicPr>
        <xdr:cNvPr id="6" name="CT_ItemLeft_0_imgEnlarge" descr="6105G1SB-heat-exchanger-view-o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62500"/>
          <a:ext cx="5381625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152400</xdr:colOff>
      <xdr:row>30</xdr:row>
      <xdr:rowOff>133350</xdr:rowOff>
    </xdr:to>
    <xdr:pic>
      <xdr:nvPicPr>
        <xdr:cNvPr id="7" name="Image 6" descr="https://www.boydcorpdirect.com/cms/images/info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90550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8</xdr:col>
      <xdr:colOff>47625</xdr:colOff>
      <xdr:row>82</xdr:row>
      <xdr:rowOff>47625</xdr:rowOff>
    </xdr:to>
    <xdr:pic>
      <xdr:nvPicPr>
        <xdr:cNvPr id="8" name="CT_ItemLeft_0_imgEnlarge" descr="6105G1SB-heat-exchanger-view-on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477500"/>
          <a:ext cx="5381625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8</xdr:col>
      <xdr:colOff>47625</xdr:colOff>
      <xdr:row>112</xdr:row>
      <xdr:rowOff>47625</xdr:rowOff>
    </xdr:to>
    <xdr:pic>
      <xdr:nvPicPr>
        <xdr:cNvPr id="9" name="CT_ItemLeft_0_imgEnlarge" descr="6105G1SB-heat-exchanger-view-one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00"/>
          <a:ext cx="5381625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5</xdr:row>
      <xdr:rowOff>66675</xdr:rowOff>
    </xdr:from>
    <xdr:to>
      <xdr:col>16</xdr:col>
      <xdr:colOff>283044</xdr:colOff>
      <xdr:row>19</xdr:row>
      <xdr:rowOff>89495</xdr:rowOff>
    </xdr:to>
    <xdr:pic>
      <xdr:nvPicPr>
        <xdr:cNvPr id="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39300" y="1019175"/>
          <a:ext cx="2835744" cy="2880320"/>
        </a:xfrm>
        <a:prstGeom prst="rect">
          <a:avLst/>
        </a:prstGeom>
        <a:noFill/>
        <a:ln/>
      </xdr:spPr>
    </xdr:pic>
    <xdr:clientData/>
  </xdr:twoCellAnchor>
  <xdr:twoCellAnchor editAs="oneCell">
    <xdr:from>
      <xdr:col>8</xdr:col>
      <xdr:colOff>742950</xdr:colOff>
      <xdr:row>1</xdr:row>
      <xdr:rowOff>114300</xdr:rowOff>
    </xdr:from>
    <xdr:to>
      <xdr:col>16</xdr:col>
      <xdr:colOff>370759</xdr:colOff>
      <xdr:row>4</xdr:row>
      <xdr:rowOff>66675</xdr:rowOff>
    </xdr:to>
    <xdr:pic>
      <xdr:nvPicPr>
        <xdr:cNvPr id="4" name="Imag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7878" b="22671"/>
        <a:stretch/>
      </xdr:blipFill>
      <xdr:spPr>
        <a:xfrm>
          <a:off x="6838950" y="304800"/>
          <a:ext cx="5723809" cy="523875"/>
        </a:xfrm>
        <a:prstGeom prst="rect">
          <a:avLst/>
        </a:prstGeom>
      </xdr:spPr>
    </xdr:pic>
    <xdr:clientData/>
  </xdr:twoCellAnchor>
  <xdr:twoCellAnchor>
    <xdr:from>
      <xdr:col>17</xdr:col>
      <xdr:colOff>28575</xdr:colOff>
      <xdr:row>16</xdr:row>
      <xdr:rowOff>14287</xdr:rowOff>
    </xdr:from>
    <xdr:to>
      <xdr:col>23</xdr:col>
      <xdr:colOff>28575</xdr:colOff>
      <xdr:row>30</xdr:row>
      <xdr:rowOff>90487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0</xdr:row>
      <xdr:rowOff>95250</xdr:rowOff>
    </xdr:from>
    <xdr:to>
      <xdr:col>23</xdr:col>
      <xdr:colOff>9525</xdr:colOff>
      <xdr:row>14</xdr:row>
      <xdr:rowOff>171450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133350</xdr:rowOff>
    </xdr:to>
    <xdr:pic>
      <xdr:nvPicPr>
        <xdr:cNvPr id="8" name="Image 7" descr="https://www.boydcorpdirect.com/cms/images/info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52450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5</xdr:row>
      <xdr:rowOff>66675</xdr:rowOff>
    </xdr:from>
    <xdr:to>
      <xdr:col>16</xdr:col>
      <xdr:colOff>283044</xdr:colOff>
      <xdr:row>19</xdr:row>
      <xdr:rowOff>89495</xdr:rowOff>
    </xdr:to>
    <xdr:pic>
      <xdr:nvPicPr>
        <xdr:cNvPr id="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39300" y="1019175"/>
          <a:ext cx="2835744" cy="2880320"/>
        </a:xfrm>
        <a:prstGeom prst="rect">
          <a:avLst/>
        </a:prstGeom>
        <a:noFill/>
        <a:ln/>
      </xdr:spPr>
    </xdr:pic>
    <xdr:clientData/>
  </xdr:twoCellAnchor>
  <xdr:twoCellAnchor editAs="oneCell">
    <xdr:from>
      <xdr:col>8</xdr:col>
      <xdr:colOff>742950</xdr:colOff>
      <xdr:row>1</xdr:row>
      <xdr:rowOff>114300</xdr:rowOff>
    </xdr:from>
    <xdr:to>
      <xdr:col>16</xdr:col>
      <xdr:colOff>370759</xdr:colOff>
      <xdr:row>4</xdr:row>
      <xdr:rowOff>66675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7878" b="22671"/>
        <a:stretch/>
      </xdr:blipFill>
      <xdr:spPr>
        <a:xfrm>
          <a:off x="6838950" y="304800"/>
          <a:ext cx="5723809" cy="523875"/>
        </a:xfrm>
        <a:prstGeom prst="rect">
          <a:avLst/>
        </a:prstGeom>
      </xdr:spPr>
    </xdr:pic>
    <xdr:clientData/>
  </xdr:twoCellAnchor>
  <xdr:twoCellAnchor>
    <xdr:from>
      <xdr:col>17</xdr:col>
      <xdr:colOff>28575</xdr:colOff>
      <xdr:row>16</xdr:row>
      <xdr:rowOff>14287</xdr:rowOff>
    </xdr:from>
    <xdr:to>
      <xdr:col>23</xdr:col>
      <xdr:colOff>28575</xdr:colOff>
      <xdr:row>30</xdr:row>
      <xdr:rowOff>90487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0</xdr:row>
      <xdr:rowOff>95250</xdr:rowOff>
    </xdr:from>
    <xdr:to>
      <xdr:col>23</xdr:col>
      <xdr:colOff>9525</xdr:colOff>
      <xdr:row>14</xdr:row>
      <xdr:rowOff>171450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23</xdr:row>
      <xdr:rowOff>0</xdr:rowOff>
    </xdr:from>
    <xdr:to>
      <xdr:col>8</xdr:col>
      <xdr:colOff>47625</xdr:colOff>
      <xdr:row>51</xdr:row>
      <xdr:rowOff>47625</xdr:rowOff>
    </xdr:to>
    <xdr:pic>
      <xdr:nvPicPr>
        <xdr:cNvPr id="7" name="CT_ItemLeft_0_imgEnlarge" descr="6120G1SB-heat-exchanger-view-one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72000"/>
          <a:ext cx="5381625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8</xdr:col>
      <xdr:colOff>47625</xdr:colOff>
      <xdr:row>82</xdr:row>
      <xdr:rowOff>47625</xdr:rowOff>
    </xdr:to>
    <xdr:pic>
      <xdr:nvPicPr>
        <xdr:cNvPr id="8" name="CT_ItemLeft_0_imgEnlarge" descr="6120G1SB-heat-exchanger-view-o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477500"/>
          <a:ext cx="5381625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8</xdr:col>
      <xdr:colOff>47625</xdr:colOff>
      <xdr:row>112</xdr:row>
      <xdr:rowOff>47625</xdr:rowOff>
    </xdr:to>
    <xdr:pic>
      <xdr:nvPicPr>
        <xdr:cNvPr id="9" name="CT_ItemLeft_0_imgEnlarge" descr="6120G1SB-heat-exchanger-view-on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00"/>
          <a:ext cx="5381625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152400</xdr:colOff>
      <xdr:row>30</xdr:row>
      <xdr:rowOff>133350</xdr:rowOff>
    </xdr:to>
    <xdr:pic>
      <xdr:nvPicPr>
        <xdr:cNvPr id="10" name="Image 9" descr="https://www.boydcorpdirect.com/cms/images/info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90550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5</xdr:row>
      <xdr:rowOff>66675</xdr:rowOff>
    </xdr:from>
    <xdr:to>
      <xdr:col>16</xdr:col>
      <xdr:colOff>283044</xdr:colOff>
      <xdr:row>19</xdr:row>
      <xdr:rowOff>89495</xdr:rowOff>
    </xdr:to>
    <xdr:pic>
      <xdr:nvPicPr>
        <xdr:cNvPr id="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39300" y="1019175"/>
          <a:ext cx="2835744" cy="2880320"/>
        </a:xfrm>
        <a:prstGeom prst="rect">
          <a:avLst/>
        </a:prstGeom>
        <a:noFill/>
        <a:ln/>
      </xdr:spPr>
    </xdr:pic>
    <xdr:clientData/>
  </xdr:twoCellAnchor>
  <xdr:twoCellAnchor editAs="oneCell">
    <xdr:from>
      <xdr:col>8</xdr:col>
      <xdr:colOff>742950</xdr:colOff>
      <xdr:row>1</xdr:row>
      <xdr:rowOff>114300</xdr:rowOff>
    </xdr:from>
    <xdr:to>
      <xdr:col>16</xdr:col>
      <xdr:colOff>370759</xdr:colOff>
      <xdr:row>4</xdr:row>
      <xdr:rowOff>66675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7878" b="22671"/>
        <a:stretch/>
      </xdr:blipFill>
      <xdr:spPr>
        <a:xfrm>
          <a:off x="6838950" y="304800"/>
          <a:ext cx="5723809" cy="523875"/>
        </a:xfrm>
        <a:prstGeom prst="rect">
          <a:avLst/>
        </a:prstGeom>
      </xdr:spPr>
    </xdr:pic>
    <xdr:clientData/>
  </xdr:twoCellAnchor>
  <xdr:twoCellAnchor>
    <xdr:from>
      <xdr:col>17</xdr:col>
      <xdr:colOff>28575</xdr:colOff>
      <xdr:row>16</xdr:row>
      <xdr:rowOff>14287</xdr:rowOff>
    </xdr:from>
    <xdr:to>
      <xdr:col>23</xdr:col>
      <xdr:colOff>28575</xdr:colOff>
      <xdr:row>30</xdr:row>
      <xdr:rowOff>90487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0</xdr:row>
      <xdr:rowOff>95250</xdr:rowOff>
    </xdr:from>
    <xdr:to>
      <xdr:col>23</xdr:col>
      <xdr:colOff>9525</xdr:colOff>
      <xdr:row>14</xdr:row>
      <xdr:rowOff>171450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152400</xdr:colOff>
      <xdr:row>30</xdr:row>
      <xdr:rowOff>133350</xdr:rowOff>
    </xdr:to>
    <xdr:pic>
      <xdr:nvPicPr>
        <xdr:cNvPr id="9" name="Image 8" descr="https://www.boydcorpdirect.com/cms/images/info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90550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152400</xdr:colOff>
      <xdr:row>30</xdr:row>
      <xdr:rowOff>133350</xdr:rowOff>
    </xdr:to>
    <xdr:pic>
      <xdr:nvPicPr>
        <xdr:cNvPr id="10" name="Image 9" descr="https://www.boydcorpdirect.com/cms/images/info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90550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8</xdr:col>
      <xdr:colOff>47625</xdr:colOff>
      <xdr:row>52</xdr:row>
      <xdr:rowOff>47625</xdr:rowOff>
    </xdr:to>
    <xdr:pic>
      <xdr:nvPicPr>
        <xdr:cNvPr id="11" name="CT_ItemLeft_0_imgEnlarge" descr="6210G1SB-heat-exchanger-view-o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62500"/>
          <a:ext cx="5381625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8</xdr:col>
      <xdr:colOff>47625</xdr:colOff>
      <xdr:row>82</xdr:row>
      <xdr:rowOff>47625</xdr:rowOff>
    </xdr:to>
    <xdr:pic>
      <xdr:nvPicPr>
        <xdr:cNvPr id="12" name="CT_ItemLeft_0_imgEnlarge" descr="6210G1SB-heat-exchanger-view-on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477500"/>
          <a:ext cx="5381625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8</xdr:col>
      <xdr:colOff>47625</xdr:colOff>
      <xdr:row>112</xdr:row>
      <xdr:rowOff>47625</xdr:rowOff>
    </xdr:to>
    <xdr:pic>
      <xdr:nvPicPr>
        <xdr:cNvPr id="13" name="CT_ItemLeft_0_imgEnlarge" descr="6210G1SB-heat-exchanger-view-one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00"/>
          <a:ext cx="5381625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5</xdr:row>
      <xdr:rowOff>66675</xdr:rowOff>
    </xdr:from>
    <xdr:to>
      <xdr:col>16</xdr:col>
      <xdr:colOff>283044</xdr:colOff>
      <xdr:row>19</xdr:row>
      <xdr:rowOff>89495</xdr:rowOff>
    </xdr:to>
    <xdr:pic>
      <xdr:nvPicPr>
        <xdr:cNvPr id="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39300" y="1019175"/>
          <a:ext cx="2835744" cy="2880320"/>
        </a:xfrm>
        <a:prstGeom prst="rect">
          <a:avLst/>
        </a:prstGeom>
        <a:noFill/>
        <a:ln/>
      </xdr:spPr>
    </xdr:pic>
    <xdr:clientData/>
  </xdr:twoCellAnchor>
  <xdr:twoCellAnchor editAs="oneCell">
    <xdr:from>
      <xdr:col>8</xdr:col>
      <xdr:colOff>742950</xdr:colOff>
      <xdr:row>1</xdr:row>
      <xdr:rowOff>114300</xdr:rowOff>
    </xdr:from>
    <xdr:to>
      <xdr:col>16</xdr:col>
      <xdr:colOff>370759</xdr:colOff>
      <xdr:row>4</xdr:row>
      <xdr:rowOff>66675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7878" b="22671"/>
        <a:stretch/>
      </xdr:blipFill>
      <xdr:spPr>
        <a:xfrm>
          <a:off x="6838950" y="304800"/>
          <a:ext cx="5723809" cy="523875"/>
        </a:xfrm>
        <a:prstGeom prst="rect">
          <a:avLst/>
        </a:prstGeom>
      </xdr:spPr>
    </xdr:pic>
    <xdr:clientData/>
  </xdr:twoCellAnchor>
  <xdr:twoCellAnchor>
    <xdr:from>
      <xdr:col>17</xdr:col>
      <xdr:colOff>28575</xdr:colOff>
      <xdr:row>16</xdr:row>
      <xdr:rowOff>14287</xdr:rowOff>
    </xdr:from>
    <xdr:to>
      <xdr:col>23</xdr:col>
      <xdr:colOff>28575</xdr:colOff>
      <xdr:row>30</xdr:row>
      <xdr:rowOff>90487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0</xdr:row>
      <xdr:rowOff>95250</xdr:rowOff>
    </xdr:from>
    <xdr:to>
      <xdr:col>23</xdr:col>
      <xdr:colOff>9525</xdr:colOff>
      <xdr:row>14</xdr:row>
      <xdr:rowOff>171450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152400</xdr:colOff>
      <xdr:row>30</xdr:row>
      <xdr:rowOff>133350</xdr:rowOff>
    </xdr:to>
    <xdr:pic>
      <xdr:nvPicPr>
        <xdr:cNvPr id="6" name="Image 5" descr="https://www.boydcorpdirect.com/cms/images/info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90550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152400</xdr:colOff>
      <xdr:row>30</xdr:row>
      <xdr:rowOff>133350</xdr:rowOff>
    </xdr:to>
    <xdr:pic>
      <xdr:nvPicPr>
        <xdr:cNvPr id="7" name="Image 6" descr="https://www.boydcorpdirect.com/cms/images/info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90550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152400</xdr:colOff>
      <xdr:row>30</xdr:row>
      <xdr:rowOff>133350</xdr:rowOff>
    </xdr:to>
    <xdr:pic>
      <xdr:nvPicPr>
        <xdr:cNvPr id="11" name="Image 10" descr="https://www.boydcorpdirect.com/cms/images/info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90550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47625</xdr:colOff>
      <xdr:row>50</xdr:row>
      <xdr:rowOff>47625</xdr:rowOff>
    </xdr:to>
    <xdr:pic>
      <xdr:nvPicPr>
        <xdr:cNvPr id="12" name="CT_ItemLeft_0_imgEnlarge" descr="6220G1SB-heat-exchanger-view-o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81500"/>
          <a:ext cx="5381625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8</xdr:col>
      <xdr:colOff>47625</xdr:colOff>
      <xdr:row>81</xdr:row>
      <xdr:rowOff>47625</xdr:rowOff>
    </xdr:to>
    <xdr:pic>
      <xdr:nvPicPr>
        <xdr:cNvPr id="13" name="CT_ItemLeft_0_imgEnlarge" descr="6220G1SB-heat-exchanger-view-on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287000"/>
          <a:ext cx="5381625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8</xdr:col>
      <xdr:colOff>47625</xdr:colOff>
      <xdr:row>111</xdr:row>
      <xdr:rowOff>47625</xdr:rowOff>
    </xdr:to>
    <xdr:pic>
      <xdr:nvPicPr>
        <xdr:cNvPr id="14" name="CT_ItemLeft_0_imgEnlarge" descr="6220G1SB-heat-exchanger-view-one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002000"/>
          <a:ext cx="5381625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5</xdr:row>
      <xdr:rowOff>66675</xdr:rowOff>
    </xdr:from>
    <xdr:to>
      <xdr:col>16</xdr:col>
      <xdr:colOff>283044</xdr:colOff>
      <xdr:row>19</xdr:row>
      <xdr:rowOff>89495</xdr:rowOff>
    </xdr:to>
    <xdr:pic>
      <xdr:nvPicPr>
        <xdr:cNvPr id="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39300" y="1019175"/>
          <a:ext cx="2835744" cy="2880320"/>
        </a:xfrm>
        <a:prstGeom prst="rect">
          <a:avLst/>
        </a:prstGeom>
        <a:noFill/>
        <a:ln/>
      </xdr:spPr>
    </xdr:pic>
    <xdr:clientData/>
  </xdr:twoCellAnchor>
  <xdr:twoCellAnchor editAs="oneCell">
    <xdr:from>
      <xdr:col>8</xdr:col>
      <xdr:colOff>742950</xdr:colOff>
      <xdr:row>1</xdr:row>
      <xdr:rowOff>114300</xdr:rowOff>
    </xdr:from>
    <xdr:to>
      <xdr:col>16</xdr:col>
      <xdr:colOff>370759</xdr:colOff>
      <xdr:row>4</xdr:row>
      <xdr:rowOff>66675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7878" b="22671"/>
        <a:stretch/>
      </xdr:blipFill>
      <xdr:spPr>
        <a:xfrm>
          <a:off x="6838950" y="304800"/>
          <a:ext cx="5723809" cy="523875"/>
        </a:xfrm>
        <a:prstGeom prst="rect">
          <a:avLst/>
        </a:prstGeom>
      </xdr:spPr>
    </xdr:pic>
    <xdr:clientData/>
  </xdr:twoCellAnchor>
  <xdr:twoCellAnchor>
    <xdr:from>
      <xdr:col>17</xdr:col>
      <xdr:colOff>28575</xdr:colOff>
      <xdr:row>16</xdr:row>
      <xdr:rowOff>14287</xdr:rowOff>
    </xdr:from>
    <xdr:to>
      <xdr:col>23</xdr:col>
      <xdr:colOff>28575</xdr:colOff>
      <xdr:row>30</xdr:row>
      <xdr:rowOff>90487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0</xdr:row>
      <xdr:rowOff>95250</xdr:rowOff>
    </xdr:from>
    <xdr:to>
      <xdr:col>23</xdr:col>
      <xdr:colOff>9525</xdr:colOff>
      <xdr:row>14</xdr:row>
      <xdr:rowOff>171450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133350</xdr:rowOff>
    </xdr:to>
    <xdr:pic>
      <xdr:nvPicPr>
        <xdr:cNvPr id="6" name="Image 5" descr="https://www.boydcorpdirect.com/cms/images/info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0550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5</xdr:row>
      <xdr:rowOff>66675</xdr:rowOff>
    </xdr:from>
    <xdr:to>
      <xdr:col>16</xdr:col>
      <xdr:colOff>283044</xdr:colOff>
      <xdr:row>19</xdr:row>
      <xdr:rowOff>89495</xdr:rowOff>
    </xdr:to>
    <xdr:pic>
      <xdr:nvPicPr>
        <xdr:cNvPr id="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39300" y="1019175"/>
          <a:ext cx="2835744" cy="2880320"/>
        </a:xfrm>
        <a:prstGeom prst="rect">
          <a:avLst/>
        </a:prstGeom>
        <a:noFill/>
        <a:ln/>
      </xdr:spPr>
    </xdr:pic>
    <xdr:clientData/>
  </xdr:twoCellAnchor>
  <xdr:twoCellAnchor editAs="oneCell">
    <xdr:from>
      <xdr:col>8</xdr:col>
      <xdr:colOff>742950</xdr:colOff>
      <xdr:row>1</xdr:row>
      <xdr:rowOff>114300</xdr:rowOff>
    </xdr:from>
    <xdr:to>
      <xdr:col>16</xdr:col>
      <xdr:colOff>370759</xdr:colOff>
      <xdr:row>4</xdr:row>
      <xdr:rowOff>66675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7878" b="22671"/>
        <a:stretch/>
      </xdr:blipFill>
      <xdr:spPr>
        <a:xfrm>
          <a:off x="6838950" y="304800"/>
          <a:ext cx="5723809" cy="523875"/>
        </a:xfrm>
        <a:prstGeom prst="rect">
          <a:avLst/>
        </a:prstGeom>
      </xdr:spPr>
    </xdr:pic>
    <xdr:clientData/>
  </xdr:twoCellAnchor>
  <xdr:twoCellAnchor>
    <xdr:from>
      <xdr:col>17</xdr:col>
      <xdr:colOff>28575</xdr:colOff>
      <xdr:row>16</xdr:row>
      <xdr:rowOff>14287</xdr:rowOff>
    </xdr:from>
    <xdr:to>
      <xdr:col>23</xdr:col>
      <xdr:colOff>28575</xdr:colOff>
      <xdr:row>30</xdr:row>
      <xdr:rowOff>90487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0</xdr:row>
      <xdr:rowOff>95250</xdr:rowOff>
    </xdr:from>
    <xdr:to>
      <xdr:col>23</xdr:col>
      <xdr:colOff>9525</xdr:colOff>
      <xdr:row>14</xdr:row>
      <xdr:rowOff>171450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152400</xdr:colOff>
      <xdr:row>30</xdr:row>
      <xdr:rowOff>133350</xdr:rowOff>
    </xdr:to>
    <xdr:pic>
      <xdr:nvPicPr>
        <xdr:cNvPr id="6" name="Image 5" descr="https://www.boydcorpdirect.com/cms/images/info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90550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152400</xdr:colOff>
      <xdr:row>30</xdr:row>
      <xdr:rowOff>133350</xdr:rowOff>
    </xdr:to>
    <xdr:pic>
      <xdr:nvPicPr>
        <xdr:cNvPr id="7" name="Image 6" descr="https://www.boydcorpdirect.com/cms/images/info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90550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152400</xdr:colOff>
      <xdr:row>30</xdr:row>
      <xdr:rowOff>133350</xdr:rowOff>
    </xdr:to>
    <xdr:pic>
      <xdr:nvPicPr>
        <xdr:cNvPr id="8" name="Image 7" descr="https://www.boydcorpdirect.com/cms/images/info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90550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152400</xdr:colOff>
      <xdr:row>30</xdr:row>
      <xdr:rowOff>133350</xdr:rowOff>
    </xdr:to>
    <xdr:pic>
      <xdr:nvPicPr>
        <xdr:cNvPr id="12" name="Image 11" descr="https://www.boydcorpdirect.com/cms/images/info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90550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47625</xdr:colOff>
      <xdr:row>50</xdr:row>
      <xdr:rowOff>47625</xdr:rowOff>
    </xdr:to>
    <xdr:pic>
      <xdr:nvPicPr>
        <xdr:cNvPr id="13" name="CT_ItemLeft_0_imgEnlarge" descr="6320G3SB-heat-exchanger-view-one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81500"/>
          <a:ext cx="5381625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8</xdr:col>
      <xdr:colOff>47625</xdr:colOff>
      <xdr:row>80</xdr:row>
      <xdr:rowOff>47625</xdr:rowOff>
    </xdr:to>
    <xdr:pic>
      <xdr:nvPicPr>
        <xdr:cNvPr id="14" name="CT_ItemLeft_0_imgEnlarge" descr="6320G3SB-heat-exchanger-view-on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096500"/>
          <a:ext cx="5381625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8</xdr:col>
      <xdr:colOff>47625</xdr:colOff>
      <xdr:row>111</xdr:row>
      <xdr:rowOff>47625</xdr:rowOff>
    </xdr:to>
    <xdr:pic>
      <xdr:nvPicPr>
        <xdr:cNvPr id="15" name="CT_ItemLeft_0_imgEnlarge" descr="6320G3SB-heat-exchanger-view-one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002000"/>
          <a:ext cx="5381625" cy="538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5</xdr:row>
      <xdr:rowOff>66675</xdr:rowOff>
    </xdr:from>
    <xdr:to>
      <xdr:col>16</xdr:col>
      <xdr:colOff>283044</xdr:colOff>
      <xdr:row>19</xdr:row>
      <xdr:rowOff>89495</xdr:rowOff>
    </xdr:to>
    <xdr:pic>
      <xdr:nvPicPr>
        <xdr:cNvPr id="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39300" y="1019175"/>
          <a:ext cx="2835744" cy="2880320"/>
        </a:xfrm>
        <a:prstGeom prst="rect">
          <a:avLst/>
        </a:prstGeom>
        <a:noFill/>
        <a:ln/>
      </xdr:spPr>
    </xdr:pic>
    <xdr:clientData/>
  </xdr:twoCellAnchor>
  <xdr:twoCellAnchor editAs="oneCell">
    <xdr:from>
      <xdr:col>8</xdr:col>
      <xdr:colOff>742950</xdr:colOff>
      <xdr:row>1</xdr:row>
      <xdr:rowOff>114300</xdr:rowOff>
    </xdr:from>
    <xdr:to>
      <xdr:col>16</xdr:col>
      <xdr:colOff>370759</xdr:colOff>
      <xdr:row>4</xdr:row>
      <xdr:rowOff>66675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7878" b="22671"/>
        <a:stretch/>
      </xdr:blipFill>
      <xdr:spPr>
        <a:xfrm>
          <a:off x="6838950" y="304800"/>
          <a:ext cx="5723809" cy="523875"/>
        </a:xfrm>
        <a:prstGeom prst="rect">
          <a:avLst/>
        </a:prstGeom>
      </xdr:spPr>
    </xdr:pic>
    <xdr:clientData/>
  </xdr:twoCellAnchor>
  <xdr:twoCellAnchor>
    <xdr:from>
      <xdr:col>0</xdr:col>
      <xdr:colOff>85725</xdr:colOff>
      <xdr:row>25</xdr:row>
      <xdr:rowOff>147637</xdr:rowOff>
    </xdr:from>
    <xdr:to>
      <xdr:col>6</xdr:col>
      <xdr:colOff>85725</xdr:colOff>
      <xdr:row>40</xdr:row>
      <xdr:rowOff>33337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371475</xdr:colOff>
      <xdr:row>25</xdr:row>
      <xdr:rowOff>114300</xdr:rowOff>
    </xdr:from>
    <xdr:to>
      <xdr:col>12</xdr:col>
      <xdr:colOff>371475</xdr:colOff>
      <xdr:row>41</xdr:row>
      <xdr:rowOff>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152400</xdr:colOff>
      <xdr:row>46</xdr:row>
      <xdr:rowOff>133350</xdr:rowOff>
    </xdr:to>
    <xdr:pic>
      <xdr:nvPicPr>
        <xdr:cNvPr id="6" name="Image 5" descr="https://www.boydcorpdirect.com/cms/images/info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95350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boydcorpdirect.com/6340-copper-tube-fin-heat-exchanger/6340/?F_All=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boydcorpdirect.com/6105g1-copper-tube-fin-heat-exchanger/6105g1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boydcorpdirect.com/6110g1-copper-tube-fin-heat-exchanger/6110g1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boydcorpdirect.com/6310g3-copper-tube-fin-heat-exchanger/6310g3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boydcorpdirect.com/6220g1-copper-tube-fin-heat-exchanger/6220g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17" sqref="B17:B20"/>
    </sheetView>
  </sheetViews>
  <sheetFormatPr baseColWidth="10" defaultRowHeight="15" x14ac:dyDescent="0.25"/>
  <sheetData>
    <row r="1" spans="1:9" x14ac:dyDescent="0.25">
      <c r="A1" t="s">
        <v>115</v>
      </c>
    </row>
    <row r="2" spans="1:9" ht="15.75" thickBot="1" x14ac:dyDescent="0.3"/>
    <row r="3" spans="1:9" x14ac:dyDescent="0.25">
      <c r="A3" s="17" t="s">
        <v>116</v>
      </c>
      <c r="B3" s="17"/>
    </row>
    <row r="4" spans="1:9" x14ac:dyDescent="0.25">
      <c r="A4" s="14" t="s">
        <v>117</v>
      </c>
      <c r="B4" s="14">
        <v>0.99169566389622621</v>
      </c>
    </row>
    <row r="5" spans="1:9" x14ac:dyDescent="0.25">
      <c r="A5" s="14" t="s">
        <v>118</v>
      </c>
      <c r="B5" s="14">
        <v>0.98346028979057687</v>
      </c>
    </row>
    <row r="6" spans="1:9" x14ac:dyDescent="0.25">
      <c r="A6" s="14" t="s">
        <v>118</v>
      </c>
      <c r="B6" s="14">
        <v>0.97105550713350963</v>
      </c>
    </row>
    <row r="7" spans="1:9" x14ac:dyDescent="0.25">
      <c r="A7" s="14" t="s">
        <v>119</v>
      </c>
      <c r="B7" s="14">
        <v>8.5630995720417283E-2</v>
      </c>
    </row>
    <row r="8" spans="1:9" ht="15.75" thickBot="1" x14ac:dyDescent="0.3">
      <c r="A8" s="15" t="s">
        <v>120</v>
      </c>
      <c r="B8" s="15">
        <v>8</v>
      </c>
    </row>
    <row r="10" spans="1:9" ht="15.75" thickBot="1" x14ac:dyDescent="0.3">
      <c r="A10" t="s">
        <v>121</v>
      </c>
    </row>
    <row r="11" spans="1:9" x14ac:dyDescent="0.25">
      <c r="A11" s="16"/>
      <c r="B11" s="16" t="s">
        <v>126</v>
      </c>
      <c r="C11" s="16" t="s">
        <v>127</v>
      </c>
      <c r="D11" s="16" t="s">
        <v>128</v>
      </c>
      <c r="E11" s="16" t="s">
        <v>129</v>
      </c>
      <c r="F11" s="16" t="s">
        <v>130</v>
      </c>
    </row>
    <row r="12" spans="1:9" x14ac:dyDescent="0.25">
      <c r="A12" s="14" t="s">
        <v>122</v>
      </c>
      <c r="B12" s="14">
        <v>3</v>
      </c>
      <c r="C12" s="14">
        <v>1.7440177953394249</v>
      </c>
      <c r="D12" s="14">
        <v>0.5813392651131416</v>
      </c>
      <c r="E12" s="14">
        <v>79.280735259821213</v>
      </c>
      <c r="F12" s="14">
        <v>5.1009204973692071E-4</v>
      </c>
    </row>
    <row r="13" spans="1:9" x14ac:dyDescent="0.25">
      <c r="A13" s="14" t="s">
        <v>123</v>
      </c>
      <c r="B13" s="14">
        <v>4</v>
      </c>
      <c r="C13" s="14">
        <v>2.9330669712280495E-2</v>
      </c>
      <c r="D13" s="14">
        <v>7.3326674280701238E-3</v>
      </c>
      <c r="E13" s="14"/>
      <c r="F13" s="14"/>
    </row>
    <row r="14" spans="1:9" ht="15.75" thickBot="1" x14ac:dyDescent="0.3">
      <c r="A14" s="15" t="s">
        <v>124</v>
      </c>
      <c r="B14" s="15">
        <v>7</v>
      </c>
      <c r="C14" s="15">
        <v>1.7733484650517055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131</v>
      </c>
      <c r="C16" s="16" t="s">
        <v>119</v>
      </c>
      <c r="D16" s="16" t="s">
        <v>132</v>
      </c>
      <c r="E16" s="16" t="s">
        <v>133</v>
      </c>
      <c r="F16" s="16" t="s">
        <v>134</v>
      </c>
      <c r="G16" s="16" t="s">
        <v>135</v>
      </c>
      <c r="H16" s="16" t="s">
        <v>136</v>
      </c>
      <c r="I16" s="16" t="s">
        <v>137</v>
      </c>
    </row>
    <row r="17" spans="1:9" x14ac:dyDescent="0.25">
      <c r="A17" s="14" t="s">
        <v>125</v>
      </c>
      <c r="B17" s="14">
        <v>4.1798582262730903</v>
      </c>
      <c r="C17" s="14">
        <v>0.44420337544890076</v>
      </c>
      <c r="D17" s="14">
        <v>9.4097849257652104</v>
      </c>
      <c r="E17" s="14">
        <v>7.1092060403965215E-4</v>
      </c>
      <c r="F17" s="14">
        <v>2.9465519387956522</v>
      </c>
      <c r="G17" s="14">
        <v>5.4131645137505284</v>
      </c>
      <c r="H17" s="14">
        <v>2.9465519387956522</v>
      </c>
      <c r="I17" s="14">
        <v>5.4131645137505284</v>
      </c>
    </row>
    <row r="18" spans="1:9" x14ac:dyDescent="0.25">
      <c r="A18" s="14" t="s">
        <v>112</v>
      </c>
      <c r="B18" s="14">
        <v>1.4085755743645412</v>
      </c>
      <c r="C18" s="14">
        <v>0.28195489298099624</v>
      </c>
      <c r="D18" s="14">
        <v>4.9957479349701481</v>
      </c>
      <c r="E18" s="14">
        <v>7.5130080891885626E-3</v>
      </c>
      <c r="F18" s="14">
        <v>0.62574329186088651</v>
      </c>
      <c r="G18" s="14">
        <v>2.1914078568681958</v>
      </c>
      <c r="H18" s="14">
        <v>0.62574329186088651</v>
      </c>
      <c r="I18" s="14">
        <v>2.1914078568681958</v>
      </c>
    </row>
    <row r="19" spans="1:9" x14ac:dyDescent="0.25">
      <c r="A19" s="14" t="s">
        <v>113</v>
      </c>
      <c r="B19" s="14">
        <v>1.0486894838415832</v>
      </c>
      <c r="C19" s="14">
        <v>0.43830647855297739</v>
      </c>
      <c r="D19" s="14">
        <v>2.3925940755056163</v>
      </c>
      <c r="E19" s="14">
        <v>7.4956318559220719E-2</v>
      </c>
      <c r="F19" s="14">
        <v>-0.16824439311331241</v>
      </c>
      <c r="G19" s="14">
        <v>2.2656233607964786</v>
      </c>
      <c r="H19" s="14">
        <v>-0.16824439311331241</v>
      </c>
      <c r="I19" s="14">
        <v>2.2656233607964786</v>
      </c>
    </row>
    <row r="20" spans="1:9" ht="15.75" thickBot="1" x14ac:dyDescent="0.3">
      <c r="A20" s="15" t="s">
        <v>114</v>
      </c>
      <c r="B20" s="15">
        <v>0.50612396544233651</v>
      </c>
      <c r="C20" s="15">
        <v>0.30348603655795009</v>
      </c>
      <c r="D20" s="15">
        <v>1.6677009960084048</v>
      </c>
      <c r="E20" s="15">
        <v>0.17070129635724765</v>
      </c>
      <c r="F20" s="15">
        <v>-0.33648835525486265</v>
      </c>
      <c r="G20" s="15">
        <v>1.3487362861395358</v>
      </c>
      <c r="H20" s="15">
        <v>-0.33648835525486265</v>
      </c>
      <c r="I20" s="15">
        <v>1.3487362861395358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A2" workbookViewId="0">
      <selection activeCell="I20" sqref="I20:I21"/>
    </sheetView>
  </sheetViews>
  <sheetFormatPr baseColWidth="10" defaultRowHeight="15" x14ac:dyDescent="0.25"/>
  <sheetData>
    <row r="1" spans="1:12" x14ac:dyDescent="0.25">
      <c r="A1" s="10" t="s">
        <v>48</v>
      </c>
    </row>
    <row r="3" spans="1:12" x14ac:dyDescent="0.25">
      <c r="B3" t="s">
        <v>4</v>
      </c>
      <c r="C3" s="1">
        <v>7.5</v>
      </c>
      <c r="D3" s="1" t="s">
        <v>5</v>
      </c>
      <c r="E3" s="1" t="s">
        <v>15</v>
      </c>
      <c r="F3" s="1"/>
    </row>
    <row r="4" spans="1:12" x14ac:dyDescent="0.25">
      <c r="B4" t="s">
        <v>25</v>
      </c>
      <c r="C4" s="1">
        <v>4185</v>
      </c>
      <c r="D4" s="1" t="s">
        <v>9</v>
      </c>
      <c r="E4" s="1" t="s">
        <v>16</v>
      </c>
      <c r="F4" s="1">
        <v>699</v>
      </c>
      <c r="G4" t="s">
        <v>19</v>
      </c>
    </row>
    <row r="5" spans="1:12" x14ac:dyDescent="0.25">
      <c r="B5" t="s">
        <v>8</v>
      </c>
      <c r="C5" s="1">
        <v>1004</v>
      </c>
      <c r="D5" s="1" t="s">
        <v>9</v>
      </c>
      <c r="E5" s="1" t="s">
        <v>17</v>
      </c>
      <c r="F5" s="1">
        <v>89</v>
      </c>
      <c r="G5" t="s">
        <v>19</v>
      </c>
    </row>
    <row r="6" spans="1:12" x14ac:dyDescent="0.25">
      <c r="B6" t="s">
        <v>10</v>
      </c>
      <c r="C6" s="1">
        <v>1.2</v>
      </c>
      <c r="D6" s="1" t="s">
        <v>11</v>
      </c>
      <c r="E6" s="1" t="s">
        <v>18</v>
      </c>
      <c r="F6" s="1">
        <v>564</v>
      </c>
      <c r="G6" t="s">
        <v>19</v>
      </c>
    </row>
    <row r="7" spans="1:12" x14ac:dyDescent="0.25">
      <c r="C7" s="1"/>
      <c r="D7" s="1"/>
      <c r="E7" s="1" t="s">
        <v>14</v>
      </c>
      <c r="F7" s="1">
        <v>16.420000000000002</v>
      </c>
      <c r="G7" t="s">
        <v>24</v>
      </c>
    </row>
    <row r="8" spans="1:12" x14ac:dyDescent="0.25">
      <c r="A8" s="1"/>
      <c r="B8" s="1" t="s">
        <v>37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36</v>
      </c>
      <c r="H8" s="1" t="s">
        <v>41</v>
      </c>
      <c r="I8" s="1" t="s">
        <v>43</v>
      </c>
      <c r="J8" s="1" t="s">
        <v>42</v>
      </c>
      <c r="K8" s="1" t="s">
        <v>44</v>
      </c>
    </row>
    <row r="9" spans="1:12" x14ac:dyDescent="0.25">
      <c r="A9" s="1"/>
      <c r="B9" s="1">
        <v>7600</v>
      </c>
      <c r="C9" s="9">
        <v>500.07002211355575</v>
      </c>
      <c r="D9" s="1">
        <f>F4/1000</f>
        <v>0.69899999999999995</v>
      </c>
      <c r="E9" s="1">
        <f>F5/1000</f>
        <v>8.8999999999999996E-2</v>
      </c>
      <c r="F9" s="1">
        <f>F6/1000</f>
        <v>0.56399999999999995</v>
      </c>
      <c r="G9" s="1">
        <f>F7</f>
        <v>16.420000000000002</v>
      </c>
      <c r="H9">
        <f>50*0.3/0.8</f>
        <v>18.75</v>
      </c>
      <c r="I9">
        <f>500*0.0283</f>
        <v>14.149999999999999</v>
      </c>
      <c r="J9">
        <v>0.2</v>
      </c>
      <c r="K9">
        <v>37.799999999999997</v>
      </c>
    </row>
    <row r="12" spans="1:12" ht="30" x14ac:dyDescent="0.25">
      <c r="A12" s="7" t="s">
        <v>40</v>
      </c>
      <c r="B12" s="2" t="s">
        <v>0</v>
      </c>
      <c r="C12" s="2" t="s">
        <v>2</v>
      </c>
      <c r="D12" s="2" t="s">
        <v>22</v>
      </c>
      <c r="E12" s="2" t="s">
        <v>23</v>
      </c>
      <c r="F12" s="2" t="s">
        <v>6</v>
      </c>
      <c r="G12" s="2" t="s">
        <v>21</v>
      </c>
      <c r="H12" s="4" t="s">
        <v>27</v>
      </c>
      <c r="I12" s="4" t="s">
        <v>47</v>
      </c>
      <c r="J12" s="4" t="s">
        <v>31</v>
      </c>
      <c r="K12" s="4" t="s">
        <v>28</v>
      </c>
      <c r="L12" s="4" t="s">
        <v>29</v>
      </c>
    </row>
    <row r="13" spans="1:12" x14ac:dyDescent="0.25">
      <c r="B13" s="2" t="s">
        <v>1</v>
      </c>
      <c r="C13" s="2" t="s">
        <v>3</v>
      </c>
      <c r="D13" s="2" t="s">
        <v>12</v>
      </c>
      <c r="E13" s="2" t="s">
        <v>12</v>
      </c>
      <c r="F13" s="3" t="s">
        <v>7</v>
      </c>
      <c r="G13" s="2" t="s">
        <v>20</v>
      </c>
    </row>
    <row r="14" spans="1:12" x14ac:dyDescent="0.25">
      <c r="B14" s="2">
        <v>0</v>
      </c>
      <c r="C14" s="1">
        <v>0</v>
      </c>
      <c r="D14" s="2">
        <f t="shared" ref="D14:D21" si="0">B14/60*$C$6*$C$5</f>
        <v>0</v>
      </c>
      <c r="E14" s="1">
        <f>$C$4*$C$3*0.001/60*1000</f>
        <v>523.125</v>
      </c>
      <c r="F14" s="2">
        <v>1</v>
      </c>
      <c r="G14" s="2">
        <f>B14/60/($F$4*$F$6)/0.000001</f>
        <v>0</v>
      </c>
      <c r="H14" s="6">
        <f>D14/E14</f>
        <v>0</v>
      </c>
      <c r="I14" s="2"/>
      <c r="J14" s="2">
        <v>1</v>
      </c>
      <c r="K14" s="5"/>
      <c r="L14" s="5"/>
    </row>
    <row r="15" spans="1:12" x14ac:dyDescent="0.25">
      <c r="B15" s="2">
        <v>5</v>
      </c>
      <c r="C15" s="2">
        <v>100</v>
      </c>
      <c r="D15" s="2">
        <f t="shared" si="0"/>
        <v>100.39999999999999</v>
      </c>
      <c r="E15" s="1">
        <f t="shared" ref="E15:E21" si="1">$C$4*$C$3*0.001/60*1000</f>
        <v>523.125</v>
      </c>
      <c r="F15" s="2">
        <f>C15/D15</f>
        <v>0.99601593625498019</v>
      </c>
      <c r="G15" s="2">
        <f t="shared" ref="G15:G21" si="2">B15/60/($F$4*$F$6)/0.000001</f>
        <v>0.21137930917859693</v>
      </c>
      <c r="H15" s="6">
        <f t="shared" ref="H15:H21" si="3">D15/E15</f>
        <v>0.19192353643966545</v>
      </c>
      <c r="I15" s="2">
        <f>$C$9/D15</f>
        <v>4.9807771126848186</v>
      </c>
      <c r="J15" s="2">
        <f>1-EXP((1/H15)*I15^0.22*(EXP(-H15*I15^0.78)-1))</f>
        <v>0.97342014449305148</v>
      </c>
      <c r="K15" s="2">
        <f>(J15-F15)</f>
        <v>-2.2595791761928719E-2</v>
      </c>
      <c r="L15" s="2">
        <f t="shared" ref="L15:L21" si="4">K15^2</f>
        <v>5.105698053484457E-4</v>
      </c>
    </row>
    <row r="16" spans="1:12" x14ac:dyDescent="0.25">
      <c r="B16" s="2">
        <v>10</v>
      </c>
      <c r="C16" s="2">
        <v>155</v>
      </c>
      <c r="D16" s="2">
        <f t="shared" si="0"/>
        <v>200.79999999999998</v>
      </c>
      <c r="E16" s="1">
        <f t="shared" si="1"/>
        <v>523.125</v>
      </c>
      <c r="F16" s="2">
        <f t="shared" ref="F16:F21" si="5">C16/D16</f>
        <v>0.77191235059760965</v>
      </c>
      <c r="G16" s="2">
        <f t="shared" si="2"/>
        <v>0.42275861835719386</v>
      </c>
      <c r="H16" s="6">
        <f t="shared" si="3"/>
        <v>0.3838470728793309</v>
      </c>
      <c r="I16" s="2">
        <f t="shared" ref="I16:I21" si="6">$C$9/D16</f>
        <v>2.4903885563424093</v>
      </c>
      <c r="J16" s="2">
        <f t="shared" ref="J16:J21" si="7">1-EXP((1/H16)*I16^0.22*(EXP(-H16*I16^0.78)-1))</f>
        <v>0.82229755293052942</v>
      </c>
      <c r="K16" s="2">
        <f t="shared" ref="K16:K21" si="8">(J16-F16)</f>
        <v>5.0385202332919765E-2</v>
      </c>
      <c r="L16" s="2">
        <f t="shared" si="4"/>
        <v>2.5386686141292635E-3</v>
      </c>
    </row>
    <row r="17" spans="2:12" x14ac:dyDescent="0.25">
      <c r="B17" s="2">
        <v>15</v>
      </c>
      <c r="C17" s="2">
        <v>195</v>
      </c>
      <c r="D17" s="2">
        <f t="shared" si="0"/>
        <v>301.2</v>
      </c>
      <c r="E17" s="1">
        <f t="shared" si="1"/>
        <v>523.125</v>
      </c>
      <c r="F17" s="2">
        <f t="shared" si="5"/>
        <v>0.64741035856573703</v>
      </c>
      <c r="G17" s="2">
        <f t="shared" si="2"/>
        <v>0.63413792753579079</v>
      </c>
      <c r="H17" s="6">
        <f t="shared" si="3"/>
        <v>0.57577060931899637</v>
      </c>
      <c r="I17" s="2">
        <f t="shared" si="6"/>
        <v>1.6602590375616062</v>
      </c>
      <c r="J17" s="2">
        <f t="shared" si="7"/>
        <v>0.67240565154012211</v>
      </c>
      <c r="K17" s="2">
        <f t="shared" si="8"/>
        <v>2.4995292974385075E-2</v>
      </c>
      <c r="L17" s="2">
        <f t="shared" si="4"/>
        <v>6.2476467087534387E-4</v>
      </c>
    </row>
    <row r="18" spans="2:12" x14ac:dyDescent="0.25">
      <c r="B18" s="2">
        <v>20</v>
      </c>
      <c r="C18" s="2">
        <v>225</v>
      </c>
      <c r="D18" s="2">
        <f t="shared" si="0"/>
        <v>401.59999999999997</v>
      </c>
      <c r="E18" s="1">
        <f t="shared" si="1"/>
        <v>523.125</v>
      </c>
      <c r="F18" s="2">
        <f t="shared" si="5"/>
        <v>0.56025896414342635</v>
      </c>
      <c r="G18" s="2">
        <f t="shared" si="2"/>
        <v>0.84551723671438772</v>
      </c>
      <c r="H18" s="6">
        <f t="shared" si="3"/>
        <v>0.76769414575866179</v>
      </c>
      <c r="I18" s="2">
        <f t="shared" si="6"/>
        <v>1.2451942781712046</v>
      </c>
      <c r="J18" s="2">
        <f t="shared" si="7"/>
        <v>0.55835047042225017</v>
      </c>
      <c r="K18" s="2">
        <f t="shared" si="8"/>
        <v>-1.9084937211761854E-3</v>
      </c>
      <c r="L18" s="2">
        <f t="shared" si="4"/>
        <v>3.6423482837689236E-6</v>
      </c>
    </row>
    <row r="19" spans="2:12" x14ac:dyDescent="0.25">
      <c r="B19" s="2">
        <v>25</v>
      </c>
      <c r="C19" s="2">
        <v>245</v>
      </c>
      <c r="D19" s="2">
        <f t="shared" si="0"/>
        <v>502</v>
      </c>
      <c r="E19" s="1">
        <f t="shared" si="1"/>
        <v>523.125</v>
      </c>
      <c r="F19" s="2">
        <f t="shared" si="5"/>
        <v>0.48804780876494025</v>
      </c>
      <c r="G19" s="2">
        <f t="shared" si="2"/>
        <v>1.0568965458929847</v>
      </c>
      <c r="H19" s="6">
        <f t="shared" si="3"/>
        <v>0.95961768219832733</v>
      </c>
      <c r="I19" s="2">
        <f t="shared" si="6"/>
        <v>0.99615542253696365</v>
      </c>
      <c r="J19" s="2">
        <f t="shared" si="7"/>
        <v>0.47335522930717111</v>
      </c>
      <c r="K19" s="2">
        <f t="shared" si="8"/>
        <v>-1.4692579457769139E-2</v>
      </c>
      <c r="L19" s="2">
        <f t="shared" si="4"/>
        <v>2.1587189112285969E-4</v>
      </c>
    </row>
    <row r="20" spans="2:12" x14ac:dyDescent="0.25">
      <c r="B20" s="2">
        <v>30</v>
      </c>
      <c r="C20" s="2">
        <v>260</v>
      </c>
      <c r="D20" s="2">
        <f t="shared" si="0"/>
        <v>602.4</v>
      </c>
      <c r="E20" s="1">
        <f t="shared" si="1"/>
        <v>523.125</v>
      </c>
      <c r="F20" s="2">
        <f t="shared" si="5"/>
        <v>0.43160690571049137</v>
      </c>
      <c r="G20" s="2">
        <f t="shared" si="2"/>
        <v>1.2682758550715816</v>
      </c>
      <c r="H20" s="6">
        <f t="shared" si="3"/>
        <v>1.1515412186379927</v>
      </c>
      <c r="I20" s="2">
        <f t="shared" si="6"/>
        <v>0.8301295187808031</v>
      </c>
      <c r="J20" s="2">
        <f t="shared" si="7"/>
        <v>0.4088252726225764</v>
      </c>
      <c r="K20" s="2">
        <f t="shared" si="8"/>
        <v>-2.2781633087914976E-2</v>
      </c>
      <c r="L20" s="2">
        <f t="shared" si="4"/>
        <v>5.1900280615238244E-4</v>
      </c>
    </row>
    <row r="21" spans="2:12" x14ac:dyDescent="0.25">
      <c r="B21" s="2">
        <v>35</v>
      </c>
      <c r="C21" s="2">
        <v>280</v>
      </c>
      <c r="D21" s="2">
        <f t="shared" si="0"/>
        <v>702.80000000000007</v>
      </c>
      <c r="E21" s="1">
        <f t="shared" si="1"/>
        <v>523.125</v>
      </c>
      <c r="F21" s="2">
        <f t="shared" si="5"/>
        <v>0.39840637450199201</v>
      </c>
      <c r="G21" s="2">
        <f t="shared" si="2"/>
        <v>1.4796551642501787</v>
      </c>
      <c r="H21" s="6">
        <f t="shared" si="3"/>
        <v>1.3434647550776584</v>
      </c>
      <c r="I21" s="2">
        <f t="shared" si="6"/>
        <v>0.71153958752640256</v>
      </c>
      <c r="J21" s="2">
        <f t="shared" si="7"/>
        <v>0.35862671215669129</v>
      </c>
      <c r="K21" s="2">
        <f t="shared" si="8"/>
        <v>-3.9779662345300726E-2</v>
      </c>
      <c r="L21" s="2">
        <f t="shared" si="4"/>
        <v>1.5824215363061365E-3</v>
      </c>
    </row>
    <row r="23" spans="2:12" x14ac:dyDescent="0.25">
      <c r="K23" s="8" t="s">
        <v>46</v>
      </c>
      <c r="L23" s="2">
        <f>SUM(L15:L21)</f>
        <v>5.9949416722182005E-3</v>
      </c>
    </row>
    <row r="43" spans="3:3" x14ac:dyDescent="0.25">
      <c r="C43" s="13" t="s">
        <v>52</v>
      </c>
    </row>
    <row r="44" spans="3:3" x14ac:dyDescent="0.25">
      <c r="C44" s="12" t="s">
        <v>148</v>
      </c>
    </row>
    <row r="45" spans="3:3" x14ac:dyDescent="0.25">
      <c r="C45" s="13"/>
    </row>
    <row r="46" spans="3:3" x14ac:dyDescent="0.25">
      <c r="C46" s="13" t="s">
        <v>54</v>
      </c>
    </row>
    <row r="47" spans="3:3" x14ac:dyDescent="0.25">
      <c r="C47" s="13"/>
    </row>
    <row r="48" spans="3:3" x14ac:dyDescent="0.25">
      <c r="C48" s="12" t="s">
        <v>149</v>
      </c>
    </row>
    <row r="49" spans="3:3" x14ac:dyDescent="0.25">
      <c r="C49" s="13" t="s">
        <v>56</v>
      </c>
    </row>
    <row r="50" spans="3:3" x14ac:dyDescent="0.25">
      <c r="C50" s="12" t="s">
        <v>57</v>
      </c>
    </row>
    <row r="51" spans="3:3" x14ac:dyDescent="0.25">
      <c r="C51" s="13" t="s">
        <v>58</v>
      </c>
    </row>
    <row r="52" spans="3:3" x14ac:dyDescent="0.25">
      <c r="C52" s="12" t="s">
        <v>59</v>
      </c>
    </row>
    <row r="53" spans="3:3" x14ac:dyDescent="0.25">
      <c r="C53" s="13" t="s">
        <v>60</v>
      </c>
    </row>
    <row r="54" spans="3:3" x14ac:dyDescent="0.25">
      <c r="C54" s="12" t="s">
        <v>61</v>
      </c>
    </row>
    <row r="55" spans="3:3" x14ac:dyDescent="0.25">
      <c r="C55" s="13" t="s">
        <v>62</v>
      </c>
    </row>
    <row r="56" spans="3:3" x14ac:dyDescent="0.25">
      <c r="C56" s="12" t="s">
        <v>150</v>
      </c>
    </row>
    <row r="57" spans="3:3" x14ac:dyDescent="0.25">
      <c r="C57" s="13" t="s">
        <v>64</v>
      </c>
    </row>
    <row r="58" spans="3:3" x14ac:dyDescent="0.25">
      <c r="C58" s="12" t="s">
        <v>151</v>
      </c>
    </row>
    <row r="59" spans="3:3" x14ac:dyDescent="0.25">
      <c r="C59" s="13" t="s">
        <v>65</v>
      </c>
    </row>
    <row r="60" spans="3:3" x14ac:dyDescent="0.25">
      <c r="C60" s="12" t="s">
        <v>66</v>
      </c>
    </row>
    <row r="61" spans="3:3" x14ac:dyDescent="0.25">
      <c r="C61" s="12"/>
    </row>
    <row r="62" spans="3:3" x14ac:dyDescent="0.25">
      <c r="C62" s="13" t="s">
        <v>67</v>
      </c>
    </row>
    <row r="63" spans="3:3" x14ac:dyDescent="0.25">
      <c r="C63" s="12" t="s">
        <v>68</v>
      </c>
    </row>
    <row r="64" spans="3:3" x14ac:dyDescent="0.25">
      <c r="C64" s="12"/>
    </row>
    <row r="65" spans="3:3" x14ac:dyDescent="0.25">
      <c r="C65" s="13" t="s">
        <v>69</v>
      </c>
    </row>
    <row r="66" spans="3:3" x14ac:dyDescent="0.25">
      <c r="C66" s="12" t="s">
        <v>152</v>
      </c>
    </row>
    <row r="67" spans="3:3" x14ac:dyDescent="0.25">
      <c r="C67" s="12"/>
    </row>
    <row r="68" spans="3:3" x14ac:dyDescent="0.25">
      <c r="C68" s="13" t="s">
        <v>71</v>
      </c>
    </row>
    <row r="69" spans="3:3" x14ac:dyDescent="0.25">
      <c r="C69" s="12" t="s">
        <v>153</v>
      </c>
    </row>
    <row r="70" spans="3:3" x14ac:dyDescent="0.25">
      <c r="C70" s="12"/>
    </row>
    <row r="71" spans="3:3" x14ac:dyDescent="0.25">
      <c r="C71" s="13" t="s">
        <v>73</v>
      </c>
    </row>
    <row r="72" spans="3:3" x14ac:dyDescent="0.25">
      <c r="C72" s="12" t="s">
        <v>154</v>
      </c>
    </row>
    <row r="73" spans="3:3" x14ac:dyDescent="0.25">
      <c r="C73" s="12"/>
    </row>
    <row r="74" spans="3:3" x14ac:dyDescent="0.25">
      <c r="C74" s="13" t="s">
        <v>75</v>
      </c>
    </row>
    <row r="75" spans="3:3" x14ac:dyDescent="0.25">
      <c r="C75" s="12" t="s">
        <v>76</v>
      </c>
    </row>
    <row r="76" spans="3:3" x14ac:dyDescent="0.25">
      <c r="C76" s="12"/>
    </row>
    <row r="77" spans="3:3" x14ac:dyDescent="0.25">
      <c r="C77" s="13" t="s">
        <v>77</v>
      </c>
    </row>
    <row r="78" spans="3:3" x14ac:dyDescent="0.25">
      <c r="C78" s="12" t="s">
        <v>78</v>
      </c>
    </row>
    <row r="79" spans="3:3" x14ac:dyDescent="0.25">
      <c r="C79" s="12"/>
    </row>
    <row r="80" spans="3:3" x14ac:dyDescent="0.25">
      <c r="C80" s="13" t="s">
        <v>79</v>
      </c>
    </row>
    <row r="81" spans="3:3" x14ac:dyDescent="0.25">
      <c r="C81" s="12" t="s">
        <v>155</v>
      </c>
    </row>
    <row r="82" spans="3:3" x14ac:dyDescent="0.25">
      <c r="C82" s="12"/>
    </row>
    <row r="83" spans="3:3" x14ac:dyDescent="0.25">
      <c r="C83" s="13" t="s">
        <v>156</v>
      </c>
    </row>
    <row r="84" spans="3:3" x14ac:dyDescent="0.25">
      <c r="C84" s="12" t="s">
        <v>157</v>
      </c>
    </row>
  </sheetData>
  <hyperlinks>
    <hyperlink ref="A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T46"/>
  <sheetViews>
    <sheetView topLeftCell="B1" workbookViewId="0">
      <selection activeCell="B8" sqref="B8"/>
    </sheetView>
  </sheetViews>
  <sheetFormatPr baseColWidth="10" defaultRowHeight="15" x14ac:dyDescent="0.25"/>
  <cols>
    <col min="6" max="6" width="15.5703125" bestFit="1" customWidth="1"/>
    <col min="14" max="14" width="15.5703125" bestFit="1" customWidth="1"/>
    <col min="15" max="15" width="15.5703125" customWidth="1"/>
  </cols>
  <sheetData>
    <row r="6" spans="2:20" ht="30" x14ac:dyDescent="0.25">
      <c r="B6" s="11"/>
      <c r="C6" s="11" t="s">
        <v>37</v>
      </c>
      <c r="D6" s="11" t="s">
        <v>109</v>
      </c>
      <c r="E6" s="11" t="s">
        <v>33</v>
      </c>
      <c r="F6" s="11" t="s">
        <v>34</v>
      </c>
      <c r="G6" s="11" t="s">
        <v>35</v>
      </c>
      <c r="H6" s="11" t="s">
        <v>36</v>
      </c>
      <c r="I6" s="11" t="s">
        <v>41</v>
      </c>
      <c r="J6" s="11" t="s">
        <v>43</v>
      </c>
      <c r="K6" s="11" t="s">
        <v>138</v>
      </c>
      <c r="L6" s="11" t="s">
        <v>42</v>
      </c>
      <c r="M6" s="11" t="s">
        <v>44</v>
      </c>
      <c r="N6" s="11" t="s">
        <v>139</v>
      </c>
      <c r="O6" s="11" t="s">
        <v>164</v>
      </c>
      <c r="P6" s="11" t="s">
        <v>49</v>
      </c>
      <c r="Q6" s="11" t="s">
        <v>50</v>
      </c>
      <c r="R6" s="11" t="s">
        <v>110</v>
      </c>
    </row>
    <row r="7" spans="2:20" x14ac:dyDescent="0.25">
      <c r="B7" s="1"/>
      <c r="C7" s="2">
        <v>360</v>
      </c>
      <c r="D7" s="2">
        <v>13.1</v>
      </c>
      <c r="E7" s="2">
        <v>0.188</v>
      </c>
      <c r="F7" s="2">
        <v>3.3000000000000002E-2</v>
      </c>
      <c r="G7" s="2">
        <v>0.16800000000000001</v>
      </c>
      <c r="H7" s="2">
        <v>1.18</v>
      </c>
      <c r="I7" s="2">
        <v>50</v>
      </c>
      <c r="J7" s="2">
        <v>4</v>
      </c>
      <c r="K7" s="2">
        <f>I7/(J7/60)^2</f>
        <v>11250</v>
      </c>
      <c r="L7" s="2">
        <v>0.1</v>
      </c>
      <c r="M7" s="2">
        <v>7.6</v>
      </c>
      <c r="N7" s="18">
        <f>L7*100000/(M7/1000/60)^2</f>
        <v>623268698060.94177</v>
      </c>
      <c r="O7" s="18">
        <v>0.05</v>
      </c>
      <c r="P7" s="2">
        <f>E7/F7</f>
        <v>5.6969696969696964</v>
      </c>
      <c r="Q7" s="2">
        <f>E7/G7</f>
        <v>1.1190476190476191</v>
      </c>
      <c r="R7" s="2">
        <f>(E7*F7*G7)</f>
        <v>1.0422720000000001E-3</v>
      </c>
      <c r="S7" s="20">
        <f>O7/E7/G7</f>
        <v>1.5830800405268488</v>
      </c>
      <c r="T7" s="20">
        <f>N7/E7/G7</f>
        <v>19733684715708.641</v>
      </c>
    </row>
    <row r="8" spans="2:20" x14ac:dyDescent="0.25">
      <c r="B8" s="1"/>
      <c r="C8" s="2">
        <v>430</v>
      </c>
      <c r="D8" s="2">
        <v>24.42</v>
      </c>
      <c r="E8" s="2">
        <v>0.188</v>
      </c>
      <c r="F8" s="2">
        <v>4.8000000000000001E-2</v>
      </c>
      <c r="G8" s="2">
        <v>0.14699999999999999</v>
      </c>
      <c r="H8" s="2">
        <v>1.1499999999999999</v>
      </c>
      <c r="I8" s="2">
        <v>300</v>
      </c>
      <c r="J8" s="2">
        <v>6</v>
      </c>
      <c r="K8" s="2">
        <f t="shared" ref="K8:K14" si="0">I8/(J8/60)^2</f>
        <v>29999.999999999993</v>
      </c>
      <c r="L8" s="2">
        <v>0.75</v>
      </c>
      <c r="M8" s="2">
        <v>11.4</v>
      </c>
      <c r="N8" s="18">
        <f t="shared" ref="N8:N14" si="1">L8*100000/(M8/1000/60)^2</f>
        <v>2077562326869.8057</v>
      </c>
      <c r="O8" s="18">
        <v>0.13100000000000001</v>
      </c>
      <c r="P8" s="2">
        <f t="shared" ref="P8:P9" si="2">E8/F8</f>
        <v>3.9166666666666665</v>
      </c>
      <c r="Q8" s="2">
        <f t="shared" ref="Q8:Q9" si="3">E8/G8</f>
        <v>1.2789115646258504</v>
      </c>
      <c r="R8" s="2">
        <f t="shared" ref="R8:R14" si="4">(E8*F8*G8)</f>
        <v>1.326528E-3</v>
      </c>
      <c r="S8" s="20">
        <f t="shared" ref="S8:S14" si="5">O8/E8/G8</f>
        <v>4.7401939499203936</v>
      </c>
      <c r="T8" s="20">
        <f t="shared" ref="T8:T14" si="6">N8/E8/G8</f>
        <v>75175941774128.156</v>
      </c>
    </row>
    <row r="9" spans="2:20" x14ac:dyDescent="0.25">
      <c r="B9" s="1"/>
      <c r="C9" s="2">
        <v>700</v>
      </c>
      <c r="D9" s="2">
        <v>48.77</v>
      </c>
      <c r="E9" s="2">
        <v>0.31</v>
      </c>
      <c r="F9" s="2">
        <v>4.5999999999999999E-2</v>
      </c>
      <c r="G9" s="2">
        <v>0.14699999999999999</v>
      </c>
      <c r="H9" s="2">
        <v>2.31</v>
      </c>
      <c r="I9" s="2">
        <v>50</v>
      </c>
      <c r="J9" s="2">
        <v>4</v>
      </c>
      <c r="K9" s="2">
        <f t="shared" si="0"/>
        <v>11250</v>
      </c>
      <c r="L9" s="2">
        <v>0.4</v>
      </c>
      <c r="M9" s="2">
        <v>7.6</v>
      </c>
      <c r="N9" s="18">
        <f t="shared" si="1"/>
        <v>2493074792243.7671</v>
      </c>
      <c r="O9" s="18">
        <v>0.20499999999999999</v>
      </c>
      <c r="P9" s="2">
        <f t="shared" si="2"/>
        <v>6.7391304347826084</v>
      </c>
      <c r="Q9" s="2">
        <f t="shared" si="3"/>
        <v>2.1088435374149661</v>
      </c>
      <c r="R9" s="2">
        <f t="shared" si="4"/>
        <v>2.0962199999999998E-3</v>
      </c>
      <c r="S9" s="20">
        <f t="shared" si="5"/>
        <v>4.4985736229975863</v>
      </c>
      <c r="T9" s="20">
        <f t="shared" si="6"/>
        <v>54708685368526.82</v>
      </c>
    </row>
    <row r="10" spans="2:20" x14ac:dyDescent="0.25">
      <c r="C10" s="2">
        <v>1230</v>
      </c>
      <c r="D10" s="2">
        <v>69.917000000000002</v>
      </c>
      <c r="E10" s="2">
        <v>0.30099999999999999</v>
      </c>
      <c r="F10" s="2">
        <v>6.4000000000000001E-2</v>
      </c>
      <c r="G10" s="2">
        <v>0.22900000000000001</v>
      </c>
      <c r="H10" s="2">
        <v>2.99</v>
      </c>
      <c r="I10" s="2">
        <v>250</v>
      </c>
      <c r="J10" s="2">
        <v>14</v>
      </c>
      <c r="K10" s="2">
        <f t="shared" si="0"/>
        <v>4591.8367346938776</v>
      </c>
      <c r="L10" s="2">
        <v>0.6</v>
      </c>
      <c r="M10" s="2">
        <v>7.6</v>
      </c>
      <c r="N10" s="18">
        <f t="shared" si="1"/>
        <v>3739612188365.6509</v>
      </c>
      <c r="O10" s="18">
        <v>0.28799999999999998</v>
      </c>
      <c r="P10" s="2">
        <f t="shared" ref="P10:P14" si="7">E10/F10</f>
        <v>4.703125</v>
      </c>
      <c r="Q10" s="2">
        <f t="shared" ref="Q10:Q14" si="8">E10/G10</f>
        <v>1.3144104803493448</v>
      </c>
      <c r="R10" s="2">
        <f t="shared" si="4"/>
        <v>4.4114560000000002E-3</v>
      </c>
      <c r="S10" s="20">
        <f t="shared" si="5"/>
        <v>4.1782123634464448</v>
      </c>
      <c r="T10" s="20">
        <f t="shared" si="6"/>
        <v>54253103749737.43</v>
      </c>
    </row>
    <row r="11" spans="2:20" x14ac:dyDescent="0.25">
      <c r="C11" s="2">
        <v>2000</v>
      </c>
      <c r="D11" s="2">
        <v>132.465</v>
      </c>
      <c r="E11" s="2">
        <v>0.505</v>
      </c>
      <c r="F11" s="2">
        <v>6.4000000000000001E-2</v>
      </c>
      <c r="G11" s="2">
        <v>0.22900000000000001</v>
      </c>
      <c r="H11" s="2">
        <v>4.99</v>
      </c>
      <c r="I11" s="2">
        <v>50</v>
      </c>
      <c r="J11" s="2">
        <v>11.2</v>
      </c>
      <c r="K11" s="2">
        <f t="shared" si="0"/>
        <v>1434.9489795918371</v>
      </c>
      <c r="L11" s="2">
        <v>1</v>
      </c>
      <c r="M11" s="2">
        <v>7.6</v>
      </c>
      <c r="N11" s="18">
        <f t="shared" si="1"/>
        <v>6232686980609.418</v>
      </c>
      <c r="O11" s="18">
        <v>0.5</v>
      </c>
      <c r="P11" s="2">
        <f t="shared" si="7"/>
        <v>7.890625</v>
      </c>
      <c r="Q11" s="2">
        <f t="shared" si="8"/>
        <v>2.2052401746724892</v>
      </c>
      <c r="R11" s="2">
        <f t="shared" si="4"/>
        <v>7.4012800000000005E-3</v>
      </c>
      <c r="S11" s="20">
        <f t="shared" si="5"/>
        <v>4.3235764624497381</v>
      </c>
      <c r="T11" s="20">
        <f t="shared" si="6"/>
        <v>53894997454359.609</v>
      </c>
    </row>
    <row r="12" spans="2:20" x14ac:dyDescent="0.25">
      <c r="C12" s="2">
        <v>2110</v>
      </c>
      <c r="D12" s="2">
        <v>99.46</v>
      </c>
      <c r="E12" s="2">
        <v>0.32800000000000001</v>
      </c>
      <c r="F12" s="2">
        <v>5.2999999999999999E-2</v>
      </c>
      <c r="G12" s="2">
        <v>0.30499999999999999</v>
      </c>
      <c r="H12" s="2">
        <v>7.03</v>
      </c>
      <c r="I12" s="2">
        <v>100</v>
      </c>
      <c r="J12" s="2">
        <v>14.149999999999999</v>
      </c>
      <c r="K12" s="2">
        <f t="shared" si="0"/>
        <v>1797.9997253055978</v>
      </c>
      <c r="L12" s="2">
        <v>0.6</v>
      </c>
      <c r="M12" s="2">
        <v>15.1</v>
      </c>
      <c r="N12" s="18">
        <f t="shared" si="1"/>
        <v>947326871628.43762</v>
      </c>
      <c r="O12" s="18">
        <v>0.48799999999999999</v>
      </c>
      <c r="P12" s="2">
        <f t="shared" si="7"/>
        <v>6.1886792452830193</v>
      </c>
      <c r="Q12" s="2">
        <f t="shared" si="8"/>
        <v>1.0754098360655739</v>
      </c>
      <c r="R12" s="2">
        <f t="shared" si="4"/>
        <v>5.3021199999999996E-3</v>
      </c>
      <c r="S12" s="20">
        <f t="shared" si="5"/>
        <v>4.8780487804878048</v>
      </c>
      <c r="T12" s="20">
        <f t="shared" si="6"/>
        <v>9469480923914.8105</v>
      </c>
    </row>
    <row r="13" spans="2:20" x14ac:dyDescent="0.25">
      <c r="C13" s="2">
        <v>3000</v>
      </c>
      <c r="D13" s="2">
        <v>195.76</v>
      </c>
      <c r="E13" s="2">
        <v>0.58799999999999997</v>
      </c>
      <c r="F13" s="2">
        <v>5.2999999999999999E-2</v>
      </c>
      <c r="G13" s="2">
        <v>0.30499999999999999</v>
      </c>
      <c r="H13" s="2">
        <v>8.2100000000000009</v>
      </c>
      <c r="I13" s="2">
        <v>25</v>
      </c>
      <c r="J13" s="2">
        <v>14</v>
      </c>
      <c r="K13" s="2">
        <f t="shared" si="0"/>
        <v>459.18367346938771</v>
      </c>
      <c r="L13" s="2">
        <v>0.9</v>
      </c>
      <c r="M13" s="2">
        <v>15.1</v>
      </c>
      <c r="N13" s="18">
        <f t="shared" si="1"/>
        <v>1420990307442.6565</v>
      </c>
      <c r="O13" s="18">
        <v>0.84399999999999997</v>
      </c>
      <c r="P13" s="2">
        <f t="shared" si="7"/>
        <v>11.09433962264151</v>
      </c>
      <c r="Q13" s="2">
        <f t="shared" si="8"/>
        <v>1.9278688524590164</v>
      </c>
      <c r="R13" s="2">
        <f t="shared" si="4"/>
        <v>9.5050199999999994E-3</v>
      </c>
      <c r="S13" s="20">
        <f t="shared" si="5"/>
        <v>4.7061447529831604</v>
      </c>
      <c r="T13" s="20">
        <f t="shared" si="6"/>
        <v>7923443222051.1689</v>
      </c>
    </row>
    <row r="14" spans="2:20" x14ac:dyDescent="0.25">
      <c r="C14" s="2">
        <v>7600</v>
      </c>
      <c r="D14" s="2">
        <v>500</v>
      </c>
      <c r="E14" s="2">
        <v>0.69899999999999995</v>
      </c>
      <c r="F14" s="2">
        <v>8.8999999999999996E-2</v>
      </c>
      <c r="G14" s="2">
        <v>0.56399999999999995</v>
      </c>
      <c r="H14" s="2">
        <v>16.420000000000002</v>
      </c>
      <c r="I14" s="2">
        <v>18.75</v>
      </c>
      <c r="J14" s="2">
        <v>14.149999999999999</v>
      </c>
      <c r="K14" s="2">
        <f t="shared" si="0"/>
        <v>337.12494849479958</v>
      </c>
      <c r="L14" s="2">
        <v>0.2</v>
      </c>
      <c r="M14" s="2">
        <v>37.799999999999997</v>
      </c>
      <c r="N14" s="18">
        <f t="shared" si="1"/>
        <v>50390526581.002769</v>
      </c>
      <c r="O14" s="18">
        <v>1.7370000000000001</v>
      </c>
      <c r="P14" s="2">
        <f t="shared" si="7"/>
        <v>7.8539325842696623</v>
      </c>
      <c r="Q14" s="2">
        <f t="shared" si="8"/>
        <v>1.2393617021276595</v>
      </c>
      <c r="R14" s="2">
        <f t="shared" si="4"/>
        <v>3.5087003999999991E-2</v>
      </c>
      <c r="S14" s="20">
        <f t="shared" si="5"/>
        <v>4.4059903205186748</v>
      </c>
      <c r="T14" s="20">
        <f t="shared" si="6"/>
        <v>127818176374.0571</v>
      </c>
    </row>
    <row r="33" spans="2:18" ht="41.25" x14ac:dyDescent="0.25">
      <c r="B33" t="s">
        <v>141</v>
      </c>
      <c r="C33" s="11" t="s">
        <v>109</v>
      </c>
      <c r="E33" s="11" t="s">
        <v>142</v>
      </c>
      <c r="G33" s="11" t="s">
        <v>146</v>
      </c>
      <c r="H33" s="11" t="s">
        <v>33</v>
      </c>
      <c r="I33" s="11" t="s">
        <v>34</v>
      </c>
      <c r="J33" s="11" t="s">
        <v>35</v>
      </c>
      <c r="L33" s="11" t="s">
        <v>111</v>
      </c>
      <c r="M33" s="11" t="s">
        <v>143</v>
      </c>
      <c r="N33" s="11" t="s">
        <v>144</v>
      </c>
      <c r="O33" s="11"/>
      <c r="P33" s="11" t="s">
        <v>112</v>
      </c>
      <c r="Q33" s="11" t="s">
        <v>113</v>
      </c>
      <c r="R33" s="11" t="s">
        <v>114</v>
      </c>
    </row>
    <row r="34" spans="2:18" x14ac:dyDescent="0.25">
      <c r="B34" s="2">
        <f t="shared" ref="B34:B41" si="9">10^$C$43*H34^$D$43*I34^$E$43*J34^$F$43</f>
        <v>16.283445760049336</v>
      </c>
      <c r="C34" s="2">
        <v>13.1</v>
      </c>
      <c r="D34" s="2">
        <f>10^$C$44*H34^$D$44*I34^$E$44*J34^$F$44</f>
        <v>11133.334254458528</v>
      </c>
      <c r="E34">
        <v>11250</v>
      </c>
      <c r="F34" s="18">
        <f>10^$C$45*H34^$D$45*I34^$E$45*J34^$F$45</f>
        <v>932207744451.7832</v>
      </c>
      <c r="G34">
        <v>623268698060.94177</v>
      </c>
      <c r="H34" s="2">
        <v>0.188</v>
      </c>
      <c r="I34" s="2">
        <v>3.3000000000000002E-2</v>
      </c>
      <c r="J34" s="2">
        <v>0.16800000000000001</v>
      </c>
      <c r="L34">
        <f t="shared" ref="L34:L41" si="10">LOG10(C34)</f>
        <v>1.1172712956557642</v>
      </c>
      <c r="M34">
        <f>LOG10(E34)</f>
        <v>4.0511525224473814</v>
      </c>
      <c r="N34">
        <f>LOG10(G34)</f>
        <v>11.794675316205705</v>
      </c>
      <c r="P34">
        <f>LOG10(H34)</f>
        <v>-0.72584215073632019</v>
      </c>
      <c r="Q34">
        <f>LOG10(I34)</f>
        <v>-1.4814860601221125</v>
      </c>
      <c r="R34">
        <f>LOG10(J34)</f>
        <v>-0.77469071827413716</v>
      </c>
    </row>
    <row r="35" spans="2:18" x14ac:dyDescent="0.25">
      <c r="B35" s="2">
        <f t="shared" si="9"/>
        <v>22.544759321583292</v>
      </c>
      <c r="C35" s="2">
        <v>24.42</v>
      </c>
      <c r="D35" s="2">
        <f t="shared" ref="D35:D41" si="11">10^$C$44*H35^$D$44*I35^$E$44*J35^$F$44</f>
        <v>27155.712674946746</v>
      </c>
      <c r="E35">
        <v>29999.999999999993</v>
      </c>
      <c r="F35" s="18">
        <f t="shared" ref="F35:F41" si="12">10^$C$45*H35^$D$45*I35^$E$45*J35^$F$45</f>
        <v>3093417027551.248</v>
      </c>
      <c r="G35">
        <v>2077562326869.8057</v>
      </c>
      <c r="H35" s="2">
        <v>0.188</v>
      </c>
      <c r="I35" s="2">
        <v>4.8000000000000001E-2</v>
      </c>
      <c r="J35" s="2">
        <v>0.14699999999999999</v>
      </c>
      <c r="L35">
        <f t="shared" si="10"/>
        <v>1.3877456596088638</v>
      </c>
      <c r="M35">
        <f t="shared" ref="M35:M41" si="13">LOG10(E35)</f>
        <v>4.4771212547196626</v>
      </c>
      <c r="N35">
        <f t="shared" ref="N35:N41" si="14">LOG10(G35)</f>
        <v>12.317554061486042</v>
      </c>
      <c r="P35">
        <f t="shared" ref="P35:R41" si="15">LOG10(H35)</f>
        <v>-0.72584215073632019</v>
      </c>
      <c r="Q35">
        <f t="shared" si="15"/>
        <v>-1.3187587626244128</v>
      </c>
      <c r="R35">
        <f t="shared" si="15"/>
        <v>-0.83268266525182388</v>
      </c>
    </row>
    <row r="36" spans="2:18" x14ac:dyDescent="0.25">
      <c r="B36" s="2">
        <f t="shared" si="9"/>
        <v>43.612429484921641</v>
      </c>
      <c r="C36" s="2">
        <v>48.77</v>
      </c>
      <c r="D36" s="2">
        <f t="shared" si="11"/>
        <v>7866.4343251024229</v>
      </c>
      <c r="E36">
        <v>11250</v>
      </c>
      <c r="F36" s="18">
        <f t="shared" si="12"/>
        <v>6428492115448.2432</v>
      </c>
      <c r="G36">
        <v>2493074792243.7671</v>
      </c>
      <c r="H36" s="2">
        <v>0.31</v>
      </c>
      <c r="I36" s="2">
        <v>4.5999999999999999E-2</v>
      </c>
      <c r="J36" s="2">
        <v>0.14699999999999999</v>
      </c>
      <c r="L36">
        <f t="shared" si="10"/>
        <v>1.6881527555915663</v>
      </c>
      <c r="M36">
        <f t="shared" si="13"/>
        <v>4.0511525224473814</v>
      </c>
      <c r="N36">
        <f t="shared" si="14"/>
        <v>12.396735307533667</v>
      </c>
      <c r="P36">
        <f t="shared" si="15"/>
        <v>-0.50863830616572736</v>
      </c>
      <c r="Q36">
        <f t="shared" si="15"/>
        <v>-1.3372421683184259</v>
      </c>
      <c r="R36">
        <f t="shared" si="15"/>
        <v>-0.83268266525182388</v>
      </c>
    </row>
    <row r="37" spans="2:18" x14ac:dyDescent="0.25">
      <c r="B37" s="2">
        <f t="shared" si="9"/>
        <v>74.03389816198208</v>
      </c>
      <c r="C37" s="2">
        <v>69.917000000000002</v>
      </c>
      <c r="D37" s="2">
        <f t="shared" si="11"/>
        <v>6073.4817204395122</v>
      </c>
      <c r="E37">
        <v>4591.8367346938776</v>
      </c>
      <c r="F37" s="18">
        <f t="shared" si="12"/>
        <v>1471483750421.7993</v>
      </c>
      <c r="G37">
        <v>3739612188365.6509</v>
      </c>
      <c r="H37" s="2">
        <v>0.30099999999999999</v>
      </c>
      <c r="I37" s="2">
        <v>6.4000000000000001E-2</v>
      </c>
      <c r="J37" s="2">
        <v>0.22900000000000001</v>
      </c>
      <c r="L37">
        <f t="shared" si="10"/>
        <v>1.8445827853100225</v>
      </c>
      <c r="M37">
        <f t="shared" si="13"/>
        <v>3.6619864380828488</v>
      </c>
      <c r="N37">
        <f t="shared" si="14"/>
        <v>12.572826566589349</v>
      </c>
      <c r="P37">
        <f t="shared" si="15"/>
        <v>-0.52143350440615666</v>
      </c>
      <c r="Q37">
        <f t="shared" si="15"/>
        <v>-1.1938200260161129</v>
      </c>
      <c r="R37">
        <f t="shared" si="15"/>
        <v>-0.64016451766011195</v>
      </c>
    </row>
    <row r="38" spans="2:18" x14ac:dyDescent="0.25">
      <c r="B38" s="2">
        <f t="shared" si="9"/>
        <v>153.45201574350503</v>
      </c>
      <c r="C38" s="2">
        <v>132.465</v>
      </c>
      <c r="D38" s="2">
        <f t="shared" si="11"/>
        <v>1814.2800094065431</v>
      </c>
      <c r="E38">
        <v>1434.9489795918371</v>
      </c>
      <c r="F38" s="18">
        <f t="shared" si="12"/>
        <v>3368691426797.4951</v>
      </c>
      <c r="G38">
        <v>6232686980609.418</v>
      </c>
      <c r="H38" s="2">
        <v>0.505</v>
      </c>
      <c r="I38" s="2">
        <v>6.4000000000000001E-2</v>
      </c>
      <c r="J38" s="2">
        <v>0.22900000000000001</v>
      </c>
      <c r="L38">
        <f t="shared" si="10"/>
        <v>2.1221011438214461</v>
      </c>
      <c r="M38">
        <f t="shared" si="13"/>
        <v>3.156836459762943</v>
      </c>
      <c r="N38">
        <f t="shared" si="14"/>
        <v>12.794675316205705</v>
      </c>
      <c r="P38">
        <f t="shared" si="15"/>
        <v>-0.29670862188133862</v>
      </c>
      <c r="Q38">
        <f t="shared" si="15"/>
        <v>-1.1938200260161129</v>
      </c>
      <c r="R38">
        <f t="shared" si="15"/>
        <v>-0.64016451766011195</v>
      </c>
    </row>
    <row r="39" spans="2:18" x14ac:dyDescent="0.25">
      <c r="B39" s="2">
        <f t="shared" si="9"/>
        <v>79.265327346269515</v>
      </c>
      <c r="C39" s="2">
        <v>99.46</v>
      </c>
      <c r="D39" s="2">
        <f t="shared" si="11"/>
        <v>2052.7435896960747</v>
      </c>
      <c r="E39">
        <v>1797.9997253055978</v>
      </c>
      <c r="F39" s="18">
        <f t="shared" si="12"/>
        <v>349395637563.72504</v>
      </c>
      <c r="G39">
        <v>947326871628.43762</v>
      </c>
      <c r="H39" s="2">
        <v>0.32800000000000001</v>
      </c>
      <c r="I39" s="2">
        <v>5.2999999999999999E-2</v>
      </c>
      <c r="J39" s="2">
        <v>0.30499999999999999</v>
      </c>
      <c r="L39">
        <f t="shared" si="10"/>
        <v>1.9976484548962061</v>
      </c>
      <c r="M39">
        <f t="shared" si="13"/>
        <v>3.2547896210466694</v>
      </c>
      <c r="N39">
        <f t="shared" si="14"/>
        <v>11.976499856564592</v>
      </c>
      <c r="P39">
        <f t="shared" si="15"/>
        <v>-0.4841261562883209</v>
      </c>
      <c r="Q39">
        <f t="shared" si="15"/>
        <v>-1.2757241303992111</v>
      </c>
      <c r="R39">
        <f t="shared" si="15"/>
        <v>-0.51570016065321422</v>
      </c>
    </row>
    <row r="40" spans="2:18" x14ac:dyDescent="0.25">
      <c r="B40" s="2">
        <f t="shared" si="9"/>
        <v>180.36907197096946</v>
      </c>
      <c r="C40" s="2">
        <v>195.76</v>
      </c>
      <c r="D40" s="2">
        <f t="shared" si="11"/>
        <v>525.29486634882244</v>
      </c>
      <c r="E40">
        <v>459.18367346938771</v>
      </c>
      <c r="F40" s="18">
        <f t="shared" si="12"/>
        <v>889380676044.08008</v>
      </c>
      <c r="G40">
        <v>1420990307442.6565</v>
      </c>
      <c r="H40" s="2">
        <v>0.58799999999999997</v>
      </c>
      <c r="I40" s="2">
        <v>5.2999999999999999E-2</v>
      </c>
      <c r="J40" s="2">
        <v>0.30499999999999999</v>
      </c>
      <c r="L40">
        <f t="shared" si="10"/>
        <v>2.2917239563437328</v>
      </c>
      <c r="M40">
        <f t="shared" si="13"/>
        <v>2.6619864380828488</v>
      </c>
      <c r="N40">
        <f t="shared" si="14"/>
        <v>12.152591115620273</v>
      </c>
      <c r="P40">
        <f t="shared" si="15"/>
        <v>-0.23062267392386154</v>
      </c>
      <c r="Q40">
        <f t="shared" si="15"/>
        <v>-1.2757241303992111</v>
      </c>
      <c r="R40">
        <f t="shared" si="15"/>
        <v>-0.51570016065321422</v>
      </c>
    </row>
    <row r="41" spans="2:18" x14ac:dyDescent="0.25">
      <c r="B41" s="2">
        <f t="shared" si="9"/>
        <v>540.93529211707073</v>
      </c>
      <c r="C41" s="2">
        <v>500</v>
      </c>
      <c r="D41" s="2">
        <f t="shared" si="11"/>
        <v>246.41768340792376</v>
      </c>
      <c r="E41">
        <v>337.12494849479958</v>
      </c>
      <c r="F41" s="18">
        <f t="shared" si="12"/>
        <v>178741037257.93414</v>
      </c>
      <c r="G41">
        <v>50390526581.002769</v>
      </c>
      <c r="H41" s="2">
        <v>0.69899999999999995</v>
      </c>
      <c r="I41" s="2">
        <v>8.8999999999999996E-2</v>
      </c>
      <c r="J41" s="2">
        <v>0.56399999999999995</v>
      </c>
      <c r="L41">
        <f t="shared" si="10"/>
        <v>2.6989700043360187</v>
      </c>
      <c r="M41">
        <f t="shared" si="13"/>
        <v>2.5277908931104069</v>
      </c>
      <c r="N41">
        <f t="shared" si="14"/>
        <v>10.702348896756817</v>
      </c>
      <c r="P41">
        <f t="shared" si="15"/>
        <v>-0.15552282425431863</v>
      </c>
      <c r="Q41">
        <f t="shared" si="15"/>
        <v>-1.0506099933550872</v>
      </c>
      <c r="R41">
        <f t="shared" si="15"/>
        <v>-0.24872089601665776</v>
      </c>
    </row>
    <row r="43" spans="2:18" x14ac:dyDescent="0.25">
      <c r="B43" t="s">
        <v>140</v>
      </c>
      <c r="C43" s="19">
        <v>4.1798582262730903</v>
      </c>
      <c r="D43" s="19">
        <v>1.4085755743645412</v>
      </c>
      <c r="E43" s="19">
        <v>1.0486894838415832</v>
      </c>
      <c r="F43" s="19">
        <v>0.50612396544233651</v>
      </c>
    </row>
    <row r="44" spans="2:18" x14ac:dyDescent="0.25">
      <c r="B44" t="s">
        <v>145</v>
      </c>
      <c r="C44" s="19">
        <v>3.2919421780813209</v>
      </c>
      <c r="D44" s="19">
        <v>-2.3350036163570711</v>
      </c>
      <c r="E44" s="19">
        <v>1.6723931544080504</v>
      </c>
      <c r="F44" s="19">
        <v>-1.9846193223960809</v>
      </c>
      <c r="G44" s="5"/>
    </row>
    <row r="45" spans="2:18" x14ac:dyDescent="0.25">
      <c r="B45" t="s">
        <v>147</v>
      </c>
      <c r="C45" s="19">
        <v>12.104643841963787</v>
      </c>
      <c r="D45" s="19">
        <v>1.6006494549972992</v>
      </c>
      <c r="E45" s="19">
        <v>1.6228920202786257</v>
      </c>
      <c r="F45" s="19">
        <v>-4.428837898526047</v>
      </c>
    </row>
    <row r="46" spans="2:18" x14ac:dyDescent="0.25">
      <c r="C46" s="14"/>
      <c r="D46" s="14"/>
      <c r="E46" s="14"/>
      <c r="F46" s="1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I14" sqref="I14:I19"/>
    </sheetView>
  </sheetViews>
  <sheetFormatPr baseColWidth="10" defaultRowHeight="15" x14ac:dyDescent="0.25"/>
  <sheetData>
    <row r="1" spans="1:12" x14ac:dyDescent="0.25">
      <c r="A1" s="10" t="s">
        <v>51</v>
      </c>
    </row>
    <row r="3" spans="1:12" x14ac:dyDescent="0.25">
      <c r="B3" t="s">
        <v>4</v>
      </c>
      <c r="C3" s="1">
        <v>1.8</v>
      </c>
      <c r="D3" s="1" t="s">
        <v>5</v>
      </c>
      <c r="E3" s="1" t="s">
        <v>15</v>
      </c>
      <c r="F3" s="1"/>
    </row>
    <row r="4" spans="1:12" x14ac:dyDescent="0.25">
      <c r="B4" t="s">
        <v>25</v>
      </c>
      <c r="C4" s="1">
        <v>4185</v>
      </c>
      <c r="D4" s="1" t="s">
        <v>9</v>
      </c>
      <c r="E4" s="1" t="s">
        <v>16</v>
      </c>
      <c r="F4" s="1">
        <v>188</v>
      </c>
      <c r="G4" t="s">
        <v>19</v>
      </c>
    </row>
    <row r="5" spans="1:12" x14ac:dyDescent="0.25">
      <c r="B5" t="s">
        <v>8</v>
      </c>
      <c r="C5" s="1">
        <v>1004</v>
      </c>
      <c r="D5" s="1" t="s">
        <v>9</v>
      </c>
      <c r="E5" s="1" t="s">
        <v>17</v>
      </c>
      <c r="F5" s="1">
        <v>33</v>
      </c>
      <c r="G5" t="s">
        <v>19</v>
      </c>
    </row>
    <row r="6" spans="1:12" x14ac:dyDescent="0.25">
      <c r="B6" t="s">
        <v>10</v>
      </c>
      <c r="C6" s="1">
        <v>1.2</v>
      </c>
      <c r="D6" s="1" t="s">
        <v>11</v>
      </c>
      <c r="E6" s="1" t="s">
        <v>18</v>
      </c>
      <c r="F6" s="1">
        <v>168</v>
      </c>
      <c r="G6" t="s">
        <v>19</v>
      </c>
    </row>
    <row r="7" spans="1:12" x14ac:dyDescent="0.25">
      <c r="C7" s="1"/>
      <c r="D7" s="1"/>
      <c r="E7" s="1" t="s">
        <v>14</v>
      </c>
      <c r="F7" s="1">
        <v>1.18</v>
      </c>
      <c r="G7" t="s">
        <v>24</v>
      </c>
    </row>
    <row r="8" spans="1:12" x14ac:dyDescent="0.25">
      <c r="A8" s="1" t="s">
        <v>38</v>
      </c>
      <c r="B8" s="1" t="s">
        <v>37</v>
      </c>
      <c r="C8" s="1" t="s">
        <v>109</v>
      </c>
      <c r="D8" s="1" t="s">
        <v>33</v>
      </c>
      <c r="E8" s="1" t="s">
        <v>34</v>
      </c>
      <c r="F8" s="1" t="s">
        <v>35</v>
      </c>
      <c r="G8" s="1" t="s">
        <v>36</v>
      </c>
      <c r="H8" s="1" t="s">
        <v>41</v>
      </c>
      <c r="I8" s="1" t="s">
        <v>43</v>
      </c>
      <c r="J8" s="1" t="s">
        <v>42</v>
      </c>
      <c r="K8" s="1" t="s">
        <v>44</v>
      </c>
    </row>
    <row r="9" spans="1:12" x14ac:dyDescent="0.25">
      <c r="A9" s="1" t="s">
        <v>107</v>
      </c>
      <c r="B9" s="1">
        <v>360</v>
      </c>
      <c r="C9" s="9">
        <v>13.10197892956565</v>
      </c>
      <c r="D9" s="1">
        <f>F4/1000</f>
        <v>0.188</v>
      </c>
      <c r="E9" s="1">
        <f>F5/1000</f>
        <v>3.3000000000000002E-2</v>
      </c>
      <c r="F9" s="1">
        <f>F6/1000</f>
        <v>0.16800000000000001</v>
      </c>
      <c r="G9" s="1">
        <f>F7</f>
        <v>1.18</v>
      </c>
      <c r="H9">
        <v>50</v>
      </c>
      <c r="I9">
        <v>4</v>
      </c>
      <c r="J9">
        <v>0.1</v>
      </c>
      <c r="K9">
        <v>7.6</v>
      </c>
    </row>
    <row r="12" spans="1:12" ht="30" x14ac:dyDescent="0.25">
      <c r="A12" s="7" t="s">
        <v>40</v>
      </c>
      <c r="B12" s="2" t="s">
        <v>0</v>
      </c>
      <c r="C12" s="2" t="s">
        <v>2</v>
      </c>
      <c r="D12" s="2" t="s">
        <v>22</v>
      </c>
      <c r="E12" s="2" t="s">
        <v>23</v>
      </c>
      <c r="F12" s="2" t="s">
        <v>6</v>
      </c>
      <c r="G12" s="2" t="s">
        <v>21</v>
      </c>
      <c r="H12" s="4" t="s">
        <v>27</v>
      </c>
      <c r="I12" s="4" t="s">
        <v>26</v>
      </c>
      <c r="J12" s="4" t="s">
        <v>31</v>
      </c>
      <c r="K12" s="4" t="s">
        <v>28</v>
      </c>
      <c r="L12" s="4" t="s">
        <v>29</v>
      </c>
    </row>
    <row r="13" spans="1:12" x14ac:dyDescent="0.25">
      <c r="B13" s="2" t="s">
        <v>1</v>
      </c>
      <c r="C13" s="2" t="s">
        <v>3</v>
      </c>
      <c r="D13" s="2" t="s">
        <v>12</v>
      </c>
      <c r="E13" s="2" t="s">
        <v>12</v>
      </c>
      <c r="F13" s="3" t="s">
        <v>7</v>
      </c>
      <c r="G13" s="2" t="s">
        <v>20</v>
      </c>
    </row>
    <row r="14" spans="1:12" x14ac:dyDescent="0.25">
      <c r="B14" s="2">
        <v>0</v>
      </c>
      <c r="C14" s="2">
        <v>0</v>
      </c>
      <c r="D14" s="2">
        <f t="shared" ref="D14:D19" si="0">B14/60*$C$6*$C$5</f>
        <v>0</v>
      </c>
      <c r="E14" s="1">
        <f>$C$4*$C$3*0.001/60*1000</f>
        <v>125.55</v>
      </c>
      <c r="F14" s="2">
        <v>1</v>
      </c>
      <c r="G14" s="2">
        <f t="shared" ref="G14:G19" si="1">B14/60/($F$4*$F$6)/0.000001</f>
        <v>0</v>
      </c>
      <c r="H14" s="6">
        <f>D14/E14</f>
        <v>0</v>
      </c>
      <c r="I14" s="2"/>
      <c r="J14" s="2">
        <v>1</v>
      </c>
      <c r="K14" s="5"/>
      <c r="L14" s="5"/>
    </row>
    <row r="15" spans="1:12" x14ac:dyDescent="0.25">
      <c r="B15" s="2">
        <v>0.5</v>
      </c>
      <c r="C15" s="2">
        <v>6</v>
      </c>
      <c r="D15" s="2">
        <f t="shared" si="0"/>
        <v>10.040000000000001</v>
      </c>
      <c r="E15" s="1">
        <f t="shared" ref="E15:E19" si="2">$C$4*$C$3*0.001/60*1000</f>
        <v>125.55</v>
      </c>
      <c r="F15" s="2">
        <f>C15/D15</f>
        <v>0.59760956175298796</v>
      </c>
      <c r="G15" s="2">
        <f t="shared" si="1"/>
        <v>0.26384667342114154</v>
      </c>
      <c r="H15" s="6">
        <f t="shared" ref="H15:H19" si="3">D15/E15</f>
        <v>7.9968140183193953E-2</v>
      </c>
      <c r="I15" s="2">
        <f>$C$9/D15</f>
        <v>1.3049779810324351</v>
      </c>
      <c r="J15" s="2">
        <f>1-EXP((1/H15)*I15^0.22*(EXP(-H15*I15^0.78)-1))</f>
        <v>0.71142936514170385</v>
      </c>
      <c r="K15" s="2">
        <f>(J15-F15)</f>
        <v>0.11381980338871589</v>
      </c>
      <c r="L15" s="2">
        <f t="shared" ref="L15:L19" si="4">K15^2</f>
        <v>1.2954947643445942E-2</v>
      </c>
    </row>
    <row r="16" spans="1:12" x14ac:dyDescent="0.25">
      <c r="B16" s="2">
        <v>1</v>
      </c>
      <c r="C16" s="2">
        <v>9.5</v>
      </c>
      <c r="D16" s="2">
        <f t="shared" si="0"/>
        <v>20.080000000000002</v>
      </c>
      <c r="E16" s="1">
        <f t="shared" si="2"/>
        <v>125.55</v>
      </c>
      <c r="F16" s="2">
        <f>C16/D16</f>
        <v>0.47310756972111551</v>
      </c>
      <c r="G16" s="2">
        <f t="shared" si="1"/>
        <v>0.52769334684228308</v>
      </c>
      <c r="H16" s="6">
        <f t="shared" si="3"/>
        <v>0.15993628036638791</v>
      </c>
      <c r="I16" s="2">
        <f t="shared" ref="I16:I19" si="5">$C$9/D16</f>
        <v>0.65248899051621756</v>
      </c>
      <c r="J16" s="2">
        <f t="shared" ref="J16:J19" si="6">1-EXP((1/H16)*I16^0.22*(EXP(-H16*I16^0.78)-1))</f>
        <v>0.46015825653301934</v>
      </c>
      <c r="K16" s="2">
        <f t="shared" ref="K16:K19" si="7">(J16-F16)</f>
        <v>-1.2949313188096168E-2</v>
      </c>
      <c r="L16" s="2">
        <f t="shared" si="4"/>
        <v>1.6768471204340132E-4</v>
      </c>
    </row>
    <row r="17" spans="2:12" x14ac:dyDescent="0.25">
      <c r="B17" s="2">
        <v>1.5</v>
      </c>
      <c r="C17" s="2">
        <v>11.5</v>
      </c>
      <c r="D17" s="2">
        <f t="shared" si="0"/>
        <v>30.119999999999997</v>
      </c>
      <c r="E17" s="1">
        <f t="shared" si="2"/>
        <v>125.55</v>
      </c>
      <c r="F17" s="2">
        <f>C17/D17</f>
        <v>0.38180610889774241</v>
      </c>
      <c r="G17" s="2">
        <f t="shared" si="1"/>
        <v>0.79154002026342463</v>
      </c>
      <c r="H17" s="6">
        <f t="shared" si="3"/>
        <v>0.23990442054958183</v>
      </c>
      <c r="I17" s="2">
        <f t="shared" si="5"/>
        <v>0.43499266034414513</v>
      </c>
      <c r="J17" s="2">
        <f t="shared" si="6"/>
        <v>0.33557805628732229</v>
      </c>
      <c r="K17" s="2">
        <f t="shared" si="7"/>
        <v>-4.6228052610420123E-2</v>
      </c>
      <c r="L17" s="2">
        <f t="shared" si="4"/>
        <v>2.1370328481517707E-3</v>
      </c>
    </row>
    <row r="18" spans="2:12" x14ac:dyDescent="0.25">
      <c r="B18" s="2">
        <v>2</v>
      </c>
      <c r="C18" s="2">
        <v>12.8</v>
      </c>
      <c r="D18" s="2">
        <f t="shared" si="0"/>
        <v>40.160000000000004</v>
      </c>
      <c r="E18" s="1">
        <f t="shared" si="2"/>
        <v>125.55</v>
      </c>
      <c r="F18" s="2">
        <f>C18/D18</f>
        <v>0.31872509960159362</v>
      </c>
      <c r="G18" s="2">
        <f t="shared" si="1"/>
        <v>1.0553866936845662</v>
      </c>
      <c r="H18" s="6">
        <f t="shared" si="3"/>
        <v>0.31987256073277581</v>
      </c>
      <c r="I18" s="2">
        <f t="shared" si="5"/>
        <v>0.32624449525810878</v>
      </c>
      <c r="J18" s="2">
        <f t="shared" si="6"/>
        <v>0.26317327192316531</v>
      </c>
      <c r="K18" s="2">
        <f t="shared" si="7"/>
        <v>-5.5551827678428312E-2</v>
      </c>
      <c r="L18" s="2">
        <f t="shared" si="4"/>
        <v>3.0860055584137937E-3</v>
      </c>
    </row>
    <row r="19" spans="2:12" x14ac:dyDescent="0.25">
      <c r="B19" s="2">
        <v>2.5</v>
      </c>
      <c r="C19" s="2">
        <v>14</v>
      </c>
      <c r="D19" s="2">
        <f t="shared" si="0"/>
        <v>50.199999999999996</v>
      </c>
      <c r="E19" s="1">
        <f t="shared" si="2"/>
        <v>125.55</v>
      </c>
      <c r="F19" s="2">
        <f>C19/D19</f>
        <v>0.27888446215139445</v>
      </c>
      <c r="G19" s="2">
        <f t="shared" si="1"/>
        <v>1.3192333671057075</v>
      </c>
      <c r="H19" s="6">
        <f t="shared" si="3"/>
        <v>0.39984070091596968</v>
      </c>
      <c r="I19" s="2">
        <f t="shared" si="5"/>
        <v>0.2609955962064871</v>
      </c>
      <c r="J19" s="2">
        <f t="shared" si="6"/>
        <v>0.21613725751445467</v>
      </c>
      <c r="K19" s="2">
        <f t="shared" si="7"/>
        <v>-6.274720463693978E-2</v>
      </c>
      <c r="L19" s="2">
        <f t="shared" si="4"/>
        <v>3.9372116897499971E-3</v>
      </c>
    </row>
    <row r="21" spans="2:12" x14ac:dyDescent="0.25">
      <c r="K21" s="8" t="s">
        <v>30</v>
      </c>
      <c r="L21" s="2">
        <f>SUM(L15:L19)</f>
        <v>2.2282882451804903E-2</v>
      </c>
    </row>
    <row r="27" spans="2:12" x14ac:dyDescent="0.25">
      <c r="J27" s="13" t="s">
        <v>52</v>
      </c>
    </row>
    <row r="28" spans="2:12" x14ac:dyDescent="0.25">
      <c r="J28" s="12" t="s">
        <v>53</v>
      </c>
    </row>
    <row r="29" spans="2:12" x14ac:dyDescent="0.25">
      <c r="J29" s="13"/>
    </row>
    <row r="30" spans="2:12" x14ac:dyDescent="0.25">
      <c r="J30" s="13" t="s">
        <v>54</v>
      </c>
    </row>
    <row r="31" spans="2:12" x14ac:dyDescent="0.25">
      <c r="J31" s="13"/>
    </row>
    <row r="32" spans="2:12" x14ac:dyDescent="0.25">
      <c r="J32" s="12" t="s">
        <v>55</v>
      </c>
    </row>
    <row r="33" spans="10:10" x14ac:dyDescent="0.25">
      <c r="J33" s="13" t="s">
        <v>56</v>
      </c>
    </row>
    <row r="34" spans="10:10" x14ac:dyDescent="0.25">
      <c r="J34" s="12" t="s">
        <v>57</v>
      </c>
    </row>
    <row r="35" spans="10:10" x14ac:dyDescent="0.25">
      <c r="J35" s="13" t="s">
        <v>58</v>
      </c>
    </row>
    <row r="36" spans="10:10" x14ac:dyDescent="0.25">
      <c r="J36" s="12" t="s">
        <v>59</v>
      </c>
    </row>
    <row r="37" spans="10:10" x14ac:dyDescent="0.25">
      <c r="J37" s="13" t="s">
        <v>60</v>
      </c>
    </row>
    <row r="38" spans="10:10" x14ac:dyDescent="0.25">
      <c r="J38" s="12" t="s">
        <v>61</v>
      </c>
    </row>
    <row r="39" spans="10:10" x14ac:dyDescent="0.25">
      <c r="J39" s="13" t="s">
        <v>62</v>
      </c>
    </row>
    <row r="40" spans="10:10" x14ac:dyDescent="0.25">
      <c r="J40" s="12" t="s">
        <v>63</v>
      </c>
    </row>
    <row r="41" spans="10:10" x14ac:dyDescent="0.25">
      <c r="J41" s="13" t="s">
        <v>64</v>
      </c>
    </row>
    <row r="42" spans="10:10" x14ac:dyDescent="0.25">
      <c r="J42" s="12" t="s">
        <v>59</v>
      </c>
    </row>
    <row r="43" spans="10:10" x14ac:dyDescent="0.25">
      <c r="J43" s="13" t="s">
        <v>65</v>
      </c>
    </row>
    <row r="44" spans="10:10" x14ac:dyDescent="0.25">
      <c r="J44" s="12" t="s">
        <v>66</v>
      </c>
    </row>
    <row r="45" spans="10:10" x14ac:dyDescent="0.25">
      <c r="J45" s="12"/>
    </row>
    <row r="46" spans="10:10" x14ac:dyDescent="0.25">
      <c r="J46" s="13" t="s">
        <v>67</v>
      </c>
    </row>
    <row r="47" spans="10:10" x14ac:dyDescent="0.25">
      <c r="J47" s="12" t="s">
        <v>68</v>
      </c>
    </row>
    <row r="48" spans="10:10" x14ac:dyDescent="0.25">
      <c r="J48" s="12"/>
    </row>
    <row r="49" spans="10:10" x14ac:dyDescent="0.25">
      <c r="J49" s="13" t="s">
        <v>69</v>
      </c>
    </row>
    <row r="50" spans="10:10" x14ac:dyDescent="0.25">
      <c r="J50" s="12" t="s">
        <v>70</v>
      </c>
    </row>
    <row r="51" spans="10:10" x14ac:dyDescent="0.25">
      <c r="J51" s="12"/>
    </row>
    <row r="52" spans="10:10" x14ac:dyDescent="0.25">
      <c r="J52" s="13" t="s">
        <v>71</v>
      </c>
    </row>
    <row r="53" spans="10:10" x14ac:dyDescent="0.25">
      <c r="J53" s="12" t="s">
        <v>72</v>
      </c>
    </row>
    <row r="54" spans="10:10" x14ac:dyDescent="0.25">
      <c r="J54" s="12"/>
    </row>
    <row r="55" spans="10:10" x14ac:dyDescent="0.25">
      <c r="J55" s="13" t="s">
        <v>73</v>
      </c>
    </row>
    <row r="56" spans="10:10" x14ac:dyDescent="0.25">
      <c r="J56" s="12" t="s">
        <v>74</v>
      </c>
    </row>
    <row r="57" spans="10:10" x14ac:dyDescent="0.25">
      <c r="J57" s="12"/>
    </row>
    <row r="58" spans="10:10" x14ac:dyDescent="0.25">
      <c r="J58" s="13" t="s">
        <v>75</v>
      </c>
    </row>
    <row r="59" spans="10:10" x14ac:dyDescent="0.25">
      <c r="J59" s="12" t="s">
        <v>76</v>
      </c>
    </row>
    <row r="60" spans="10:10" x14ac:dyDescent="0.25">
      <c r="J60" s="12"/>
    </row>
    <row r="61" spans="10:10" x14ac:dyDescent="0.25">
      <c r="J61" s="13" t="s">
        <v>77</v>
      </c>
    </row>
    <row r="62" spans="10:10" x14ac:dyDescent="0.25">
      <c r="J62" s="12" t="s">
        <v>78</v>
      </c>
    </row>
    <row r="63" spans="10:10" x14ac:dyDescent="0.25">
      <c r="J63" s="12"/>
    </row>
    <row r="64" spans="10:10" x14ac:dyDescent="0.25">
      <c r="J64" s="13" t="s">
        <v>79</v>
      </c>
    </row>
    <row r="65" spans="10:10" x14ac:dyDescent="0.25">
      <c r="J65" s="12" t="s">
        <v>80</v>
      </c>
    </row>
  </sheetData>
  <hyperlinks>
    <hyperlink ref="A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I14" sqref="I14:I19"/>
    </sheetView>
  </sheetViews>
  <sheetFormatPr baseColWidth="10" defaultRowHeight="15" x14ac:dyDescent="0.25"/>
  <sheetData>
    <row r="1" spans="1:12" x14ac:dyDescent="0.25">
      <c r="A1" s="10" t="s">
        <v>13</v>
      </c>
    </row>
    <row r="3" spans="1:12" x14ac:dyDescent="0.25">
      <c r="B3" t="s">
        <v>4</v>
      </c>
      <c r="C3" s="1">
        <v>1.8</v>
      </c>
      <c r="D3" s="1" t="s">
        <v>5</v>
      </c>
      <c r="E3" s="1" t="s">
        <v>15</v>
      </c>
      <c r="F3" s="1"/>
    </row>
    <row r="4" spans="1:12" x14ac:dyDescent="0.25">
      <c r="B4" t="s">
        <v>25</v>
      </c>
      <c r="C4" s="1">
        <v>4185</v>
      </c>
      <c r="D4" s="1" t="s">
        <v>9</v>
      </c>
      <c r="E4" s="1" t="s">
        <v>16</v>
      </c>
      <c r="F4" s="1">
        <v>188</v>
      </c>
      <c r="G4" t="s">
        <v>19</v>
      </c>
    </row>
    <row r="5" spans="1:12" x14ac:dyDescent="0.25">
      <c r="B5" t="s">
        <v>8</v>
      </c>
      <c r="C5" s="1">
        <v>1004</v>
      </c>
      <c r="D5" s="1" t="s">
        <v>9</v>
      </c>
      <c r="E5" s="1" t="s">
        <v>17</v>
      </c>
      <c r="F5" s="1">
        <v>48</v>
      </c>
      <c r="G5" t="s">
        <v>19</v>
      </c>
    </row>
    <row r="6" spans="1:12" x14ac:dyDescent="0.25">
      <c r="B6" t="s">
        <v>10</v>
      </c>
      <c r="C6" s="1">
        <v>1.2</v>
      </c>
      <c r="D6" s="1" t="s">
        <v>11</v>
      </c>
      <c r="E6" s="1" t="s">
        <v>18</v>
      </c>
      <c r="F6" s="1">
        <v>147</v>
      </c>
      <c r="G6" t="s">
        <v>19</v>
      </c>
    </row>
    <row r="7" spans="1:12" x14ac:dyDescent="0.25">
      <c r="C7" s="1"/>
      <c r="D7" s="1"/>
      <c r="E7" s="1" t="s">
        <v>14</v>
      </c>
      <c r="F7" s="1">
        <v>1.1499999999999999</v>
      </c>
      <c r="G7" t="s">
        <v>24</v>
      </c>
    </row>
    <row r="8" spans="1:12" x14ac:dyDescent="0.25">
      <c r="A8" s="1" t="s">
        <v>38</v>
      </c>
      <c r="B8" s="1" t="s">
        <v>37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36</v>
      </c>
      <c r="H8" s="1" t="s">
        <v>41</v>
      </c>
      <c r="I8" s="1" t="s">
        <v>43</v>
      </c>
      <c r="J8" s="1" t="s">
        <v>42</v>
      </c>
      <c r="K8" s="1" t="s">
        <v>44</v>
      </c>
    </row>
    <row r="9" spans="1:12" x14ac:dyDescent="0.25">
      <c r="A9" s="1" t="s">
        <v>39</v>
      </c>
      <c r="B9" s="1">
        <v>430</v>
      </c>
      <c r="C9" s="9">
        <v>24.419889907335897</v>
      </c>
      <c r="D9" s="1">
        <f>F4/1000</f>
        <v>0.188</v>
      </c>
      <c r="E9" s="1">
        <f>F5/1000</f>
        <v>4.8000000000000001E-2</v>
      </c>
      <c r="F9" s="1">
        <f>F6/1000</f>
        <v>0.14699999999999999</v>
      </c>
      <c r="G9" s="1">
        <f>F7</f>
        <v>1.1499999999999999</v>
      </c>
      <c r="H9">
        <v>300</v>
      </c>
      <c r="I9">
        <v>6</v>
      </c>
      <c r="J9">
        <v>0.75</v>
      </c>
      <c r="K9">
        <v>11.4</v>
      </c>
    </row>
    <row r="12" spans="1:12" ht="30" x14ac:dyDescent="0.25">
      <c r="A12" s="7" t="s">
        <v>40</v>
      </c>
      <c r="B12" s="2" t="s">
        <v>0</v>
      </c>
      <c r="C12" s="2" t="s">
        <v>2</v>
      </c>
      <c r="D12" s="2" t="s">
        <v>22</v>
      </c>
      <c r="E12" s="2" t="s">
        <v>23</v>
      </c>
      <c r="F12" s="2" t="s">
        <v>6</v>
      </c>
      <c r="G12" s="2" t="s">
        <v>21</v>
      </c>
      <c r="H12" s="4" t="s">
        <v>27</v>
      </c>
      <c r="I12" s="4" t="s">
        <v>26</v>
      </c>
      <c r="J12" s="4" t="s">
        <v>31</v>
      </c>
      <c r="K12" s="4" t="s">
        <v>28</v>
      </c>
      <c r="L12" s="4" t="s">
        <v>29</v>
      </c>
    </row>
    <row r="13" spans="1:12" x14ac:dyDescent="0.25">
      <c r="B13" s="2" t="s">
        <v>1</v>
      </c>
      <c r="C13" s="2" t="s">
        <v>3</v>
      </c>
      <c r="D13" s="2" t="s">
        <v>12</v>
      </c>
      <c r="E13" s="2" t="s">
        <v>12</v>
      </c>
      <c r="F13" s="3" t="s">
        <v>7</v>
      </c>
      <c r="G13" s="2" t="s">
        <v>20</v>
      </c>
    </row>
    <row r="14" spans="1:12" x14ac:dyDescent="0.25">
      <c r="B14" s="2">
        <v>0</v>
      </c>
      <c r="C14" s="2">
        <v>0</v>
      </c>
      <c r="D14" s="2">
        <f>B14/60*$C$6*$C$5</f>
        <v>0</v>
      </c>
      <c r="E14" s="1">
        <f>$C$4*$C$3*0.001/60*1000</f>
        <v>125.55</v>
      </c>
      <c r="F14" s="2">
        <v>1</v>
      </c>
      <c r="G14" s="2">
        <f t="shared" ref="G14:G19" si="0">B14/60/($F$4*$F$6)/0.000001</f>
        <v>0</v>
      </c>
      <c r="H14" s="6">
        <f>D14/E14</f>
        <v>0</v>
      </c>
      <c r="I14" s="2"/>
      <c r="J14" s="2">
        <v>1</v>
      </c>
      <c r="K14" s="5"/>
      <c r="L14" s="5"/>
    </row>
    <row r="15" spans="1:12" x14ac:dyDescent="0.25">
      <c r="B15" s="2">
        <v>0.5</v>
      </c>
      <c r="C15" s="2">
        <v>8</v>
      </c>
      <c r="D15" s="2">
        <f t="shared" ref="D15:D19" si="1">B15/60*$C$6*$C$5</f>
        <v>10.040000000000001</v>
      </c>
      <c r="E15" s="1">
        <f t="shared" ref="E15:E19" si="2">$C$4*$C$3*0.001/60*1000</f>
        <v>125.55</v>
      </c>
      <c r="F15" s="2">
        <f>C15/D15</f>
        <v>0.79681274900398402</v>
      </c>
      <c r="G15" s="2">
        <f t="shared" si="0"/>
        <v>0.30153905533844744</v>
      </c>
      <c r="H15" s="6">
        <f t="shared" ref="H15:H19" si="3">D15/E15</f>
        <v>7.9968140183193953E-2</v>
      </c>
      <c r="I15" s="2">
        <f>$C$9/D15</f>
        <v>2.4322599509298701</v>
      </c>
      <c r="J15" s="2">
        <f>1-EXP((1/H15)*I15^0.22*(EXP(-H15*I15^0.78)-1))</f>
        <v>0.89435818880084983</v>
      </c>
      <c r="K15" s="2">
        <f>(J15-F15)</f>
        <v>9.7545439796865807E-2</v>
      </c>
      <c r="L15" s="2">
        <f t="shared" ref="L15:L19" si="4">K15^2</f>
        <v>9.5151128251639711E-3</v>
      </c>
    </row>
    <row r="16" spans="1:12" x14ac:dyDescent="0.25">
      <c r="B16" s="2">
        <v>1</v>
      </c>
      <c r="C16" s="2">
        <v>13</v>
      </c>
      <c r="D16" s="2">
        <f t="shared" si="1"/>
        <v>20.080000000000002</v>
      </c>
      <c r="E16" s="1">
        <f t="shared" si="2"/>
        <v>125.55</v>
      </c>
      <c r="F16" s="2">
        <f>C16/D16</f>
        <v>0.64741035856573703</v>
      </c>
      <c r="G16" s="2">
        <f t="shared" si="0"/>
        <v>0.60307811067689487</v>
      </c>
      <c r="H16" s="6">
        <f t="shared" si="3"/>
        <v>0.15993628036638791</v>
      </c>
      <c r="I16" s="2">
        <f t="shared" ref="I16:I19" si="5">$C$9/D16</f>
        <v>1.2161299754649351</v>
      </c>
      <c r="J16" s="2">
        <f t="shared" ref="J16:J19" si="6">1-EXP((1/H16)*I16^0.22*(EXP(-H16*I16^0.78)-1))</f>
        <v>0.67029673620185393</v>
      </c>
      <c r="K16" s="2">
        <f t="shared" ref="K16:K19" si="7">(J16-F16)</f>
        <v>2.2886377636116895E-2</v>
      </c>
      <c r="L16" s="2">
        <f t="shared" si="4"/>
        <v>5.2378628130295157E-4</v>
      </c>
    </row>
    <row r="17" spans="2:12" x14ac:dyDescent="0.25">
      <c r="B17" s="2">
        <v>1.5</v>
      </c>
      <c r="C17" s="2">
        <v>16</v>
      </c>
      <c r="D17" s="2">
        <f t="shared" si="1"/>
        <v>30.119999999999997</v>
      </c>
      <c r="E17" s="1">
        <f t="shared" si="2"/>
        <v>125.55</v>
      </c>
      <c r="F17" s="2">
        <f>C17/D17</f>
        <v>0.53120849933598946</v>
      </c>
      <c r="G17" s="2">
        <f t="shared" si="0"/>
        <v>0.90461716601534237</v>
      </c>
      <c r="H17" s="6">
        <f t="shared" si="3"/>
        <v>0.23990442054958183</v>
      </c>
      <c r="I17" s="2">
        <f t="shared" si="5"/>
        <v>0.81075331697662345</v>
      </c>
      <c r="J17" s="2">
        <f t="shared" si="6"/>
        <v>0.5197814280325278</v>
      </c>
      <c r="K17" s="2">
        <f t="shared" si="7"/>
        <v>-1.1427071303461656E-2</v>
      </c>
      <c r="L17" s="2">
        <f t="shared" si="4"/>
        <v>1.3057795857439685E-4</v>
      </c>
    </row>
    <row r="18" spans="2:12" x14ac:dyDescent="0.25">
      <c r="B18" s="2">
        <v>2</v>
      </c>
      <c r="C18" s="2">
        <v>18.5</v>
      </c>
      <c r="D18" s="2">
        <f t="shared" si="1"/>
        <v>40.160000000000004</v>
      </c>
      <c r="E18" s="1">
        <f t="shared" si="2"/>
        <v>125.55</v>
      </c>
      <c r="F18" s="2">
        <f>C18/D18</f>
        <v>0.46065737051792827</v>
      </c>
      <c r="G18" s="2">
        <f t="shared" si="0"/>
        <v>1.2061562213537897</v>
      </c>
      <c r="H18" s="6">
        <f t="shared" si="3"/>
        <v>0.31987256073277581</v>
      </c>
      <c r="I18" s="2">
        <f t="shared" si="5"/>
        <v>0.60806498773246753</v>
      </c>
      <c r="J18" s="2">
        <f t="shared" si="6"/>
        <v>0.42109350725318517</v>
      </c>
      <c r="K18" s="2">
        <f t="shared" si="7"/>
        <v>-3.9563863264743093E-2</v>
      </c>
      <c r="L18" s="2">
        <f t="shared" si="4"/>
        <v>1.565299276431288E-3</v>
      </c>
    </row>
    <row r="19" spans="2:12" x14ac:dyDescent="0.25">
      <c r="B19" s="2">
        <v>2.5</v>
      </c>
      <c r="C19" s="2">
        <v>20.5</v>
      </c>
      <c r="D19" s="2">
        <f t="shared" si="1"/>
        <v>50.199999999999996</v>
      </c>
      <c r="E19" s="1">
        <f t="shared" si="2"/>
        <v>125.55</v>
      </c>
      <c r="F19" s="2">
        <f>C19/D19</f>
        <v>0.40836653386454186</v>
      </c>
      <c r="G19" s="2">
        <f t="shared" si="0"/>
        <v>1.5076952766922371</v>
      </c>
      <c r="H19" s="6">
        <f t="shared" si="3"/>
        <v>0.39984070091596968</v>
      </c>
      <c r="I19" s="2">
        <f t="shared" si="5"/>
        <v>0.48645199018597407</v>
      </c>
      <c r="J19" s="2">
        <f t="shared" si="6"/>
        <v>0.35273443137799876</v>
      </c>
      <c r="K19" s="2">
        <f t="shared" si="7"/>
        <v>-5.56321024865431E-2</v>
      </c>
      <c r="L19" s="2">
        <f t="shared" si="4"/>
        <v>3.0949308270732351E-3</v>
      </c>
    </row>
    <row r="21" spans="2:12" x14ac:dyDescent="0.25">
      <c r="K21" s="8" t="s">
        <v>30</v>
      </c>
      <c r="L21" s="2">
        <f>SUM(L15:L19)</f>
        <v>1.4829707168545843E-2</v>
      </c>
    </row>
    <row r="25" spans="2:12" x14ac:dyDescent="0.25">
      <c r="B25" s="13" t="s">
        <v>52</v>
      </c>
    </row>
    <row r="26" spans="2:12" x14ac:dyDescent="0.25">
      <c r="B26" s="12" t="s">
        <v>165</v>
      </c>
    </row>
    <row r="27" spans="2:12" x14ac:dyDescent="0.25">
      <c r="B27" s="13"/>
    </row>
    <row r="28" spans="2:12" x14ac:dyDescent="0.25">
      <c r="B28" s="13" t="s">
        <v>54</v>
      </c>
    </row>
    <row r="29" spans="2:12" x14ac:dyDescent="0.25">
      <c r="B29" s="13"/>
    </row>
    <row r="30" spans="2:12" x14ac:dyDescent="0.25">
      <c r="B30" s="12" t="s">
        <v>166</v>
      </c>
    </row>
    <row r="31" spans="2:12" x14ac:dyDescent="0.25">
      <c r="B31" s="13" t="s">
        <v>56</v>
      </c>
    </row>
    <row r="32" spans="2:12" x14ac:dyDescent="0.25">
      <c r="B32" s="12" t="s">
        <v>57</v>
      </c>
    </row>
    <row r="33" spans="2:2" x14ac:dyDescent="0.25">
      <c r="B33" s="13" t="s">
        <v>58</v>
      </c>
    </row>
    <row r="34" spans="2:2" x14ac:dyDescent="0.25">
      <c r="B34" s="12" t="s">
        <v>59</v>
      </c>
    </row>
    <row r="35" spans="2:2" x14ac:dyDescent="0.25">
      <c r="B35" s="13" t="s">
        <v>60</v>
      </c>
    </row>
    <row r="36" spans="2:2" x14ac:dyDescent="0.25">
      <c r="B36" s="12" t="s">
        <v>61</v>
      </c>
    </row>
    <row r="37" spans="2:2" x14ac:dyDescent="0.25">
      <c r="B37" s="13" t="s">
        <v>62</v>
      </c>
    </row>
    <row r="38" spans="2:2" x14ac:dyDescent="0.25">
      <c r="B38" s="12" t="s">
        <v>167</v>
      </c>
    </row>
    <row r="39" spans="2:2" x14ac:dyDescent="0.25">
      <c r="B39" s="13" t="s">
        <v>64</v>
      </c>
    </row>
    <row r="40" spans="2:2" x14ac:dyDescent="0.25">
      <c r="B40" s="12" t="s">
        <v>59</v>
      </c>
    </row>
    <row r="41" spans="2:2" x14ac:dyDescent="0.25">
      <c r="B41" s="13" t="s">
        <v>65</v>
      </c>
    </row>
    <row r="42" spans="2:2" x14ac:dyDescent="0.25">
      <c r="B42" s="12" t="s">
        <v>66</v>
      </c>
    </row>
    <row r="43" spans="2:2" x14ac:dyDescent="0.25">
      <c r="B43" s="12"/>
    </row>
    <row r="44" spans="2:2" x14ac:dyDescent="0.25">
      <c r="B44" s="13" t="s">
        <v>67</v>
      </c>
    </row>
    <row r="45" spans="2:2" x14ac:dyDescent="0.25">
      <c r="B45" s="12" t="s">
        <v>68</v>
      </c>
    </row>
    <row r="46" spans="2:2" x14ac:dyDescent="0.25">
      <c r="B46" s="12"/>
    </row>
    <row r="47" spans="2:2" x14ac:dyDescent="0.25">
      <c r="B47" s="13" t="s">
        <v>69</v>
      </c>
    </row>
    <row r="48" spans="2:2" x14ac:dyDescent="0.25">
      <c r="B48" s="12" t="s">
        <v>70</v>
      </c>
    </row>
    <row r="49" spans="2:2" x14ac:dyDescent="0.25">
      <c r="B49" s="12"/>
    </row>
    <row r="50" spans="2:2" x14ac:dyDescent="0.25">
      <c r="B50" s="13" t="s">
        <v>71</v>
      </c>
    </row>
    <row r="51" spans="2:2" x14ac:dyDescent="0.25">
      <c r="B51" s="12" t="s">
        <v>168</v>
      </c>
    </row>
    <row r="52" spans="2:2" x14ac:dyDescent="0.25">
      <c r="B52" s="12"/>
    </row>
    <row r="53" spans="2:2" x14ac:dyDescent="0.25">
      <c r="B53" s="13" t="s">
        <v>73</v>
      </c>
    </row>
    <row r="54" spans="2:2" x14ac:dyDescent="0.25">
      <c r="B54" s="12" t="s">
        <v>169</v>
      </c>
    </row>
    <row r="55" spans="2:2" x14ac:dyDescent="0.25">
      <c r="B55" s="12"/>
    </row>
    <row r="56" spans="2:2" x14ac:dyDescent="0.25">
      <c r="B56" s="13" t="s">
        <v>75</v>
      </c>
    </row>
    <row r="57" spans="2:2" x14ac:dyDescent="0.25">
      <c r="B57" s="12" t="s">
        <v>76</v>
      </c>
    </row>
    <row r="58" spans="2:2" x14ac:dyDescent="0.25">
      <c r="B58" s="12"/>
    </row>
    <row r="59" spans="2:2" x14ac:dyDescent="0.25">
      <c r="B59" s="13" t="s">
        <v>77</v>
      </c>
    </row>
    <row r="60" spans="2:2" x14ac:dyDescent="0.25">
      <c r="B60" s="12" t="s">
        <v>78</v>
      </c>
    </row>
    <row r="61" spans="2:2" x14ac:dyDescent="0.25">
      <c r="B61" s="12"/>
    </row>
    <row r="62" spans="2:2" x14ac:dyDescent="0.25">
      <c r="B62" s="13" t="s">
        <v>79</v>
      </c>
    </row>
    <row r="63" spans="2:2" x14ac:dyDescent="0.25">
      <c r="B63" s="12" t="s">
        <v>80</v>
      </c>
    </row>
  </sheetData>
  <hyperlinks>
    <hyperlink ref="A1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5" workbookViewId="0">
      <selection activeCell="I14" sqref="I14:I19"/>
    </sheetView>
  </sheetViews>
  <sheetFormatPr baseColWidth="10" defaultRowHeight="15" x14ac:dyDescent="0.25"/>
  <sheetData>
    <row r="1" spans="1:12" x14ac:dyDescent="0.25">
      <c r="A1" t="s">
        <v>81</v>
      </c>
    </row>
    <row r="3" spans="1:12" x14ac:dyDescent="0.25">
      <c r="B3" t="s">
        <v>4</v>
      </c>
      <c r="C3" s="1">
        <v>3.7</v>
      </c>
      <c r="D3" s="1" t="s">
        <v>5</v>
      </c>
      <c r="E3" s="1" t="s">
        <v>15</v>
      </c>
      <c r="F3" s="1"/>
    </row>
    <row r="4" spans="1:12" x14ac:dyDescent="0.25">
      <c r="B4" t="s">
        <v>25</v>
      </c>
      <c r="C4" s="1">
        <v>4185</v>
      </c>
      <c r="D4" s="1" t="s">
        <v>9</v>
      </c>
      <c r="E4" s="1" t="s">
        <v>16</v>
      </c>
      <c r="F4" s="1">
        <v>310</v>
      </c>
      <c r="G4" t="s">
        <v>19</v>
      </c>
    </row>
    <row r="5" spans="1:12" x14ac:dyDescent="0.25">
      <c r="B5" t="s">
        <v>8</v>
      </c>
      <c r="C5" s="1">
        <v>1004</v>
      </c>
      <c r="D5" s="1" t="s">
        <v>9</v>
      </c>
      <c r="E5" s="1" t="s">
        <v>17</v>
      </c>
      <c r="F5" s="1">
        <v>46</v>
      </c>
      <c r="G5" t="s">
        <v>19</v>
      </c>
    </row>
    <row r="6" spans="1:12" x14ac:dyDescent="0.25">
      <c r="B6" t="s">
        <v>10</v>
      </c>
      <c r="C6" s="1">
        <v>1.2</v>
      </c>
      <c r="D6" s="1" t="s">
        <v>11</v>
      </c>
      <c r="E6" s="1" t="s">
        <v>18</v>
      </c>
      <c r="F6" s="1">
        <v>147</v>
      </c>
      <c r="G6" t="s">
        <v>19</v>
      </c>
    </row>
    <row r="7" spans="1:12" x14ac:dyDescent="0.25">
      <c r="C7" s="1"/>
      <c r="D7" s="1"/>
      <c r="E7" s="1" t="s">
        <v>14</v>
      </c>
      <c r="F7" s="1">
        <v>2.31</v>
      </c>
      <c r="G7" t="s">
        <v>24</v>
      </c>
    </row>
    <row r="8" spans="1:12" x14ac:dyDescent="0.25">
      <c r="A8" s="1" t="s">
        <v>38</v>
      </c>
      <c r="B8" s="1" t="s">
        <v>37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36</v>
      </c>
      <c r="H8" s="1" t="s">
        <v>41</v>
      </c>
      <c r="I8" s="1" t="s">
        <v>43</v>
      </c>
      <c r="J8" s="1" t="s">
        <v>42</v>
      </c>
      <c r="K8" s="1" t="s">
        <v>44</v>
      </c>
    </row>
    <row r="9" spans="1:12" x14ac:dyDescent="0.25">
      <c r="A9" s="1" t="s">
        <v>108</v>
      </c>
      <c r="B9" s="1">
        <v>700</v>
      </c>
      <c r="C9" s="9">
        <v>48.773082734843534</v>
      </c>
      <c r="D9" s="1">
        <f>F4/1000</f>
        <v>0.31</v>
      </c>
      <c r="E9" s="1">
        <f>F5/1000</f>
        <v>4.5999999999999999E-2</v>
      </c>
      <c r="F9" s="1">
        <f>F6/1000</f>
        <v>0.14699999999999999</v>
      </c>
      <c r="G9" s="1">
        <f>F7</f>
        <v>2.31</v>
      </c>
      <c r="H9">
        <v>50</v>
      </c>
      <c r="I9">
        <v>4</v>
      </c>
      <c r="J9">
        <v>0.4</v>
      </c>
      <c r="K9">
        <v>7.6</v>
      </c>
    </row>
    <row r="12" spans="1:12" ht="30" x14ac:dyDescent="0.25">
      <c r="A12" s="7" t="s">
        <v>40</v>
      </c>
      <c r="B12" s="2" t="s">
        <v>0</v>
      </c>
      <c r="C12" s="2" t="s">
        <v>2</v>
      </c>
      <c r="D12" s="2" t="s">
        <v>22</v>
      </c>
      <c r="E12" s="2" t="s">
        <v>23</v>
      </c>
      <c r="F12" s="2" t="s">
        <v>6</v>
      </c>
      <c r="G12" s="2" t="s">
        <v>21</v>
      </c>
      <c r="H12" s="4" t="s">
        <v>27</v>
      </c>
      <c r="I12" s="4" t="s">
        <v>26</v>
      </c>
      <c r="J12" s="4" t="s">
        <v>31</v>
      </c>
      <c r="K12" s="4" t="s">
        <v>28</v>
      </c>
      <c r="L12" s="4" t="s">
        <v>29</v>
      </c>
    </row>
    <row r="13" spans="1:12" x14ac:dyDescent="0.25">
      <c r="B13" s="2" t="s">
        <v>1</v>
      </c>
      <c r="C13" s="2" t="s">
        <v>3</v>
      </c>
      <c r="D13" s="2" t="s">
        <v>12</v>
      </c>
      <c r="E13" s="2" t="s">
        <v>12</v>
      </c>
      <c r="F13" s="3" t="s">
        <v>7</v>
      </c>
      <c r="G13" s="2" t="s">
        <v>20</v>
      </c>
    </row>
    <row r="14" spans="1:12" x14ac:dyDescent="0.25">
      <c r="B14" s="2">
        <v>0</v>
      </c>
      <c r="C14" s="2">
        <v>0</v>
      </c>
      <c r="D14" s="2">
        <f t="shared" ref="D14:D19" si="0">B14/60*$C$6*$C$5</f>
        <v>0</v>
      </c>
      <c r="E14" s="1">
        <f>$C$4*$C$3*0.001/60*1000</f>
        <v>258.07499999999999</v>
      </c>
      <c r="F14" s="2">
        <v>1</v>
      </c>
      <c r="G14" s="2">
        <f t="shared" ref="G14:G19" si="1">B14/60/($F$4*$F$6)/0.000001</f>
        <v>0</v>
      </c>
      <c r="H14" s="6">
        <f>D14/E14</f>
        <v>0</v>
      </c>
      <c r="I14" s="2"/>
      <c r="J14" s="2">
        <v>1</v>
      </c>
      <c r="K14" s="5"/>
      <c r="L14" s="5"/>
    </row>
    <row r="15" spans="1:12" x14ac:dyDescent="0.25">
      <c r="B15" s="2">
        <v>1</v>
      </c>
      <c r="C15" s="2">
        <v>16</v>
      </c>
      <c r="D15" s="2">
        <f t="shared" si="0"/>
        <v>20.080000000000002</v>
      </c>
      <c r="E15" s="1">
        <f t="shared" ref="E15:E19" si="2">$C$4*$C$3*0.001/60*1000</f>
        <v>258.07499999999999</v>
      </c>
      <c r="F15" s="2">
        <f>C15/D15</f>
        <v>0.79681274900398402</v>
      </c>
      <c r="G15" s="2">
        <f t="shared" si="1"/>
        <v>0.36573769292663305</v>
      </c>
      <c r="H15" s="6">
        <f t="shared" ref="H15:H19" si="3">D15/E15</f>
        <v>7.7806839097161684E-2</v>
      </c>
      <c r="I15" s="2">
        <f>$C$9/D15</f>
        <v>2.428938383209339</v>
      </c>
      <c r="J15" s="2">
        <f>1-EXP((1/H15)*I15^0.22*(EXP(-H15*I15^0.78)-1))</f>
        <v>0.89455255121737398</v>
      </c>
      <c r="K15" s="2">
        <f>(J15-F15)</f>
        <v>9.7739802213389959E-2</v>
      </c>
      <c r="L15" s="2">
        <f t="shared" ref="L15:L19" si="4">K15^2</f>
        <v>9.5530689367125891E-3</v>
      </c>
    </row>
    <row r="16" spans="1:12" x14ac:dyDescent="0.25">
      <c r="B16" s="2">
        <v>1.5</v>
      </c>
      <c r="C16" s="2">
        <v>23</v>
      </c>
      <c r="D16" s="2">
        <f t="shared" si="0"/>
        <v>30.119999999999997</v>
      </c>
      <c r="E16" s="1">
        <f t="shared" si="2"/>
        <v>258.07499999999999</v>
      </c>
      <c r="F16" s="2">
        <f>C16/D16</f>
        <v>0.76361221779548483</v>
      </c>
      <c r="G16" s="2">
        <f t="shared" si="1"/>
        <v>0.54860653938994952</v>
      </c>
      <c r="H16" s="6">
        <f t="shared" si="3"/>
        <v>0.11671025864574251</v>
      </c>
      <c r="I16" s="2">
        <f t="shared" ref="I16:I19" si="5">$C$9/D16</f>
        <v>1.619292255472893</v>
      </c>
      <c r="J16" s="2">
        <f t="shared" ref="J16:J19" si="6">1-EXP((1/H16)*I16^0.22*(EXP(-H16*I16^0.78)-1))</f>
        <v>0.77443574776949842</v>
      </c>
      <c r="K16" s="2">
        <f t="shared" ref="K16:K19" si="7">(J16-F16)</f>
        <v>1.082352997401359E-2</v>
      </c>
      <c r="L16" s="2">
        <f t="shared" si="4"/>
        <v>1.1714880109837063E-4</v>
      </c>
    </row>
    <row r="17" spans="2:12" x14ac:dyDescent="0.25">
      <c r="B17" s="2">
        <v>2</v>
      </c>
      <c r="C17" s="2">
        <v>27</v>
      </c>
      <c r="D17" s="2">
        <f t="shared" si="0"/>
        <v>40.160000000000004</v>
      </c>
      <c r="E17" s="1">
        <f t="shared" si="2"/>
        <v>258.07499999999999</v>
      </c>
      <c r="F17" s="2">
        <f>C17/D17</f>
        <v>0.67231075697211151</v>
      </c>
      <c r="G17" s="2">
        <f t="shared" si="1"/>
        <v>0.7314753858532661</v>
      </c>
      <c r="H17" s="6">
        <f t="shared" si="3"/>
        <v>0.15561367819432337</v>
      </c>
      <c r="I17" s="2">
        <f t="shared" si="5"/>
        <v>1.2144691916046695</v>
      </c>
      <c r="J17" s="2">
        <f t="shared" si="6"/>
        <v>0.6707238766464968</v>
      </c>
      <c r="K17" s="2">
        <f t="shared" si="7"/>
        <v>-1.5868803256147146E-3</v>
      </c>
      <c r="L17" s="2">
        <f t="shared" si="4"/>
        <v>2.5181891678230624E-6</v>
      </c>
    </row>
    <row r="18" spans="2:12" x14ac:dyDescent="0.25">
      <c r="B18" s="2">
        <v>2.5</v>
      </c>
      <c r="C18" s="2">
        <v>31</v>
      </c>
      <c r="D18" s="2">
        <f t="shared" si="0"/>
        <v>50.199999999999996</v>
      </c>
      <c r="E18" s="1">
        <f t="shared" si="2"/>
        <v>258.07499999999999</v>
      </c>
      <c r="F18" s="2">
        <f>C18/D18</f>
        <v>0.61752988047808766</v>
      </c>
      <c r="G18" s="2">
        <f t="shared" si="1"/>
        <v>0.91434423231658257</v>
      </c>
      <c r="H18" s="6">
        <f t="shared" si="3"/>
        <v>0.19451709774290418</v>
      </c>
      <c r="I18" s="2">
        <f t="shared" si="5"/>
        <v>0.97157535328373579</v>
      </c>
      <c r="J18" s="2">
        <f t="shared" si="6"/>
        <v>0.58719178777734404</v>
      </c>
      <c r="K18" s="2">
        <f t="shared" si="7"/>
        <v>-3.0338092700743613E-2</v>
      </c>
      <c r="L18" s="2">
        <f t="shared" si="4"/>
        <v>9.2039986871891291E-4</v>
      </c>
    </row>
    <row r="19" spans="2:12" x14ac:dyDescent="0.25">
      <c r="B19" s="2">
        <v>3</v>
      </c>
      <c r="C19" s="2">
        <v>34</v>
      </c>
      <c r="D19" s="2">
        <f t="shared" si="0"/>
        <v>60.239999999999995</v>
      </c>
      <c r="E19" s="1">
        <f t="shared" si="2"/>
        <v>258.07499999999999</v>
      </c>
      <c r="F19" s="2">
        <f>C19/D19</f>
        <v>0.56440903054448877</v>
      </c>
      <c r="G19" s="2">
        <f t="shared" si="1"/>
        <v>1.097213078779899</v>
      </c>
      <c r="H19" s="6">
        <f t="shared" si="3"/>
        <v>0.23342051729148502</v>
      </c>
      <c r="I19" s="2">
        <f t="shared" si="5"/>
        <v>0.80964612773644651</v>
      </c>
      <c r="J19" s="2">
        <f t="shared" si="6"/>
        <v>0.52027324912662354</v>
      </c>
      <c r="K19" s="2">
        <f t="shared" si="7"/>
        <v>-4.4135781417865227E-2</v>
      </c>
      <c r="L19" s="2">
        <f t="shared" si="4"/>
        <v>1.9479672013655775E-3</v>
      </c>
    </row>
    <row r="21" spans="2:12" x14ac:dyDescent="0.25">
      <c r="K21" s="8" t="s">
        <v>30</v>
      </c>
      <c r="L21" s="2">
        <f>SUM(L15:L19)</f>
        <v>1.2541102997063274E-2</v>
      </c>
    </row>
    <row r="27" spans="2:12" x14ac:dyDescent="0.25">
      <c r="J27" s="13" t="s">
        <v>52</v>
      </c>
    </row>
    <row r="28" spans="2:12" x14ac:dyDescent="0.25">
      <c r="J28" s="12" t="s">
        <v>82</v>
      </c>
    </row>
    <row r="29" spans="2:12" x14ac:dyDescent="0.25">
      <c r="J29" s="13"/>
    </row>
    <row r="30" spans="2:12" x14ac:dyDescent="0.25">
      <c r="J30" s="13" t="s">
        <v>54</v>
      </c>
    </row>
    <row r="31" spans="2:12" x14ac:dyDescent="0.25">
      <c r="J31" s="13"/>
    </row>
    <row r="32" spans="2:12" x14ac:dyDescent="0.25">
      <c r="J32" s="12" t="s">
        <v>83</v>
      </c>
    </row>
    <row r="33" spans="10:10" x14ac:dyDescent="0.25">
      <c r="J33" s="13" t="s">
        <v>56</v>
      </c>
    </row>
    <row r="34" spans="10:10" x14ac:dyDescent="0.25">
      <c r="J34" s="12" t="s">
        <v>57</v>
      </c>
    </row>
    <row r="35" spans="10:10" x14ac:dyDescent="0.25">
      <c r="J35" s="13" t="s">
        <v>58</v>
      </c>
    </row>
    <row r="36" spans="10:10" x14ac:dyDescent="0.25">
      <c r="J36" s="12" t="s">
        <v>59</v>
      </c>
    </row>
    <row r="37" spans="10:10" x14ac:dyDescent="0.25">
      <c r="J37" s="13" t="s">
        <v>60</v>
      </c>
    </row>
    <row r="38" spans="10:10" x14ac:dyDescent="0.25">
      <c r="J38" s="12" t="s">
        <v>61</v>
      </c>
    </row>
    <row r="39" spans="10:10" x14ac:dyDescent="0.25">
      <c r="J39" s="13" t="s">
        <v>62</v>
      </c>
    </row>
    <row r="40" spans="10:10" x14ac:dyDescent="0.25">
      <c r="J40" s="12" t="s">
        <v>84</v>
      </c>
    </row>
    <row r="41" spans="10:10" x14ac:dyDescent="0.25">
      <c r="J41" s="13" t="s">
        <v>64</v>
      </c>
    </row>
    <row r="42" spans="10:10" x14ac:dyDescent="0.25">
      <c r="J42" s="12" t="s">
        <v>59</v>
      </c>
    </row>
    <row r="43" spans="10:10" x14ac:dyDescent="0.25">
      <c r="J43" s="13" t="s">
        <v>65</v>
      </c>
    </row>
    <row r="44" spans="10:10" x14ac:dyDescent="0.25">
      <c r="J44" s="12" t="s">
        <v>66</v>
      </c>
    </row>
    <row r="45" spans="10:10" x14ac:dyDescent="0.25">
      <c r="J45" s="12"/>
    </row>
    <row r="46" spans="10:10" x14ac:dyDescent="0.25">
      <c r="J46" s="13" t="s">
        <v>67</v>
      </c>
    </row>
    <row r="47" spans="10:10" x14ac:dyDescent="0.25">
      <c r="J47" s="12" t="s">
        <v>68</v>
      </c>
    </row>
    <row r="48" spans="10:10" x14ac:dyDescent="0.25">
      <c r="J48" s="12"/>
    </row>
    <row r="49" spans="10:10" x14ac:dyDescent="0.25">
      <c r="J49" s="13" t="s">
        <v>69</v>
      </c>
    </row>
    <row r="50" spans="10:10" x14ac:dyDescent="0.25">
      <c r="J50" s="12" t="s">
        <v>70</v>
      </c>
    </row>
    <row r="51" spans="10:10" x14ac:dyDescent="0.25">
      <c r="J51" s="12"/>
    </row>
    <row r="52" spans="10:10" x14ac:dyDescent="0.25">
      <c r="J52" s="13" t="s">
        <v>71</v>
      </c>
    </row>
    <row r="53" spans="10:10" x14ac:dyDescent="0.25">
      <c r="J53" s="12" t="s">
        <v>85</v>
      </c>
    </row>
    <row r="54" spans="10:10" x14ac:dyDescent="0.25">
      <c r="J54" s="12"/>
    </row>
    <row r="55" spans="10:10" x14ac:dyDescent="0.25">
      <c r="J55" s="13" t="s">
        <v>73</v>
      </c>
    </row>
    <row r="56" spans="10:10" x14ac:dyDescent="0.25">
      <c r="J56" s="12" t="s">
        <v>86</v>
      </c>
    </row>
    <row r="57" spans="10:10" x14ac:dyDescent="0.25">
      <c r="J57" s="12"/>
    </row>
    <row r="58" spans="10:10" x14ac:dyDescent="0.25">
      <c r="J58" s="13" t="s">
        <v>75</v>
      </c>
    </row>
    <row r="59" spans="10:10" x14ac:dyDescent="0.25">
      <c r="J59" s="12" t="s">
        <v>76</v>
      </c>
    </row>
    <row r="60" spans="10:10" x14ac:dyDescent="0.25">
      <c r="J60" s="12"/>
    </row>
    <row r="61" spans="10:10" x14ac:dyDescent="0.25">
      <c r="J61" s="13" t="s">
        <v>77</v>
      </c>
    </row>
    <row r="62" spans="10:10" x14ac:dyDescent="0.25">
      <c r="J62" s="12" t="s">
        <v>78</v>
      </c>
    </row>
    <row r="63" spans="10:10" x14ac:dyDescent="0.25">
      <c r="J63" s="12"/>
    </row>
    <row r="64" spans="10:10" x14ac:dyDescent="0.25">
      <c r="J64" s="13" t="s">
        <v>79</v>
      </c>
    </row>
    <row r="65" spans="10:10" x14ac:dyDescent="0.25">
      <c r="J65" s="12" t="s">
        <v>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8" workbookViewId="0">
      <selection activeCell="L19" sqref="L19"/>
    </sheetView>
  </sheetViews>
  <sheetFormatPr baseColWidth="10" defaultRowHeight="15" x14ac:dyDescent="0.25"/>
  <sheetData>
    <row r="1" spans="1:12" x14ac:dyDescent="0.25">
      <c r="A1" t="s">
        <v>93</v>
      </c>
    </row>
    <row r="3" spans="1:12" x14ac:dyDescent="0.25">
      <c r="B3" t="s">
        <v>4</v>
      </c>
      <c r="C3" s="1">
        <v>3.7</v>
      </c>
      <c r="D3" s="1" t="s">
        <v>5</v>
      </c>
      <c r="E3" s="1" t="s">
        <v>15</v>
      </c>
      <c r="F3" s="1"/>
    </row>
    <row r="4" spans="1:12" x14ac:dyDescent="0.25">
      <c r="B4" t="s">
        <v>25</v>
      </c>
      <c r="C4" s="1">
        <v>4185</v>
      </c>
      <c r="D4" s="1" t="s">
        <v>9</v>
      </c>
      <c r="E4" s="1" t="s">
        <v>16</v>
      </c>
      <c r="F4" s="1">
        <v>301</v>
      </c>
      <c r="G4" t="s">
        <v>19</v>
      </c>
    </row>
    <row r="5" spans="1:12" x14ac:dyDescent="0.25">
      <c r="B5" t="s">
        <v>8</v>
      </c>
      <c r="C5" s="1">
        <v>1004</v>
      </c>
      <c r="D5" s="1" t="s">
        <v>9</v>
      </c>
      <c r="E5" s="1" t="s">
        <v>17</v>
      </c>
      <c r="F5" s="1">
        <v>64</v>
      </c>
      <c r="G5" t="s">
        <v>19</v>
      </c>
    </row>
    <row r="6" spans="1:12" x14ac:dyDescent="0.25">
      <c r="B6" t="s">
        <v>10</v>
      </c>
      <c r="C6" s="1">
        <v>1.2</v>
      </c>
      <c r="D6" s="1" t="s">
        <v>11</v>
      </c>
      <c r="E6" s="1" t="s">
        <v>18</v>
      </c>
      <c r="F6" s="1">
        <v>229</v>
      </c>
      <c r="G6" t="s">
        <v>19</v>
      </c>
    </row>
    <row r="7" spans="1:12" x14ac:dyDescent="0.25">
      <c r="C7" s="1"/>
      <c r="D7" s="1"/>
      <c r="E7" s="1" t="s">
        <v>14</v>
      </c>
      <c r="F7" s="1">
        <v>2.99</v>
      </c>
      <c r="G7" t="s">
        <v>24</v>
      </c>
    </row>
    <row r="8" spans="1:12" x14ac:dyDescent="0.25">
      <c r="A8" s="1" t="s">
        <v>38</v>
      </c>
      <c r="B8" s="1" t="s">
        <v>37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36</v>
      </c>
      <c r="H8" s="1" t="s">
        <v>41</v>
      </c>
      <c r="I8" s="1" t="s">
        <v>43</v>
      </c>
      <c r="J8" s="1" t="s">
        <v>42</v>
      </c>
      <c r="K8" s="1" t="s">
        <v>44</v>
      </c>
    </row>
    <row r="9" spans="1:12" x14ac:dyDescent="0.25">
      <c r="A9" s="1" t="s">
        <v>39</v>
      </c>
      <c r="B9" s="1">
        <v>1230</v>
      </c>
      <c r="C9" s="9">
        <v>63.916971902517041</v>
      </c>
      <c r="D9" s="1">
        <f>F4/1000</f>
        <v>0.30099999999999999</v>
      </c>
      <c r="E9" s="1">
        <f>F5/1000</f>
        <v>6.4000000000000001E-2</v>
      </c>
      <c r="F9" s="1">
        <f>F6/1000</f>
        <v>0.22900000000000001</v>
      </c>
      <c r="G9" s="1">
        <f>F7</f>
        <v>2.99</v>
      </c>
      <c r="H9">
        <v>250</v>
      </c>
      <c r="I9">
        <v>14</v>
      </c>
      <c r="J9">
        <v>0.6</v>
      </c>
      <c r="K9">
        <v>7.6</v>
      </c>
    </row>
    <row r="12" spans="1:12" ht="30" x14ac:dyDescent="0.25">
      <c r="A12" s="7" t="s">
        <v>40</v>
      </c>
      <c r="B12" s="2" t="s">
        <v>0</v>
      </c>
      <c r="C12" s="2" t="s">
        <v>2</v>
      </c>
      <c r="D12" s="2" t="s">
        <v>22</v>
      </c>
      <c r="E12" s="2" t="s">
        <v>23</v>
      </c>
      <c r="F12" s="2" t="s">
        <v>6</v>
      </c>
      <c r="G12" s="2" t="s">
        <v>21</v>
      </c>
      <c r="H12" s="4" t="s">
        <v>27</v>
      </c>
      <c r="I12" s="4" t="s">
        <v>26</v>
      </c>
      <c r="J12" s="4" t="s">
        <v>31</v>
      </c>
      <c r="K12" s="4" t="s">
        <v>28</v>
      </c>
      <c r="L12" s="4" t="s">
        <v>29</v>
      </c>
    </row>
    <row r="13" spans="1:12" x14ac:dyDescent="0.25">
      <c r="B13" s="2" t="s">
        <v>1</v>
      </c>
      <c r="C13" s="2" t="s">
        <v>3</v>
      </c>
      <c r="D13" s="2" t="s">
        <v>12</v>
      </c>
      <c r="E13" s="2" t="s">
        <v>12</v>
      </c>
      <c r="F13" s="3" t="s">
        <v>7</v>
      </c>
      <c r="G13" s="2" t="s">
        <v>20</v>
      </c>
    </row>
    <row r="14" spans="1:12" x14ac:dyDescent="0.25">
      <c r="B14" s="2">
        <v>0</v>
      </c>
      <c r="C14" s="2">
        <v>0</v>
      </c>
      <c r="D14" s="2">
        <f t="shared" ref="D14:D19" si="0">B14/60*$C$6*$C$5</f>
        <v>0</v>
      </c>
      <c r="E14" s="1">
        <f>$C$4*$C$3*0.001/60*1000</f>
        <v>258.07499999999999</v>
      </c>
      <c r="F14" s="2">
        <v>1</v>
      </c>
      <c r="G14" s="2">
        <f t="shared" ref="G14:G19" si="1">B14/60/($F$4*$F$6)/0.000001</f>
        <v>0</v>
      </c>
      <c r="H14" s="6">
        <f>D14/E14</f>
        <v>0</v>
      </c>
      <c r="I14" s="2"/>
      <c r="J14" s="2">
        <v>1</v>
      </c>
      <c r="K14" s="5"/>
      <c r="L14" s="5"/>
    </row>
    <row r="15" spans="1:12" x14ac:dyDescent="0.25">
      <c r="B15" s="2">
        <v>1</v>
      </c>
      <c r="C15" s="2">
        <v>15</v>
      </c>
      <c r="D15" s="2">
        <f t="shared" si="0"/>
        <v>20.080000000000002</v>
      </c>
      <c r="E15" s="1">
        <f t="shared" ref="E15:E19" si="2">$C$4*$C$3*0.001/60*1000</f>
        <v>258.07499999999999</v>
      </c>
      <c r="F15" s="2">
        <f>C15/D15</f>
        <v>0.74701195219123495</v>
      </c>
      <c r="G15" s="2">
        <f t="shared" si="1"/>
        <v>0.24179469695870628</v>
      </c>
      <c r="H15" s="6">
        <f t="shared" ref="H15:H19" si="3">D15/E15</f>
        <v>7.7806839097161684E-2</v>
      </c>
      <c r="I15" s="2">
        <f>$C$9/D15</f>
        <v>3.1831161306034379</v>
      </c>
      <c r="J15" s="2">
        <f>1-EXP((1/H15)*I15^0.22*(EXP(-H15*I15^0.78)-1))</f>
        <v>0.94476875741655753</v>
      </c>
      <c r="K15" s="2">
        <f>(J15-F15)</f>
        <v>0.19775680522532257</v>
      </c>
      <c r="L15" s="2">
        <f t="shared" ref="L15:L19" si="4">K15^2</f>
        <v>3.9107754012926169E-2</v>
      </c>
    </row>
    <row r="16" spans="1:12" x14ac:dyDescent="0.25">
      <c r="B16" s="2">
        <v>2</v>
      </c>
      <c r="C16" s="2">
        <v>29</v>
      </c>
      <c r="D16" s="2">
        <f t="shared" si="0"/>
        <v>40.160000000000004</v>
      </c>
      <c r="E16" s="1">
        <f t="shared" si="2"/>
        <v>258.07499999999999</v>
      </c>
      <c r="F16" s="2">
        <f>C16/D16</f>
        <v>0.72211155378486047</v>
      </c>
      <c r="G16" s="2">
        <f t="shared" si="1"/>
        <v>0.48358939391741257</v>
      </c>
      <c r="H16" s="6">
        <f t="shared" si="3"/>
        <v>0.15561367819432337</v>
      </c>
      <c r="I16" s="2">
        <f t="shared" ref="I16:I19" si="5">$C$9/D16</f>
        <v>1.5915580653017189</v>
      </c>
      <c r="J16" s="2">
        <f t="shared" ref="J16:J19" si="6">1-EXP((1/H16)*I16^0.22*(EXP(-H16*I16^0.78)-1))</f>
        <v>0.75977409608237501</v>
      </c>
      <c r="K16" s="2">
        <f t="shared" ref="K16:K19" si="7">(J16-F16)</f>
        <v>3.7662542297514534E-2</v>
      </c>
      <c r="L16" s="2">
        <f t="shared" si="4"/>
        <v>1.4184670923120713E-3</v>
      </c>
    </row>
    <row r="17" spans="2:12" x14ac:dyDescent="0.25">
      <c r="B17" s="2">
        <v>3</v>
      </c>
      <c r="C17" s="2">
        <v>38</v>
      </c>
      <c r="D17" s="2">
        <f t="shared" si="0"/>
        <v>60.239999999999995</v>
      </c>
      <c r="E17" s="1">
        <f t="shared" si="2"/>
        <v>258.07499999999999</v>
      </c>
      <c r="F17" s="2">
        <f>C17/D17</f>
        <v>0.63081009296148749</v>
      </c>
      <c r="G17" s="2">
        <f t="shared" si="1"/>
        <v>0.72538409087611899</v>
      </c>
      <c r="H17" s="6">
        <f t="shared" si="3"/>
        <v>0.23342051729148502</v>
      </c>
      <c r="I17" s="2">
        <f t="shared" si="5"/>
        <v>1.0610387102011463</v>
      </c>
      <c r="J17" s="2">
        <f t="shared" si="6"/>
        <v>0.60987968316734409</v>
      </c>
      <c r="K17" s="2">
        <f t="shared" si="7"/>
        <v>-2.0930409794143401E-2</v>
      </c>
      <c r="L17" s="2">
        <f t="shared" si="4"/>
        <v>4.3808205415077399E-4</v>
      </c>
    </row>
    <row r="18" spans="2:12" x14ac:dyDescent="0.25">
      <c r="B18" s="2">
        <v>4</v>
      </c>
      <c r="C18" s="2">
        <v>44</v>
      </c>
      <c r="D18" s="2">
        <f t="shared" si="0"/>
        <v>80.320000000000007</v>
      </c>
      <c r="E18" s="1">
        <f t="shared" si="2"/>
        <v>258.07499999999999</v>
      </c>
      <c r="F18" s="2">
        <f>C18/D18</f>
        <v>0.547808764940239</v>
      </c>
      <c r="G18" s="2">
        <f t="shared" si="1"/>
        <v>0.96717878783482514</v>
      </c>
      <c r="H18" s="6">
        <f t="shared" si="3"/>
        <v>0.31122735638864674</v>
      </c>
      <c r="I18" s="2">
        <f t="shared" si="5"/>
        <v>0.79577903265085947</v>
      </c>
      <c r="J18" s="2">
        <f t="shared" si="6"/>
        <v>0.50370992606802667</v>
      </c>
      <c r="K18" s="2">
        <f t="shared" si="7"/>
        <v>-4.4098838872212331E-2</v>
      </c>
      <c r="L18" s="2">
        <f t="shared" si="4"/>
        <v>1.9447075898773453E-3</v>
      </c>
    </row>
    <row r="19" spans="2:12" x14ac:dyDescent="0.25">
      <c r="B19" s="2">
        <v>5</v>
      </c>
      <c r="C19" s="2">
        <v>50</v>
      </c>
      <c r="D19" s="2">
        <f t="shared" si="0"/>
        <v>100.39999999999999</v>
      </c>
      <c r="E19" s="1">
        <f t="shared" si="2"/>
        <v>258.07499999999999</v>
      </c>
      <c r="F19" s="2">
        <f>C19/D19</f>
        <v>0.4980079681274901</v>
      </c>
      <c r="G19" s="2">
        <f t="shared" si="1"/>
        <v>1.2089734847935316</v>
      </c>
      <c r="H19" s="6">
        <f t="shared" si="3"/>
        <v>0.38903419548580837</v>
      </c>
      <c r="I19" s="2">
        <f t="shared" si="5"/>
        <v>0.63662322612068767</v>
      </c>
      <c r="J19" s="2">
        <f t="shared" si="6"/>
        <v>0.42706194312857793</v>
      </c>
      <c r="K19" s="2">
        <f t="shared" si="7"/>
        <v>-7.0946024998912172E-2</v>
      </c>
      <c r="L19" s="2">
        <f t="shared" si="4"/>
        <v>5.0333384631462705E-3</v>
      </c>
    </row>
    <row r="21" spans="2:12" x14ac:dyDescent="0.25">
      <c r="K21" s="8" t="s">
        <v>30</v>
      </c>
      <c r="L21" s="2">
        <f>SUM(L15:L19)</f>
        <v>4.7942349212412631E-2</v>
      </c>
    </row>
    <row r="27" spans="2:12" x14ac:dyDescent="0.25">
      <c r="J27" s="13" t="s">
        <v>52</v>
      </c>
    </row>
    <row r="28" spans="2:12" x14ac:dyDescent="0.25">
      <c r="J28" s="12" t="s">
        <v>88</v>
      </c>
    </row>
    <row r="29" spans="2:12" x14ac:dyDescent="0.25">
      <c r="J29" s="13"/>
    </row>
    <row r="30" spans="2:12" x14ac:dyDescent="0.25">
      <c r="J30" s="13" t="s">
        <v>54</v>
      </c>
    </row>
    <row r="31" spans="2:12" x14ac:dyDescent="0.25">
      <c r="J31" s="13"/>
    </row>
    <row r="32" spans="2:12" x14ac:dyDescent="0.25">
      <c r="J32" s="12" t="s">
        <v>89</v>
      </c>
    </row>
    <row r="33" spans="10:10" x14ac:dyDescent="0.25">
      <c r="J33" s="13" t="s">
        <v>56</v>
      </c>
    </row>
    <row r="34" spans="10:10" x14ac:dyDescent="0.25">
      <c r="J34" s="12" t="s">
        <v>57</v>
      </c>
    </row>
    <row r="35" spans="10:10" x14ac:dyDescent="0.25">
      <c r="J35" s="13" t="s">
        <v>58</v>
      </c>
    </row>
    <row r="36" spans="10:10" x14ac:dyDescent="0.25">
      <c r="J36" s="12" t="s">
        <v>59</v>
      </c>
    </row>
    <row r="37" spans="10:10" x14ac:dyDescent="0.25">
      <c r="J37" s="13" t="s">
        <v>60</v>
      </c>
    </row>
    <row r="38" spans="10:10" x14ac:dyDescent="0.25">
      <c r="J38" s="12" t="s">
        <v>61</v>
      </c>
    </row>
    <row r="39" spans="10:10" x14ac:dyDescent="0.25">
      <c r="J39" s="13" t="s">
        <v>62</v>
      </c>
    </row>
    <row r="40" spans="10:10" x14ac:dyDescent="0.25">
      <c r="J40" s="12" t="s">
        <v>90</v>
      </c>
    </row>
    <row r="41" spans="10:10" x14ac:dyDescent="0.25">
      <c r="J41" s="13" t="s">
        <v>64</v>
      </c>
    </row>
    <row r="42" spans="10:10" x14ac:dyDescent="0.25">
      <c r="J42" s="12" t="s">
        <v>59</v>
      </c>
    </row>
    <row r="43" spans="10:10" x14ac:dyDescent="0.25">
      <c r="J43" s="13" t="s">
        <v>65</v>
      </c>
    </row>
    <row r="44" spans="10:10" x14ac:dyDescent="0.25">
      <c r="J44" s="12" t="s">
        <v>66</v>
      </c>
    </row>
    <row r="45" spans="10:10" x14ac:dyDescent="0.25">
      <c r="J45" s="12"/>
    </row>
    <row r="46" spans="10:10" x14ac:dyDescent="0.25">
      <c r="J46" s="13" t="s">
        <v>67</v>
      </c>
    </row>
    <row r="47" spans="10:10" x14ac:dyDescent="0.25">
      <c r="J47" s="12" t="s">
        <v>68</v>
      </c>
    </row>
    <row r="48" spans="10:10" x14ac:dyDescent="0.25">
      <c r="J48" s="12"/>
    </row>
    <row r="49" spans="10:10" x14ac:dyDescent="0.25">
      <c r="J49" s="13" t="s">
        <v>69</v>
      </c>
    </row>
    <row r="50" spans="10:10" x14ac:dyDescent="0.25">
      <c r="J50" s="12" t="s">
        <v>70</v>
      </c>
    </row>
    <row r="51" spans="10:10" x14ac:dyDescent="0.25">
      <c r="J51" s="12"/>
    </row>
    <row r="52" spans="10:10" x14ac:dyDescent="0.25">
      <c r="J52" s="13" t="s">
        <v>71</v>
      </c>
    </row>
    <row r="53" spans="10:10" x14ac:dyDescent="0.25">
      <c r="J53" s="12" t="s">
        <v>91</v>
      </c>
    </row>
    <row r="54" spans="10:10" x14ac:dyDescent="0.25">
      <c r="J54" s="12"/>
    </row>
    <row r="55" spans="10:10" x14ac:dyDescent="0.25">
      <c r="J55" s="13" t="s">
        <v>73</v>
      </c>
    </row>
    <row r="56" spans="10:10" x14ac:dyDescent="0.25">
      <c r="J56" s="12" t="s">
        <v>74</v>
      </c>
    </row>
    <row r="57" spans="10:10" x14ac:dyDescent="0.25">
      <c r="J57" s="12"/>
    </row>
    <row r="58" spans="10:10" x14ac:dyDescent="0.25">
      <c r="J58" s="13" t="s">
        <v>75</v>
      </c>
    </row>
    <row r="59" spans="10:10" x14ac:dyDescent="0.25">
      <c r="J59" s="12" t="s">
        <v>76</v>
      </c>
    </row>
    <row r="60" spans="10:10" x14ac:dyDescent="0.25">
      <c r="J60" s="12"/>
    </row>
    <row r="61" spans="10:10" x14ac:dyDescent="0.25">
      <c r="J61" s="13" t="s">
        <v>77</v>
      </c>
    </row>
    <row r="62" spans="10:10" x14ac:dyDescent="0.25">
      <c r="J62" s="12" t="s">
        <v>78</v>
      </c>
    </row>
    <row r="63" spans="10:10" x14ac:dyDescent="0.25">
      <c r="J63" s="12"/>
    </row>
    <row r="64" spans="10:10" x14ac:dyDescent="0.25">
      <c r="J64" s="13" t="s">
        <v>79</v>
      </c>
    </row>
    <row r="65" spans="10:10" x14ac:dyDescent="0.25">
      <c r="J65" s="12" t="s">
        <v>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6" workbookViewId="0">
      <selection activeCell="I14" sqref="I14:I19"/>
    </sheetView>
  </sheetViews>
  <sheetFormatPr baseColWidth="10" defaultRowHeight="15" x14ac:dyDescent="0.25"/>
  <sheetData>
    <row r="1" spans="1:12" x14ac:dyDescent="0.25">
      <c r="A1" t="s">
        <v>93</v>
      </c>
    </row>
    <row r="3" spans="1:12" x14ac:dyDescent="0.25">
      <c r="B3" t="s">
        <v>4</v>
      </c>
      <c r="C3" s="1">
        <v>3.7</v>
      </c>
      <c r="D3" s="1" t="s">
        <v>5</v>
      </c>
      <c r="E3" s="1" t="s">
        <v>15</v>
      </c>
      <c r="F3" s="1"/>
    </row>
    <row r="4" spans="1:12" x14ac:dyDescent="0.25">
      <c r="B4" t="s">
        <v>25</v>
      </c>
      <c r="C4" s="1">
        <v>4185</v>
      </c>
      <c r="D4" s="1" t="s">
        <v>9</v>
      </c>
      <c r="E4" s="1" t="s">
        <v>16</v>
      </c>
      <c r="F4" s="1">
        <v>505</v>
      </c>
      <c r="G4" t="s">
        <v>19</v>
      </c>
    </row>
    <row r="5" spans="1:12" x14ac:dyDescent="0.25">
      <c r="B5" t="s">
        <v>8</v>
      </c>
      <c r="C5" s="1">
        <v>1004</v>
      </c>
      <c r="D5" s="1" t="s">
        <v>9</v>
      </c>
      <c r="E5" s="1" t="s">
        <v>17</v>
      </c>
      <c r="F5" s="1">
        <v>64</v>
      </c>
      <c r="G5" t="s">
        <v>19</v>
      </c>
    </row>
    <row r="6" spans="1:12" x14ac:dyDescent="0.25">
      <c r="B6" t="s">
        <v>10</v>
      </c>
      <c r="C6" s="1">
        <v>1.2</v>
      </c>
      <c r="D6" s="1" t="s">
        <v>11</v>
      </c>
      <c r="E6" s="1" t="s">
        <v>18</v>
      </c>
      <c r="F6" s="1">
        <v>229</v>
      </c>
      <c r="G6" t="s">
        <v>19</v>
      </c>
    </row>
    <row r="7" spans="1:12" x14ac:dyDescent="0.25">
      <c r="C7" s="1"/>
      <c r="D7" s="1"/>
      <c r="E7" s="1" t="s">
        <v>14</v>
      </c>
      <c r="F7" s="1">
        <v>4.99</v>
      </c>
      <c r="G7" t="s">
        <v>24</v>
      </c>
    </row>
    <row r="8" spans="1:12" x14ac:dyDescent="0.25">
      <c r="A8" s="1"/>
      <c r="B8" s="1" t="s">
        <v>37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36</v>
      </c>
      <c r="H8" s="1" t="s">
        <v>41</v>
      </c>
      <c r="I8" s="1" t="s">
        <v>43</v>
      </c>
      <c r="J8" s="1" t="s">
        <v>42</v>
      </c>
      <c r="K8" s="1" t="s">
        <v>44</v>
      </c>
    </row>
    <row r="9" spans="1:12" x14ac:dyDescent="0.25">
      <c r="A9" s="1"/>
      <c r="B9" s="1">
        <v>2000</v>
      </c>
      <c r="C9" s="9">
        <v>132.46533249317739</v>
      </c>
      <c r="D9" s="1">
        <f>F4/1000</f>
        <v>0.505</v>
      </c>
      <c r="E9" s="1">
        <f>F5/1000</f>
        <v>6.4000000000000001E-2</v>
      </c>
      <c r="F9" s="1">
        <f>F6/1000</f>
        <v>0.22900000000000001</v>
      </c>
      <c r="G9" s="1">
        <f>F7</f>
        <v>4.99</v>
      </c>
      <c r="H9">
        <v>50</v>
      </c>
      <c r="I9">
        <v>11.2</v>
      </c>
      <c r="J9">
        <v>1</v>
      </c>
      <c r="K9">
        <v>7.6</v>
      </c>
    </row>
    <row r="12" spans="1:12" ht="30" x14ac:dyDescent="0.25">
      <c r="A12" s="7" t="s">
        <v>40</v>
      </c>
      <c r="B12" s="2" t="s">
        <v>0</v>
      </c>
      <c r="C12" s="2" t="s">
        <v>2</v>
      </c>
      <c r="D12" s="2" t="s">
        <v>22</v>
      </c>
      <c r="E12" s="2" t="s">
        <v>23</v>
      </c>
      <c r="F12" s="2" t="s">
        <v>6</v>
      </c>
      <c r="G12" s="2" t="s">
        <v>21</v>
      </c>
      <c r="H12" s="4" t="s">
        <v>27</v>
      </c>
      <c r="I12" s="4" t="s">
        <v>26</v>
      </c>
      <c r="J12" s="4" t="s">
        <v>31</v>
      </c>
      <c r="K12" s="4" t="s">
        <v>28</v>
      </c>
      <c r="L12" s="4" t="s">
        <v>29</v>
      </c>
    </row>
    <row r="13" spans="1:12" x14ac:dyDescent="0.25">
      <c r="B13" s="2" t="s">
        <v>1</v>
      </c>
      <c r="C13" s="2" t="s">
        <v>3</v>
      </c>
      <c r="D13" s="2" t="s">
        <v>12</v>
      </c>
      <c r="E13" s="2" t="s">
        <v>12</v>
      </c>
      <c r="F13" s="3" t="s">
        <v>7</v>
      </c>
      <c r="G13" s="2" t="s">
        <v>20</v>
      </c>
    </row>
    <row r="14" spans="1:12" x14ac:dyDescent="0.25">
      <c r="B14" s="2">
        <v>0</v>
      </c>
      <c r="C14" s="2">
        <v>0</v>
      </c>
      <c r="D14" s="2">
        <f t="shared" ref="D14:D19" si="0">B14/60*$C$6*$C$5</f>
        <v>0</v>
      </c>
      <c r="E14" s="1">
        <f>$C$4*$C$3*0.001/60*1000</f>
        <v>258.07499999999999</v>
      </c>
      <c r="F14" s="2">
        <v>1</v>
      </c>
      <c r="G14" s="2">
        <f t="shared" ref="G14:G19" si="1">B14/60/($F$4*$F$6)/0.000001</f>
        <v>0</v>
      </c>
      <c r="H14" s="6">
        <f>D14/E14</f>
        <v>0</v>
      </c>
      <c r="I14" s="2"/>
      <c r="J14" s="2">
        <v>1</v>
      </c>
      <c r="K14" s="5"/>
      <c r="L14" s="5"/>
    </row>
    <row r="15" spans="1:12" x14ac:dyDescent="0.25">
      <c r="B15" s="2">
        <v>2</v>
      </c>
      <c r="C15" s="2">
        <v>35</v>
      </c>
      <c r="D15" s="2">
        <f t="shared" si="0"/>
        <v>40.160000000000004</v>
      </c>
      <c r="E15" s="1">
        <f t="shared" ref="E15:E19" si="2">$C$4*$C$3*0.001/60*1000</f>
        <v>258.07499999999999</v>
      </c>
      <c r="F15" s="2">
        <f>C15/D15</f>
        <v>0.87151394422310746</v>
      </c>
      <c r="G15" s="2">
        <f t="shared" si="1"/>
        <v>0.28823843082998257</v>
      </c>
      <c r="H15" s="6">
        <f t="shared" ref="H15:H19" si="3">D15/E15</f>
        <v>0.15561367819432337</v>
      </c>
      <c r="I15" s="2">
        <f>$C$9/D15</f>
        <v>3.2984395541129823</v>
      </c>
      <c r="J15" s="2">
        <f>1-EXP((1/H15)*I15^0.22*(EXP(-H15*I15^0.78)-1))</f>
        <v>0.93446947884189702</v>
      </c>
      <c r="K15" s="2">
        <f>(J15-F15)</f>
        <v>6.2955534618789555E-2</v>
      </c>
      <c r="L15" s="2">
        <f t="shared" ref="L15:L19" si="4">K15^2</f>
        <v>3.9633993391376098E-3</v>
      </c>
    </row>
    <row r="16" spans="1:12" x14ac:dyDescent="0.25">
      <c r="B16" s="2">
        <v>4</v>
      </c>
      <c r="C16" s="2">
        <v>55</v>
      </c>
      <c r="D16" s="2">
        <f t="shared" si="0"/>
        <v>80.320000000000007</v>
      </c>
      <c r="E16" s="1">
        <f t="shared" si="2"/>
        <v>258.07499999999999</v>
      </c>
      <c r="F16" s="2">
        <f>C16/D16</f>
        <v>0.68476095617529875</v>
      </c>
      <c r="G16" s="2">
        <f t="shared" si="1"/>
        <v>0.57647686165996515</v>
      </c>
      <c r="H16" s="6">
        <f t="shared" si="3"/>
        <v>0.31122735638864674</v>
      </c>
      <c r="I16" s="2">
        <f t="shared" ref="I16:I19" si="5">$C$9/D16</f>
        <v>1.6492197770564911</v>
      </c>
      <c r="J16" s="2">
        <f t="shared" ref="J16:J19" si="6">1-EXP((1/H16)*I16^0.22*(EXP(-H16*I16^0.78)-1))</f>
        <v>0.73341849760392952</v>
      </c>
      <c r="K16" s="2">
        <f t="shared" ref="K16:K19" si="7">(J16-F16)</f>
        <v>4.8657541428630768E-2</v>
      </c>
      <c r="L16" s="2">
        <f t="shared" si="4"/>
        <v>2.3675563378789195E-3</v>
      </c>
    </row>
    <row r="17" spans="2:12" x14ac:dyDescent="0.25">
      <c r="B17" s="2">
        <v>6</v>
      </c>
      <c r="C17" s="2">
        <v>70</v>
      </c>
      <c r="D17" s="2">
        <f t="shared" si="0"/>
        <v>120.47999999999999</v>
      </c>
      <c r="E17" s="1">
        <f t="shared" si="2"/>
        <v>258.07499999999999</v>
      </c>
      <c r="F17" s="2">
        <f>C17/D17</f>
        <v>0.58100929614873842</v>
      </c>
      <c r="G17" s="2">
        <f t="shared" si="1"/>
        <v>0.86471529248994772</v>
      </c>
      <c r="H17" s="6">
        <f t="shared" si="3"/>
        <v>0.46684103458297005</v>
      </c>
      <c r="I17" s="2">
        <f t="shared" si="5"/>
        <v>1.0994798513709942</v>
      </c>
      <c r="J17" s="2">
        <f t="shared" si="6"/>
        <v>0.57859434112286579</v>
      </c>
      <c r="K17" s="2">
        <f t="shared" si="7"/>
        <v>-2.4149550258726338E-3</v>
      </c>
      <c r="L17" s="2">
        <f t="shared" si="4"/>
        <v>5.8320077769874935E-6</v>
      </c>
    </row>
    <row r="18" spans="2:12" x14ac:dyDescent="0.25">
      <c r="B18" s="2">
        <v>8</v>
      </c>
      <c r="C18" s="2">
        <v>82</v>
      </c>
      <c r="D18" s="2">
        <f t="shared" si="0"/>
        <v>160.64000000000001</v>
      </c>
      <c r="E18" s="1">
        <f t="shared" si="2"/>
        <v>258.07499999999999</v>
      </c>
      <c r="F18" s="2">
        <f>C18/D18</f>
        <v>0.51045816733067728</v>
      </c>
      <c r="G18" s="2">
        <f t="shared" si="1"/>
        <v>1.1529537233199303</v>
      </c>
      <c r="H18" s="6">
        <f t="shared" si="3"/>
        <v>0.62245471277729347</v>
      </c>
      <c r="I18" s="2">
        <f t="shared" si="5"/>
        <v>0.82460988852824557</v>
      </c>
      <c r="J18" s="2">
        <f t="shared" si="6"/>
        <v>0.47189790940713361</v>
      </c>
      <c r="K18" s="2">
        <f t="shared" si="7"/>
        <v>-3.8560257923543673E-2</v>
      </c>
      <c r="L18" s="2">
        <f t="shared" si="4"/>
        <v>1.4868934911302127E-3</v>
      </c>
    </row>
    <row r="19" spans="2:12" x14ac:dyDescent="0.25">
      <c r="B19" s="2">
        <v>10</v>
      </c>
      <c r="C19" s="2">
        <v>90</v>
      </c>
      <c r="D19" s="2">
        <f t="shared" si="0"/>
        <v>200.79999999999998</v>
      </c>
      <c r="E19" s="1">
        <f t="shared" si="2"/>
        <v>258.07499999999999</v>
      </c>
      <c r="F19" s="2">
        <f>C19/D19</f>
        <v>0.44820717131474108</v>
      </c>
      <c r="G19" s="2">
        <f t="shared" si="1"/>
        <v>1.4411921541499129</v>
      </c>
      <c r="H19" s="6">
        <f t="shared" si="3"/>
        <v>0.77806839097161673</v>
      </c>
      <c r="I19" s="2">
        <f t="shared" si="5"/>
        <v>0.65968791082259659</v>
      </c>
      <c r="J19" s="2">
        <f t="shared" si="6"/>
        <v>0.3962261617245435</v>
      </c>
      <c r="K19" s="2">
        <f t="shared" si="7"/>
        <v>-5.198100959019758E-2</v>
      </c>
      <c r="L19" s="2">
        <f t="shared" si="4"/>
        <v>2.7020253580162129E-3</v>
      </c>
    </row>
    <row r="21" spans="2:12" x14ac:dyDescent="0.25">
      <c r="K21" s="8" t="s">
        <v>30</v>
      </c>
      <c r="L21" s="2">
        <f>SUM(L15:L19)</f>
        <v>1.0525706533939942E-2</v>
      </c>
    </row>
    <row r="27" spans="2:12" x14ac:dyDescent="0.25">
      <c r="J27" s="13" t="s">
        <v>52</v>
      </c>
    </row>
    <row r="28" spans="2:12" x14ac:dyDescent="0.25">
      <c r="J28" s="12" t="s">
        <v>94</v>
      </c>
    </row>
    <row r="29" spans="2:12" x14ac:dyDescent="0.25">
      <c r="J29" s="13"/>
    </row>
    <row r="30" spans="2:12" x14ac:dyDescent="0.25">
      <c r="J30" s="13" t="s">
        <v>54</v>
      </c>
    </row>
    <row r="31" spans="2:12" x14ac:dyDescent="0.25">
      <c r="J31" s="13"/>
    </row>
    <row r="32" spans="2:12" x14ac:dyDescent="0.25">
      <c r="J32" s="12" t="s">
        <v>95</v>
      </c>
    </row>
    <row r="33" spans="10:10" x14ac:dyDescent="0.25">
      <c r="J33" s="13" t="s">
        <v>56</v>
      </c>
    </row>
    <row r="34" spans="10:10" x14ac:dyDescent="0.25">
      <c r="J34" s="12" t="s">
        <v>57</v>
      </c>
    </row>
    <row r="35" spans="10:10" x14ac:dyDescent="0.25">
      <c r="J35" s="13" t="s">
        <v>58</v>
      </c>
    </row>
    <row r="36" spans="10:10" x14ac:dyDescent="0.25">
      <c r="J36" s="12" t="s">
        <v>59</v>
      </c>
    </row>
    <row r="37" spans="10:10" x14ac:dyDescent="0.25">
      <c r="J37" s="13" t="s">
        <v>60</v>
      </c>
    </row>
    <row r="38" spans="10:10" x14ac:dyDescent="0.25">
      <c r="J38" s="12" t="s">
        <v>61</v>
      </c>
    </row>
    <row r="39" spans="10:10" x14ac:dyDescent="0.25">
      <c r="J39" s="13" t="s">
        <v>62</v>
      </c>
    </row>
    <row r="40" spans="10:10" x14ac:dyDescent="0.25">
      <c r="J40" s="12" t="s">
        <v>96</v>
      </c>
    </row>
    <row r="41" spans="10:10" x14ac:dyDescent="0.25">
      <c r="J41" s="13" t="s">
        <v>64</v>
      </c>
    </row>
    <row r="42" spans="10:10" x14ac:dyDescent="0.25">
      <c r="J42" s="12" t="s">
        <v>59</v>
      </c>
    </row>
    <row r="43" spans="10:10" x14ac:dyDescent="0.25">
      <c r="J43" s="13" t="s">
        <v>65</v>
      </c>
    </row>
    <row r="44" spans="10:10" x14ac:dyDescent="0.25">
      <c r="J44" s="12" t="s">
        <v>66</v>
      </c>
    </row>
    <row r="45" spans="10:10" x14ac:dyDescent="0.25">
      <c r="J45" s="12"/>
    </row>
    <row r="46" spans="10:10" x14ac:dyDescent="0.25">
      <c r="J46" s="13" t="s">
        <v>67</v>
      </c>
    </row>
    <row r="47" spans="10:10" x14ac:dyDescent="0.25">
      <c r="J47" s="12" t="s">
        <v>68</v>
      </c>
    </row>
    <row r="48" spans="10:10" x14ac:dyDescent="0.25">
      <c r="J48" s="12"/>
    </row>
    <row r="49" spans="10:10" x14ac:dyDescent="0.25">
      <c r="J49" s="13" t="s">
        <v>69</v>
      </c>
    </row>
    <row r="50" spans="10:10" x14ac:dyDescent="0.25">
      <c r="J50" s="12" t="s">
        <v>70</v>
      </c>
    </row>
    <row r="51" spans="10:10" x14ac:dyDescent="0.25">
      <c r="J51" s="12"/>
    </row>
    <row r="52" spans="10:10" x14ac:dyDescent="0.25">
      <c r="J52" s="13" t="s">
        <v>71</v>
      </c>
    </row>
    <row r="53" spans="10:10" x14ac:dyDescent="0.25">
      <c r="J53" s="12" t="s">
        <v>97</v>
      </c>
    </row>
    <row r="54" spans="10:10" x14ac:dyDescent="0.25">
      <c r="J54" s="12"/>
    </row>
    <row r="55" spans="10:10" x14ac:dyDescent="0.25">
      <c r="J55" s="13" t="s">
        <v>73</v>
      </c>
    </row>
    <row r="56" spans="10:10" x14ac:dyDescent="0.25">
      <c r="J56" s="12" t="s">
        <v>98</v>
      </c>
    </row>
    <row r="57" spans="10:10" x14ac:dyDescent="0.25">
      <c r="J57" s="12"/>
    </row>
    <row r="58" spans="10:10" x14ac:dyDescent="0.25">
      <c r="J58" s="13" t="s">
        <v>75</v>
      </c>
    </row>
    <row r="59" spans="10:10" x14ac:dyDescent="0.25">
      <c r="J59" s="12" t="s">
        <v>76</v>
      </c>
    </row>
    <row r="60" spans="10:10" x14ac:dyDescent="0.25">
      <c r="J60" s="12"/>
    </row>
    <row r="61" spans="10:10" x14ac:dyDescent="0.25">
      <c r="J61" s="13" t="s">
        <v>77</v>
      </c>
    </row>
    <row r="62" spans="10:10" x14ac:dyDescent="0.25">
      <c r="J62" s="12" t="s">
        <v>78</v>
      </c>
    </row>
    <row r="63" spans="10:10" x14ac:dyDescent="0.25">
      <c r="J63" s="12"/>
    </row>
    <row r="64" spans="10:10" x14ac:dyDescent="0.25">
      <c r="J64" s="13" t="s">
        <v>79</v>
      </c>
    </row>
    <row r="65" spans="10:10" x14ac:dyDescent="0.25">
      <c r="J65" s="12" t="s">
        <v>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2" workbookViewId="0">
      <selection activeCell="I14" sqref="I14:I20"/>
    </sheetView>
  </sheetViews>
  <sheetFormatPr baseColWidth="10" defaultRowHeight="15" x14ac:dyDescent="0.25"/>
  <sheetData>
    <row r="1" spans="1:12" x14ac:dyDescent="0.25">
      <c r="A1" s="10" t="s">
        <v>45</v>
      </c>
    </row>
    <row r="3" spans="1:12" x14ac:dyDescent="0.25">
      <c r="B3" t="s">
        <v>4</v>
      </c>
      <c r="C3" s="1">
        <v>3.7</v>
      </c>
      <c r="D3" s="1" t="s">
        <v>5</v>
      </c>
      <c r="E3" s="1" t="s">
        <v>15</v>
      </c>
      <c r="F3" s="1"/>
    </row>
    <row r="4" spans="1:12" x14ac:dyDescent="0.25">
      <c r="B4" t="s">
        <v>25</v>
      </c>
      <c r="C4" s="1">
        <v>4185</v>
      </c>
      <c r="D4" s="1" t="s">
        <v>9</v>
      </c>
      <c r="E4" s="1" t="s">
        <v>16</v>
      </c>
      <c r="F4" s="1">
        <v>328</v>
      </c>
      <c r="G4" t="s">
        <v>19</v>
      </c>
    </row>
    <row r="5" spans="1:12" x14ac:dyDescent="0.25">
      <c r="B5" t="s">
        <v>8</v>
      </c>
      <c r="C5" s="1">
        <v>1004</v>
      </c>
      <c r="D5" s="1" t="s">
        <v>9</v>
      </c>
      <c r="E5" s="1" t="s">
        <v>17</v>
      </c>
      <c r="F5" s="1">
        <v>53</v>
      </c>
      <c r="G5" t="s">
        <v>19</v>
      </c>
    </row>
    <row r="6" spans="1:12" x14ac:dyDescent="0.25">
      <c r="B6" t="s">
        <v>10</v>
      </c>
      <c r="C6" s="1">
        <v>1.2</v>
      </c>
      <c r="D6" s="1" t="s">
        <v>11</v>
      </c>
      <c r="E6" s="1" t="s">
        <v>18</v>
      </c>
      <c r="F6" s="1">
        <v>305</v>
      </c>
      <c r="G6" t="s">
        <v>19</v>
      </c>
    </row>
    <row r="7" spans="1:12" x14ac:dyDescent="0.25">
      <c r="C7" s="1"/>
      <c r="D7" s="1"/>
      <c r="E7" s="1" t="s">
        <v>14</v>
      </c>
      <c r="F7" s="1">
        <v>7.03</v>
      </c>
      <c r="G7" t="s">
        <v>24</v>
      </c>
    </row>
    <row r="8" spans="1:12" x14ac:dyDescent="0.25">
      <c r="A8" s="1"/>
      <c r="B8" s="1" t="s">
        <v>37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36</v>
      </c>
      <c r="H8" s="1" t="s">
        <v>41</v>
      </c>
      <c r="I8" s="1" t="s">
        <v>43</v>
      </c>
      <c r="J8" s="1" t="s">
        <v>42</v>
      </c>
      <c r="K8" s="1" t="s">
        <v>44</v>
      </c>
    </row>
    <row r="9" spans="1:12" x14ac:dyDescent="0.25">
      <c r="A9" s="1"/>
      <c r="B9" s="1">
        <v>2110</v>
      </c>
      <c r="C9" s="9">
        <v>99.460205581653227</v>
      </c>
      <c r="D9" s="1">
        <f>F4/1000</f>
        <v>0.32800000000000001</v>
      </c>
      <c r="E9" s="1">
        <f>F5/1000</f>
        <v>5.2999999999999999E-2</v>
      </c>
      <c r="F9" s="1">
        <f>F6/1000</f>
        <v>0.30499999999999999</v>
      </c>
      <c r="G9" s="1">
        <f>F7</f>
        <v>7.03</v>
      </c>
      <c r="H9">
        <v>100</v>
      </c>
      <c r="I9">
        <f>500*0.0283</f>
        <v>14.149999999999999</v>
      </c>
      <c r="J9">
        <v>0.6</v>
      </c>
      <c r="K9">
        <v>15.1</v>
      </c>
    </row>
    <row r="12" spans="1:12" ht="30" x14ac:dyDescent="0.25">
      <c r="A12" s="7" t="s">
        <v>40</v>
      </c>
      <c r="B12" s="2" t="s">
        <v>0</v>
      </c>
      <c r="C12" s="2" t="s">
        <v>2</v>
      </c>
      <c r="D12" s="2" t="s">
        <v>22</v>
      </c>
      <c r="E12" s="2" t="s">
        <v>23</v>
      </c>
      <c r="F12" s="2" t="s">
        <v>6</v>
      </c>
      <c r="G12" s="2" t="s">
        <v>21</v>
      </c>
      <c r="H12" s="4" t="s">
        <v>27</v>
      </c>
      <c r="I12" s="4" t="s">
        <v>47</v>
      </c>
      <c r="J12" s="4" t="s">
        <v>31</v>
      </c>
      <c r="K12" s="4" t="s">
        <v>28</v>
      </c>
      <c r="L12" s="4" t="s">
        <v>29</v>
      </c>
    </row>
    <row r="13" spans="1:12" x14ac:dyDescent="0.25">
      <c r="B13" s="2" t="s">
        <v>1</v>
      </c>
      <c r="C13" s="2" t="s">
        <v>3</v>
      </c>
      <c r="D13" s="2" t="s">
        <v>12</v>
      </c>
      <c r="E13" s="2" t="s">
        <v>12</v>
      </c>
      <c r="F13" s="3" t="s">
        <v>7</v>
      </c>
      <c r="G13" s="2" t="s">
        <v>20</v>
      </c>
    </row>
    <row r="14" spans="1:12" x14ac:dyDescent="0.25">
      <c r="B14" s="2">
        <v>0</v>
      </c>
      <c r="C14" s="1">
        <v>0</v>
      </c>
      <c r="D14" s="2">
        <f t="shared" ref="D14:D21" si="0">B14/60*$C$6*$C$5</f>
        <v>0</v>
      </c>
      <c r="E14" s="1">
        <f>$C$4*$C$3*0.001/60*1000</f>
        <v>258.07499999999999</v>
      </c>
      <c r="F14" s="2">
        <v>1</v>
      </c>
      <c r="G14" s="2">
        <f>B14/60/($F$4*$F$6)/0.000001</f>
        <v>0</v>
      </c>
      <c r="H14" s="6">
        <f>D14/E14</f>
        <v>0</v>
      </c>
      <c r="I14" s="2"/>
      <c r="J14" s="2">
        <v>1</v>
      </c>
      <c r="K14" s="5"/>
      <c r="L14" s="5"/>
    </row>
    <row r="15" spans="1:12" x14ac:dyDescent="0.25">
      <c r="B15" s="2">
        <v>1</v>
      </c>
      <c r="C15" s="2">
        <v>18</v>
      </c>
      <c r="D15" s="2">
        <f t="shared" si="0"/>
        <v>20.080000000000002</v>
      </c>
      <c r="E15" s="1">
        <f t="shared" ref="E15:E21" si="1">$C$4*$C$3*0.001/60*1000</f>
        <v>258.07499999999999</v>
      </c>
      <c r="F15" s="2">
        <f>C15/D15</f>
        <v>0.89641434262948194</v>
      </c>
      <c r="G15" s="2">
        <f t="shared" ref="G15:G21" si="2">B15/60/($F$4*$F$6)/0.000001</f>
        <v>0.16660002665600426</v>
      </c>
      <c r="H15" s="6">
        <f t="shared" ref="H15:H21" si="3">D15/E15</f>
        <v>7.7806839097161684E-2</v>
      </c>
      <c r="I15" s="2">
        <f>$C$9/D15</f>
        <v>4.9531974891261559</v>
      </c>
      <c r="J15" s="2">
        <f>1-EXP((1/H15)*I15^0.22*(EXP(-H15*I15^0.78)-1))</f>
        <v>0.98694646056668556</v>
      </c>
      <c r="K15" s="2">
        <f>(J15-F15)</f>
        <v>9.0532117937203616E-2</v>
      </c>
      <c r="L15" s="2">
        <f t="shared" ref="L15:L21" si="4">K15^2</f>
        <v>8.196064378195745E-3</v>
      </c>
    </row>
    <row r="16" spans="1:12" x14ac:dyDescent="0.25">
      <c r="B16" s="2">
        <v>2</v>
      </c>
      <c r="C16" s="2">
        <v>33</v>
      </c>
      <c r="D16" s="2">
        <f t="shared" si="0"/>
        <v>40.160000000000004</v>
      </c>
      <c r="E16" s="1">
        <f t="shared" si="1"/>
        <v>258.07499999999999</v>
      </c>
      <c r="F16" s="2">
        <f t="shared" ref="F16:F21" si="5">C16/D16</f>
        <v>0.8217131474103585</v>
      </c>
      <c r="G16" s="2">
        <f t="shared" si="2"/>
        <v>0.33320005331200853</v>
      </c>
      <c r="H16" s="6">
        <f t="shared" si="3"/>
        <v>0.15561367819432337</v>
      </c>
      <c r="I16" s="2">
        <f t="shared" ref="I16:I21" si="6">$C$9/D16</f>
        <v>2.4765987445630779</v>
      </c>
      <c r="J16" s="2">
        <f t="shared" ref="J16:J21" si="7">1-EXP((1/H16)*I16^0.22*(EXP(-H16*I16^0.78)-1))</f>
        <v>0.88041987214525719</v>
      </c>
      <c r="K16" s="2">
        <f t="shared" ref="K16:K21" si="8">(J16-F16)</f>
        <v>5.8706724734898685E-2</v>
      </c>
      <c r="L16" s="2">
        <f t="shared" si="4"/>
        <v>3.4464795290991652E-3</v>
      </c>
    </row>
    <row r="17" spans="2:12" x14ac:dyDescent="0.25">
      <c r="B17" s="2">
        <v>3</v>
      </c>
      <c r="C17" s="2">
        <v>43</v>
      </c>
      <c r="D17" s="2">
        <f t="shared" si="0"/>
        <v>60.239999999999995</v>
      </c>
      <c r="E17" s="1">
        <f t="shared" si="1"/>
        <v>258.07499999999999</v>
      </c>
      <c r="F17" s="2">
        <f t="shared" si="5"/>
        <v>0.71381142098273576</v>
      </c>
      <c r="G17" s="2">
        <f t="shared" si="2"/>
        <v>0.49980007996801284</v>
      </c>
      <c r="H17" s="6">
        <f t="shared" si="3"/>
        <v>0.23342051729148502</v>
      </c>
      <c r="I17" s="2">
        <f t="shared" si="6"/>
        <v>1.6510658297087191</v>
      </c>
      <c r="J17" s="2">
        <f t="shared" si="7"/>
        <v>0.7524832885029783</v>
      </c>
      <c r="K17" s="2">
        <f t="shared" si="8"/>
        <v>3.8671867520242542E-2</v>
      </c>
      <c r="L17" s="2">
        <f t="shared" si="4"/>
        <v>1.4955133375031901E-3</v>
      </c>
    </row>
    <row r="18" spans="2:12" x14ac:dyDescent="0.25">
      <c r="B18" s="2">
        <v>4</v>
      </c>
      <c r="C18" s="2">
        <v>52</v>
      </c>
      <c r="D18" s="2">
        <f t="shared" si="0"/>
        <v>80.320000000000007</v>
      </c>
      <c r="E18" s="1">
        <f t="shared" si="1"/>
        <v>258.07499999999999</v>
      </c>
      <c r="F18" s="2">
        <f t="shared" si="5"/>
        <v>0.64741035856573703</v>
      </c>
      <c r="G18" s="2">
        <f t="shared" si="2"/>
        <v>0.66640010662401705</v>
      </c>
      <c r="H18" s="6">
        <f t="shared" si="3"/>
        <v>0.31122735638864674</v>
      </c>
      <c r="I18" s="2">
        <f t="shared" si="6"/>
        <v>1.238299372281539</v>
      </c>
      <c r="J18" s="2">
        <f t="shared" si="7"/>
        <v>0.64518516390588387</v>
      </c>
      <c r="K18" s="2">
        <f t="shared" si="8"/>
        <v>-2.225194659853158E-3</v>
      </c>
      <c r="L18" s="2">
        <f t="shared" si="4"/>
        <v>4.9514912742390118E-6</v>
      </c>
    </row>
    <row r="19" spans="2:12" x14ac:dyDescent="0.25">
      <c r="B19" s="2">
        <v>5</v>
      </c>
      <c r="C19" s="2">
        <v>58</v>
      </c>
      <c r="D19" s="2">
        <f t="shared" si="0"/>
        <v>100.39999999999999</v>
      </c>
      <c r="E19" s="1">
        <f t="shared" si="1"/>
        <v>258.07499999999999</v>
      </c>
      <c r="F19" s="2">
        <f t="shared" si="5"/>
        <v>0.57768924302788849</v>
      </c>
      <c r="G19" s="2">
        <f t="shared" si="2"/>
        <v>0.83300013328002132</v>
      </c>
      <c r="H19" s="6">
        <f t="shared" si="3"/>
        <v>0.38903419548580837</v>
      </c>
      <c r="I19" s="2">
        <f t="shared" si="6"/>
        <v>0.99063949782523142</v>
      </c>
      <c r="J19" s="2">
        <f t="shared" si="7"/>
        <v>0.56034769692958508</v>
      </c>
      <c r="K19" s="2">
        <f t="shared" si="8"/>
        <v>-1.7341546098303406E-2</v>
      </c>
      <c r="L19" s="2">
        <f t="shared" si="4"/>
        <v>3.0072922107958212E-4</v>
      </c>
    </row>
    <row r="20" spans="2:12" x14ac:dyDescent="0.25">
      <c r="B20" s="2">
        <v>6</v>
      </c>
      <c r="C20" s="2">
        <v>64</v>
      </c>
      <c r="D20" s="2">
        <f t="shared" si="0"/>
        <v>120.47999999999999</v>
      </c>
      <c r="E20" s="1">
        <f t="shared" si="1"/>
        <v>258.07499999999999</v>
      </c>
      <c r="F20" s="2">
        <f t="shared" si="5"/>
        <v>0.53120849933598946</v>
      </c>
      <c r="G20" s="2">
        <f t="shared" si="2"/>
        <v>0.99960015993602569</v>
      </c>
      <c r="H20" s="6">
        <f t="shared" si="3"/>
        <v>0.46684103458297005</v>
      </c>
      <c r="I20" s="2">
        <f t="shared" si="6"/>
        <v>0.82553291485435953</v>
      </c>
      <c r="J20" s="2">
        <f t="shared" si="7"/>
        <v>0.49326678234838772</v>
      </c>
      <c r="K20" s="2">
        <f t="shared" si="8"/>
        <v>-3.7941716987601737E-2</v>
      </c>
      <c r="L20" s="2">
        <f t="shared" si="4"/>
        <v>1.4395738879672663E-3</v>
      </c>
    </row>
    <row r="21" spans="2:12" x14ac:dyDescent="0.25">
      <c r="B21" s="2">
        <v>7</v>
      </c>
      <c r="C21" s="2">
        <v>68</v>
      </c>
      <c r="D21" s="2">
        <f t="shared" si="0"/>
        <v>140.55999999999997</v>
      </c>
      <c r="E21" s="1">
        <f t="shared" si="1"/>
        <v>258.07499999999999</v>
      </c>
      <c r="F21" s="2">
        <f t="shared" si="5"/>
        <v>0.48377916903813328</v>
      </c>
      <c r="G21" s="2">
        <f t="shared" si="2"/>
        <v>1.16620018659203</v>
      </c>
      <c r="H21" s="6">
        <f t="shared" si="3"/>
        <v>0.54464787368013168</v>
      </c>
      <c r="I21" s="2">
        <f t="shared" si="6"/>
        <v>0.70759964130373676</v>
      </c>
      <c r="J21" s="2">
        <f t="shared" si="7"/>
        <v>0.43948956867433797</v>
      </c>
      <c r="K21" s="2">
        <f t="shared" si="8"/>
        <v>-4.4289600363795312E-2</v>
      </c>
      <c r="L21" s="2">
        <f t="shared" si="4"/>
        <v>1.9615687003846976E-3</v>
      </c>
    </row>
    <row r="23" spans="2:12" x14ac:dyDescent="0.25">
      <c r="K23" s="8" t="s">
        <v>46</v>
      </c>
      <c r="L23" s="2">
        <f>SUM(L15:L21)</f>
        <v>1.6844880545503888E-2</v>
      </c>
    </row>
    <row r="27" spans="2:12" x14ac:dyDescent="0.25">
      <c r="B27" s="13" t="s">
        <v>52</v>
      </c>
    </row>
    <row r="28" spans="2:12" x14ac:dyDescent="0.25">
      <c r="B28" s="12" t="s">
        <v>158</v>
      </c>
    </row>
    <row r="29" spans="2:12" x14ac:dyDescent="0.25">
      <c r="B29" s="13"/>
    </row>
    <row r="30" spans="2:12" x14ac:dyDescent="0.25">
      <c r="B30" s="13" t="s">
        <v>54</v>
      </c>
    </row>
    <row r="31" spans="2:12" x14ac:dyDescent="0.25">
      <c r="B31" s="13"/>
    </row>
    <row r="32" spans="2:12" x14ac:dyDescent="0.25">
      <c r="B32" s="12" t="s">
        <v>159</v>
      </c>
    </row>
    <row r="33" spans="2:2" x14ac:dyDescent="0.25">
      <c r="B33" s="13" t="s">
        <v>56</v>
      </c>
    </row>
    <row r="34" spans="2:2" x14ac:dyDescent="0.25">
      <c r="B34" s="12" t="s">
        <v>57</v>
      </c>
    </row>
    <row r="35" spans="2:2" x14ac:dyDescent="0.25">
      <c r="B35" s="13" t="s">
        <v>58</v>
      </c>
    </row>
    <row r="36" spans="2:2" x14ac:dyDescent="0.25">
      <c r="B36" s="12" t="s">
        <v>59</v>
      </c>
    </row>
    <row r="37" spans="2:2" x14ac:dyDescent="0.25">
      <c r="B37" s="13" t="s">
        <v>60</v>
      </c>
    </row>
    <row r="38" spans="2:2" x14ac:dyDescent="0.25">
      <c r="B38" s="12" t="s">
        <v>61</v>
      </c>
    </row>
    <row r="39" spans="2:2" x14ac:dyDescent="0.25">
      <c r="B39" s="13" t="s">
        <v>62</v>
      </c>
    </row>
    <row r="40" spans="2:2" x14ac:dyDescent="0.25">
      <c r="B40" s="12" t="s">
        <v>160</v>
      </c>
    </row>
    <row r="41" spans="2:2" x14ac:dyDescent="0.25">
      <c r="B41" s="13" t="s">
        <v>64</v>
      </c>
    </row>
    <row r="42" spans="2:2" x14ac:dyDescent="0.25">
      <c r="B42" s="12" t="s">
        <v>59</v>
      </c>
    </row>
    <row r="43" spans="2:2" x14ac:dyDescent="0.25">
      <c r="B43" s="13" t="s">
        <v>65</v>
      </c>
    </row>
    <row r="44" spans="2:2" x14ac:dyDescent="0.25">
      <c r="B44" s="12" t="s">
        <v>66</v>
      </c>
    </row>
    <row r="45" spans="2:2" x14ac:dyDescent="0.25">
      <c r="B45" s="12"/>
    </row>
    <row r="46" spans="2:2" x14ac:dyDescent="0.25">
      <c r="B46" s="13" t="s">
        <v>67</v>
      </c>
    </row>
    <row r="47" spans="2:2" x14ac:dyDescent="0.25">
      <c r="B47" s="12" t="s">
        <v>68</v>
      </c>
    </row>
    <row r="48" spans="2:2" x14ac:dyDescent="0.25">
      <c r="B48" s="12"/>
    </row>
    <row r="49" spans="2:2" x14ac:dyDescent="0.25">
      <c r="B49" s="13" t="s">
        <v>69</v>
      </c>
    </row>
    <row r="50" spans="2:2" x14ac:dyDescent="0.25">
      <c r="B50" s="12" t="s">
        <v>103</v>
      </c>
    </row>
    <row r="51" spans="2:2" x14ac:dyDescent="0.25">
      <c r="B51" s="12"/>
    </row>
    <row r="52" spans="2:2" x14ac:dyDescent="0.25">
      <c r="B52" s="13" t="s">
        <v>71</v>
      </c>
    </row>
    <row r="53" spans="2:2" x14ac:dyDescent="0.25">
      <c r="B53" s="12" t="s">
        <v>161</v>
      </c>
    </row>
    <row r="54" spans="2:2" x14ac:dyDescent="0.25">
      <c r="B54" s="12"/>
    </row>
    <row r="55" spans="2:2" x14ac:dyDescent="0.25">
      <c r="B55" s="13" t="s">
        <v>73</v>
      </c>
    </row>
    <row r="56" spans="2:2" x14ac:dyDescent="0.25">
      <c r="B56" s="12" t="s">
        <v>162</v>
      </c>
    </row>
    <row r="57" spans="2:2" x14ac:dyDescent="0.25">
      <c r="B57" s="12"/>
    </row>
    <row r="58" spans="2:2" x14ac:dyDescent="0.25">
      <c r="B58" s="13" t="s">
        <v>75</v>
      </c>
    </row>
    <row r="59" spans="2:2" x14ac:dyDescent="0.25">
      <c r="B59" s="12" t="s">
        <v>76</v>
      </c>
    </row>
    <row r="60" spans="2:2" x14ac:dyDescent="0.25">
      <c r="B60" s="12"/>
    </row>
    <row r="61" spans="2:2" x14ac:dyDescent="0.25">
      <c r="B61" s="13" t="s">
        <v>77</v>
      </c>
    </row>
    <row r="62" spans="2:2" x14ac:dyDescent="0.25">
      <c r="B62" s="12" t="s">
        <v>78</v>
      </c>
    </row>
    <row r="63" spans="2:2" x14ac:dyDescent="0.25">
      <c r="B63" s="12"/>
    </row>
    <row r="64" spans="2:2" x14ac:dyDescent="0.25">
      <c r="B64" s="13" t="s">
        <v>79</v>
      </c>
    </row>
    <row r="65" spans="2:2" x14ac:dyDescent="0.25">
      <c r="B65" s="12" t="s">
        <v>163</v>
      </c>
    </row>
  </sheetData>
  <hyperlinks>
    <hyperlink ref="A1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zoomScale="75" workbookViewId="0">
      <selection activeCell="I14" sqref="I14:I20"/>
    </sheetView>
  </sheetViews>
  <sheetFormatPr baseColWidth="10" defaultRowHeight="15" x14ac:dyDescent="0.25"/>
  <sheetData>
    <row r="1" spans="1:12" x14ac:dyDescent="0.25">
      <c r="A1" s="10" t="s">
        <v>93</v>
      </c>
    </row>
    <row r="3" spans="1:12" x14ac:dyDescent="0.25">
      <c r="B3" t="s">
        <v>4</v>
      </c>
      <c r="C3" s="1">
        <v>3.7</v>
      </c>
      <c r="D3" s="1" t="s">
        <v>5</v>
      </c>
      <c r="E3" s="1" t="s">
        <v>15</v>
      </c>
      <c r="F3" s="1"/>
    </row>
    <row r="4" spans="1:12" x14ac:dyDescent="0.25">
      <c r="B4" t="s">
        <v>25</v>
      </c>
      <c r="C4" s="1">
        <v>4185</v>
      </c>
      <c r="D4" s="1" t="s">
        <v>9</v>
      </c>
      <c r="E4" s="1" t="s">
        <v>16</v>
      </c>
      <c r="F4" s="1">
        <v>588</v>
      </c>
      <c r="G4" t="s">
        <v>19</v>
      </c>
    </row>
    <row r="5" spans="1:12" x14ac:dyDescent="0.25">
      <c r="B5" t="s">
        <v>8</v>
      </c>
      <c r="C5" s="1">
        <v>1004</v>
      </c>
      <c r="D5" s="1" t="s">
        <v>9</v>
      </c>
      <c r="E5" s="1" t="s">
        <v>17</v>
      </c>
      <c r="F5" s="1">
        <v>53</v>
      </c>
      <c r="G5" t="s">
        <v>19</v>
      </c>
    </row>
    <row r="6" spans="1:12" x14ac:dyDescent="0.25">
      <c r="B6" t="s">
        <v>10</v>
      </c>
      <c r="C6" s="1">
        <v>1.2</v>
      </c>
      <c r="D6" s="1" t="s">
        <v>11</v>
      </c>
      <c r="E6" s="1" t="s">
        <v>18</v>
      </c>
      <c r="F6" s="1">
        <v>305</v>
      </c>
      <c r="G6" t="s">
        <v>19</v>
      </c>
    </row>
    <row r="7" spans="1:12" x14ac:dyDescent="0.25">
      <c r="C7" s="1"/>
      <c r="D7" s="1"/>
      <c r="E7" s="1" t="s">
        <v>14</v>
      </c>
      <c r="F7" s="1">
        <v>8.2100000000000009</v>
      </c>
      <c r="G7" t="s">
        <v>24</v>
      </c>
    </row>
    <row r="8" spans="1:12" x14ac:dyDescent="0.25">
      <c r="A8" s="1"/>
      <c r="B8" s="1" t="s">
        <v>37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36</v>
      </c>
      <c r="H8" s="1" t="s">
        <v>41</v>
      </c>
      <c r="I8" s="1" t="s">
        <v>43</v>
      </c>
      <c r="J8" s="1" t="s">
        <v>42</v>
      </c>
      <c r="K8" s="1" t="s">
        <v>44</v>
      </c>
    </row>
    <row r="9" spans="1:12" x14ac:dyDescent="0.25">
      <c r="A9" s="1"/>
      <c r="B9" s="1">
        <v>3000</v>
      </c>
      <c r="C9" s="9">
        <v>195.76761143252105</v>
      </c>
      <c r="D9" s="1">
        <f>F4/1000</f>
        <v>0.58799999999999997</v>
      </c>
      <c r="E9" s="1">
        <f>F5/1000</f>
        <v>5.2999999999999999E-2</v>
      </c>
      <c r="F9" s="1">
        <f>F6/1000</f>
        <v>0.30499999999999999</v>
      </c>
      <c r="G9" s="1">
        <f>F7</f>
        <v>8.2100000000000009</v>
      </c>
      <c r="H9">
        <v>25</v>
      </c>
      <c r="I9">
        <v>14</v>
      </c>
      <c r="J9">
        <v>0.9</v>
      </c>
      <c r="K9">
        <v>15.1</v>
      </c>
    </row>
    <row r="12" spans="1:12" ht="30" x14ac:dyDescent="0.25">
      <c r="A12" s="7" t="s">
        <v>40</v>
      </c>
      <c r="B12" s="2" t="s">
        <v>0</v>
      </c>
      <c r="C12" s="2" t="s">
        <v>2</v>
      </c>
      <c r="D12" s="2" t="s">
        <v>22</v>
      </c>
      <c r="E12" s="2" t="s">
        <v>23</v>
      </c>
      <c r="F12" s="2" t="s">
        <v>6</v>
      </c>
      <c r="G12" s="2" t="s">
        <v>21</v>
      </c>
      <c r="H12" s="4" t="s">
        <v>27</v>
      </c>
      <c r="I12" s="4" t="s">
        <v>26</v>
      </c>
      <c r="J12" s="4" t="s">
        <v>31</v>
      </c>
      <c r="K12" s="4" t="s">
        <v>28</v>
      </c>
      <c r="L12" s="4" t="s">
        <v>29</v>
      </c>
    </row>
    <row r="13" spans="1:12" x14ac:dyDescent="0.25">
      <c r="B13" s="2" t="s">
        <v>1</v>
      </c>
      <c r="C13" s="2" t="s">
        <v>3</v>
      </c>
      <c r="D13" s="2" t="s">
        <v>12</v>
      </c>
      <c r="E13" s="2" t="s">
        <v>12</v>
      </c>
      <c r="F13" s="3" t="s">
        <v>7</v>
      </c>
      <c r="G13" s="2" t="s">
        <v>20</v>
      </c>
    </row>
    <row r="14" spans="1:12" x14ac:dyDescent="0.25">
      <c r="B14" s="2">
        <v>0</v>
      </c>
      <c r="C14" s="2">
        <v>0</v>
      </c>
      <c r="D14" s="2">
        <f t="shared" ref="D14:D20" si="0">B14/60*$C$6*$C$5</f>
        <v>0</v>
      </c>
      <c r="E14" s="1">
        <f>$C$4*$C$3*0.001/60*1000</f>
        <v>258.07499999999999</v>
      </c>
      <c r="F14" s="2">
        <v>1</v>
      </c>
      <c r="G14" s="2">
        <f t="shared" ref="G14:G20" si="1">B14/60/($F$4*$F$6)/0.000001</f>
        <v>0</v>
      </c>
      <c r="H14" s="6">
        <f>D14/E14</f>
        <v>0</v>
      </c>
      <c r="I14" s="2"/>
      <c r="J14" s="2">
        <v>1</v>
      </c>
      <c r="K14" s="5"/>
      <c r="L14" s="5"/>
    </row>
    <row r="15" spans="1:12" x14ac:dyDescent="0.25">
      <c r="B15" s="2">
        <v>2</v>
      </c>
      <c r="C15" s="2">
        <v>37.5</v>
      </c>
      <c r="D15" s="2">
        <f t="shared" si="0"/>
        <v>40.160000000000004</v>
      </c>
      <c r="E15" s="1">
        <f t="shared" ref="E15:E20" si="2">$C$4*$C$3*0.001/60*1000</f>
        <v>258.07499999999999</v>
      </c>
      <c r="F15" s="2">
        <f t="shared" ref="F15:F20" si="3">C15/D15</f>
        <v>0.93376494023904377</v>
      </c>
      <c r="G15" s="2">
        <f t="shared" si="1"/>
        <v>0.18586669640533809</v>
      </c>
      <c r="H15" s="6">
        <f t="shared" ref="H15:H20" si="4">D15/E15</f>
        <v>0.15561367819432337</v>
      </c>
      <c r="I15" s="2">
        <f>$C$9/D15</f>
        <v>4.8746915197340899</v>
      </c>
      <c r="J15" s="2">
        <f>1-EXP((1/H15)*I15^0.22*(EXP(-H15*I15^0.78)-1))</f>
        <v>0.97705336586494518</v>
      </c>
      <c r="K15" s="2">
        <f>(J15-F15)</f>
        <v>4.3288425625901406E-2</v>
      </c>
      <c r="L15" s="2">
        <f t="shared" ref="L15:L19" si="5">K15^2</f>
        <v>1.8738877931691975E-3</v>
      </c>
    </row>
    <row r="16" spans="1:12" x14ac:dyDescent="0.25">
      <c r="B16" s="2">
        <v>4</v>
      </c>
      <c r="C16" s="2">
        <v>62.5</v>
      </c>
      <c r="D16" s="2">
        <f t="shared" si="0"/>
        <v>80.320000000000007</v>
      </c>
      <c r="E16" s="1">
        <f t="shared" si="2"/>
        <v>258.07499999999999</v>
      </c>
      <c r="F16" s="2">
        <f t="shared" si="3"/>
        <v>0.77813745019920311</v>
      </c>
      <c r="G16" s="2">
        <f t="shared" si="1"/>
        <v>0.37173339281067619</v>
      </c>
      <c r="H16" s="6">
        <f t="shared" si="4"/>
        <v>0.31122735638864674</v>
      </c>
      <c r="I16" s="2">
        <f t="shared" ref="I16:I20" si="6">$C$9/D16</f>
        <v>2.4373457598670449</v>
      </c>
      <c r="J16" s="2">
        <f t="shared" ref="J16:J19" si="7">1-EXP((1/H16)*I16^0.22*(EXP(-H16*I16^0.78)-1))</f>
        <v>0.83692451591612249</v>
      </c>
      <c r="K16" s="2">
        <f t="shared" ref="K16:K19" si="8">(J16-F16)</f>
        <v>5.8787065716919384E-2</v>
      </c>
      <c r="L16" s="2">
        <f t="shared" si="5"/>
        <v>3.4559190956053986E-3</v>
      </c>
    </row>
    <row r="17" spans="2:12" x14ac:dyDescent="0.25">
      <c r="B17" s="2">
        <v>6</v>
      </c>
      <c r="C17" s="2">
        <v>82</v>
      </c>
      <c r="D17" s="2">
        <f t="shared" si="0"/>
        <v>120.47999999999999</v>
      </c>
      <c r="E17" s="1">
        <f t="shared" si="2"/>
        <v>258.07499999999999</v>
      </c>
      <c r="F17" s="2">
        <f t="shared" si="3"/>
        <v>0.68061088977423645</v>
      </c>
      <c r="G17" s="2">
        <f t="shared" si="1"/>
        <v>0.55760008921601434</v>
      </c>
      <c r="H17" s="6">
        <f t="shared" si="4"/>
        <v>0.46684103458297005</v>
      </c>
      <c r="I17" s="2">
        <f t="shared" si="6"/>
        <v>1.6248971732446968</v>
      </c>
      <c r="J17" s="2">
        <f t="shared" si="7"/>
        <v>0.69212468201188049</v>
      </c>
      <c r="K17" s="2">
        <f t="shared" si="8"/>
        <v>1.1513792237644038E-2</v>
      </c>
      <c r="L17" s="2">
        <f t="shared" si="5"/>
        <v>1.3256741169163211E-4</v>
      </c>
    </row>
    <row r="18" spans="2:12" x14ac:dyDescent="0.25">
      <c r="B18" s="2">
        <v>8</v>
      </c>
      <c r="C18" s="2">
        <v>95</v>
      </c>
      <c r="D18" s="2">
        <f t="shared" si="0"/>
        <v>160.64000000000001</v>
      </c>
      <c r="E18" s="1">
        <f t="shared" si="2"/>
        <v>258.07499999999999</v>
      </c>
      <c r="F18" s="2">
        <f t="shared" si="3"/>
        <v>0.5913844621513944</v>
      </c>
      <c r="G18" s="2">
        <f t="shared" si="1"/>
        <v>0.74346678562135238</v>
      </c>
      <c r="H18" s="6">
        <f t="shared" si="4"/>
        <v>0.62245471277729347</v>
      </c>
      <c r="I18" s="2">
        <f t="shared" si="6"/>
        <v>1.2186728799335225</v>
      </c>
      <c r="J18" s="2">
        <f t="shared" si="7"/>
        <v>0.57950722837768098</v>
      </c>
      <c r="K18" s="2">
        <f t="shared" si="8"/>
        <v>-1.1877233773713414E-2</v>
      </c>
      <c r="L18" s="2">
        <f t="shared" si="5"/>
        <v>1.4106868211543857E-4</v>
      </c>
    </row>
    <row r="19" spans="2:12" x14ac:dyDescent="0.25">
      <c r="B19" s="2">
        <v>10</v>
      </c>
      <c r="C19" s="2">
        <v>105</v>
      </c>
      <c r="D19" s="2">
        <f t="shared" si="0"/>
        <v>200.79999999999998</v>
      </c>
      <c r="E19" s="1">
        <f t="shared" si="2"/>
        <v>258.07499999999999</v>
      </c>
      <c r="F19" s="2">
        <f t="shared" si="3"/>
        <v>0.52290836653386463</v>
      </c>
      <c r="G19" s="2">
        <f t="shared" si="1"/>
        <v>0.92933348202669042</v>
      </c>
      <c r="H19" s="6">
        <f t="shared" si="4"/>
        <v>0.77806839097161673</v>
      </c>
      <c r="I19" s="2">
        <f t="shared" si="6"/>
        <v>0.97493830394681802</v>
      </c>
      <c r="J19" s="2">
        <f t="shared" si="7"/>
        <v>0.49441773725766036</v>
      </c>
      <c r="K19" s="2">
        <f t="shared" si="8"/>
        <v>-2.8490629276204271E-2</v>
      </c>
      <c r="L19" s="2">
        <f t="shared" si="5"/>
        <v>8.1171595655410791E-4</v>
      </c>
    </row>
    <row r="20" spans="2:12" x14ac:dyDescent="0.25">
      <c r="B20" s="2">
        <v>12</v>
      </c>
      <c r="C20" s="2">
        <v>113</v>
      </c>
      <c r="D20" s="2">
        <f t="shared" si="0"/>
        <v>240.95999999999998</v>
      </c>
      <c r="E20" s="1">
        <f t="shared" si="2"/>
        <v>258.07499999999999</v>
      </c>
      <c r="F20" s="2">
        <f t="shared" si="3"/>
        <v>0.46895750332005315</v>
      </c>
      <c r="G20" s="2">
        <f t="shared" si="1"/>
        <v>1.1152001784320287</v>
      </c>
      <c r="H20" s="6">
        <f t="shared" si="4"/>
        <v>0.9336820691659401</v>
      </c>
      <c r="I20" s="2">
        <f t="shared" si="6"/>
        <v>0.81244858662234842</v>
      </c>
      <c r="J20" s="2">
        <f t="shared" ref="J20" si="9">1-EXP((1/H20)*I20^0.22*(EXP(-H20*I20^0.78)-1))</f>
        <v>0.42918514418758724</v>
      </c>
      <c r="K20" s="2">
        <f t="shared" ref="K20" si="10">(J20-F20)</f>
        <v>-3.9772359132465906E-2</v>
      </c>
      <c r="L20" s="2">
        <f t="shared" ref="L20" si="11">K20^2</f>
        <v>1.5818405509618442E-3</v>
      </c>
    </row>
    <row r="21" spans="2:12" x14ac:dyDescent="0.25">
      <c r="K21" s="8" t="s">
        <v>30</v>
      </c>
      <c r="L21" s="2">
        <f>SUM(L15:L20)</f>
        <v>7.9969994900976182E-3</v>
      </c>
    </row>
    <row r="27" spans="2:12" x14ac:dyDescent="0.25">
      <c r="J27" s="13" t="s">
        <v>52</v>
      </c>
    </row>
    <row r="28" spans="2:12" x14ac:dyDescent="0.25">
      <c r="J28" s="12" t="s">
        <v>100</v>
      </c>
    </row>
    <row r="29" spans="2:12" x14ac:dyDescent="0.25">
      <c r="J29" s="13"/>
    </row>
    <row r="30" spans="2:12" x14ac:dyDescent="0.25">
      <c r="J30" s="13" t="s">
        <v>54</v>
      </c>
    </row>
    <row r="31" spans="2:12" x14ac:dyDescent="0.25">
      <c r="J31" s="13"/>
    </row>
    <row r="32" spans="2:12" x14ac:dyDescent="0.25">
      <c r="J32" s="12" t="s">
        <v>101</v>
      </c>
    </row>
    <row r="33" spans="10:10" x14ac:dyDescent="0.25">
      <c r="J33" s="13" t="s">
        <v>56</v>
      </c>
    </row>
    <row r="34" spans="10:10" x14ac:dyDescent="0.25">
      <c r="J34" s="12" t="s">
        <v>57</v>
      </c>
    </row>
    <row r="35" spans="10:10" x14ac:dyDescent="0.25">
      <c r="J35" s="13" t="s">
        <v>58</v>
      </c>
    </row>
    <row r="36" spans="10:10" x14ac:dyDescent="0.25">
      <c r="J36" s="12" t="s">
        <v>59</v>
      </c>
    </row>
    <row r="37" spans="10:10" x14ac:dyDescent="0.25">
      <c r="J37" s="13" t="s">
        <v>60</v>
      </c>
    </row>
    <row r="38" spans="10:10" x14ac:dyDescent="0.25">
      <c r="J38" s="12" t="s">
        <v>61</v>
      </c>
    </row>
    <row r="39" spans="10:10" x14ac:dyDescent="0.25">
      <c r="J39" s="13" t="s">
        <v>62</v>
      </c>
    </row>
    <row r="40" spans="10:10" x14ac:dyDescent="0.25">
      <c r="J40" s="12" t="s">
        <v>102</v>
      </c>
    </row>
    <row r="41" spans="10:10" x14ac:dyDescent="0.25">
      <c r="J41" s="13" t="s">
        <v>64</v>
      </c>
    </row>
    <row r="42" spans="10:10" x14ac:dyDescent="0.25">
      <c r="J42" s="12" t="s">
        <v>59</v>
      </c>
    </row>
    <row r="43" spans="10:10" x14ac:dyDescent="0.25">
      <c r="J43" s="13" t="s">
        <v>65</v>
      </c>
    </row>
    <row r="44" spans="10:10" x14ac:dyDescent="0.25">
      <c r="J44" s="12" t="s">
        <v>66</v>
      </c>
    </row>
    <row r="45" spans="10:10" x14ac:dyDescent="0.25">
      <c r="J45" s="12"/>
    </row>
    <row r="46" spans="10:10" x14ac:dyDescent="0.25">
      <c r="J46" s="13" t="s">
        <v>67</v>
      </c>
    </row>
    <row r="47" spans="10:10" x14ac:dyDescent="0.25">
      <c r="J47" s="12" t="s">
        <v>68</v>
      </c>
    </row>
    <row r="48" spans="10:10" x14ac:dyDescent="0.25">
      <c r="J48" s="12"/>
    </row>
    <row r="49" spans="10:10" x14ac:dyDescent="0.25">
      <c r="J49" s="13" t="s">
        <v>69</v>
      </c>
    </row>
    <row r="50" spans="10:10" x14ac:dyDescent="0.25">
      <c r="J50" s="12" t="s">
        <v>103</v>
      </c>
    </row>
    <row r="51" spans="10:10" x14ac:dyDescent="0.25">
      <c r="J51" s="12"/>
    </row>
    <row r="52" spans="10:10" x14ac:dyDescent="0.25">
      <c r="J52" s="13" t="s">
        <v>71</v>
      </c>
    </row>
    <row r="53" spans="10:10" x14ac:dyDescent="0.25">
      <c r="J53" s="12" t="s">
        <v>104</v>
      </c>
    </row>
    <row r="54" spans="10:10" x14ac:dyDescent="0.25">
      <c r="J54" s="12"/>
    </row>
    <row r="55" spans="10:10" x14ac:dyDescent="0.25">
      <c r="J55" s="13" t="s">
        <v>73</v>
      </c>
    </row>
    <row r="56" spans="10:10" x14ac:dyDescent="0.25">
      <c r="J56" s="12" t="s">
        <v>105</v>
      </c>
    </row>
    <row r="57" spans="10:10" x14ac:dyDescent="0.25">
      <c r="J57" s="12"/>
    </row>
    <row r="58" spans="10:10" x14ac:dyDescent="0.25">
      <c r="J58" s="13" t="s">
        <v>75</v>
      </c>
    </row>
    <row r="59" spans="10:10" x14ac:dyDescent="0.25">
      <c r="J59" s="12" t="s">
        <v>76</v>
      </c>
    </row>
    <row r="60" spans="10:10" x14ac:dyDescent="0.25">
      <c r="J60" s="12"/>
    </row>
    <row r="61" spans="10:10" x14ac:dyDescent="0.25">
      <c r="J61" s="13" t="s">
        <v>77</v>
      </c>
    </row>
    <row r="62" spans="10:10" x14ac:dyDescent="0.25">
      <c r="J62" s="12" t="s">
        <v>78</v>
      </c>
    </row>
    <row r="63" spans="10:10" x14ac:dyDescent="0.25">
      <c r="J63" s="12"/>
    </row>
    <row r="64" spans="10:10" x14ac:dyDescent="0.25">
      <c r="J64" s="13" t="s">
        <v>79</v>
      </c>
    </row>
    <row r="65" spans="10:10" x14ac:dyDescent="0.25">
      <c r="J65" s="12" t="s">
        <v>106</v>
      </c>
    </row>
  </sheetData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Reg</vt:lpstr>
      <vt:lpstr>Bilan</vt:lpstr>
      <vt:lpstr>360</vt:lpstr>
      <vt:lpstr>430</vt:lpstr>
      <vt:lpstr>700</vt:lpstr>
      <vt:lpstr>1230</vt:lpstr>
      <vt:lpstr>2000</vt:lpstr>
      <vt:lpstr>2110</vt:lpstr>
      <vt:lpstr>3000</vt:lpstr>
      <vt:lpstr>7600</vt:lpstr>
    </vt:vector>
  </TitlesOfParts>
  <Company>Insa de Toulouse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Budinger</dc:creator>
  <cp:lastModifiedBy>Marc Budinger</cp:lastModifiedBy>
  <dcterms:created xsi:type="dcterms:W3CDTF">2020-11-19T14:26:02Z</dcterms:created>
  <dcterms:modified xsi:type="dcterms:W3CDTF">2020-11-25T15:59:47Z</dcterms:modified>
</cp:coreProperties>
</file>