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R\aRmy\200327_RNAseAlert\RNAseAlert\data\"/>
    </mc:Choice>
  </mc:AlternateContent>
  <xr:revisionPtr revIDLastSave="0" documentId="13_ncr:1_{216E96B2-0489-4F36-8305-F140A9C83FAF}" xr6:coauthVersionLast="45" xr6:coauthVersionMax="45" xr10:uidLastSave="{00000000-0000-0000-0000-000000000000}"/>
  <bookViews>
    <workbookView xWindow="28680" yWindow="-120" windowWidth="29040" windowHeight="16440" xr2:uid="{B71D8376-705B-41E7-9CDB-B020889DE343}"/>
  </bookViews>
  <sheets>
    <sheet name="Sheet1" sheetId="1" r:id="rId1"/>
    <sheet name="Sheet2" sheetId="2" r:id="rId2"/>
  </sheets>
  <definedNames>
    <definedName name="_xlnm.Print_Area" localSheetId="0">Sheet1!$A$1:$BD$387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8" i="1" l="1"/>
  <c r="D509" i="1"/>
  <c r="D510" i="1"/>
  <c r="D511" i="1"/>
  <c r="D512" i="1"/>
  <c r="D513" i="1"/>
  <c r="D514" i="1"/>
  <c r="D507" i="1"/>
  <c r="C508" i="1"/>
  <c r="B508" i="1" s="1"/>
  <c r="C509" i="1"/>
  <c r="B509" i="1" s="1"/>
  <c r="C510" i="1"/>
  <c r="C511" i="1"/>
  <c r="C512" i="1"/>
  <c r="B512" i="1" s="1"/>
  <c r="C513" i="1"/>
  <c r="C514" i="1"/>
  <c r="C515" i="1"/>
  <c r="C507" i="1"/>
  <c r="A525" i="1"/>
  <c r="A526" i="1"/>
  <c r="B517" i="1"/>
  <c r="F519" i="1" s="1"/>
  <c r="A520" i="1"/>
  <c r="A521" i="1"/>
  <c r="A522" i="1"/>
  <c r="A523" i="1"/>
  <c r="A524" i="1"/>
  <c r="D498" i="1"/>
  <c r="E498" i="1" s="1"/>
  <c r="F498" i="1" s="1"/>
  <c r="G498" i="1" s="1"/>
  <c r="B499" i="1"/>
  <c r="D499" i="1" s="1"/>
  <c r="E499" i="1" s="1"/>
  <c r="F499" i="1" s="1"/>
  <c r="G499" i="1" s="1"/>
  <c r="P509" i="1"/>
  <c r="P521" i="1" s="1"/>
  <c r="P510" i="1"/>
  <c r="P511" i="1"/>
  <c r="P512" i="1"/>
  <c r="B510" i="1"/>
  <c r="B522" i="1" s="1"/>
  <c r="B514" i="1"/>
  <c r="A519" i="1"/>
  <c r="P514" i="1"/>
  <c r="P513" i="1"/>
  <c r="P525" i="1" s="1"/>
  <c r="P508" i="1"/>
  <c r="P507" i="1"/>
  <c r="F494" i="1"/>
  <c r="O493" i="1"/>
  <c r="Q493" i="1" s="1"/>
  <c r="F493" i="1"/>
  <c r="N525" i="1" l="1"/>
  <c r="I525" i="1"/>
  <c r="F526" i="1"/>
  <c r="P526" i="1"/>
  <c r="P524" i="1"/>
  <c r="O526" i="1"/>
  <c r="J526" i="1"/>
  <c r="E526" i="1"/>
  <c r="M525" i="1"/>
  <c r="H525" i="1"/>
  <c r="K526" i="1"/>
  <c r="P519" i="1"/>
  <c r="P523" i="1"/>
  <c r="N526" i="1"/>
  <c r="I526" i="1"/>
  <c r="C526" i="1"/>
  <c r="L525" i="1"/>
  <c r="F525" i="1"/>
  <c r="C525" i="1"/>
  <c r="B521" i="1"/>
  <c r="D525" i="1"/>
  <c r="P520" i="1"/>
  <c r="B526" i="1"/>
  <c r="M526" i="1"/>
  <c r="G526" i="1"/>
  <c r="Q525" i="1"/>
  <c r="J525" i="1"/>
  <c r="E525" i="1"/>
  <c r="B507" i="1"/>
  <c r="B519" i="1" s="1"/>
  <c r="B524" i="1"/>
  <c r="B520" i="1"/>
  <c r="B513" i="1"/>
  <c r="B525" i="1" s="1"/>
  <c r="B511" i="1"/>
  <c r="B523" i="1" s="1"/>
  <c r="Q526" i="1"/>
  <c r="L526" i="1"/>
  <c r="H526" i="1"/>
  <c r="D526" i="1"/>
  <c r="O525" i="1"/>
  <c r="K525" i="1"/>
  <c r="G525" i="1"/>
  <c r="J524" i="1"/>
  <c r="M523" i="1"/>
  <c r="E523" i="1"/>
  <c r="H522" i="1"/>
  <c r="K521" i="1"/>
  <c r="N520" i="1"/>
  <c r="Q519" i="1"/>
  <c r="B500" i="1"/>
  <c r="Q524" i="1"/>
  <c r="M524" i="1"/>
  <c r="I524" i="1"/>
  <c r="E524" i="1"/>
  <c r="L523" i="1"/>
  <c r="H523" i="1"/>
  <c r="D523" i="1"/>
  <c r="O522" i="1"/>
  <c r="K522" i="1"/>
  <c r="G522" i="1"/>
  <c r="C522" i="1"/>
  <c r="N521" i="1"/>
  <c r="J521" i="1"/>
  <c r="F521" i="1"/>
  <c r="Q520" i="1"/>
  <c r="M520" i="1"/>
  <c r="I520" i="1"/>
  <c r="E520" i="1"/>
  <c r="L519" i="1"/>
  <c r="H519" i="1"/>
  <c r="D519" i="1"/>
  <c r="N524" i="1"/>
  <c r="Q523" i="1"/>
  <c r="P522" i="1"/>
  <c r="O521" i="1"/>
  <c r="J520" i="1"/>
  <c r="E519" i="1"/>
  <c r="L524" i="1"/>
  <c r="H524" i="1"/>
  <c r="D524" i="1"/>
  <c r="O523" i="1"/>
  <c r="K523" i="1"/>
  <c r="G523" i="1"/>
  <c r="C523" i="1"/>
  <c r="N522" i="1"/>
  <c r="J522" i="1"/>
  <c r="F522" i="1"/>
  <c r="Q521" i="1"/>
  <c r="M521" i="1"/>
  <c r="I521" i="1"/>
  <c r="E521" i="1"/>
  <c r="L520" i="1"/>
  <c r="H520" i="1"/>
  <c r="D520" i="1"/>
  <c r="O519" i="1"/>
  <c r="K519" i="1"/>
  <c r="G519" i="1"/>
  <c r="C519" i="1"/>
  <c r="F524" i="1"/>
  <c r="I523" i="1"/>
  <c r="L522" i="1"/>
  <c r="D522" i="1"/>
  <c r="G521" i="1"/>
  <c r="C521" i="1"/>
  <c r="F520" i="1"/>
  <c r="M519" i="1"/>
  <c r="I519" i="1"/>
  <c r="O524" i="1"/>
  <c r="K524" i="1"/>
  <c r="G524" i="1"/>
  <c r="C524" i="1"/>
  <c r="N523" i="1"/>
  <c r="J523" i="1"/>
  <c r="F523" i="1"/>
  <c r="Q522" i="1"/>
  <c r="M522" i="1"/>
  <c r="I522" i="1"/>
  <c r="E522" i="1"/>
  <c r="L521" i="1"/>
  <c r="H521" i="1"/>
  <c r="D521" i="1"/>
  <c r="O520" i="1"/>
  <c r="K520" i="1"/>
  <c r="G520" i="1"/>
  <c r="C520" i="1"/>
  <c r="N519" i="1"/>
  <c r="J519" i="1"/>
  <c r="P460" i="1"/>
  <c r="A471" i="1"/>
  <c r="A472" i="1"/>
  <c r="A466" i="1"/>
  <c r="A467" i="1"/>
  <c r="A468" i="1"/>
  <c r="A469" i="1"/>
  <c r="A470" i="1"/>
  <c r="A465" i="1"/>
  <c r="B463" i="1"/>
  <c r="C465" i="1" s="1"/>
  <c r="C414" i="1"/>
  <c r="D414" i="1" s="1"/>
  <c r="E414" i="1" s="1"/>
  <c r="F414" i="1" s="1"/>
  <c r="G414" i="1" s="1"/>
  <c r="H414" i="1" s="1"/>
  <c r="I414" i="1" s="1"/>
  <c r="B423" i="1"/>
  <c r="C425" i="1" s="1"/>
  <c r="A426" i="1"/>
  <c r="A425" i="1"/>
  <c r="R460" i="1"/>
  <c r="B460" i="1"/>
  <c r="R459" i="1"/>
  <c r="P459" i="1"/>
  <c r="P470" i="1" s="1"/>
  <c r="B459" i="1"/>
  <c r="R458" i="1"/>
  <c r="P458" i="1"/>
  <c r="B458" i="1"/>
  <c r="B469" i="1" s="1"/>
  <c r="R457" i="1"/>
  <c r="P457" i="1"/>
  <c r="B457" i="1"/>
  <c r="R456" i="1"/>
  <c r="P456" i="1"/>
  <c r="B456" i="1"/>
  <c r="R455" i="1"/>
  <c r="P455" i="1"/>
  <c r="P466" i="1" s="1"/>
  <c r="B455" i="1"/>
  <c r="R454" i="1"/>
  <c r="P454" i="1"/>
  <c r="B454" i="1"/>
  <c r="B465" i="1" s="1"/>
  <c r="F450" i="1"/>
  <c r="F449" i="1"/>
  <c r="F448" i="1"/>
  <c r="O447" i="1"/>
  <c r="Q447" i="1" s="1"/>
  <c r="F447" i="1"/>
  <c r="I420" i="1"/>
  <c r="G420" i="1"/>
  <c r="B420" i="1"/>
  <c r="I419" i="1"/>
  <c r="G419" i="1"/>
  <c r="B419" i="1"/>
  <c r="F418" i="1"/>
  <c r="E418" i="1"/>
  <c r="D418" i="1"/>
  <c r="C418" i="1"/>
  <c r="B418" i="1"/>
  <c r="F391" i="1"/>
  <c r="E391" i="1"/>
  <c r="D391" i="1"/>
  <c r="C391" i="1"/>
  <c r="B391" i="1"/>
  <c r="B393" i="1"/>
  <c r="B392" i="1"/>
  <c r="I393" i="1"/>
  <c r="G393" i="1"/>
  <c r="I392" i="1"/>
  <c r="G392" i="1"/>
  <c r="B425" i="1" l="1"/>
  <c r="Q472" i="1"/>
  <c r="H471" i="1"/>
  <c r="N469" i="1"/>
  <c r="H467" i="1"/>
  <c r="B501" i="1"/>
  <c r="D500" i="1"/>
  <c r="E500" i="1" s="1"/>
  <c r="F500" i="1" s="1"/>
  <c r="G500" i="1" s="1"/>
  <c r="P465" i="1"/>
  <c r="B468" i="1"/>
  <c r="P469" i="1"/>
  <c r="P472" i="1"/>
  <c r="H472" i="1"/>
  <c r="O471" i="1"/>
  <c r="G471" i="1"/>
  <c r="N470" i="1"/>
  <c r="F470" i="1"/>
  <c r="M469" i="1"/>
  <c r="E469" i="1"/>
  <c r="I468" i="1"/>
  <c r="O467" i="1"/>
  <c r="G467" i="1"/>
  <c r="N466" i="1"/>
  <c r="F466" i="1"/>
  <c r="M465" i="1"/>
  <c r="E465" i="1"/>
  <c r="P471" i="1"/>
  <c r="O470" i="1"/>
  <c r="F469" i="1"/>
  <c r="D468" i="1"/>
  <c r="G466" i="1"/>
  <c r="F465" i="1"/>
  <c r="P468" i="1"/>
  <c r="M472" i="1"/>
  <c r="E472" i="1"/>
  <c r="L471" i="1"/>
  <c r="D471" i="1"/>
  <c r="K470" i="1"/>
  <c r="C470" i="1"/>
  <c r="J469" i="1"/>
  <c r="Q468" i="1"/>
  <c r="H468" i="1"/>
  <c r="L467" i="1"/>
  <c r="D467" i="1"/>
  <c r="K466" i="1"/>
  <c r="C466" i="1"/>
  <c r="J465" i="1"/>
  <c r="I472" i="1"/>
  <c r="G470" i="1"/>
  <c r="L468" i="1"/>
  <c r="O466" i="1"/>
  <c r="N465" i="1"/>
  <c r="B466" i="1"/>
  <c r="P467" i="1"/>
  <c r="B470" i="1"/>
  <c r="B472" i="1"/>
  <c r="L472" i="1"/>
  <c r="D472" i="1"/>
  <c r="K471" i="1"/>
  <c r="C471" i="1"/>
  <c r="J470" i="1"/>
  <c r="Q469" i="1"/>
  <c r="I469" i="1"/>
  <c r="M468" i="1"/>
  <c r="E468" i="1"/>
  <c r="K467" i="1"/>
  <c r="C467" i="1"/>
  <c r="J466" i="1"/>
  <c r="Q465" i="1"/>
  <c r="I465" i="1"/>
  <c r="B471" i="1"/>
  <c r="B467" i="1"/>
  <c r="O472" i="1"/>
  <c r="K472" i="1"/>
  <c r="G472" i="1"/>
  <c r="C472" i="1"/>
  <c r="N471" i="1"/>
  <c r="J471" i="1"/>
  <c r="F471" i="1"/>
  <c r="Q470" i="1"/>
  <c r="M470" i="1"/>
  <c r="I470" i="1"/>
  <c r="E470" i="1"/>
  <c r="L469" i="1"/>
  <c r="H469" i="1"/>
  <c r="D469" i="1"/>
  <c r="O468" i="1"/>
  <c r="K468" i="1"/>
  <c r="G468" i="1"/>
  <c r="C468" i="1"/>
  <c r="N467" i="1"/>
  <c r="J467" i="1"/>
  <c r="F467" i="1"/>
  <c r="Q466" i="1"/>
  <c r="M466" i="1"/>
  <c r="I466" i="1"/>
  <c r="E466" i="1"/>
  <c r="L465" i="1"/>
  <c r="H465" i="1"/>
  <c r="D465" i="1"/>
  <c r="N472" i="1"/>
  <c r="J472" i="1"/>
  <c r="F472" i="1"/>
  <c r="Q471" i="1"/>
  <c r="M471" i="1"/>
  <c r="I471" i="1"/>
  <c r="E471" i="1"/>
  <c r="L470" i="1"/>
  <c r="H470" i="1"/>
  <c r="D470" i="1"/>
  <c r="O469" i="1"/>
  <c r="K469" i="1"/>
  <c r="G469" i="1"/>
  <c r="C469" i="1"/>
  <c r="N468" i="1"/>
  <c r="J468" i="1"/>
  <c r="F468" i="1"/>
  <c r="Q467" i="1"/>
  <c r="M467" i="1"/>
  <c r="I467" i="1"/>
  <c r="E467" i="1"/>
  <c r="L466" i="1"/>
  <c r="H466" i="1"/>
  <c r="D466" i="1"/>
  <c r="O465" i="1"/>
  <c r="K465" i="1"/>
  <c r="G465" i="1"/>
  <c r="E426" i="1"/>
  <c r="F425" i="1"/>
  <c r="B426" i="1"/>
  <c r="B427" i="1" s="1"/>
  <c r="D426" i="1"/>
  <c r="E425" i="1"/>
  <c r="E427" i="1" s="1"/>
  <c r="G426" i="1"/>
  <c r="C426" i="1"/>
  <c r="C427" i="1" s="1"/>
  <c r="D425" i="1"/>
  <c r="D427" i="1" s="1"/>
  <c r="F426" i="1"/>
  <c r="G425" i="1"/>
  <c r="F334" i="1"/>
  <c r="F333" i="1"/>
  <c r="E349" i="1"/>
  <c r="E348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N353" i="1"/>
  <c r="AP353" i="1"/>
  <c r="AQ353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N354" i="1"/>
  <c r="AP354" i="1"/>
  <c r="AQ354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N355" i="1"/>
  <c r="AP355" i="1"/>
  <c r="AQ355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N356" i="1"/>
  <c r="AP356" i="1"/>
  <c r="AQ356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N357" i="1"/>
  <c r="AP357" i="1"/>
  <c r="AQ357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N358" i="1"/>
  <c r="AP358" i="1"/>
  <c r="AQ358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N359" i="1"/>
  <c r="AP359" i="1"/>
  <c r="AQ359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N360" i="1"/>
  <c r="AP360" i="1"/>
  <c r="AQ360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N361" i="1"/>
  <c r="AP361" i="1"/>
  <c r="AQ361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N362" i="1"/>
  <c r="AP362" i="1"/>
  <c r="AQ362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N363" i="1"/>
  <c r="AP363" i="1"/>
  <c r="AQ363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N364" i="1"/>
  <c r="AP364" i="1"/>
  <c r="AQ364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N365" i="1"/>
  <c r="AP365" i="1"/>
  <c r="AQ365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N366" i="1"/>
  <c r="AP366" i="1"/>
  <c r="AQ366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N367" i="1"/>
  <c r="AP367" i="1"/>
  <c r="AQ367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N368" i="1"/>
  <c r="AP368" i="1"/>
  <c r="AQ368" i="1"/>
  <c r="AR354" i="1"/>
  <c r="AS354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3" i="1"/>
  <c r="AS363" i="1"/>
  <c r="AR364" i="1"/>
  <c r="AS364" i="1"/>
  <c r="AR365" i="1"/>
  <c r="AS365" i="1"/>
  <c r="AR366" i="1"/>
  <c r="AS366" i="1"/>
  <c r="AR367" i="1"/>
  <c r="AS367" i="1"/>
  <c r="AR368" i="1"/>
  <c r="AS368" i="1"/>
  <c r="AS353" i="1"/>
  <c r="AR353" i="1"/>
  <c r="X367" i="1"/>
  <c r="X368" i="1"/>
  <c r="P354" i="1"/>
  <c r="AM354" i="1" s="1"/>
  <c r="P355" i="1"/>
  <c r="AM355" i="1" s="1"/>
  <c r="P356" i="1"/>
  <c r="AM356" i="1" s="1"/>
  <c r="P357" i="1"/>
  <c r="AM357" i="1" s="1"/>
  <c r="P358" i="1"/>
  <c r="AM358" i="1" s="1"/>
  <c r="P359" i="1"/>
  <c r="AM359" i="1" s="1"/>
  <c r="P360" i="1"/>
  <c r="AM360" i="1" s="1"/>
  <c r="P361" i="1"/>
  <c r="AM361" i="1" s="1"/>
  <c r="P362" i="1"/>
  <c r="AM362" i="1" s="1"/>
  <c r="P363" i="1"/>
  <c r="AM363" i="1" s="1"/>
  <c r="P364" i="1"/>
  <c r="AM364" i="1" s="1"/>
  <c r="P365" i="1"/>
  <c r="AM365" i="1" s="1"/>
  <c r="P366" i="1"/>
  <c r="AM366" i="1" s="1"/>
  <c r="P367" i="1"/>
  <c r="AM367" i="1" s="1"/>
  <c r="P368" i="1"/>
  <c r="AM368" i="1" s="1"/>
  <c r="B354" i="1"/>
  <c r="Y354" i="1" s="1"/>
  <c r="B355" i="1"/>
  <c r="Y355" i="1" s="1"/>
  <c r="B356" i="1"/>
  <c r="Y356" i="1" s="1"/>
  <c r="B357" i="1"/>
  <c r="Y357" i="1" s="1"/>
  <c r="B358" i="1"/>
  <c r="Y358" i="1" s="1"/>
  <c r="B359" i="1"/>
  <c r="Y359" i="1" s="1"/>
  <c r="B360" i="1"/>
  <c r="Y360" i="1" s="1"/>
  <c r="B361" i="1"/>
  <c r="Y361" i="1" s="1"/>
  <c r="B362" i="1"/>
  <c r="Y362" i="1" s="1"/>
  <c r="B363" i="1"/>
  <c r="Y363" i="1" s="1"/>
  <c r="B364" i="1"/>
  <c r="Y364" i="1" s="1"/>
  <c r="B365" i="1"/>
  <c r="Y365" i="1" s="1"/>
  <c r="B366" i="1"/>
  <c r="Y366" i="1" s="1"/>
  <c r="B367" i="1"/>
  <c r="Y367" i="1" s="1"/>
  <c r="B368" i="1"/>
  <c r="Y368" i="1" s="1"/>
  <c r="B353" i="1"/>
  <c r="Y353" i="1" s="1"/>
  <c r="R354" i="1"/>
  <c r="AO354" i="1" s="1"/>
  <c r="R355" i="1"/>
  <c r="AO355" i="1" s="1"/>
  <c r="R356" i="1"/>
  <c r="AO356" i="1" s="1"/>
  <c r="R357" i="1"/>
  <c r="AO357" i="1" s="1"/>
  <c r="R358" i="1"/>
  <c r="AO358" i="1" s="1"/>
  <c r="R359" i="1"/>
  <c r="AO359" i="1" s="1"/>
  <c r="R360" i="1"/>
  <c r="AO360" i="1" s="1"/>
  <c r="R361" i="1"/>
  <c r="AO361" i="1" s="1"/>
  <c r="R362" i="1"/>
  <c r="AO362" i="1" s="1"/>
  <c r="R363" i="1"/>
  <c r="AO363" i="1" s="1"/>
  <c r="R364" i="1"/>
  <c r="AO364" i="1" s="1"/>
  <c r="R365" i="1"/>
  <c r="AO365" i="1" s="1"/>
  <c r="R366" i="1"/>
  <c r="AO366" i="1" s="1"/>
  <c r="R367" i="1"/>
  <c r="AO367" i="1" s="1"/>
  <c r="R368" i="1"/>
  <c r="AO368" i="1" s="1"/>
  <c r="R353" i="1"/>
  <c r="AO353" i="1" s="1"/>
  <c r="P353" i="1"/>
  <c r="AM353" i="1" s="1"/>
  <c r="X361" i="1"/>
  <c r="X362" i="1"/>
  <c r="X363" i="1"/>
  <c r="X364" i="1"/>
  <c r="X365" i="1"/>
  <c r="X366" i="1"/>
  <c r="AK352" i="1"/>
  <c r="AL352" i="1"/>
  <c r="AM352" i="1"/>
  <c r="AN352" i="1"/>
  <c r="AO352" i="1"/>
  <c r="AP352" i="1"/>
  <c r="AQ352" i="1"/>
  <c r="AR352" i="1"/>
  <c r="AS352" i="1"/>
  <c r="X360" i="1"/>
  <c r="X359" i="1"/>
  <c r="X358" i="1"/>
  <c r="X357" i="1"/>
  <c r="X356" i="1"/>
  <c r="X355" i="1"/>
  <c r="X354" i="1"/>
  <c r="X353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E347" i="1"/>
  <c r="N346" i="1"/>
  <c r="P346" i="1" s="1"/>
  <c r="E346" i="1"/>
  <c r="N309" i="1"/>
  <c r="P309" i="1" s="1"/>
  <c r="E310" i="1"/>
  <c r="E309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AQ322" i="1"/>
  <c r="AP322" i="1"/>
  <c r="AO322" i="1"/>
  <c r="AN322" i="1"/>
  <c r="AL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W322" i="1"/>
  <c r="Q322" i="1"/>
  <c r="AM322" i="1" s="1"/>
  <c r="O322" i="1"/>
  <c r="AK322" i="1" s="1"/>
  <c r="B322" i="1"/>
  <c r="X322" i="1" s="1"/>
  <c r="AQ321" i="1"/>
  <c r="AP321" i="1"/>
  <c r="AO321" i="1"/>
  <c r="AN321" i="1"/>
  <c r="AL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W321" i="1"/>
  <c r="Q321" i="1"/>
  <c r="AM321" i="1" s="1"/>
  <c r="O321" i="1"/>
  <c r="AK321" i="1" s="1"/>
  <c r="B321" i="1"/>
  <c r="X321" i="1" s="1"/>
  <c r="AQ320" i="1"/>
  <c r="AP320" i="1"/>
  <c r="AO320" i="1"/>
  <c r="AN320" i="1"/>
  <c r="AL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W320" i="1"/>
  <c r="Q320" i="1"/>
  <c r="AM320" i="1" s="1"/>
  <c r="O320" i="1"/>
  <c r="AK320" i="1" s="1"/>
  <c r="B320" i="1"/>
  <c r="X320" i="1" s="1"/>
  <c r="AQ319" i="1"/>
  <c r="AP319" i="1"/>
  <c r="AO319" i="1"/>
  <c r="AN319" i="1"/>
  <c r="AL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W319" i="1"/>
  <c r="Q319" i="1"/>
  <c r="AM319" i="1" s="1"/>
  <c r="O319" i="1"/>
  <c r="AK319" i="1" s="1"/>
  <c r="B319" i="1"/>
  <c r="X319" i="1" s="1"/>
  <c r="AQ318" i="1"/>
  <c r="AP318" i="1"/>
  <c r="AO318" i="1"/>
  <c r="AN318" i="1"/>
  <c r="AL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W318" i="1"/>
  <c r="Q318" i="1"/>
  <c r="AM318" i="1" s="1"/>
  <c r="O318" i="1"/>
  <c r="AK318" i="1" s="1"/>
  <c r="B318" i="1"/>
  <c r="X318" i="1" s="1"/>
  <c r="AQ317" i="1"/>
  <c r="AP317" i="1"/>
  <c r="AO317" i="1"/>
  <c r="AN317" i="1"/>
  <c r="AL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W317" i="1"/>
  <c r="Q317" i="1"/>
  <c r="AM317" i="1" s="1"/>
  <c r="O317" i="1"/>
  <c r="AK317" i="1" s="1"/>
  <c r="B317" i="1"/>
  <c r="X317" i="1" s="1"/>
  <c r="AQ316" i="1"/>
  <c r="AP316" i="1"/>
  <c r="AO316" i="1"/>
  <c r="AN316" i="1"/>
  <c r="AL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W316" i="1"/>
  <c r="Q316" i="1"/>
  <c r="AM316" i="1" s="1"/>
  <c r="O316" i="1"/>
  <c r="AK316" i="1" s="1"/>
  <c r="B316" i="1"/>
  <c r="X316" i="1" s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D501" i="1" l="1"/>
  <c r="E501" i="1" s="1"/>
  <c r="F501" i="1" s="1"/>
  <c r="G501" i="1" s="1"/>
  <c r="B502" i="1"/>
  <c r="O278" i="1"/>
  <c r="AK278" i="1" s="1"/>
  <c r="O277" i="1"/>
  <c r="AK277" i="1" s="1"/>
  <c r="O280" i="1"/>
  <c r="AK280" i="1" s="1"/>
  <c r="Q280" i="1"/>
  <c r="AM280" i="1" s="1"/>
  <c r="O281" i="1"/>
  <c r="AK281" i="1" s="1"/>
  <c r="Q281" i="1"/>
  <c r="AM281" i="1" s="1"/>
  <c r="O282" i="1"/>
  <c r="AK282" i="1" s="1"/>
  <c r="Q282" i="1"/>
  <c r="AM282" i="1" s="1"/>
  <c r="O279" i="1"/>
  <c r="AK279" i="1" s="1"/>
  <c r="O283" i="1"/>
  <c r="AK283" i="1" s="1"/>
  <c r="Q278" i="1"/>
  <c r="AM278" i="1" s="1"/>
  <c r="Q279" i="1"/>
  <c r="AM279" i="1" s="1"/>
  <c r="Q283" i="1"/>
  <c r="AM283" i="1" s="1"/>
  <c r="B278" i="1"/>
  <c r="X278" i="1" s="1"/>
  <c r="B279" i="1"/>
  <c r="X279" i="1" s="1"/>
  <c r="B280" i="1"/>
  <c r="X280" i="1" s="1"/>
  <c r="B281" i="1"/>
  <c r="X281" i="1" s="1"/>
  <c r="B282" i="1"/>
  <c r="X282" i="1" s="1"/>
  <c r="B283" i="1"/>
  <c r="X283" i="1" s="1"/>
  <c r="AQ277" i="1"/>
  <c r="AQ278" i="1"/>
  <c r="AQ279" i="1"/>
  <c r="AQ280" i="1"/>
  <c r="AQ281" i="1"/>
  <c r="AQ282" i="1"/>
  <c r="AQ283" i="1"/>
  <c r="AQ284" i="1"/>
  <c r="AP278" i="1"/>
  <c r="AP279" i="1"/>
  <c r="AP280" i="1"/>
  <c r="AP281" i="1"/>
  <c r="AP282" i="1"/>
  <c r="AP283" i="1"/>
  <c r="AP284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L277" i="1"/>
  <c r="AN277" i="1"/>
  <c r="AO277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L278" i="1"/>
  <c r="AN278" i="1"/>
  <c r="AO278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L279" i="1"/>
  <c r="AN279" i="1"/>
  <c r="AO279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L280" i="1"/>
  <c r="AN280" i="1"/>
  <c r="AO280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L281" i="1"/>
  <c r="AN281" i="1"/>
  <c r="AO281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L282" i="1"/>
  <c r="AN282" i="1"/>
  <c r="AO282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L283" i="1"/>
  <c r="AN283" i="1"/>
  <c r="AO283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X284" i="1"/>
  <c r="W278" i="1"/>
  <c r="W279" i="1"/>
  <c r="W280" i="1"/>
  <c r="W281" i="1"/>
  <c r="W282" i="1"/>
  <c r="W283" i="1"/>
  <c r="W284" i="1"/>
  <c r="W277" i="1"/>
  <c r="AP277" i="1"/>
  <c r="Q277" i="1"/>
  <c r="AM277" i="1" s="1"/>
  <c r="B277" i="1"/>
  <c r="X277" i="1" s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E271" i="1"/>
  <c r="H271" i="1" s="1"/>
  <c r="K271" i="1" s="1"/>
  <c r="E270" i="1"/>
  <c r="H270" i="1" s="1"/>
  <c r="K270" i="1" s="1"/>
  <c r="L262" i="1"/>
  <c r="G262" i="1"/>
  <c r="I262" i="1" s="1"/>
  <c r="K262" i="1" s="1"/>
  <c r="D502" i="1" l="1"/>
  <c r="E502" i="1" s="1"/>
  <c r="F502" i="1" s="1"/>
  <c r="G502" i="1" s="1"/>
  <c r="B503" i="1"/>
  <c r="D503" i="1" s="1"/>
  <c r="E503" i="1" s="1"/>
  <c r="F503" i="1" s="1"/>
  <c r="G503" i="1" s="1"/>
  <c r="O271" i="1"/>
  <c r="Q271" i="1" s="1"/>
  <c r="R271" i="1" s="1"/>
  <c r="O270" i="1"/>
  <c r="Q270" i="1" s="1"/>
  <c r="G263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L230" i="1"/>
  <c r="AN230" i="1"/>
  <c r="AO230" i="1"/>
  <c r="AP230" i="1"/>
  <c r="AQ230" i="1"/>
  <c r="B218" i="1"/>
  <c r="X218" i="1" s="1"/>
  <c r="B219" i="1"/>
  <c r="X219" i="1" s="1"/>
  <c r="B220" i="1"/>
  <c r="X220" i="1" s="1"/>
  <c r="B221" i="1"/>
  <c r="X221" i="1" s="1"/>
  <c r="B222" i="1"/>
  <c r="X222" i="1" s="1"/>
  <c r="B224" i="1"/>
  <c r="X224" i="1" s="1"/>
  <c r="B225" i="1"/>
  <c r="X225" i="1" s="1"/>
  <c r="B226" i="1"/>
  <c r="X226" i="1" s="1"/>
  <c r="B227" i="1"/>
  <c r="X227" i="1" s="1"/>
  <c r="B228" i="1"/>
  <c r="X228" i="1" s="1"/>
  <c r="B229" i="1"/>
  <c r="X229" i="1" s="1"/>
  <c r="B230" i="1"/>
  <c r="X230" i="1" s="1"/>
  <c r="B217" i="1"/>
  <c r="X217" i="1" s="1"/>
  <c r="O218" i="1"/>
  <c r="AK218" i="1" s="1"/>
  <c r="Q218" i="1"/>
  <c r="AM218" i="1" s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L218" i="1"/>
  <c r="AN218" i="1"/>
  <c r="AO218" i="1"/>
  <c r="AP218" i="1"/>
  <c r="AQ218" i="1"/>
  <c r="O219" i="1"/>
  <c r="AK219" i="1" s="1"/>
  <c r="Q219" i="1"/>
  <c r="AM219" i="1" s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L219" i="1"/>
  <c r="AN219" i="1"/>
  <c r="AO219" i="1"/>
  <c r="AP219" i="1"/>
  <c r="AQ219" i="1"/>
  <c r="O220" i="1"/>
  <c r="AK220" i="1" s="1"/>
  <c r="Q220" i="1"/>
  <c r="AM220" i="1" s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L220" i="1"/>
  <c r="AN220" i="1"/>
  <c r="AO220" i="1"/>
  <c r="AP220" i="1"/>
  <c r="AQ220" i="1"/>
  <c r="O221" i="1"/>
  <c r="AK221" i="1" s="1"/>
  <c r="Q221" i="1"/>
  <c r="AM221" i="1" s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L221" i="1"/>
  <c r="AN221" i="1"/>
  <c r="AO221" i="1"/>
  <c r="AP221" i="1"/>
  <c r="AQ221" i="1"/>
  <c r="O222" i="1"/>
  <c r="AK222" i="1" s="1"/>
  <c r="Q222" i="1"/>
  <c r="AM222" i="1" s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L222" i="1"/>
  <c r="AN222" i="1"/>
  <c r="AO222" i="1"/>
  <c r="AP222" i="1"/>
  <c r="AQ222" i="1"/>
  <c r="AP224" i="1"/>
  <c r="AQ224" i="1"/>
  <c r="AP225" i="1"/>
  <c r="AQ225" i="1"/>
  <c r="AP226" i="1"/>
  <c r="AQ226" i="1"/>
  <c r="AP227" i="1"/>
  <c r="AQ227" i="1"/>
  <c r="AP228" i="1"/>
  <c r="AQ228" i="1"/>
  <c r="AP229" i="1"/>
  <c r="AQ229" i="1"/>
  <c r="AQ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L217" i="1"/>
  <c r="AN217" i="1"/>
  <c r="AO217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L224" i="1"/>
  <c r="AN224" i="1"/>
  <c r="AO224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L225" i="1"/>
  <c r="AN225" i="1"/>
  <c r="AO225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L226" i="1"/>
  <c r="AN226" i="1"/>
  <c r="AO226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L227" i="1"/>
  <c r="AN227" i="1"/>
  <c r="AO227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L228" i="1"/>
  <c r="AN228" i="1"/>
  <c r="AO228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L229" i="1"/>
  <c r="AN229" i="1"/>
  <c r="AO229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W216" i="1"/>
  <c r="O225" i="1"/>
  <c r="AK225" i="1" s="1"/>
  <c r="Q225" i="1"/>
  <c r="AM225" i="1" s="1"/>
  <c r="AP217" i="1"/>
  <c r="Q217" i="1"/>
  <c r="AM217" i="1" s="1"/>
  <c r="O217" i="1"/>
  <c r="AK217" i="1" s="1"/>
  <c r="O230" i="1"/>
  <c r="AK230" i="1" s="1"/>
  <c r="Q230" i="1"/>
  <c r="AM230" i="1" s="1"/>
  <c r="Q224" i="1"/>
  <c r="AM224" i="1" s="1"/>
  <c r="Q226" i="1"/>
  <c r="AM226" i="1" s="1"/>
  <c r="Q227" i="1"/>
  <c r="AM227" i="1" s="1"/>
  <c r="Q228" i="1"/>
  <c r="AM228" i="1" s="1"/>
  <c r="Q229" i="1"/>
  <c r="AM229" i="1" s="1"/>
  <c r="O224" i="1"/>
  <c r="AK224" i="1" s="1"/>
  <c r="O226" i="1"/>
  <c r="AK226" i="1" s="1"/>
  <c r="O227" i="1"/>
  <c r="AK227" i="1" s="1"/>
  <c r="O228" i="1"/>
  <c r="AK228" i="1" s="1"/>
  <c r="O229" i="1"/>
  <c r="AK229" i="1" s="1"/>
  <c r="O172" i="1" l="1"/>
  <c r="C172" i="1" s="1"/>
  <c r="Y172" i="1" s="1"/>
  <c r="AO175" i="1"/>
  <c r="AN175" i="1"/>
  <c r="AM175" i="1"/>
  <c r="AL175" i="1"/>
  <c r="AJ175" i="1"/>
  <c r="AI175" i="1"/>
  <c r="AH175" i="1"/>
  <c r="AG175" i="1"/>
  <c r="AF175" i="1"/>
  <c r="AE175" i="1"/>
  <c r="AD175" i="1"/>
  <c r="AC175" i="1"/>
  <c r="AB175" i="1"/>
  <c r="AA175" i="1"/>
  <c r="Z175" i="1"/>
  <c r="AO174" i="1"/>
  <c r="AN174" i="1"/>
  <c r="AM174" i="1"/>
  <c r="AL174" i="1"/>
  <c r="AJ174" i="1"/>
  <c r="AI174" i="1"/>
  <c r="AH174" i="1"/>
  <c r="AG174" i="1"/>
  <c r="AF174" i="1"/>
  <c r="AE174" i="1"/>
  <c r="AD174" i="1"/>
  <c r="AC174" i="1"/>
  <c r="AB174" i="1"/>
  <c r="AA174" i="1"/>
  <c r="Z174" i="1"/>
  <c r="AO173" i="1"/>
  <c r="AN173" i="1"/>
  <c r="AM173" i="1"/>
  <c r="AL173" i="1"/>
  <c r="AJ173" i="1"/>
  <c r="AI173" i="1"/>
  <c r="AH173" i="1"/>
  <c r="AG173" i="1"/>
  <c r="AF173" i="1"/>
  <c r="AE173" i="1"/>
  <c r="AD173" i="1"/>
  <c r="AC173" i="1"/>
  <c r="AB173" i="1"/>
  <c r="AA173" i="1"/>
  <c r="Z173" i="1"/>
  <c r="AO172" i="1"/>
  <c r="AN172" i="1"/>
  <c r="AM172" i="1"/>
  <c r="AL172" i="1"/>
  <c r="AJ172" i="1"/>
  <c r="AI172" i="1"/>
  <c r="AH172" i="1"/>
  <c r="AG172" i="1"/>
  <c r="AF172" i="1"/>
  <c r="AE172" i="1"/>
  <c r="AD172" i="1"/>
  <c r="AC172" i="1"/>
  <c r="AB172" i="1"/>
  <c r="AA172" i="1"/>
  <c r="Z172" i="1"/>
  <c r="AO171" i="1"/>
  <c r="AN171" i="1"/>
  <c r="AM171" i="1"/>
  <c r="AL171" i="1"/>
  <c r="AJ171" i="1"/>
  <c r="AI171" i="1"/>
  <c r="AH171" i="1"/>
  <c r="AG171" i="1"/>
  <c r="AF171" i="1"/>
  <c r="AE171" i="1"/>
  <c r="AD171" i="1"/>
  <c r="AC171" i="1"/>
  <c r="AB171" i="1"/>
  <c r="AA171" i="1"/>
  <c r="Z171" i="1"/>
  <c r="AO170" i="1"/>
  <c r="AN170" i="1"/>
  <c r="AM170" i="1"/>
  <c r="AL170" i="1"/>
  <c r="AJ170" i="1"/>
  <c r="AI170" i="1"/>
  <c r="AH170" i="1"/>
  <c r="AG170" i="1"/>
  <c r="AF170" i="1"/>
  <c r="AE170" i="1"/>
  <c r="AD170" i="1"/>
  <c r="AC170" i="1"/>
  <c r="AB170" i="1"/>
  <c r="AA170" i="1"/>
  <c r="Z170" i="1"/>
  <c r="AO169" i="1"/>
  <c r="AN169" i="1"/>
  <c r="AM169" i="1"/>
  <c r="AL169" i="1"/>
  <c r="AJ169" i="1"/>
  <c r="AI169" i="1"/>
  <c r="AH169" i="1"/>
  <c r="AG169" i="1"/>
  <c r="AF169" i="1"/>
  <c r="AE169" i="1"/>
  <c r="AD169" i="1"/>
  <c r="AC169" i="1"/>
  <c r="AB169" i="1"/>
  <c r="AA169" i="1"/>
  <c r="Z169" i="1"/>
  <c r="X175" i="1"/>
  <c r="X174" i="1"/>
  <c r="X173" i="1"/>
  <c r="X172" i="1"/>
  <c r="X171" i="1"/>
  <c r="X170" i="1"/>
  <c r="X169" i="1"/>
  <c r="AP170" i="1"/>
  <c r="AQ170" i="1"/>
  <c r="AP171" i="1"/>
  <c r="AQ171" i="1"/>
  <c r="AP172" i="1"/>
  <c r="AQ172" i="1"/>
  <c r="AP173" i="1"/>
  <c r="AQ173" i="1"/>
  <c r="AP174" i="1"/>
  <c r="AQ174" i="1"/>
  <c r="AP175" i="1"/>
  <c r="AQ175" i="1"/>
  <c r="AQ169" i="1"/>
  <c r="AP169" i="1"/>
  <c r="AN168" i="1"/>
  <c r="AO168" i="1"/>
  <c r="AP168" i="1"/>
  <c r="AQ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W168" i="1"/>
  <c r="O174" i="1"/>
  <c r="C174" i="1" s="1"/>
  <c r="Y174" i="1" s="1"/>
  <c r="O175" i="1"/>
  <c r="C175" i="1" s="1"/>
  <c r="Y175" i="1" s="1"/>
  <c r="O170" i="1"/>
  <c r="C170" i="1" s="1"/>
  <c r="Y170" i="1" s="1"/>
  <c r="O171" i="1"/>
  <c r="AK171" i="1" s="1"/>
  <c r="O173" i="1"/>
  <c r="C173" i="1" s="1"/>
  <c r="Y173" i="1" s="1"/>
  <c r="O169" i="1"/>
  <c r="AK169" i="1" s="1"/>
  <c r="E163" i="1"/>
  <c r="H163" i="1" s="1"/>
  <c r="K163" i="1" s="1"/>
  <c r="O163" i="1" s="1"/>
  <c r="Q163" i="1" s="1"/>
  <c r="E162" i="1"/>
  <c r="H162" i="1" s="1"/>
  <c r="K162" i="1" s="1"/>
  <c r="O162" i="1" s="1"/>
  <c r="Q162" i="1" s="1"/>
  <c r="AK172" i="1" l="1"/>
  <c r="AK173" i="1"/>
  <c r="C171" i="1"/>
  <c r="Y171" i="1" s="1"/>
  <c r="AK174" i="1"/>
  <c r="AK170" i="1"/>
  <c r="AK175" i="1"/>
  <c r="C169" i="1"/>
  <c r="Y169" i="1" s="1"/>
  <c r="R163" i="1"/>
  <c r="L154" i="1" l="1"/>
  <c r="G154" i="1"/>
  <c r="G155" i="1" s="1"/>
  <c r="I154" i="1" l="1"/>
  <c r="K154" i="1" s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Y123" i="1"/>
  <c r="X123" i="1"/>
  <c r="W122" i="1"/>
  <c r="X122" i="1"/>
  <c r="Q123" i="1"/>
  <c r="R123" i="1"/>
  <c r="S123" i="1"/>
  <c r="T123" i="1"/>
  <c r="U123" i="1"/>
  <c r="V123" i="1"/>
  <c r="W123" i="1"/>
  <c r="Q124" i="1"/>
  <c r="R124" i="1"/>
  <c r="S124" i="1"/>
  <c r="T124" i="1"/>
  <c r="U124" i="1"/>
  <c r="V124" i="1"/>
  <c r="W124" i="1"/>
  <c r="Q125" i="1"/>
  <c r="R125" i="1"/>
  <c r="S125" i="1"/>
  <c r="T125" i="1"/>
  <c r="U125" i="1"/>
  <c r="V125" i="1"/>
  <c r="W125" i="1"/>
  <c r="Q126" i="1"/>
  <c r="R126" i="1"/>
  <c r="S126" i="1"/>
  <c r="T126" i="1"/>
  <c r="U126" i="1"/>
  <c r="V126" i="1"/>
  <c r="W126" i="1"/>
  <c r="Q127" i="1"/>
  <c r="R127" i="1"/>
  <c r="S127" i="1"/>
  <c r="T127" i="1"/>
  <c r="U127" i="1"/>
  <c r="V127" i="1"/>
  <c r="W127" i="1"/>
  <c r="Q128" i="1"/>
  <c r="R128" i="1"/>
  <c r="S128" i="1"/>
  <c r="T128" i="1"/>
  <c r="U128" i="1"/>
  <c r="V128" i="1"/>
  <c r="W128" i="1"/>
  <c r="Q129" i="1"/>
  <c r="R129" i="1"/>
  <c r="S129" i="1"/>
  <c r="T129" i="1"/>
  <c r="U129" i="1"/>
  <c r="V129" i="1"/>
  <c r="W129" i="1"/>
  <c r="Q130" i="1"/>
  <c r="R130" i="1"/>
  <c r="S130" i="1"/>
  <c r="T130" i="1"/>
  <c r="U130" i="1"/>
  <c r="V130" i="1"/>
  <c r="W130" i="1"/>
  <c r="O124" i="1"/>
  <c r="O125" i="1"/>
  <c r="O126" i="1"/>
  <c r="O127" i="1"/>
  <c r="O128" i="1"/>
  <c r="O129" i="1"/>
  <c r="O130" i="1"/>
  <c r="O123" i="1"/>
  <c r="C126" i="1"/>
  <c r="P126" i="1" s="1"/>
  <c r="C130" i="1"/>
  <c r="P130" i="1" s="1"/>
  <c r="C129" i="1"/>
  <c r="P129" i="1" s="1"/>
  <c r="C128" i="1"/>
  <c r="P128" i="1" s="1"/>
  <c r="C127" i="1"/>
  <c r="P127" i="1" s="1"/>
  <c r="C125" i="1"/>
  <c r="P125" i="1" s="1"/>
  <c r="C124" i="1"/>
  <c r="P124" i="1" s="1"/>
  <c r="C123" i="1"/>
  <c r="P123" i="1" s="1"/>
  <c r="P81" i="1" l="1"/>
  <c r="Q81" i="1"/>
  <c r="R81" i="1"/>
  <c r="S81" i="1"/>
  <c r="T81" i="1"/>
  <c r="U81" i="1"/>
  <c r="P82" i="1"/>
  <c r="Q82" i="1"/>
  <c r="R82" i="1"/>
  <c r="S82" i="1"/>
  <c r="T82" i="1"/>
  <c r="U82" i="1"/>
  <c r="P83" i="1"/>
  <c r="Q83" i="1"/>
  <c r="R83" i="1"/>
  <c r="S83" i="1"/>
  <c r="T83" i="1"/>
  <c r="U83" i="1"/>
  <c r="P84" i="1"/>
  <c r="Q84" i="1"/>
  <c r="R84" i="1"/>
  <c r="S84" i="1"/>
  <c r="T84" i="1"/>
  <c r="U84" i="1"/>
  <c r="P85" i="1"/>
  <c r="Q85" i="1"/>
  <c r="R85" i="1"/>
  <c r="S85" i="1"/>
  <c r="T85" i="1"/>
  <c r="U85" i="1"/>
  <c r="P86" i="1"/>
  <c r="Q86" i="1"/>
  <c r="R86" i="1"/>
  <c r="S86" i="1"/>
  <c r="T86" i="1"/>
  <c r="U86" i="1"/>
  <c r="P87" i="1"/>
  <c r="Q87" i="1"/>
  <c r="R87" i="1"/>
  <c r="S87" i="1"/>
  <c r="T87" i="1"/>
  <c r="U87" i="1"/>
  <c r="N82" i="1"/>
  <c r="N83" i="1"/>
  <c r="N84" i="1"/>
  <c r="N85" i="1"/>
  <c r="N86" i="1"/>
  <c r="N87" i="1"/>
  <c r="V82" i="1"/>
  <c r="W82" i="1"/>
  <c r="V83" i="1"/>
  <c r="W83" i="1"/>
  <c r="V84" i="1"/>
  <c r="W84" i="1"/>
  <c r="V85" i="1"/>
  <c r="W85" i="1"/>
  <c r="V86" i="1"/>
  <c r="W86" i="1"/>
  <c r="V87" i="1"/>
  <c r="W87" i="1"/>
  <c r="W81" i="1"/>
  <c r="V81" i="1"/>
  <c r="P80" i="1"/>
  <c r="Q80" i="1"/>
  <c r="R80" i="1"/>
  <c r="S80" i="1"/>
  <c r="T80" i="1"/>
  <c r="U80" i="1"/>
  <c r="V80" i="1"/>
  <c r="W80" i="1"/>
  <c r="C87" i="1"/>
  <c r="O87" i="1" s="1"/>
  <c r="N81" i="1"/>
  <c r="O80" i="1"/>
  <c r="N80" i="1"/>
  <c r="C82" i="1"/>
  <c r="O82" i="1" s="1"/>
  <c r="C83" i="1"/>
  <c r="O83" i="1" s="1"/>
  <c r="C84" i="1"/>
  <c r="O84" i="1" s="1"/>
  <c r="C85" i="1"/>
  <c r="O85" i="1" s="1"/>
  <c r="C86" i="1"/>
  <c r="O86" i="1" s="1"/>
  <c r="D8" i="2"/>
  <c r="D7" i="2"/>
  <c r="B4" i="2"/>
  <c r="B5" i="2" s="1"/>
  <c r="D6" i="2" s="1"/>
  <c r="C81" i="1" l="1"/>
  <c r="O81" i="1" s="1"/>
  <c r="J53" i="1" l="1"/>
  <c r="C43" i="1"/>
  <c r="C47" i="1" l="1"/>
  <c r="C48" i="1"/>
  <c r="C49" i="1"/>
  <c r="C39" i="1"/>
  <c r="C40" i="1"/>
  <c r="C41" i="1"/>
  <c r="C42" i="1"/>
  <c r="C44" i="1"/>
  <c r="C45" i="1"/>
  <c r="C46" i="1"/>
  <c r="C38" i="1"/>
  <c r="J5" i="1" l="1"/>
  <c r="J6" i="1"/>
  <c r="J7" i="1"/>
  <c r="J8" i="1"/>
  <c r="J9" i="1"/>
  <c r="J10" i="1"/>
  <c r="J4" i="1"/>
</calcChain>
</file>

<file path=xl/sharedStrings.xml><?xml version="1.0" encoding="utf-8"?>
<sst xmlns="http://schemas.openxmlformats.org/spreadsheetml/2006/main" count="1209" uniqueCount="344">
  <si>
    <t>20mM HEPES pH7.0</t>
  </si>
  <si>
    <t>DEPC 5%</t>
  </si>
  <si>
    <t>Imidazole 0.5M</t>
  </si>
  <si>
    <t>substrate (old kit)</t>
  </si>
  <si>
    <t>RNAse A (new kit) 0.01U/ml</t>
  </si>
  <si>
    <t>air</t>
  </si>
  <si>
    <t>total</t>
  </si>
  <si>
    <t>reaction mix No.</t>
  </si>
  <si>
    <t>…</t>
  </si>
  <si>
    <t>Measure fluorescence every 5min, ex/em 490/520nm.</t>
  </si>
  <si>
    <t>Incubate at  37°C (in Varioscan) for 60min.</t>
  </si>
  <si>
    <t>pipetting order -&gt;</t>
  </si>
  <si>
    <t>200327: RNAseAlert kit: test 01</t>
  </si>
  <si>
    <t>6 (measurement follows at 37°C)</t>
  </si>
  <si>
    <t>3 (incubation 60s, RT)</t>
  </si>
  <si>
    <t>200330: RNAseAlert kit: test 02</t>
  </si>
  <si>
    <t>20mM HEPES pH7.0 or 100mM phosphate pH7.0</t>
  </si>
  <si>
    <t>notes</t>
  </si>
  <si>
    <t>pos ctrl</t>
  </si>
  <si>
    <t>inhibited</t>
  </si>
  <si>
    <t>inhibited+fresh RNAse</t>
  </si>
  <si>
    <t>HEPES</t>
  </si>
  <si>
    <t>PB</t>
  </si>
  <si>
    <t>7 (measurement follows at 37°C)</t>
  </si>
  <si>
    <t>Cas13 protein</t>
  </si>
  <si>
    <t>neg ctrl (new substrate)</t>
  </si>
  <si>
    <t>pos ctrl (new substrate)</t>
  </si>
  <si>
    <t>neg ctrl</t>
  </si>
  <si>
    <t>3 (incubation 10min, 37deg.C)</t>
  </si>
  <si>
    <t>Benzoase(TM) nuclease 25U/ul</t>
  </si>
  <si>
    <t>0.5ul + 2ul water</t>
  </si>
  <si>
    <t>substrate (new kit) one tube + 14.2ul 10x buffer top up to 142ul (both from the kit)</t>
  </si>
  <si>
    <t xml:space="preserve">Add 5ul to the plate, then add 45ul of reaction to  it. </t>
  </si>
  <si>
    <t>Work in quadruplicates, pipet them on the plate in squares.</t>
  </si>
  <si>
    <t>Incubate at  37°C (in Varioscan) for 24min.</t>
  </si>
  <si>
    <t>Measure fluorescence every 2min, ex/em 490/520nm, read each well for 100ms with 10ul delay.</t>
  </si>
  <si>
    <t>pos ctrl + Cas 1x</t>
  </si>
  <si>
    <t>pos ctrl + Cas 10x</t>
  </si>
  <si>
    <t>200401: RNAseAlert kit: test 03</t>
  </si>
  <si>
    <t>buffer</t>
  </si>
  <si>
    <t>4 (incubation 10min, 37deg.C)</t>
  </si>
  <si>
    <t>8 (measurement follows at 37°C)</t>
  </si>
  <si>
    <t>pos ctrl = RNAse+substrate</t>
  </si>
  <si>
    <t>neg ctrl = RNAse+substrate +DEPC</t>
  </si>
  <si>
    <t>pos ctrl = RNAse+substrate +DEPC+RNAse</t>
  </si>
  <si>
    <t>HEPES 20mM</t>
  </si>
  <si>
    <t>PB 20mM</t>
  </si>
  <si>
    <t>pos ctrl + Cas 0.2x</t>
  </si>
  <si>
    <t>1M MgCl2</t>
  </si>
  <si>
    <t>water</t>
  </si>
  <si>
    <t>w/o RNAse</t>
  </si>
  <si>
    <t>pos ctrl + Cas buffer 0.2x</t>
  </si>
  <si>
    <t>pos ctrl + Cas buffer 1x</t>
  </si>
  <si>
    <t>inhib pos ctrl = RNAse+substrate +DEPC</t>
  </si>
  <si>
    <t>Tube No. 7 and 10 are the stock - (that is called 10x concentrated)</t>
  </si>
  <si>
    <t>Cas13 protein 10x stock (as NM protocol) Cas13 diluted in the buffer</t>
  </si>
  <si>
    <t>Cas13 buffer (diluted in water if applicable)</t>
  </si>
  <si>
    <t>Tube No. 6 and 9 are 1ul of the stock = 5x dilution</t>
  </si>
  <si>
    <t>Tube No. 5 and 8 are 10x diluted stock (1ul 10x diluted and taken 1ul)</t>
  </si>
  <si>
    <t>substrate (new kit from Josie) one tube + 5ul 10x buffer top up to 125ul with nuclease free water (both from the kit)</t>
  </si>
  <si>
    <t>Errors in pipetting:</t>
  </si>
  <si>
    <t>The volumes were not multiplied by 4.1 for pipetting, therefore they were 4.1 times diluted by water and signal reading prolonged to 400ms!</t>
  </si>
  <si>
    <t>Only 3ul of substrate  were added into wells in H4 and H6.</t>
  </si>
  <si>
    <t>1 and 2 are the same, both positive controls.</t>
  </si>
  <si>
    <t>pos ctrl + Cas 0.01x</t>
  </si>
  <si>
    <t>pos ctrl + Cas buffer 0.01x</t>
  </si>
  <si>
    <t>notes i</t>
  </si>
  <si>
    <t>notes ii</t>
  </si>
  <si>
    <t xml:space="preserve">Add 5ul of substrate to the plate, then add 45ul of reaction to  it. </t>
  </si>
  <si>
    <t>Volumes in ul are for one well. For 4 rplicates multiply by 4.1</t>
  </si>
  <si>
    <t>Working in quadruplicates, pipet the same reaction in squares to achieve an even of variances.</t>
  </si>
  <si>
    <t>Incubate at  37°C (in Varioscan) for at lease 24min.</t>
  </si>
  <si>
    <t>substrate</t>
  </si>
  <si>
    <t>pipetting order/ treatment -&gt;</t>
  </si>
  <si>
    <t>Cas13</t>
  </si>
  <si>
    <t>Cas13 in SB</t>
  </si>
  <si>
    <t>SB</t>
  </si>
  <si>
    <t>name</t>
  </si>
  <si>
    <t>details</t>
  </si>
  <si>
    <t>Chemicals used in the assay</t>
  </si>
  <si>
    <t>guideRNA</t>
  </si>
  <si>
    <t>Protocol:</t>
  </si>
  <si>
    <t>guide RNA</t>
  </si>
  <si>
    <t>Cas 1x</t>
  </si>
  <si>
    <t>1M HEPES, pH7.0</t>
  </si>
  <si>
    <t>Working in quadruplicates, pipet the same reaction in squares to achieve an even variances.</t>
  </si>
  <si>
    <t>Incubate at  37°C (in Varioscan) and measure for up to one hour (e.g. 24min).</t>
  </si>
  <si>
    <t>ug</t>
  </si>
  <si>
    <t>MW</t>
  </si>
  <si>
    <t>mol</t>
  </si>
  <si>
    <t>molecules</t>
  </si>
  <si>
    <t>dilute to</t>
  </si>
  <si>
    <t>copies/ul</t>
  </si>
  <si>
    <t>times</t>
  </si>
  <si>
    <t>200408: RNAseAlert kit: test 04 - Cas13 RNAse activity</t>
  </si>
  <si>
    <t>target RNA negative ctrl</t>
  </si>
  <si>
    <t>target RNA positive ctrl</t>
  </si>
  <si>
    <t>10ul/ul</t>
  </si>
  <si>
    <t>freezer downstairs -80deg.C</t>
  </si>
  <si>
    <t>freezer Joe -20deg.C</t>
  </si>
  <si>
    <t>1E6 copies/ul</t>
  </si>
  <si>
    <t>positive target RNA</t>
  </si>
  <si>
    <t>negative target RNA</t>
  </si>
  <si>
    <t>dilute 1000x</t>
  </si>
  <si>
    <t>Cas 2x</t>
  </si>
  <si>
    <t>no target</t>
  </si>
  <si>
    <t>no Cas</t>
  </si>
  <si>
    <t>no guide</t>
  </si>
  <si>
    <t>from Josie (freezer Joe -20deg.C)</t>
  </si>
  <si>
    <t>substrate one tube + 15ul 10x buffer (kit) top up to 150ul with nuclease free water (Josie)</t>
  </si>
  <si>
    <t xml:space="preserve">(new kit from Josie) </t>
  </si>
  <si>
    <t>Cas13 protein 10x; 5ul of stock Cas13 (2mg/ml) diluted by adding 153ul of strorage buffer (SB)</t>
  </si>
  <si>
    <t>Storage buffer for Cas13 (Kellner at al, NM, 2019)</t>
  </si>
  <si>
    <t>for 4 replicates (4 times 1.15 more)</t>
  </si>
  <si>
    <t>neg target 2.5E5</t>
  </si>
  <si>
    <t>neg target 2.5E8</t>
  </si>
  <si>
    <t>7/ measure at 37°C immediatelly</t>
  </si>
  <si>
    <t>TWIST ctrl1</t>
  </si>
  <si>
    <t>dilute 10x for the reaction to obtain 1E5/ul</t>
  </si>
  <si>
    <t>dilute210x, 1000x 1000x to obtain 1E5/ul</t>
  </si>
  <si>
    <t>1.8ug/ul is 2.1E13 copies/ul</t>
  </si>
  <si>
    <t>Orf1 negative control - 
UGAGUGUAAU….</t>
  </si>
  <si>
    <t>Volumes in ul per well. For 4 rplicates multiply by 4 then by 1.15</t>
  </si>
  <si>
    <t>200409: RNAseAlert kit: test 05 - Cas13 RNAse activity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</si>
  <si>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Use fresh plate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</si>
  <si>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Increase concentration of guide RNAs to 2.5ul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</si>
  <si>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Include benzonase nuclease + substrate as a positive control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</si>
  <si>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Increase concentration of substrate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</si>
  <si>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Pre-incubate Cas13 + guide RNAs for 10 minutes at room temperature</t>
    </r>
  </si>
  <si>
    <t>Repeat of previous assay, with the following changes: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</si>
  <si>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Pipette target RNA with the substrate on the plate, start the reaction with master mix (buffer + water + Cas13 + guideRNA)</t>
    </r>
  </si>
  <si>
    <t>Benzoase(TM) nuclease</t>
  </si>
  <si>
    <t xml:space="preserve"> 25U/ul</t>
  </si>
  <si>
    <t>Benzoase</t>
  </si>
  <si>
    <t>Tube B</t>
  </si>
  <si>
    <t>Tube A</t>
  </si>
  <si>
    <t>pos ctrl - substrate only</t>
  </si>
  <si>
    <t>Cas13 protein 20x; 5ul of stock Cas13 (2mg/ml) diluted by adding 76.5ul of strorage buffer (SB)</t>
  </si>
  <si>
    <t>Cas 10x=&gt;1x</t>
  </si>
  <si>
    <t>2x Cas, target</t>
  </si>
  <si>
    <t>pos ctrl -  more</t>
  </si>
  <si>
    <t>prepare tube A and B, mix them, then pipette all on plate using dispensing pipette</t>
  </si>
  <si>
    <t>Working in quadruplicates, pipet the replicates in the same rows.</t>
  </si>
  <si>
    <t>Incubate at  37°C (in Varioscan) and measure for up to one hour (e.g. 36min).</t>
  </si>
  <si>
    <t>substrate 2 tubes + 185ul of nuclease free water (Josie)</t>
  </si>
  <si>
    <t>Strategy for this assay:</t>
  </si>
  <si>
    <t>nmol</t>
  </si>
  <si>
    <t>M</t>
  </si>
  <si>
    <t>fmol</t>
  </si>
  <si>
    <t>nM</t>
  </si>
  <si>
    <t>1ng = 1.87E-5nmol = 1E10 copies</t>
  </si>
  <si>
    <t>10ng/ul</t>
  </si>
  <si>
    <t>dNTP mix</t>
  </si>
  <si>
    <t>T7 RNApol</t>
  </si>
  <si>
    <t>Murine RNAse inhibitor</t>
  </si>
  <si>
    <t>Notes:</t>
  </si>
  <si>
    <t>Amplified target DNA negative</t>
  </si>
  <si>
    <t>Amplified target DNA positive</t>
  </si>
  <si>
    <t>Prepare tube A and B, mix them, then pipette all on plate using dispensing pipette and measure.</t>
  </si>
  <si>
    <t>Work in quadruplicates, pipet the replicates in the same rows.</t>
  </si>
  <si>
    <t>DNA 1E7</t>
  </si>
  <si>
    <t>RNApol test</t>
  </si>
  <si>
    <t>reporter system test</t>
  </si>
  <si>
    <t>200430: RNAseAlert kit: test 06 - new Cas13 prep - DNA positive control</t>
  </si>
  <si>
    <t>Test of DNA positive control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</si>
  <si>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Use ratio of Cas13/guide RNA as in the Kellner's protocol</t>
    </r>
  </si>
  <si>
    <t>2 nmol/tube dissolved in 1ml =&gt; 2uM</t>
  </si>
  <si>
    <t xml:space="preserve">(substrate ordered separatelly) </t>
  </si>
  <si>
    <t>Murine RNAse inhibitor (NEB)</t>
  </si>
  <si>
    <t>40U/ul</t>
  </si>
  <si>
    <t>Cas13 protein 10x (63.3ug/ml); 5ul of stock Cas13 (2mg/ml) diluted by adding 153ul of strorage buffer (SB)</t>
  </si>
  <si>
    <t>T7promoter -Orf1a negative control 3ng/ul</t>
  </si>
  <si>
    <t>T7promoter -Orf1a positive control 2ng/ul</t>
  </si>
  <si>
    <t>T7 RNA ploymerase</t>
  </si>
  <si>
    <t>copy/ul</t>
  </si>
  <si>
    <t>DNA 1E9</t>
  </si>
  <si>
    <t>i.e.</t>
  </si>
  <si>
    <t>i.e</t>
  </si>
  <si>
    <t>dilute by a factor</t>
  </si>
  <si>
    <t>final conc</t>
  </si>
  <si>
    <t>tube B</t>
  </si>
  <si>
    <t>no Cas13, DNA 1E7</t>
  </si>
  <si>
    <t>5U/ul</t>
  </si>
  <si>
    <t>25mM each</t>
  </si>
  <si>
    <t>tube A</t>
  </si>
  <si>
    <t>Directly on the plate later</t>
  </si>
  <si>
    <t>General design: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</si>
  <si>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Pre-incubate Cas13 + guide RNAs for 10 minutes at room temperature - did not help last time; it happens anyway, it takes at least 10 minutes to prepare Tube A)</t>
    </r>
  </si>
  <si>
    <t>200504: RNAseAlert kit: test 07 - substrate</t>
  </si>
  <si>
    <t xml:space="preserve">Test of the new substrate and buffers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</si>
  <si>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Tris, HEPES, phophate, Cas Strogage buffer, dection kit buffer,…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</si>
  <si>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Different concentrations of the substrate, new vs old.</t>
    </r>
  </si>
  <si>
    <t>Tris</t>
  </si>
  <si>
    <t>kit buffer</t>
  </si>
  <si>
    <t>SB buffer</t>
  </si>
  <si>
    <t>kit substrate</t>
  </si>
  <si>
    <t>new substrate</t>
  </si>
  <si>
    <t>Tube B - on plate</t>
  </si>
  <si>
    <t>Tube A - pipette</t>
  </si>
  <si>
    <t>very old substrate</t>
  </si>
  <si>
    <t xml:space="preserve">new substrate </t>
  </si>
  <si>
    <t>2 nmol/tube dissolved in 1ml of water =&gt; 2uM</t>
  </si>
  <si>
    <t xml:space="preserve">tube dissolved in 60ul of water </t>
  </si>
  <si>
    <t>MilliQ</t>
  </si>
  <si>
    <t>Storage buffer for Cas13 (Kellner at al, NM, 2019) 10x concentrated</t>
  </si>
  <si>
    <t>Joe's brown tube</t>
  </si>
  <si>
    <t>phosphate buffer</t>
  </si>
  <si>
    <t>100mM, for month on my table</t>
  </si>
  <si>
    <t>from IVT  RNAseAlert kit 10x concentrated</t>
  </si>
  <si>
    <t>1M Tris.Cl pH7.5 from our media kitchen</t>
  </si>
  <si>
    <t>20mM HEPES pH7</t>
  </si>
  <si>
    <t>20mM Tris.Cl ph 7.5</t>
  </si>
  <si>
    <t>10mM Phosphate pH7</t>
  </si>
  <si>
    <t>kit buffer 1x</t>
  </si>
  <si>
    <t>SB buffer 1x</t>
  </si>
  <si>
    <t>no Benzoase</t>
  </si>
  <si>
    <t>? ctrl</t>
  </si>
  <si>
    <t>Mur.Inh</t>
  </si>
  <si>
    <t>Phosph</t>
  </si>
  <si>
    <t>kit</t>
  </si>
  <si>
    <t>Repeat of previous assay 06 with the following changes: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</si>
  <si>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Use 10ul of the substrate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</si>
  <si>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Start measurement as quickly as possible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</si>
  <si>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Use benzoase as a control</t>
    </r>
  </si>
  <si>
    <t>rNTP mix</t>
  </si>
  <si>
    <t>DNA(-) 1E7</t>
  </si>
  <si>
    <t>DNA(+) 1E7</t>
  </si>
  <si>
    <t>DNA(+) 1E9</t>
  </si>
  <si>
    <t>no T7, DNA(+) 1E7</t>
  </si>
  <si>
    <t>no Cas13, DNA(+) 1E7</t>
  </si>
  <si>
    <t>reporter test</t>
  </si>
  <si>
    <t>200507: RNAseAlert kit: test 08 - new Cas13 prep &amp; DNA positive/negative  control</t>
  </si>
  <si>
    <t>2 nmol/tube dissolved in 1ml =&gt; 2uM, i.e. 2pmol/ul</t>
  </si>
  <si>
    <t>diluted to 4U/ul</t>
  </si>
  <si>
    <t>40U/ul =&gt;</t>
  </si>
  <si>
    <t>200518: RNAseAlert kit: test 09 - test of new Cas13 prep in individual purification steps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</si>
  <si>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Soluble cell lysate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</si>
  <si>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StrepTrap eluate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</si>
  <si>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CIEX eluate</t>
    </r>
  </si>
  <si>
    <t>Do see Cas13 activity (?) in:</t>
  </si>
  <si>
    <t>details / dilution…...</t>
  </si>
  <si>
    <t>RNA Orf1ab positive control 2.4ug/ul</t>
  </si>
  <si>
    <t>RNA Orf1ab negative control 1.2ug/ul</t>
  </si>
  <si>
    <t>fmol/ul</t>
  </si>
  <si>
    <t>dilute</t>
  </si>
  <si>
    <t>0.1ng/ul</t>
  </si>
  <si>
    <t>which is 100 times less than guide RNA</t>
  </si>
  <si>
    <t>times (i.e. 240x then 100x)to get</t>
  </si>
  <si>
    <t>times (i.e. 120x then 100x)to get</t>
  </si>
  <si>
    <t>200518: RNAseAlert kit: test 09-2  Test of new Cas13 prep in individual purification steps</t>
  </si>
  <si>
    <t>Murine inhibitor</t>
  </si>
  <si>
    <t>crude</t>
  </si>
  <si>
    <t>StrepTrap</t>
  </si>
  <si>
    <t>CIEX</t>
  </si>
  <si>
    <t>Orf1ab RNA negative</t>
  </si>
  <si>
    <t>Orf1ab RNA positive</t>
  </si>
  <si>
    <t>S RNA positive</t>
  </si>
  <si>
    <t>S RNA negative</t>
  </si>
  <si>
    <t>Test both target RNA with replicates</t>
  </si>
  <si>
    <t>2 nmol/tube dissolved in 1ml =&gt; 2uM, i.e. 2pmol/ul =&gt; this had to be diluted approximatelly twice</t>
  </si>
  <si>
    <t>RNA S positive control 2.2ug/ul</t>
  </si>
  <si>
    <t>RNA S negative control 42ng/ul</t>
  </si>
  <si>
    <t>times (i.e. 420x) to get</t>
  </si>
  <si>
    <t>times (i.e. 240x then 100x) to get</t>
  </si>
  <si>
    <t>times (i.e. 120x then 100x) to get</t>
  </si>
  <si>
    <t>times (i.e. 220x then 100x) to get</t>
  </si>
  <si>
    <t>three before mentioned fractions in the purificaiton buffer</t>
  </si>
  <si>
    <t>vol(m)</t>
  </si>
  <si>
    <t>mg/ml</t>
  </si>
  <si>
    <t>mg</t>
  </si>
  <si>
    <t xml:space="preserve">20mM Tris.Cl pH 8.0 (at 4deg.C), 500mM NaCl, 1mM DTT </t>
  </si>
  <si>
    <t xml:space="preserve">20mM Tris.Cl pH 8.0 (at 4deg.C), approximately 600mM NaCl, 1mM DTT, 5% glycerol </t>
  </si>
  <si>
    <t>purificaiton stages, take 1ul</t>
  </si>
  <si>
    <t>Cas13 in purificaiton buffers</t>
  </si>
  <si>
    <t>200601: RNAseAlert kit: test 10 - another fluorometer (Varioskan in Centrum)</t>
  </si>
  <si>
    <t>Problem:</t>
  </si>
  <si>
    <t>Suspecting Varioskan at TSL si not sensitive engouh…?</t>
  </si>
  <si>
    <t>pos</t>
  </si>
  <si>
    <t>neg</t>
  </si>
  <si>
    <t>short name</t>
  </si>
  <si>
    <t>1M</t>
  </si>
  <si>
    <t>Milli Q</t>
  </si>
  <si>
    <t>HEPES, pH7.0</t>
  </si>
  <si>
    <t>RNAseAlert substrate</t>
  </si>
  <si>
    <t>MgCl2</t>
  </si>
  <si>
    <t>used concentation</t>
  </si>
  <si>
    <t>stock concentraiton</t>
  </si>
  <si>
    <t>2uM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</si>
  <si>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Is Varioskan at TSL not sensitive engouh…?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</si>
  <si>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1ul of Joe's substrate with 0.5ul of Benzoase did not produced anything in Centrum VarioskanLux</t>
    </r>
  </si>
  <si>
    <t>Result:</t>
  </si>
  <si>
    <t>Numbers were low, as if the substrate did not work.</t>
  </si>
  <si>
    <t>But also failed to set up method for kinetic measurement; loop did not work.</t>
  </si>
  <si>
    <t>200604: RNAseAlert kit: test 11  Test of "correct" Cas13a prep</t>
  </si>
  <si>
    <t>inhibitor</t>
  </si>
  <si>
    <t>40U/ul =&gt; 10x diluted</t>
  </si>
  <si>
    <t>4U/ul</t>
  </si>
  <si>
    <t>benzoase</t>
  </si>
  <si>
    <t>pos target</t>
  </si>
  <si>
    <t>neg target</t>
  </si>
  <si>
    <t>Cas13a</t>
  </si>
  <si>
    <t>63.3ug/ul</t>
  </si>
  <si>
    <t>5ul of 2mg/ml stock + 153ul SB</t>
  </si>
  <si>
    <t>sum</t>
  </si>
  <si>
    <t>200604: RNAseAlert kit: test 11-1 Test of new substrate and pure fluorescein (Varioskan in TSL)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</si>
  <si>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Here I want to check new substrate again on TSL Varioskan</t>
    </r>
  </si>
  <si>
    <r>
      <t>·</t>
    </r>
    <r>
      <rPr>
        <sz val="7"/>
        <color theme="1"/>
        <rFont val="Times New Roman"/>
        <family val="1"/>
      </rPr>
      <t>       Dilution range of pure fluorescein (&gt;80%pure) in water</t>
    </r>
  </si>
  <si>
    <t>fluorescein</t>
  </si>
  <si>
    <t>mM</t>
  </si>
  <si>
    <t>10uM</t>
  </si>
  <si>
    <t>100nM</t>
  </si>
  <si>
    <t>1nM</t>
  </si>
  <si>
    <t>10pM</t>
  </si>
  <si>
    <t>100fM</t>
  </si>
  <si>
    <t>1fM</t>
  </si>
  <si>
    <t>F11,12</t>
  </si>
  <si>
    <t>G11,12</t>
  </si>
  <si>
    <t>noCas13 Orf</t>
  </si>
  <si>
    <t>Cas13 Orf</t>
  </si>
  <si>
    <t>Cas13 S</t>
  </si>
  <si>
    <t xml:space="preserve">( new substrate in brown tube) </t>
  </si>
  <si>
    <t>New "correct" protein test</t>
  </si>
  <si>
    <t>Similar to the assay of partially purified Cas</t>
  </si>
  <si>
    <t>Dilution range of RNA target</t>
  </si>
  <si>
    <t>pos RNA target</t>
  </si>
  <si>
    <t>dilute - times</t>
  </si>
  <si>
    <t>umol/ul</t>
  </si>
  <si>
    <t>pmol/ul [uM]</t>
  </si>
  <si>
    <t>pM</t>
  </si>
  <si>
    <t>in 40ul</t>
  </si>
  <si>
    <t>uM</t>
  </si>
  <si>
    <t>fM</t>
  </si>
  <si>
    <t>10ng -RNA</t>
  </si>
  <si>
    <t xml:space="preserve">200626: RNAseAlert kit: test 13: Orf1ab dilution range </t>
  </si>
  <si>
    <t>10ng +RNA</t>
  </si>
  <si>
    <t>1ng +RNA</t>
  </si>
  <si>
    <t>0.1ng +RNA</t>
  </si>
  <si>
    <t>10pg +RNA</t>
  </si>
  <si>
    <t>1pg +RNA</t>
  </si>
  <si>
    <t>Dilutions</t>
  </si>
  <si>
    <t>Instructions</t>
  </si>
  <si>
    <t>…1: pipette tube A and B as separate columns on 96 well plate on ice</t>
  </si>
  <si>
    <t>…2: mix A and B (still on ice)</t>
  </si>
  <si>
    <t>…3: transfer 25ul in 384well plate  - 4 replicates in square of 4 wells, measure fluorescence in kinetic loop imediatelly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</si>
</sst>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3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dotted">
        <color theme="0" tint="-0.34998626667073579"/>
      </bottom>
      <diagonal/>
    </border>
    <border>
      <left/>
      <right style="dotted">
        <color theme="0" tint="-0.34998626667073579"/>
      </right>
      <top/>
      <bottom style="dotted">
        <color theme="0" tint="-0.34998626667073579"/>
      </bottom>
      <diagonal/>
    </border>
    <border>
      <left/>
      <right style="dotted">
        <color theme="0" tint="-0.34998626667073579"/>
      </right>
      <top/>
      <bottom style="double">
        <color theme="0" tint="-0.34998626667073579"/>
      </bottom>
      <diagonal/>
    </border>
    <border>
      <left/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wrapText="1"/>
    </xf>
    <xf numFmtId="0" fontId="3" fillId="0" borderId="0" xfId="0" applyFont="1"/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wrapText="1"/>
    </xf>
    <xf numFmtId="0" fontId="3" fillId="0" borderId="0" xfId="0" applyFont="1" applyBorder="1"/>
    <xf numFmtId="0" fontId="5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ont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ill="1" applyBorder="1"/>
    <xf numFmtId="0" fontId="0" fillId="4" borderId="0" xfId="0" applyFill="1" applyBorder="1"/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Fill="1" applyBorder="1" applyAlignment="1"/>
    <xf numFmtId="0" fontId="0" fillId="0" borderId="2" xfId="0" applyBorder="1" applyAlignment="1">
      <alignment horizontal="left" vertical="top" wrapText="1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Font="1" applyFill="1" applyBorder="1"/>
    <xf numFmtId="0" fontId="3" fillId="0" borderId="0" xfId="0" applyFont="1" applyBorder="1" applyAlignment="1">
      <alignment horizontal="right" wrapText="1"/>
    </xf>
    <xf numFmtId="0" fontId="0" fillId="0" borderId="0" xfId="0" applyAlignment="1"/>
    <xf numFmtId="0" fontId="0" fillId="0" borderId="0" xfId="0" applyBorder="1" applyAlignment="1">
      <alignment horizontal="left" wrapText="1"/>
    </xf>
    <xf numFmtId="0" fontId="4" fillId="5" borderId="0" xfId="0" applyFont="1" applyFill="1"/>
    <xf numFmtId="0" fontId="0" fillId="5" borderId="0" xfId="0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left" vertical="center" indent="4"/>
    </xf>
    <xf numFmtId="0" fontId="0" fillId="6" borderId="0" xfId="0" applyFill="1" applyBorder="1" applyAlignment="1">
      <alignment vertical="top" wrapText="1"/>
    </xf>
    <xf numFmtId="0" fontId="0" fillId="7" borderId="0" xfId="0" applyFill="1" applyBorder="1" applyAlignment="1">
      <alignment vertical="top" wrapText="1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Border="1" applyAlignment="1">
      <alignment wrapText="1"/>
    </xf>
    <xf numFmtId="11" fontId="0" fillId="0" borderId="0" xfId="0" applyNumberFormat="1" applyBorder="1"/>
    <xf numFmtId="11" fontId="0" fillId="0" borderId="0" xfId="0" applyNumberFormat="1" applyBorder="1" applyAlignment="1">
      <alignment horizontal="left"/>
    </xf>
    <xf numFmtId="164" fontId="0" fillId="0" borderId="0" xfId="0" applyNumberFormat="1" applyBorder="1"/>
    <xf numFmtId="0" fontId="0" fillId="0" borderId="0" xfId="0" applyNumberFormat="1"/>
    <xf numFmtId="0" fontId="3" fillId="4" borderId="0" xfId="0" applyFont="1" applyFill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164" fontId="0" fillId="0" borderId="0" xfId="0" applyNumberFormat="1"/>
    <xf numFmtId="0" fontId="8" fillId="0" borderId="0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0" borderId="0" xfId="0" applyFill="1" applyBorder="1" applyAlignment="1">
      <alignment vertical="top" wrapText="1"/>
    </xf>
    <xf numFmtId="0" fontId="6" fillId="0" borderId="0" xfId="0" applyFont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9" borderId="0" xfId="0" applyFill="1" applyBorder="1" applyAlignment="1">
      <alignment horizontal="left"/>
    </xf>
    <xf numFmtId="0" fontId="0" fillId="9" borderId="0" xfId="0" applyFill="1" applyBorder="1"/>
    <xf numFmtId="0" fontId="0" fillId="9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0" xfId="0" applyNumberFormat="1" applyBorder="1"/>
    <xf numFmtId="165" fontId="0" fillId="0" borderId="0" xfId="0" applyNumberFormat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1D6F-07F8-43FE-AEB8-06D3358AB2F1}">
  <sheetPr>
    <pageSetUpPr fitToPage="1"/>
  </sheetPr>
  <dimension ref="A1:AT531"/>
  <sheetViews>
    <sheetView tabSelected="1" topLeftCell="A474" zoomScale="70" zoomScaleNormal="70" zoomScaleSheetLayoutView="25" zoomScalePageLayoutView="25" workbookViewId="0">
      <selection activeCell="A531" sqref="A478:W531"/>
    </sheetView>
  </sheetViews>
  <sheetFormatPr defaultRowHeight="14.5" x14ac:dyDescent="0.35"/>
  <cols>
    <col min="1" max="1" width="14.26953125" customWidth="1"/>
    <col min="2" max="2" width="10.36328125" customWidth="1"/>
    <col min="3" max="3" width="25.36328125" customWidth="1"/>
    <col min="4" max="4" width="10" customWidth="1"/>
    <col min="5" max="5" width="10.1796875" customWidth="1"/>
    <col min="6" max="8" width="11.7265625" customWidth="1"/>
    <col min="9" max="9" width="10.90625" customWidth="1"/>
    <col min="10" max="10" width="12.08984375" customWidth="1"/>
    <col min="11" max="12" width="9.1796875" customWidth="1"/>
    <col min="13" max="13" width="8.7265625" customWidth="1"/>
    <col min="14" max="14" width="9.81640625" customWidth="1"/>
    <col min="21" max="21" width="12.81640625" customWidth="1"/>
    <col min="22" max="22" width="12.26953125" customWidth="1"/>
    <col min="23" max="23" width="14.26953125" customWidth="1"/>
    <col min="25" max="25" width="11.81640625" bestFit="1" customWidth="1"/>
    <col min="42" max="42" width="11.1796875" customWidth="1"/>
    <col min="43" max="43" width="21.453125" customWidth="1"/>
  </cols>
  <sheetData>
    <row r="1" spans="1:10" s="3" customFormat="1" ht="73.5" customHeight="1" x14ac:dyDescent="0.35">
      <c r="A1" s="4" t="s">
        <v>12</v>
      </c>
    </row>
    <row r="2" spans="1:10" s="1" customFormat="1" ht="58" x14ac:dyDescent="0.35">
      <c r="A2" s="11" t="s">
        <v>11</v>
      </c>
      <c r="B2" s="12">
        <v>1</v>
      </c>
      <c r="C2" s="12">
        <v>2</v>
      </c>
      <c r="D2" s="12" t="s">
        <v>14</v>
      </c>
      <c r="E2" s="12">
        <v>4</v>
      </c>
      <c r="F2" s="12"/>
      <c r="G2" s="12">
        <v>5</v>
      </c>
      <c r="H2" s="12"/>
      <c r="I2" s="12" t="s">
        <v>13</v>
      </c>
    </row>
    <row r="3" spans="1:10" s="1" customFormat="1" ht="44" thickBot="1" x14ac:dyDescent="0.4">
      <c r="A3" s="7" t="s">
        <v>7</v>
      </c>
      <c r="B3" s="2" t="s">
        <v>0</v>
      </c>
      <c r="C3" s="2" t="s">
        <v>4</v>
      </c>
      <c r="D3" s="2" t="s">
        <v>1</v>
      </c>
      <c r="E3" s="2" t="s">
        <v>2</v>
      </c>
      <c r="F3" s="2"/>
      <c r="G3" s="2" t="s">
        <v>4</v>
      </c>
      <c r="H3" s="2"/>
      <c r="I3" s="2" t="s">
        <v>3</v>
      </c>
      <c r="J3" s="5" t="s">
        <v>6</v>
      </c>
    </row>
    <row r="4" spans="1:10" ht="15" thickTop="1" x14ac:dyDescent="0.35">
      <c r="A4" s="8">
        <v>1</v>
      </c>
      <c r="B4">
        <v>45</v>
      </c>
      <c r="I4">
        <v>5</v>
      </c>
      <c r="J4" s="6">
        <f>SUM(B4:I4)</f>
        <v>50</v>
      </c>
    </row>
    <row r="5" spans="1:10" x14ac:dyDescent="0.35">
      <c r="A5" s="8">
        <v>2</v>
      </c>
      <c r="B5">
        <v>42.5</v>
      </c>
      <c r="C5">
        <v>2.5</v>
      </c>
      <c r="I5">
        <v>5</v>
      </c>
      <c r="J5" s="6">
        <f t="shared" ref="J5:J10" si="0">SUM(B5:I5)</f>
        <v>50</v>
      </c>
    </row>
    <row r="6" spans="1:10" x14ac:dyDescent="0.35">
      <c r="A6" s="8">
        <v>3</v>
      </c>
      <c r="B6">
        <v>40.5</v>
      </c>
      <c r="C6">
        <v>2.5</v>
      </c>
      <c r="D6">
        <v>1</v>
      </c>
      <c r="E6">
        <v>1</v>
      </c>
      <c r="I6">
        <v>5</v>
      </c>
      <c r="J6" s="6">
        <f t="shared" si="0"/>
        <v>50</v>
      </c>
    </row>
    <row r="7" spans="1:10" x14ac:dyDescent="0.35">
      <c r="A7" s="8">
        <v>4</v>
      </c>
      <c r="B7">
        <v>38</v>
      </c>
      <c r="C7">
        <v>2.5</v>
      </c>
      <c r="D7">
        <v>1</v>
      </c>
      <c r="E7">
        <v>1</v>
      </c>
      <c r="G7">
        <v>2.5</v>
      </c>
      <c r="I7">
        <v>5</v>
      </c>
      <c r="J7" s="6">
        <f t="shared" si="0"/>
        <v>50</v>
      </c>
    </row>
    <row r="8" spans="1:10" x14ac:dyDescent="0.35">
      <c r="A8" s="8">
        <v>5</v>
      </c>
      <c r="B8">
        <v>49</v>
      </c>
      <c r="D8">
        <v>1</v>
      </c>
      <c r="J8" s="6">
        <f t="shared" si="0"/>
        <v>50</v>
      </c>
    </row>
    <row r="9" spans="1:10" x14ac:dyDescent="0.35">
      <c r="A9" s="8">
        <v>6</v>
      </c>
      <c r="B9">
        <v>49</v>
      </c>
      <c r="E9">
        <v>1</v>
      </c>
      <c r="J9" s="6">
        <f t="shared" si="0"/>
        <v>50</v>
      </c>
    </row>
    <row r="10" spans="1:10" x14ac:dyDescent="0.35">
      <c r="A10" s="8">
        <v>7</v>
      </c>
      <c r="B10">
        <v>50</v>
      </c>
      <c r="J10" s="6">
        <f t="shared" si="0"/>
        <v>50</v>
      </c>
    </row>
    <row r="11" spans="1:10" x14ac:dyDescent="0.35">
      <c r="A11" s="8">
        <v>8</v>
      </c>
      <c r="B11" t="s">
        <v>5</v>
      </c>
      <c r="C11" t="s">
        <v>5</v>
      </c>
      <c r="D11" t="s">
        <v>5</v>
      </c>
      <c r="E11" t="s">
        <v>5</v>
      </c>
      <c r="G11" t="s">
        <v>5</v>
      </c>
      <c r="I11" t="s">
        <v>5</v>
      </c>
      <c r="J11" s="6" t="s">
        <v>8</v>
      </c>
    </row>
    <row r="13" spans="1:10" x14ac:dyDescent="0.35">
      <c r="A13" t="s">
        <v>10</v>
      </c>
    </row>
    <row r="14" spans="1:10" x14ac:dyDescent="0.35">
      <c r="A14" t="s">
        <v>9</v>
      </c>
    </row>
    <row r="17" spans="1:12" ht="51.65" customHeight="1" x14ac:dyDescent="0.35">
      <c r="A17" s="4" t="s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s="1" customFormat="1" ht="58" x14ac:dyDescent="0.35">
      <c r="A18" s="11" t="s">
        <v>11</v>
      </c>
      <c r="B18" s="12">
        <v>1</v>
      </c>
      <c r="C18" s="12">
        <v>2</v>
      </c>
      <c r="D18" s="12" t="s">
        <v>28</v>
      </c>
      <c r="E18" s="12">
        <v>4</v>
      </c>
      <c r="F18" s="12">
        <v>5</v>
      </c>
      <c r="G18" s="12">
        <v>6</v>
      </c>
      <c r="H18" s="12"/>
      <c r="I18" s="12" t="s">
        <v>23</v>
      </c>
    </row>
    <row r="19" spans="1:12" ht="116.5" thickBot="1" x14ac:dyDescent="0.4">
      <c r="A19" s="7" t="s">
        <v>7</v>
      </c>
      <c r="B19" s="2" t="s">
        <v>16</v>
      </c>
      <c r="C19" s="2" t="s">
        <v>29</v>
      </c>
      <c r="D19" s="2" t="s">
        <v>1</v>
      </c>
      <c r="E19" s="2" t="s">
        <v>2</v>
      </c>
      <c r="F19" s="2" t="s">
        <v>24</v>
      </c>
      <c r="G19" s="2" t="s">
        <v>29</v>
      </c>
      <c r="H19" s="2"/>
      <c r="I19" s="2" t="s">
        <v>31</v>
      </c>
      <c r="J19" s="5" t="s">
        <v>6</v>
      </c>
      <c r="K19" s="9" t="s">
        <v>17</v>
      </c>
      <c r="L19" s="9" t="s">
        <v>17</v>
      </c>
    </row>
    <row r="20" spans="1:12" ht="15" thickTop="1" x14ac:dyDescent="0.35">
      <c r="A20" s="8">
        <v>1</v>
      </c>
      <c r="B20">
        <v>45</v>
      </c>
      <c r="I20">
        <v>5</v>
      </c>
      <c r="J20" s="6">
        <v>50</v>
      </c>
      <c r="K20" t="s">
        <v>25</v>
      </c>
      <c r="L20" t="s">
        <v>21</v>
      </c>
    </row>
    <row r="21" spans="1:12" x14ac:dyDescent="0.35">
      <c r="A21" s="8">
        <v>2</v>
      </c>
      <c r="B21">
        <v>42.5</v>
      </c>
      <c r="C21" t="s">
        <v>30</v>
      </c>
      <c r="I21">
        <v>5</v>
      </c>
      <c r="J21" s="6">
        <v>50</v>
      </c>
      <c r="K21" t="s">
        <v>26</v>
      </c>
      <c r="L21" t="s">
        <v>21</v>
      </c>
    </row>
    <row r="22" spans="1:12" x14ac:dyDescent="0.35">
      <c r="A22" s="8">
        <v>3</v>
      </c>
      <c r="B22">
        <v>37.5</v>
      </c>
      <c r="C22" t="s">
        <v>30</v>
      </c>
      <c r="F22">
        <v>5</v>
      </c>
      <c r="I22">
        <v>5</v>
      </c>
      <c r="J22" s="6">
        <v>50</v>
      </c>
      <c r="K22" t="s">
        <v>36</v>
      </c>
      <c r="L22" t="s">
        <v>21</v>
      </c>
    </row>
    <row r="23" spans="1:12" x14ac:dyDescent="0.35">
      <c r="A23" s="8">
        <v>4</v>
      </c>
      <c r="B23">
        <v>37.5</v>
      </c>
      <c r="C23" t="s">
        <v>30</v>
      </c>
      <c r="F23">
        <v>5</v>
      </c>
      <c r="I23">
        <v>5</v>
      </c>
      <c r="J23" s="6">
        <v>50</v>
      </c>
      <c r="K23" t="s">
        <v>37</v>
      </c>
      <c r="L23" t="s">
        <v>21</v>
      </c>
    </row>
    <row r="24" spans="1:12" x14ac:dyDescent="0.35">
      <c r="A24" s="8">
        <v>5</v>
      </c>
      <c r="B24">
        <v>50</v>
      </c>
      <c r="J24" s="6">
        <v>50</v>
      </c>
      <c r="K24" t="s">
        <v>27</v>
      </c>
      <c r="L24" t="s">
        <v>22</v>
      </c>
    </row>
    <row r="25" spans="1:12" x14ac:dyDescent="0.35">
      <c r="A25" s="8">
        <v>6</v>
      </c>
      <c r="B25">
        <v>42.5</v>
      </c>
      <c r="C25" t="s">
        <v>30</v>
      </c>
      <c r="I25">
        <v>5</v>
      </c>
      <c r="J25" s="6">
        <v>50</v>
      </c>
      <c r="K25" t="s">
        <v>18</v>
      </c>
      <c r="L25" t="s">
        <v>22</v>
      </c>
    </row>
    <row r="26" spans="1:12" x14ac:dyDescent="0.35">
      <c r="A26" s="8">
        <v>7</v>
      </c>
      <c r="B26">
        <v>40.5</v>
      </c>
      <c r="C26" t="s">
        <v>30</v>
      </c>
      <c r="D26">
        <v>1</v>
      </c>
      <c r="E26">
        <v>1</v>
      </c>
      <c r="I26">
        <v>5</v>
      </c>
      <c r="J26" s="6">
        <v>50</v>
      </c>
      <c r="K26" t="s">
        <v>19</v>
      </c>
      <c r="L26" t="s">
        <v>22</v>
      </c>
    </row>
    <row r="27" spans="1:12" x14ac:dyDescent="0.35">
      <c r="A27" s="8">
        <v>8</v>
      </c>
      <c r="B27">
        <v>38</v>
      </c>
      <c r="C27" t="s">
        <v>30</v>
      </c>
      <c r="D27">
        <v>1</v>
      </c>
      <c r="E27">
        <v>1</v>
      </c>
      <c r="G27">
        <v>2.5</v>
      </c>
      <c r="I27">
        <v>5</v>
      </c>
      <c r="J27" s="6">
        <v>50</v>
      </c>
      <c r="K27" t="s">
        <v>20</v>
      </c>
      <c r="L27" t="s">
        <v>22</v>
      </c>
    </row>
    <row r="28" spans="1:12" x14ac:dyDescent="0.35">
      <c r="A28" s="10">
        <v>9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I28" t="s">
        <v>5</v>
      </c>
      <c r="J28" s="6" t="s">
        <v>8</v>
      </c>
    </row>
    <row r="29" spans="1:12" x14ac:dyDescent="0.35">
      <c r="A29" t="s">
        <v>32</v>
      </c>
    </row>
    <row r="30" spans="1:12" x14ac:dyDescent="0.35">
      <c r="A30" t="s">
        <v>33</v>
      </c>
    </row>
    <row r="31" spans="1:12" x14ac:dyDescent="0.35">
      <c r="A31" t="s">
        <v>34</v>
      </c>
    </row>
    <row r="32" spans="1:12" x14ac:dyDescent="0.35">
      <c r="A32" t="s">
        <v>35</v>
      </c>
    </row>
    <row r="35" spans="1:14" ht="21" x14ac:dyDescent="0.35">
      <c r="A35" s="13" t="s">
        <v>38</v>
      </c>
      <c r="B35" s="14"/>
      <c r="C35" s="14"/>
      <c r="D35" s="14"/>
      <c r="E35" s="14"/>
      <c r="F35" s="14"/>
      <c r="G35" s="14"/>
      <c r="H35" s="14"/>
      <c r="I35" s="14"/>
      <c r="J35" s="14"/>
      <c r="K35" s="15"/>
      <c r="L35" s="15"/>
      <c r="M35" s="15"/>
      <c r="N35" s="15"/>
    </row>
    <row r="36" spans="1:14" ht="72.5" x14ac:dyDescent="0.35">
      <c r="A36" s="11" t="s">
        <v>11</v>
      </c>
      <c r="B36" s="16">
        <v>1</v>
      </c>
      <c r="C36" s="16">
        <v>2</v>
      </c>
      <c r="D36" s="16">
        <v>3</v>
      </c>
      <c r="E36" s="16"/>
      <c r="F36" s="16" t="s">
        <v>40</v>
      </c>
      <c r="G36" s="16">
        <v>5</v>
      </c>
      <c r="H36" s="16">
        <v>6</v>
      </c>
      <c r="I36" s="16"/>
      <c r="J36" s="16">
        <v>7</v>
      </c>
      <c r="K36" s="16" t="s">
        <v>41</v>
      </c>
      <c r="L36" s="17"/>
      <c r="M36" s="17"/>
      <c r="N36" s="17"/>
    </row>
    <row r="37" spans="1:14" ht="174.5" thickBot="1" x14ac:dyDescent="0.4">
      <c r="A37" s="7" t="s">
        <v>7</v>
      </c>
      <c r="B37" s="2" t="s">
        <v>39</v>
      </c>
      <c r="C37" s="2" t="s">
        <v>49</v>
      </c>
      <c r="D37" s="2" t="s">
        <v>29</v>
      </c>
      <c r="E37" s="2" t="s">
        <v>48</v>
      </c>
      <c r="F37" s="2" t="s">
        <v>1</v>
      </c>
      <c r="G37" s="2" t="s">
        <v>2</v>
      </c>
      <c r="H37" s="2" t="s">
        <v>55</v>
      </c>
      <c r="I37" s="2" t="s">
        <v>56</v>
      </c>
      <c r="J37" s="2" t="s">
        <v>29</v>
      </c>
      <c r="K37" s="2" t="s">
        <v>59</v>
      </c>
      <c r="L37" s="5" t="s">
        <v>6</v>
      </c>
      <c r="M37" s="5" t="s">
        <v>66</v>
      </c>
      <c r="N37" s="5" t="s">
        <v>67</v>
      </c>
    </row>
    <row r="38" spans="1:14" ht="15" thickTop="1" x14ac:dyDescent="0.35">
      <c r="A38" s="8">
        <v>1</v>
      </c>
      <c r="B38" s="15">
        <v>37</v>
      </c>
      <c r="C38" s="15">
        <f t="shared" ref="C38:C49" si="1">L38-B38-SUM(D38:K38)</f>
        <v>5.5</v>
      </c>
      <c r="D38" s="15">
        <v>0.5</v>
      </c>
      <c r="E38" s="15">
        <v>2</v>
      </c>
      <c r="F38" s="15"/>
      <c r="G38" s="15"/>
      <c r="H38" s="15"/>
      <c r="I38" s="15"/>
      <c r="J38" s="15"/>
      <c r="K38" s="15">
        <v>5</v>
      </c>
      <c r="L38" s="18">
        <v>50</v>
      </c>
      <c r="M38" s="19" t="s">
        <v>50</v>
      </c>
      <c r="N38" s="15" t="s">
        <v>45</v>
      </c>
    </row>
    <row r="39" spans="1:14" x14ac:dyDescent="0.35">
      <c r="A39" s="8">
        <v>2</v>
      </c>
      <c r="B39" s="15">
        <v>37</v>
      </c>
      <c r="C39" s="15">
        <f t="shared" si="1"/>
        <v>5.5</v>
      </c>
      <c r="D39" s="15">
        <v>0.5</v>
      </c>
      <c r="E39" s="15">
        <v>2</v>
      </c>
      <c r="F39" s="15"/>
      <c r="G39" s="15"/>
      <c r="H39" s="15"/>
      <c r="I39" s="15"/>
      <c r="J39" s="15"/>
      <c r="K39" s="15">
        <v>5</v>
      </c>
      <c r="L39" s="18">
        <v>50</v>
      </c>
      <c r="M39" s="15" t="s">
        <v>42</v>
      </c>
      <c r="N39" s="15" t="s">
        <v>45</v>
      </c>
    </row>
    <row r="40" spans="1:14" x14ac:dyDescent="0.35">
      <c r="A40" s="8">
        <v>3</v>
      </c>
      <c r="B40" s="15">
        <v>37</v>
      </c>
      <c r="C40" s="15">
        <f t="shared" si="1"/>
        <v>3.5</v>
      </c>
      <c r="D40" s="15">
        <v>0.5</v>
      </c>
      <c r="E40" s="15">
        <v>2</v>
      </c>
      <c r="F40" s="20">
        <v>1</v>
      </c>
      <c r="G40" s="20">
        <v>1</v>
      </c>
      <c r="H40" s="15"/>
      <c r="I40" s="15"/>
      <c r="J40" s="15"/>
      <c r="K40" s="15">
        <v>5</v>
      </c>
      <c r="L40" s="18">
        <v>50</v>
      </c>
      <c r="M40" s="15" t="s">
        <v>43</v>
      </c>
      <c r="N40" s="15" t="s">
        <v>45</v>
      </c>
    </row>
    <row r="41" spans="1:14" x14ac:dyDescent="0.35">
      <c r="A41" s="8">
        <v>4</v>
      </c>
      <c r="B41" s="15">
        <v>37</v>
      </c>
      <c r="C41" s="15">
        <f t="shared" si="1"/>
        <v>3</v>
      </c>
      <c r="D41" s="15">
        <v>0.5</v>
      </c>
      <c r="E41" s="15">
        <v>2</v>
      </c>
      <c r="F41" s="20">
        <v>1</v>
      </c>
      <c r="G41" s="20">
        <v>1</v>
      </c>
      <c r="H41" s="15"/>
      <c r="I41" s="15"/>
      <c r="J41" s="15">
        <v>0.5</v>
      </c>
      <c r="K41" s="15">
        <v>5</v>
      </c>
      <c r="L41" s="18">
        <v>50</v>
      </c>
      <c r="M41" s="15" t="s">
        <v>44</v>
      </c>
      <c r="N41" s="15" t="s">
        <v>45</v>
      </c>
    </row>
    <row r="42" spans="1:14" x14ac:dyDescent="0.35">
      <c r="A42" s="8">
        <v>5</v>
      </c>
      <c r="B42" s="15">
        <v>37</v>
      </c>
      <c r="C42" s="15">
        <f t="shared" si="1"/>
        <v>4.5</v>
      </c>
      <c r="D42" s="15">
        <v>0.5</v>
      </c>
      <c r="E42" s="15">
        <v>2</v>
      </c>
      <c r="F42" s="15"/>
      <c r="G42" s="15"/>
      <c r="H42" s="21">
        <v>1</v>
      </c>
      <c r="I42" s="15"/>
      <c r="J42" s="15"/>
      <c r="K42" s="15">
        <v>5</v>
      </c>
      <c r="L42" s="18">
        <v>50</v>
      </c>
      <c r="M42" s="15" t="s">
        <v>64</v>
      </c>
      <c r="N42" s="15" t="s">
        <v>45</v>
      </c>
    </row>
    <row r="43" spans="1:14" x14ac:dyDescent="0.35">
      <c r="A43" s="8">
        <v>6</v>
      </c>
      <c r="B43" s="15">
        <v>37</v>
      </c>
      <c r="C43" s="15">
        <f t="shared" si="1"/>
        <v>4.5</v>
      </c>
      <c r="D43" s="15">
        <v>0.5</v>
      </c>
      <c r="E43" s="15">
        <v>2</v>
      </c>
      <c r="F43" s="15"/>
      <c r="G43" s="15"/>
      <c r="H43" s="21">
        <v>1</v>
      </c>
      <c r="I43" s="15"/>
      <c r="J43" s="15"/>
      <c r="K43" s="15">
        <v>5</v>
      </c>
      <c r="L43" s="18">
        <v>50</v>
      </c>
      <c r="M43" s="15" t="s">
        <v>47</v>
      </c>
      <c r="N43" s="15" t="s">
        <v>45</v>
      </c>
    </row>
    <row r="44" spans="1:14" x14ac:dyDescent="0.35">
      <c r="A44" s="8">
        <v>7</v>
      </c>
      <c r="B44" s="15">
        <v>37</v>
      </c>
      <c r="C44" s="15">
        <f t="shared" si="1"/>
        <v>0.5</v>
      </c>
      <c r="D44" s="15">
        <v>0.5</v>
      </c>
      <c r="E44" s="15">
        <v>2</v>
      </c>
      <c r="F44" s="15"/>
      <c r="G44" s="15"/>
      <c r="H44" s="21">
        <v>5</v>
      </c>
      <c r="I44" s="15"/>
      <c r="J44" s="15"/>
      <c r="K44" s="15">
        <v>5</v>
      </c>
      <c r="L44" s="18">
        <v>50</v>
      </c>
      <c r="M44" s="15" t="s">
        <v>36</v>
      </c>
      <c r="N44" s="15" t="s">
        <v>45</v>
      </c>
    </row>
    <row r="45" spans="1:14" x14ac:dyDescent="0.35">
      <c r="A45" s="8">
        <v>8</v>
      </c>
      <c r="B45" s="15">
        <v>37</v>
      </c>
      <c r="C45" s="15">
        <f t="shared" si="1"/>
        <v>4.5</v>
      </c>
      <c r="D45" s="15">
        <v>0.5</v>
      </c>
      <c r="E45" s="15">
        <v>2</v>
      </c>
      <c r="F45" s="15"/>
      <c r="G45" s="15"/>
      <c r="H45" s="15"/>
      <c r="I45" s="21">
        <v>1</v>
      </c>
      <c r="J45" s="15"/>
      <c r="K45" s="15">
        <v>5</v>
      </c>
      <c r="L45" s="18">
        <v>50</v>
      </c>
      <c r="M45" s="15" t="s">
        <v>65</v>
      </c>
      <c r="N45" s="15" t="s">
        <v>45</v>
      </c>
    </row>
    <row r="46" spans="1:14" x14ac:dyDescent="0.35">
      <c r="A46" s="10">
        <v>9</v>
      </c>
      <c r="B46" s="15">
        <v>37</v>
      </c>
      <c r="C46" s="15">
        <f t="shared" si="1"/>
        <v>4.5</v>
      </c>
      <c r="D46" s="15">
        <v>0.5</v>
      </c>
      <c r="E46" s="15">
        <v>2</v>
      </c>
      <c r="F46" s="15"/>
      <c r="G46" s="15"/>
      <c r="H46" s="15"/>
      <c r="I46" s="21">
        <v>1</v>
      </c>
      <c r="J46" s="15"/>
      <c r="K46" s="15">
        <v>5</v>
      </c>
      <c r="L46" s="18">
        <v>50</v>
      </c>
      <c r="M46" s="15" t="s">
        <v>51</v>
      </c>
      <c r="N46" s="15" t="s">
        <v>45</v>
      </c>
    </row>
    <row r="47" spans="1:14" x14ac:dyDescent="0.35">
      <c r="A47" s="10">
        <v>10</v>
      </c>
      <c r="B47" s="15">
        <v>37</v>
      </c>
      <c r="C47" s="15">
        <f t="shared" si="1"/>
        <v>0.5</v>
      </c>
      <c r="D47" s="15">
        <v>0.5</v>
      </c>
      <c r="E47" s="15">
        <v>2</v>
      </c>
      <c r="F47" s="15"/>
      <c r="G47" s="15"/>
      <c r="H47" s="15"/>
      <c r="I47" s="21">
        <v>5</v>
      </c>
      <c r="J47" s="15"/>
      <c r="K47" s="15">
        <v>5</v>
      </c>
      <c r="L47" s="18">
        <v>50</v>
      </c>
      <c r="M47" s="15" t="s">
        <v>52</v>
      </c>
      <c r="N47" s="15" t="s">
        <v>45</v>
      </c>
    </row>
    <row r="48" spans="1:14" x14ac:dyDescent="0.35">
      <c r="A48" s="10">
        <v>11</v>
      </c>
      <c r="B48" s="15">
        <v>37</v>
      </c>
      <c r="C48" s="15">
        <f t="shared" si="1"/>
        <v>5.5</v>
      </c>
      <c r="D48" s="15">
        <v>0.5</v>
      </c>
      <c r="E48" s="15">
        <v>2</v>
      </c>
      <c r="F48" s="15"/>
      <c r="G48" s="15"/>
      <c r="H48" s="15"/>
      <c r="I48" s="15"/>
      <c r="J48" s="15"/>
      <c r="K48" s="15">
        <v>5</v>
      </c>
      <c r="L48" s="18">
        <v>50</v>
      </c>
      <c r="M48" s="15" t="s">
        <v>42</v>
      </c>
      <c r="N48" s="15" t="s">
        <v>46</v>
      </c>
    </row>
    <row r="49" spans="1:14" x14ac:dyDescent="0.35">
      <c r="A49" s="10">
        <v>12</v>
      </c>
      <c r="B49" s="15">
        <v>37</v>
      </c>
      <c r="C49" s="15">
        <f t="shared" si="1"/>
        <v>3.5</v>
      </c>
      <c r="D49" s="15">
        <v>0.5</v>
      </c>
      <c r="E49" s="15">
        <v>2</v>
      </c>
      <c r="F49" s="20">
        <v>1</v>
      </c>
      <c r="G49" s="20">
        <v>1</v>
      </c>
      <c r="H49" s="15"/>
      <c r="I49" s="15"/>
      <c r="J49" s="15"/>
      <c r="K49" s="15">
        <v>5</v>
      </c>
      <c r="L49" s="18">
        <v>50</v>
      </c>
      <c r="M49" s="15" t="s">
        <v>53</v>
      </c>
      <c r="N49" s="15" t="s">
        <v>46</v>
      </c>
    </row>
    <row r="50" spans="1:14" x14ac:dyDescent="0.35">
      <c r="A50" s="10">
        <v>13</v>
      </c>
      <c r="B50" s="15" t="s">
        <v>5</v>
      </c>
      <c r="C50" s="15" t="s">
        <v>5</v>
      </c>
      <c r="D50" s="15" t="s">
        <v>5</v>
      </c>
      <c r="E50" s="15"/>
      <c r="F50" s="15" t="s">
        <v>5</v>
      </c>
      <c r="G50" s="15" t="s">
        <v>5</v>
      </c>
      <c r="H50" s="15" t="s">
        <v>5</v>
      </c>
      <c r="I50" s="15" t="s">
        <v>5</v>
      </c>
      <c r="J50" s="15" t="s">
        <v>5</v>
      </c>
      <c r="K50" s="15" t="s">
        <v>5</v>
      </c>
      <c r="L50" s="18" t="s">
        <v>8</v>
      </c>
      <c r="M50" s="15"/>
      <c r="N50" s="15"/>
    </row>
    <row r="51" spans="1:14" x14ac:dyDescent="0.3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35">
      <c r="A52" s="15" t="s">
        <v>68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35">
      <c r="A53" s="15" t="s">
        <v>69</v>
      </c>
      <c r="B53" s="15"/>
      <c r="C53" s="15"/>
      <c r="D53" s="15"/>
      <c r="E53" s="15"/>
      <c r="F53" s="15"/>
      <c r="G53" s="15"/>
      <c r="H53" s="15" t="s">
        <v>58</v>
      </c>
      <c r="I53" s="15"/>
      <c r="J53" s="15">
        <f>12*4*5</f>
        <v>240</v>
      </c>
      <c r="K53" s="15"/>
      <c r="L53" s="15"/>
      <c r="M53" s="15"/>
      <c r="N53" s="15"/>
    </row>
    <row r="54" spans="1:14" x14ac:dyDescent="0.35">
      <c r="A54" s="15" t="s">
        <v>70</v>
      </c>
      <c r="B54" s="15"/>
      <c r="C54" s="15"/>
      <c r="D54" s="15"/>
      <c r="E54" s="15"/>
      <c r="F54" s="15"/>
      <c r="G54" s="15"/>
      <c r="H54" s="15" t="s">
        <v>57</v>
      </c>
      <c r="I54" s="15"/>
      <c r="J54" s="15"/>
      <c r="K54" s="15"/>
      <c r="L54" s="15"/>
      <c r="M54" s="15"/>
      <c r="N54" s="15"/>
    </row>
    <row r="55" spans="1:14" x14ac:dyDescent="0.35">
      <c r="A55" s="15" t="s">
        <v>71</v>
      </c>
      <c r="B55" s="15"/>
      <c r="C55" s="15"/>
      <c r="D55" s="15"/>
      <c r="E55" s="15"/>
      <c r="F55" s="15"/>
      <c r="G55" s="15"/>
      <c r="H55" s="15" t="s">
        <v>54</v>
      </c>
      <c r="I55" s="15"/>
      <c r="J55" s="15"/>
      <c r="K55" s="15"/>
      <c r="L55" s="15"/>
      <c r="M55" s="15"/>
      <c r="N55" s="15"/>
    </row>
    <row r="56" spans="1:14" x14ac:dyDescent="0.35">
      <c r="A56" s="15" t="s">
        <v>35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35">
      <c r="A57" s="22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35">
      <c r="A58" s="22" t="s">
        <v>60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35">
      <c r="A59" s="23">
        <v>1</v>
      </c>
      <c r="B59" s="15" t="s">
        <v>63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x14ac:dyDescent="0.35">
      <c r="A60" s="23">
        <v>2</v>
      </c>
      <c r="B60" s="15" t="s">
        <v>62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35">
      <c r="A61" s="23">
        <v>3</v>
      </c>
      <c r="B61" s="15" t="s">
        <v>61</v>
      </c>
      <c r="C61" s="15"/>
      <c r="D61" s="15"/>
    </row>
    <row r="64" spans="1:14" ht="21" x14ac:dyDescent="0.35">
      <c r="A64" s="13" t="s">
        <v>94</v>
      </c>
      <c r="B64" s="14"/>
      <c r="C64" s="14"/>
      <c r="D64" s="14"/>
      <c r="E64" s="14"/>
      <c r="F64" s="14"/>
      <c r="G64" s="14"/>
      <c r="H64" s="14"/>
      <c r="I64" s="14"/>
      <c r="J64" s="14"/>
      <c r="K64" s="15"/>
      <c r="L64" s="15"/>
      <c r="M64" s="15"/>
      <c r="N64" s="15"/>
    </row>
    <row r="65" spans="1:24" x14ac:dyDescent="0.35">
      <c r="A65" s="26" t="s">
        <v>79</v>
      </c>
      <c r="B65" s="14"/>
      <c r="C65" s="14"/>
      <c r="D65" s="14"/>
      <c r="E65" s="14"/>
      <c r="F65" s="14"/>
      <c r="G65" s="14"/>
      <c r="H65" s="14"/>
      <c r="I65" s="14"/>
      <c r="J65" s="14"/>
      <c r="K65" s="15"/>
      <c r="L65" s="15"/>
      <c r="M65" s="15"/>
      <c r="N65" s="15"/>
    </row>
    <row r="66" spans="1:24" x14ac:dyDescent="0.35">
      <c r="A66" s="26" t="s">
        <v>77</v>
      </c>
      <c r="B66" s="42" t="s">
        <v>78</v>
      </c>
      <c r="C66" s="42"/>
      <c r="D66" s="43"/>
      <c r="E66" s="43"/>
      <c r="F66" s="43"/>
      <c r="G66" s="43"/>
      <c r="H66" s="43"/>
      <c r="I66" s="44"/>
      <c r="J66" s="14"/>
      <c r="K66" s="15"/>
      <c r="L66" s="15"/>
      <c r="M66" s="15"/>
      <c r="N66" s="15"/>
    </row>
    <row r="67" spans="1:24" x14ac:dyDescent="0.35">
      <c r="A67" s="24" t="s">
        <v>39</v>
      </c>
      <c r="B67" s="24" t="s">
        <v>84</v>
      </c>
      <c r="C67" s="14"/>
      <c r="D67" s="14"/>
      <c r="E67" s="14"/>
      <c r="F67" s="14"/>
      <c r="G67" s="14"/>
      <c r="H67" s="14"/>
      <c r="I67" s="14"/>
      <c r="J67" s="14"/>
      <c r="K67" s="15"/>
      <c r="L67" s="15"/>
      <c r="M67" s="15"/>
      <c r="N67" s="15"/>
    </row>
    <row r="68" spans="1:24" x14ac:dyDescent="0.35">
      <c r="A68" s="24" t="s">
        <v>49</v>
      </c>
      <c r="B68" s="24" t="s">
        <v>49</v>
      </c>
      <c r="C68" s="14"/>
      <c r="D68" s="14"/>
      <c r="E68" s="14"/>
      <c r="F68" s="14"/>
      <c r="G68" s="14"/>
      <c r="H68" s="14"/>
      <c r="I68" s="14"/>
      <c r="J68" s="14"/>
      <c r="K68" s="15"/>
      <c r="L68" s="15"/>
      <c r="M68" s="15"/>
      <c r="N68" s="15"/>
    </row>
    <row r="69" spans="1:24" x14ac:dyDescent="0.35">
      <c r="A69" s="24" t="s">
        <v>75</v>
      </c>
      <c r="B69" s="24" t="s">
        <v>111</v>
      </c>
      <c r="C69" s="14"/>
      <c r="D69" s="14"/>
      <c r="E69" s="14"/>
      <c r="F69" s="14"/>
      <c r="G69" s="14"/>
      <c r="H69" s="14"/>
      <c r="I69" s="14"/>
      <c r="J69" s="14"/>
      <c r="K69" s="15"/>
      <c r="L69" s="15"/>
      <c r="M69" s="15"/>
      <c r="N69" s="15"/>
    </row>
    <row r="70" spans="1:24" x14ac:dyDescent="0.35">
      <c r="A70" s="24" t="s">
        <v>75</v>
      </c>
      <c r="B70" s="24" t="s">
        <v>137</v>
      </c>
      <c r="C70" s="14"/>
      <c r="D70" s="14"/>
      <c r="E70" s="14"/>
      <c r="F70" s="14"/>
      <c r="G70" s="14"/>
      <c r="H70" s="14"/>
      <c r="I70" s="14"/>
      <c r="J70" s="14"/>
      <c r="K70" s="15"/>
      <c r="L70" s="15"/>
      <c r="M70" s="15"/>
      <c r="N70" s="15"/>
    </row>
    <row r="71" spans="1:24" x14ac:dyDescent="0.35">
      <c r="A71" s="24" t="s">
        <v>76</v>
      </c>
      <c r="B71" s="24" t="s">
        <v>112</v>
      </c>
      <c r="C71" s="14"/>
      <c r="D71" s="14"/>
      <c r="E71" s="14"/>
      <c r="F71" s="14"/>
      <c r="G71" s="14"/>
      <c r="H71" s="14"/>
      <c r="I71" s="14"/>
      <c r="J71" s="14"/>
      <c r="K71" s="15"/>
      <c r="L71" s="15"/>
      <c r="M71" s="15"/>
      <c r="N71" s="15"/>
    </row>
    <row r="72" spans="1:24" x14ac:dyDescent="0.35">
      <c r="A72" s="24" t="s">
        <v>72</v>
      </c>
      <c r="B72" s="24" t="s">
        <v>109</v>
      </c>
      <c r="C72" s="14"/>
      <c r="D72" s="14"/>
      <c r="E72" s="14"/>
      <c r="F72" s="14"/>
      <c r="G72" s="14"/>
      <c r="H72" s="14"/>
      <c r="I72" s="14" t="s">
        <v>110</v>
      </c>
      <c r="K72" s="15"/>
      <c r="L72" s="15"/>
      <c r="M72" s="15"/>
      <c r="N72" s="15"/>
    </row>
    <row r="73" spans="1:24" x14ac:dyDescent="0.35">
      <c r="A73" s="24" t="s">
        <v>80</v>
      </c>
      <c r="B73" s="14" t="s">
        <v>97</v>
      </c>
      <c r="C73" s="40" t="s">
        <v>103</v>
      </c>
      <c r="D73" s="14"/>
      <c r="F73" s="14"/>
      <c r="G73" s="14"/>
      <c r="H73" s="14"/>
      <c r="I73" s="14" t="s">
        <v>108</v>
      </c>
      <c r="K73" s="15"/>
      <c r="L73" s="15"/>
      <c r="M73" s="15"/>
      <c r="N73" s="15"/>
    </row>
    <row r="74" spans="1:24" ht="29" x14ac:dyDescent="0.35">
      <c r="A74" s="17" t="s">
        <v>96</v>
      </c>
      <c r="B74" s="33" t="s">
        <v>117</v>
      </c>
      <c r="C74" s="14" t="s">
        <v>100</v>
      </c>
      <c r="D74" s="40" t="s">
        <v>118</v>
      </c>
      <c r="F74" s="14"/>
      <c r="G74" s="14"/>
      <c r="H74" s="14"/>
      <c r="I74" s="14" t="s">
        <v>98</v>
      </c>
      <c r="K74" s="15"/>
      <c r="L74" s="15"/>
      <c r="M74" s="15"/>
      <c r="N74" s="15"/>
    </row>
    <row r="75" spans="1:24" ht="32" customHeight="1" x14ac:dyDescent="0.35">
      <c r="A75" s="17" t="s">
        <v>95</v>
      </c>
      <c r="B75" s="9" t="s">
        <v>121</v>
      </c>
      <c r="C75" s="41" t="s">
        <v>120</v>
      </c>
      <c r="D75" s="40" t="s">
        <v>119</v>
      </c>
      <c r="F75" s="14"/>
      <c r="G75" s="14"/>
      <c r="I75" s="14" t="s">
        <v>99</v>
      </c>
      <c r="K75" s="15"/>
      <c r="L75" s="15"/>
      <c r="M75" s="15"/>
      <c r="N75" s="15"/>
    </row>
    <row r="76" spans="1:24" x14ac:dyDescent="0.35">
      <c r="L76" s="15"/>
      <c r="M76" s="15"/>
      <c r="N76" s="15"/>
    </row>
    <row r="77" spans="1:24" x14ac:dyDescent="0.35">
      <c r="A77" s="17"/>
      <c r="B77" s="14"/>
      <c r="C77" s="14"/>
      <c r="D77" s="14"/>
      <c r="E77" s="14"/>
      <c r="F77" s="14"/>
      <c r="G77" s="14"/>
      <c r="H77" s="14"/>
      <c r="I77" s="14"/>
      <c r="J77" s="14"/>
      <c r="K77" s="15"/>
      <c r="L77" s="15"/>
      <c r="M77" s="15"/>
      <c r="N77" s="15"/>
    </row>
    <row r="78" spans="1:24" x14ac:dyDescent="0.35">
      <c r="A78" s="17"/>
      <c r="B78" s="14"/>
      <c r="C78" s="14"/>
      <c r="D78" s="14"/>
      <c r="E78" s="14"/>
      <c r="F78" s="14"/>
      <c r="G78" s="14"/>
      <c r="H78" s="14"/>
      <c r="I78" s="14"/>
      <c r="J78" s="14"/>
      <c r="K78" s="15"/>
      <c r="L78" s="15"/>
      <c r="M78" s="15"/>
      <c r="N78" s="15"/>
    </row>
    <row r="79" spans="1:24" ht="56.5" customHeight="1" x14ac:dyDescent="0.35">
      <c r="A79" s="34" t="s">
        <v>73</v>
      </c>
      <c r="B79" s="16">
        <v>1</v>
      </c>
      <c r="C79" s="16">
        <v>2</v>
      </c>
      <c r="D79" s="16">
        <v>3</v>
      </c>
      <c r="E79" s="16">
        <v>4</v>
      </c>
      <c r="F79" s="16">
        <v>5</v>
      </c>
      <c r="G79" s="16">
        <v>6</v>
      </c>
      <c r="H79" s="16" t="s">
        <v>116</v>
      </c>
      <c r="I79" s="17"/>
      <c r="J79" s="17"/>
      <c r="K79" s="17"/>
      <c r="M79" s="26" t="s">
        <v>113</v>
      </c>
    </row>
    <row r="80" spans="1:24" ht="44" thickBot="1" x14ac:dyDescent="0.4">
      <c r="A80" s="31" t="s">
        <v>7</v>
      </c>
      <c r="B80" s="32" t="s">
        <v>39</v>
      </c>
      <c r="C80" s="32" t="s">
        <v>49</v>
      </c>
      <c r="D80" s="32" t="s">
        <v>82</v>
      </c>
      <c r="E80" s="32" t="s">
        <v>101</v>
      </c>
      <c r="F80" s="32" t="s">
        <v>102</v>
      </c>
      <c r="G80" s="32" t="s">
        <v>74</v>
      </c>
      <c r="H80" s="32" t="s">
        <v>72</v>
      </c>
      <c r="I80" s="5" t="s">
        <v>6</v>
      </c>
      <c r="J80" s="5" t="s">
        <v>78</v>
      </c>
      <c r="K80" s="5" t="s">
        <v>17</v>
      </c>
      <c r="L80" s="39"/>
      <c r="N80" s="1" t="str">
        <f>B80</f>
        <v>buffer</v>
      </c>
      <c r="O80" s="1" t="str">
        <f>C80</f>
        <v>water</v>
      </c>
      <c r="P80" s="1" t="str">
        <f t="shared" ref="P80:W80" si="2">D80</f>
        <v>guide RNA</v>
      </c>
      <c r="Q80" s="1" t="str">
        <f t="shared" si="2"/>
        <v>positive target RNA</v>
      </c>
      <c r="R80" s="1" t="str">
        <f t="shared" si="2"/>
        <v>negative target RNA</v>
      </c>
      <c r="S80" s="1" t="str">
        <f t="shared" si="2"/>
        <v>Cas13</v>
      </c>
      <c r="T80" s="1" t="str">
        <f t="shared" si="2"/>
        <v>substrate</v>
      </c>
      <c r="U80" s="1" t="str">
        <f t="shared" si="2"/>
        <v>total</v>
      </c>
      <c r="V80" s="1" t="str">
        <f t="shared" si="2"/>
        <v>details</v>
      </c>
      <c r="W80" s="1" t="str">
        <f t="shared" si="2"/>
        <v>notes</v>
      </c>
      <c r="X80" s="1"/>
    </row>
    <row r="81" spans="1:23" ht="15" thickTop="1" x14ac:dyDescent="0.35">
      <c r="A81" s="30">
        <v>1</v>
      </c>
      <c r="B81" s="15">
        <v>2.5</v>
      </c>
      <c r="C81" s="29">
        <f t="shared" ref="C81:C87" si="3">I81-B81-SUM(D81:H81)</f>
        <v>34</v>
      </c>
      <c r="D81" s="28">
        <v>1</v>
      </c>
      <c r="E81" s="28">
        <v>2.5</v>
      </c>
      <c r="G81" s="28">
        <v>5</v>
      </c>
      <c r="H81" s="15">
        <v>5</v>
      </c>
      <c r="I81" s="18">
        <v>50</v>
      </c>
      <c r="J81" s="25" t="s">
        <v>83</v>
      </c>
      <c r="K81" s="15" t="s">
        <v>18</v>
      </c>
      <c r="L81" s="15"/>
      <c r="M81">
        <v>1</v>
      </c>
      <c r="N81">
        <f>B81*4*1.15</f>
        <v>11.5</v>
      </c>
      <c r="O81">
        <f t="shared" ref="O81:U87" si="4">C81*4*1.15</f>
        <v>156.39999999999998</v>
      </c>
      <c r="P81">
        <f t="shared" si="4"/>
        <v>4.5999999999999996</v>
      </c>
      <c r="Q81">
        <f t="shared" si="4"/>
        <v>11.5</v>
      </c>
      <c r="R81">
        <f t="shared" si="4"/>
        <v>0</v>
      </c>
      <c r="S81">
        <f t="shared" si="4"/>
        <v>23</v>
      </c>
      <c r="T81">
        <f t="shared" si="4"/>
        <v>23</v>
      </c>
      <c r="U81">
        <f t="shared" si="4"/>
        <v>229.99999999999997</v>
      </c>
      <c r="V81" t="str">
        <f>J81</f>
        <v>Cas 1x</v>
      </c>
      <c r="W81" t="str">
        <f>K81</f>
        <v>pos ctrl</v>
      </c>
    </row>
    <row r="82" spans="1:23" x14ac:dyDescent="0.35">
      <c r="A82" s="30">
        <v>2</v>
      </c>
      <c r="B82" s="15">
        <v>2.5</v>
      </c>
      <c r="C82" s="29">
        <f t="shared" si="3"/>
        <v>34</v>
      </c>
      <c r="D82" s="28">
        <v>1</v>
      </c>
      <c r="E82" s="28">
        <v>2.5</v>
      </c>
      <c r="G82" s="28">
        <v>5</v>
      </c>
      <c r="H82" s="15">
        <v>5</v>
      </c>
      <c r="I82" s="18">
        <v>50</v>
      </c>
      <c r="J82" s="25" t="s">
        <v>104</v>
      </c>
      <c r="K82" s="15" t="s">
        <v>18</v>
      </c>
      <c r="L82" s="15"/>
      <c r="M82">
        <v>2</v>
      </c>
      <c r="N82">
        <f t="shared" ref="N82:N87" si="5">B82*4*1.15</f>
        <v>11.5</v>
      </c>
      <c r="O82">
        <f t="shared" si="4"/>
        <v>156.39999999999998</v>
      </c>
      <c r="P82">
        <f t="shared" si="4"/>
        <v>4.5999999999999996</v>
      </c>
      <c r="Q82">
        <f t="shared" si="4"/>
        <v>11.5</v>
      </c>
      <c r="R82">
        <f t="shared" si="4"/>
        <v>0</v>
      </c>
      <c r="S82">
        <f t="shared" si="4"/>
        <v>23</v>
      </c>
      <c r="T82">
        <f t="shared" si="4"/>
        <v>23</v>
      </c>
      <c r="U82">
        <f t="shared" si="4"/>
        <v>229.99999999999997</v>
      </c>
      <c r="V82" t="str">
        <f t="shared" ref="V82:V87" si="6">J82</f>
        <v>Cas 2x</v>
      </c>
      <c r="W82" t="str">
        <f t="shared" ref="W82:W87" si="7">K82</f>
        <v>pos ctrl</v>
      </c>
    </row>
    <row r="83" spans="1:23" x14ac:dyDescent="0.35">
      <c r="A83" s="30">
        <v>3</v>
      </c>
      <c r="B83" s="15">
        <v>2.5</v>
      </c>
      <c r="C83" s="29">
        <f t="shared" si="3"/>
        <v>34</v>
      </c>
      <c r="D83">
        <v>1</v>
      </c>
      <c r="E83" s="28"/>
      <c r="F83">
        <v>2.5</v>
      </c>
      <c r="G83">
        <v>5</v>
      </c>
      <c r="H83">
        <v>5</v>
      </c>
      <c r="I83" s="18">
        <v>50</v>
      </c>
      <c r="J83" s="38" t="s">
        <v>114</v>
      </c>
      <c r="K83" t="s">
        <v>27</v>
      </c>
      <c r="M83">
        <v>3</v>
      </c>
      <c r="N83">
        <f t="shared" si="5"/>
        <v>11.5</v>
      </c>
      <c r="O83">
        <f t="shared" si="4"/>
        <v>156.39999999999998</v>
      </c>
      <c r="P83">
        <f t="shared" si="4"/>
        <v>4.5999999999999996</v>
      </c>
      <c r="Q83">
        <f t="shared" si="4"/>
        <v>0</v>
      </c>
      <c r="R83">
        <f t="shared" si="4"/>
        <v>11.5</v>
      </c>
      <c r="S83">
        <f t="shared" si="4"/>
        <v>23</v>
      </c>
      <c r="T83">
        <f t="shared" si="4"/>
        <v>23</v>
      </c>
      <c r="U83">
        <f t="shared" si="4"/>
        <v>229.99999999999997</v>
      </c>
      <c r="V83" t="str">
        <f t="shared" si="6"/>
        <v>neg target 2.5E5</v>
      </c>
      <c r="W83" t="str">
        <f t="shared" si="7"/>
        <v>neg ctrl</v>
      </c>
    </row>
    <row r="84" spans="1:23" x14ac:dyDescent="0.35">
      <c r="A84" s="30">
        <v>4</v>
      </c>
      <c r="B84" s="15">
        <v>2.5</v>
      </c>
      <c r="C84" s="29">
        <f t="shared" si="3"/>
        <v>35</v>
      </c>
      <c r="E84">
        <v>2.5</v>
      </c>
      <c r="G84">
        <v>5</v>
      </c>
      <c r="H84">
        <v>5</v>
      </c>
      <c r="I84" s="18">
        <v>50</v>
      </c>
      <c r="J84" s="38" t="s">
        <v>107</v>
      </c>
      <c r="K84" t="s">
        <v>27</v>
      </c>
      <c r="M84">
        <v>4</v>
      </c>
      <c r="N84">
        <f t="shared" si="5"/>
        <v>11.5</v>
      </c>
      <c r="O84">
        <f t="shared" si="4"/>
        <v>161</v>
      </c>
      <c r="P84">
        <f t="shared" si="4"/>
        <v>0</v>
      </c>
      <c r="Q84">
        <f t="shared" si="4"/>
        <v>11.5</v>
      </c>
      <c r="R84">
        <f t="shared" si="4"/>
        <v>0</v>
      </c>
      <c r="S84">
        <f t="shared" si="4"/>
        <v>23</v>
      </c>
      <c r="T84">
        <f t="shared" si="4"/>
        <v>23</v>
      </c>
      <c r="U84">
        <f t="shared" si="4"/>
        <v>229.99999999999997</v>
      </c>
      <c r="V84" t="str">
        <f t="shared" si="6"/>
        <v>no guide</v>
      </c>
      <c r="W84" t="str">
        <f t="shared" si="7"/>
        <v>neg ctrl</v>
      </c>
    </row>
    <row r="85" spans="1:23" x14ac:dyDescent="0.35">
      <c r="A85" s="30">
        <v>5</v>
      </c>
      <c r="B85" s="15">
        <v>2.5</v>
      </c>
      <c r="C85" s="29">
        <f t="shared" si="3"/>
        <v>36.5</v>
      </c>
      <c r="D85">
        <v>1</v>
      </c>
      <c r="E85" s="28"/>
      <c r="F85" s="28"/>
      <c r="G85">
        <v>5</v>
      </c>
      <c r="H85">
        <v>5</v>
      </c>
      <c r="I85" s="18">
        <v>50</v>
      </c>
      <c r="J85" s="38" t="s">
        <v>105</v>
      </c>
      <c r="K85" t="s">
        <v>27</v>
      </c>
      <c r="M85">
        <v>5</v>
      </c>
      <c r="N85">
        <f t="shared" si="5"/>
        <v>11.5</v>
      </c>
      <c r="O85">
        <f t="shared" si="4"/>
        <v>167.89999999999998</v>
      </c>
      <c r="P85">
        <f t="shared" si="4"/>
        <v>4.5999999999999996</v>
      </c>
      <c r="Q85">
        <f t="shared" si="4"/>
        <v>0</v>
      </c>
      <c r="R85">
        <f t="shared" si="4"/>
        <v>0</v>
      </c>
      <c r="S85">
        <f t="shared" si="4"/>
        <v>23</v>
      </c>
      <c r="T85">
        <f t="shared" si="4"/>
        <v>23</v>
      </c>
      <c r="U85">
        <f t="shared" si="4"/>
        <v>229.99999999999997</v>
      </c>
      <c r="V85" t="str">
        <f t="shared" si="6"/>
        <v>no target</v>
      </c>
      <c r="W85" t="str">
        <f t="shared" si="7"/>
        <v>neg ctrl</v>
      </c>
    </row>
    <row r="86" spans="1:23" x14ac:dyDescent="0.35">
      <c r="A86" s="30">
        <v>6</v>
      </c>
      <c r="B86" s="28">
        <v>2.5</v>
      </c>
      <c r="C86" s="29">
        <f t="shared" si="3"/>
        <v>39</v>
      </c>
      <c r="D86">
        <v>1</v>
      </c>
      <c r="E86">
        <v>2.5</v>
      </c>
      <c r="F86" s="28"/>
      <c r="G86" s="28"/>
      <c r="H86" s="15">
        <v>5</v>
      </c>
      <c r="I86" s="18">
        <v>50</v>
      </c>
      <c r="J86" s="38" t="s">
        <v>106</v>
      </c>
      <c r="K86" t="s">
        <v>27</v>
      </c>
      <c r="M86">
        <v>6</v>
      </c>
      <c r="N86">
        <f t="shared" si="5"/>
        <v>11.5</v>
      </c>
      <c r="O86">
        <f t="shared" si="4"/>
        <v>179.39999999999998</v>
      </c>
      <c r="P86">
        <f t="shared" si="4"/>
        <v>4.5999999999999996</v>
      </c>
      <c r="Q86">
        <f t="shared" si="4"/>
        <v>11.5</v>
      </c>
      <c r="R86">
        <f t="shared" si="4"/>
        <v>0</v>
      </c>
      <c r="S86">
        <f t="shared" si="4"/>
        <v>0</v>
      </c>
      <c r="T86">
        <f t="shared" si="4"/>
        <v>23</v>
      </c>
      <c r="U86">
        <f t="shared" si="4"/>
        <v>229.99999999999997</v>
      </c>
      <c r="V86" t="str">
        <f t="shared" si="6"/>
        <v>no Cas</v>
      </c>
      <c r="W86" t="str">
        <f t="shared" si="7"/>
        <v>neg ctrl</v>
      </c>
    </row>
    <row r="87" spans="1:23" x14ac:dyDescent="0.35">
      <c r="A87" s="30">
        <v>7</v>
      </c>
      <c r="B87" s="15">
        <v>2.5</v>
      </c>
      <c r="C87" s="29">
        <f t="shared" si="3"/>
        <v>34</v>
      </c>
      <c r="D87">
        <v>1</v>
      </c>
      <c r="E87" s="28"/>
      <c r="F87">
        <v>2.5</v>
      </c>
      <c r="G87">
        <v>5</v>
      </c>
      <c r="H87">
        <v>5</v>
      </c>
      <c r="I87" s="18">
        <v>50</v>
      </c>
      <c r="J87" s="38" t="s">
        <v>115</v>
      </c>
      <c r="K87" t="s">
        <v>27</v>
      </c>
      <c r="M87">
        <v>7</v>
      </c>
      <c r="N87">
        <f t="shared" si="5"/>
        <v>11.5</v>
      </c>
      <c r="O87">
        <f t="shared" si="4"/>
        <v>156.39999999999998</v>
      </c>
      <c r="P87">
        <f t="shared" si="4"/>
        <v>4.5999999999999996</v>
      </c>
      <c r="Q87">
        <f t="shared" si="4"/>
        <v>0</v>
      </c>
      <c r="R87">
        <f t="shared" si="4"/>
        <v>11.5</v>
      </c>
      <c r="S87">
        <f t="shared" si="4"/>
        <v>23</v>
      </c>
      <c r="T87">
        <f t="shared" si="4"/>
        <v>23</v>
      </c>
      <c r="U87">
        <f t="shared" si="4"/>
        <v>229.99999999999997</v>
      </c>
      <c r="V87" t="str">
        <f t="shared" si="6"/>
        <v>neg target 2.5E8</v>
      </c>
      <c r="W87" t="str">
        <f t="shared" si="7"/>
        <v>neg ctrl</v>
      </c>
    </row>
    <row r="88" spans="1:23" x14ac:dyDescent="0.35">
      <c r="A88" s="36"/>
      <c r="B88" s="28"/>
      <c r="C88" s="28"/>
      <c r="D88" s="28"/>
      <c r="E88" s="28"/>
      <c r="F88" s="28"/>
      <c r="G88" s="28"/>
      <c r="H88" s="28"/>
      <c r="J88" s="28"/>
      <c r="K88" s="28"/>
      <c r="L88" s="28"/>
      <c r="M88" s="28"/>
      <c r="N88" s="28"/>
      <c r="O88" s="28"/>
      <c r="P88" s="28"/>
    </row>
    <row r="89" spans="1:23" x14ac:dyDescent="0.35">
      <c r="A89" s="36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35"/>
      <c r="P89" s="28"/>
      <c r="Q89" s="15"/>
    </row>
    <row r="90" spans="1:23" x14ac:dyDescent="0.35">
      <c r="A90" s="26" t="s">
        <v>81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spans="1:23" x14ac:dyDescent="0.35">
      <c r="A91" s="27">
        <v>1</v>
      </c>
      <c r="B91" s="15" t="s">
        <v>68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spans="1:23" x14ac:dyDescent="0.35">
      <c r="A92" s="27">
        <v>2</v>
      </c>
      <c r="B92" s="15" t="s">
        <v>122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spans="1:23" x14ac:dyDescent="0.35">
      <c r="A93" s="27">
        <v>3</v>
      </c>
      <c r="B93" s="15" t="s">
        <v>85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spans="1:23" x14ac:dyDescent="0.35">
      <c r="A94" s="27">
        <v>4</v>
      </c>
      <c r="B94" s="15" t="s">
        <v>86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spans="1:23" x14ac:dyDescent="0.35">
      <c r="A95" s="27">
        <v>5</v>
      </c>
      <c r="B95" s="15" t="s">
        <v>35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spans="1:23" x14ac:dyDescent="0.35">
      <c r="A96" s="22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spans="1:14" x14ac:dyDescent="0.35">
      <c r="A97" s="22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1:14" ht="21" x14ac:dyDescent="0.35">
      <c r="A98" s="13" t="s">
        <v>123</v>
      </c>
      <c r="B98" s="14"/>
      <c r="C98" s="14"/>
      <c r="D98" s="14"/>
      <c r="E98" s="14"/>
      <c r="F98" s="14"/>
      <c r="G98" s="14"/>
      <c r="H98" s="14"/>
      <c r="I98" s="14"/>
      <c r="J98" s="14"/>
      <c r="K98" s="15"/>
      <c r="L98" s="15"/>
      <c r="M98" s="15"/>
      <c r="N98" s="15"/>
    </row>
    <row r="99" spans="1:14" ht="15.5" x14ac:dyDescent="0.35">
      <c r="A99" s="50" t="s">
        <v>145</v>
      </c>
      <c r="B99" s="14"/>
      <c r="C99" s="14"/>
      <c r="D99" s="14"/>
      <c r="E99" s="14"/>
      <c r="F99" s="14"/>
      <c r="G99" s="14"/>
      <c r="H99" s="14"/>
      <c r="I99" s="14"/>
      <c r="J99" s="14"/>
      <c r="K99" s="15"/>
      <c r="L99" s="15"/>
      <c r="M99" s="15"/>
      <c r="N99" s="15"/>
    </row>
    <row r="100" spans="1:14" ht="15.5" x14ac:dyDescent="0.35">
      <c r="A100" s="46" t="s">
        <v>129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5"/>
      <c r="L100" s="15"/>
      <c r="M100" s="15"/>
      <c r="N100" s="15"/>
    </row>
    <row r="101" spans="1:14" ht="15.5" x14ac:dyDescent="0.35">
      <c r="A101" s="47" t="s">
        <v>124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5"/>
      <c r="L101" s="15"/>
      <c r="M101" s="15"/>
      <c r="N101" s="15"/>
    </row>
    <row r="102" spans="1:14" ht="15.5" x14ac:dyDescent="0.35">
      <c r="A102" s="47" t="s">
        <v>125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5"/>
      <c r="L102" s="15"/>
      <c r="M102" s="15"/>
      <c r="N102" s="15"/>
    </row>
    <row r="103" spans="1:14" ht="15.5" x14ac:dyDescent="0.35">
      <c r="A103" s="47" t="s">
        <v>126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5"/>
      <c r="L103" s="15"/>
      <c r="M103" s="15"/>
      <c r="N103" s="15"/>
    </row>
    <row r="104" spans="1:14" ht="15.5" x14ac:dyDescent="0.35">
      <c r="A104" s="47" t="s">
        <v>127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5"/>
      <c r="L104" s="15"/>
      <c r="M104" s="15"/>
      <c r="N104" s="15"/>
    </row>
    <row r="105" spans="1:14" ht="15.5" x14ac:dyDescent="0.35">
      <c r="A105" s="47" t="s">
        <v>128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5"/>
      <c r="L105" s="15"/>
      <c r="M105" s="15"/>
      <c r="N105" s="15"/>
    </row>
    <row r="106" spans="1:14" ht="15.5" x14ac:dyDescent="0.35">
      <c r="A106" s="47" t="s">
        <v>130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5"/>
      <c r="L106" s="15"/>
      <c r="M106" s="15"/>
      <c r="N106" s="15"/>
    </row>
    <row r="107" spans="1:14" ht="15.5" x14ac:dyDescent="0.35">
      <c r="A107" s="45"/>
      <c r="B107" s="14"/>
      <c r="C107" s="14"/>
      <c r="D107" s="14"/>
      <c r="E107" s="14"/>
      <c r="F107" s="14"/>
      <c r="G107" s="14"/>
      <c r="H107" s="14"/>
      <c r="I107" s="14"/>
      <c r="J107" s="14"/>
      <c r="K107" s="15"/>
      <c r="L107" s="15"/>
      <c r="M107" s="15"/>
      <c r="N107" s="15"/>
    </row>
    <row r="108" spans="1:14" x14ac:dyDescent="0.35">
      <c r="A108" s="26" t="s">
        <v>79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5"/>
      <c r="L108" s="15"/>
      <c r="M108" s="15"/>
      <c r="N108" s="15"/>
    </row>
    <row r="109" spans="1:14" x14ac:dyDescent="0.35">
      <c r="A109" s="26" t="s">
        <v>77</v>
      </c>
      <c r="B109" s="42" t="s">
        <v>78</v>
      </c>
      <c r="C109" s="42"/>
      <c r="D109" s="43"/>
      <c r="E109" s="43"/>
      <c r="F109" s="43"/>
      <c r="G109" s="43"/>
      <c r="H109" s="43"/>
      <c r="I109" s="44"/>
      <c r="J109" s="14"/>
      <c r="K109" s="15"/>
      <c r="L109" s="15"/>
      <c r="M109" s="15"/>
      <c r="N109" s="15"/>
    </row>
    <row r="110" spans="1:14" x14ac:dyDescent="0.35">
      <c r="A110" s="24" t="s">
        <v>39</v>
      </c>
      <c r="B110" s="24" t="s">
        <v>84</v>
      </c>
      <c r="C110" s="14"/>
      <c r="D110" s="14"/>
      <c r="E110" s="14"/>
      <c r="F110" s="14"/>
      <c r="G110" s="14"/>
      <c r="H110" s="14"/>
      <c r="I110" s="14"/>
      <c r="J110" s="14"/>
      <c r="K110" s="15"/>
      <c r="L110" s="15"/>
      <c r="M110" s="15"/>
      <c r="N110" s="15"/>
    </row>
    <row r="111" spans="1:14" x14ac:dyDescent="0.35">
      <c r="A111" s="24" t="s">
        <v>49</v>
      </c>
      <c r="B111" s="24" t="s">
        <v>49</v>
      </c>
      <c r="C111" s="14"/>
      <c r="D111" s="14"/>
      <c r="E111" s="14"/>
      <c r="F111" s="14"/>
      <c r="G111" s="14"/>
      <c r="H111" s="14"/>
      <c r="I111" s="14"/>
      <c r="J111" s="14"/>
      <c r="K111" s="15"/>
      <c r="L111" s="15"/>
      <c r="M111" s="15"/>
      <c r="N111" s="15"/>
    </row>
    <row r="112" spans="1:14" x14ac:dyDescent="0.35">
      <c r="A112" s="24" t="s">
        <v>75</v>
      </c>
      <c r="B112" s="24" t="s">
        <v>111</v>
      </c>
      <c r="C112" s="14"/>
      <c r="D112" s="14"/>
      <c r="E112" s="14"/>
      <c r="F112" s="14"/>
      <c r="G112" s="14"/>
      <c r="H112" s="14"/>
      <c r="I112" s="14"/>
      <c r="J112" s="14"/>
      <c r="K112" s="15"/>
      <c r="L112" s="15"/>
      <c r="M112" s="15"/>
      <c r="N112" s="15"/>
    </row>
    <row r="113" spans="1:25" x14ac:dyDescent="0.35">
      <c r="A113" s="24" t="s">
        <v>76</v>
      </c>
      <c r="B113" s="24" t="s">
        <v>112</v>
      </c>
      <c r="C113" s="14"/>
      <c r="D113" s="14"/>
      <c r="E113" s="14"/>
      <c r="F113" s="14"/>
      <c r="G113" s="14"/>
      <c r="H113" s="14"/>
      <c r="I113" s="14"/>
      <c r="J113" s="14"/>
      <c r="K113" s="15"/>
      <c r="L113" s="15"/>
      <c r="M113" s="15"/>
      <c r="N113" s="15"/>
    </row>
    <row r="114" spans="1:25" x14ac:dyDescent="0.35">
      <c r="A114" s="24" t="s">
        <v>72</v>
      </c>
      <c r="B114" s="24" t="s">
        <v>144</v>
      </c>
      <c r="C114" s="14"/>
      <c r="D114" s="14"/>
      <c r="E114" s="14"/>
      <c r="F114" s="14"/>
      <c r="G114" s="14"/>
      <c r="H114" s="14"/>
      <c r="I114" s="14" t="s">
        <v>110</v>
      </c>
      <c r="K114" s="15"/>
      <c r="L114" s="15"/>
      <c r="M114" s="15"/>
      <c r="N114" s="15"/>
    </row>
    <row r="115" spans="1:25" x14ac:dyDescent="0.35">
      <c r="A115" s="24" t="s">
        <v>80</v>
      </c>
      <c r="B115" s="14" t="s">
        <v>97</v>
      </c>
      <c r="C115" s="40" t="s">
        <v>103</v>
      </c>
      <c r="D115" s="14"/>
      <c r="F115" s="14"/>
      <c r="G115" s="14"/>
      <c r="H115" s="14"/>
      <c r="I115" s="14" t="s">
        <v>108</v>
      </c>
      <c r="K115" s="15"/>
      <c r="L115" s="15"/>
      <c r="M115" s="15"/>
      <c r="N115" s="15"/>
    </row>
    <row r="116" spans="1:25" ht="29" x14ac:dyDescent="0.35">
      <c r="A116" s="17" t="s">
        <v>96</v>
      </c>
      <c r="B116" s="33" t="s">
        <v>117</v>
      </c>
      <c r="C116" s="14" t="s">
        <v>100</v>
      </c>
      <c r="D116" s="40" t="s">
        <v>118</v>
      </c>
      <c r="F116" s="14"/>
      <c r="G116" s="14"/>
      <c r="H116" s="14"/>
      <c r="I116" s="14" t="s">
        <v>98</v>
      </c>
      <c r="K116" s="15"/>
      <c r="L116" s="15"/>
      <c r="M116" s="15"/>
      <c r="N116" s="15"/>
    </row>
    <row r="117" spans="1:25" ht="72.5" x14ac:dyDescent="0.35">
      <c r="A117" s="17" t="s">
        <v>95</v>
      </c>
      <c r="B117" s="9" t="s">
        <v>121</v>
      </c>
      <c r="C117" s="41" t="s">
        <v>120</v>
      </c>
      <c r="D117" s="40" t="s">
        <v>119</v>
      </c>
      <c r="F117" s="14"/>
      <c r="G117" s="14"/>
      <c r="I117" s="14" t="s">
        <v>99</v>
      </c>
      <c r="K117" s="15"/>
      <c r="L117" s="15"/>
      <c r="M117" s="15"/>
      <c r="N117" s="15"/>
    </row>
    <row r="118" spans="1:25" ht="29" x14ac:dyDescent="0.35">
      <c r="A118" s="17" t="s">
        <v>131</v>
      </c>
      <c r="B118" t="s">
        <v>132</v>
      </c>
      <c r="L118" s="15"/>
      <c r="M118" s="15"/>
      <c r="N118" s="15"/>
    </row>
    <row r="119" spans="1:25" x14ac:dyDescent="0.35">
      <c r="A119" s="17"/>
      <c r="B119" s="14"/>
      <c r="C119" s="14"/>
      <c r="D119" s="14"/>
      <c r="E119" s="14"/>
      <c r="F119" s="14"/>
      <c r="G119" s="14"/>
      <c r="H119" s="14"/>
      <c r="I119" s="14"/>
      <c r="J119" s="14"/>
      <c r="K119" s="15"/>
      <c r="L119" s="15"/>
      <c r="M119" s="15"/>
      <c r="N119" s="15"/>
    </row>
    <row r="120" spans="1:25" x14ac:dyDescent="0.35">
      <c r="A120" s="17"/>
      <c r="B120" s="14"/>
      <c r="C120" s="14"/>
      <c r="D120" s="14"/>
      <c r="E120" s="14"/>
      <c r="F120" s="14"/>
      <c r="G120" s="14"/>
      <c r="H120" s="14"/>
      <c r="I120" s="14"/>
      <c r="J120" s="14"/>
      <c r="K120" s="15"/>
      <c r="L120" s="15"/>
      <c r="M120" s="15"/>
      <c r="N120" s="26" t="s">
        <v>113</v>
      </c>
    </row>
    <row r="121" spans="1:25" ht="29" x14ac:dyDescent="0.35">
      <c r="A121" s="34" t="s">
        <v>73</v>
      </c>
      <c r="B121" s="48" t="s">
        <v>135</v>
      </c>
      <c r="C121" s="48" t="s">
        <v>135</v>
      </c>
      <c r="D121" s="48" t="s">
        <v>135</v>
      </c>
      <c r="E121" s="48" t="s">
        <v>135</v>
      </c>
      <c r="F121" s="48" t="s">
        <v>135</v>
      </c>
      <c r="G121" s="49" t="s">
        <v>134</v>
      </c>
      <c r="H121" s="49" t="s">
        <v>134</v>
      </c>
      <c r="I121" s="49" t="s">
        <v>134</v>
      </c>
      <c r="J121" s="17"/>
      <c r="K121" s="17"/>
      <c r="L121" s="17"/>
      <c r="O121" s="48" t="s">
        <v>135</v>
      </c>
      <c r="P121" s="48" t="s">
        <v>135</v>
      </c>
      <c r="Q121" s="48" t="s">
        <v>135</v>
      </c>
      <c r="R121" s="48" t="s">
        <v>135</v>
      </c>
      <c r="S121" s="48" t="s">
        <v>135</v>
      </c>
      <c r="T121" s="49" t="s">
        <v>134</v>
      </c>
      <c r="U121" s="49" t="s">
        <v>134</v>
      </c>
      <c r="V121" s="49" t="s">
        <v>134</v>
      </c>
    </row>
    <row r="122" spans="1:25" ht="58.5" thickBot="1" x14ac:dyDescent="0.4">
      <c r="A122" s="31" t="s">
        <v>7</v>
      </c>
      <c r="B122" s="32" t="s">
        <v>39</v>
      </c>
      <c r="C122" s="32" t="s">
        <v>49</v>
      </c>
      <c r="D122" s="32" t="s">
        <v>82</v>
      </c>
      <c r="E122" s="32" t="s">
        <v>74</v>
      </c>
      <c r="F122" s="32" t="s">
        <v>29</v>
      </c>
      <c r="G122" s="32" t="s">
        <v>101</v>
      </c>
      <c r="H122" s="32" t="s">
        <v>102</v>
      </c>
      <c r="I122" s="32" t="s">
        <v>72</v>
      </c>
      <c r="J122" s="5" t="s">
        <v>6</v>
      </c>
      <c r="K122" s="5" t="s">
        <v>78</v>
      </c>
      <c r="L122" s="5" t="s">
        <v>17</v>
      </c>
      <c r="M122" s="39"/>
      <c r="O122" s="32" t="s">
        <v>39</v>
      </c>
      <c r="P122" s="32" t="s">
        <v>49</v>
      </c>
      <c r="Q122" s="32" t="s">
        <v>82</v>
      </c>
      <c r="R122" s="32" t="s">
        <v>74</v>
      </c>
      <c r="S122" s="32" t="s">
        <v>29</v>
      </c>
      <c r="T122" s="32" t="s">
        <v>101</v>
      </c>
      <c r="U122" s="32" t="s">
        <v>102</v>
      </c>
      <c r="V122" s="32" t="s">
        <v>72</v>
      </c>
      <c r="W122" s="1" t="str">
        <f t="shared" ref="W122" si="8">K122</f>
        <v>details</v>
      </c>
      <c r="X122" s="1" t="str">
        <f t="shared" ref="X122" si="9">L122</f>
        <v>notes</v>
      </c>
    </row>
    <row r="123" spans="1:25" ht="15" thickTop="1" x14ac:dyDescent="0.35">
      <c r="A123" s="30">
        <v>1</v>
      </c>
      <c r="B123" s="15">
        <v>2.5</v>
      </c>
      <c r="C123" s="29">
        <f t="shared" ref="C123:C130" si="10">J123-B123-SUM(D123:I123)</f>
        <v>32.5</v>
      </c>
      <c r="D123" s="28">
        <v>2.5</v>
      </c>
      <c r="E123" s="28">
        <v>5</v>
      </c>
      <c r="F123" s="28"/>
      <c r="G123" s="28">
        <v>2.5</v>
      </c>
      <c r="I123" s="15">
        <v>5</v>
      </c>
      <c r="J123" s="18">
        <v>50</v>
      </c>
      <c r="K123" s="25" t="s">
        <v>138</v>
      </c>
      <c r="L123" s="15" t="s">
        <v>18</v>
      </c>
      <c r="M123" s="15"/>
      <c r="N123">
        <v>1</v>
      </c>
      <c r="O123">
        <f>B123*4*1.15</f>
        <v>11.5</v>
      </c>
      <c r="P123">
        <f t="shared" ref="P123:W130" si="11">C123*4*1.15</f>
        <v>149.5</v>
      </c>
      <c r="Q123">
        <f t="shared" si="11"/>
        <v>11.5</v>
      </c>
      <c r="R123">
        <f t="shared" si="11"/>
        <v>23</v>
      </c>
      <c r="S123">
        <f t="shared" si="11"/>
        <v>0</v>
      </c>
      <c r="T123">
        <f t="shared" si="11"/>
        <v>11.5</v>
      </c>
      <c r="U123">
        <f t="shared" si="11"/>
        <v>0</v>
      </c>
      <c r="V123">
        <f t="shared" si="11"/>
        <v>23</v>
      </c>
      <c r="W123">
        <f t="shared" si="11"/>
        <v>229.99999999999997</v>
      </c>
      <c r="X123" t="str">
        <f>K123</f>
        <v>Cas 10x=&gt;1x</v>
      </c>
      <c r="Y123" t="str">
        <f>L123</f>
        <v>pos ctrl</v>
      </c>
    </row>
    <row r="124" spans="1:25" x14ac:dyDescent="0.35">
      <c r="A124" s="30">
        <v>2</v>
      </c>
      <c r="B124" s="15">
        <v>2.5</v>
      </c>
      <c r="C124" s="29">
        <f t="shared" si="10"/>
        <v>25</v>
      </c>
      <c r="D124" s="28">
        <v>2.5</v>
      </c>
      <c r="E124" s="28">
        <v>10</v>
      </c>
      <c r="F124" s="28"/>
      <c r="G124" s="28">
        <v>5</v>
      </c>
      <c r="I124" s="15">
        <v>5</v>
      </c>
      <c r="J124" s="18">
        <v>50</v>
      </c>
      <c r="K124" s="25" t="s">
        <v>139</v>
      </c>
      <c r="L124" s="15" t="s">
        <v>140</v>
      </c>
      <c r="M124" s="15"/>
      <c r="N124">
        <v>2</v>
      </c>
      <c r="O124">
        <f t="shared" ref="O124:O130" si="12">B124*4*1.15</f>
        <v>11.5</v>
      </c>
      <c r="P124">
        <f t="shared" si="11"/>
        <v>114.99999999999999</v>
      </c>
      <c r="Q124">
        <f t="shared" si="11"/>
        <v>11.5</v>
      </c>
      <c r="R124">
        <f t="shared" si="11"/>
        <v>46</v>
      </c>
      <c r="S124">
        <f t="shared" si="11"/>
        <v>0</v>
      </c>
      <c r="T124">
        <f t="shared" si="11"/>
        <v>23</v>
      </c>
      <c r="U124">
        <f t="shared" si="11"/>
        <v>0</v>
      </c>
      <c r="V124">
        <f t="shared" si="11"/>
        <v>23</v>
      </c>
      <c r="W124">
        <f t="shared" si="11"/>
        <v>229.99999999999997</v>
      </c>
      <c r="X124" t="str">
        <f t="shared" ref="X124:X130" si="13">K124</f>
        <v>2x Cas, target</v>
      </c>
      <c r="Y124" t="str">
        <f t="shared" ref="Y124:Y130" si="14">L124</f>
        <v>pos ctrl -  more</v>
      </c>
    </row>
    <row r="125" spans="1:25" x14ac:dyDescent="0.35">
      <c r="A125" s="30">
        <v>3</v>
      </c>
      <c r="B125" s="15">
        <v>2.5</v>
      </c>
      <c r="C125" s="29">
        <f t="shared" si="10"/>
        <v>32.5</v>
      </c>
      <c r="D125">
        <v>2.5</v>
      </c>
      <c r="E125">
        <v>5</v>
      </c>
      <c r="G125" s="28"/>
      <c r="H125">
        <v>2.5</v>
      </c>
      <c r="I125">
        <v>5</v>
      </c>
      <c r="J125" s="18">
        <v>50</v>
      </c>
      <c r="K125" s="38" t="s">
        <v>114</v>
      </c>
      <c r="L125" t="s">
        <v>27</v>
      </c>
      <c r="N125">
        <v>3</v>
      </c>
      <c r="O125">
        <f t="shared" si="12"/>
        <v>11.5</v>
      </c>
      <c r="P125">
        <f t="shared" si="11"/>
        <v>149.5</v>
      </c>
      <c r="Q125">
        <f t="shared" si="11"/>
        <v>11.5</v>
      </c>
      <c r="R125">
        <f t="shared" si="11"/>
        <v>23</v>
      </c>
      <c r="S125">
        <f t="shared" si="11"/>
        <v>0</v>
      </c>
      <c r="T125">
        <f t="shared" si="11"/>
        <v>0</v>
      </c>
      <c r="U125">
        <f t="shared" si="11"/>
        <v>11.5</v>
      </c>
      <c r="V125">
        <f t="shared" si="11"/>
        <v>23</v>
      </c>
      <c r="W125">
        <f t="shared" si="11"/>
        <v>229.99999999999997</v>
      </c>
      <c r="X125" t="str">
        <f t="shared" si="13"/>
        <v>neg target 2.5E5</v>
      </c>
      <c r="Y125" t="str">
        <f t="shared" si="14"/>
        <v>neg ctrl</v>
      </c>
    </row>
    <row r="126" spans="1:25" x14ac:dyDescent="0.35">
      <c r="A126" s="30">
        <v>4</v>
      </c>
      <c r="B126" s="15">
        <v>2.5</v>
      </c>
      <c r="C126" s="29">
        <f t="shared" si="10"/>
        <v>32.5</v>
      </c>
      <c r="D126">
        <v>2.5</v>
      </c>
      <c r="E126">
        <v>5</v>
      </c>
      <c r="G126" s="28"/>
      <c r="H126">
        <v>2.5</v>
      </c>
      <c r="I126">
        <v>5</v>
      </c>
      <c r="J126" s="18">
        <v>50</v>
      </c>
      <c r="K126" s="38" t="s">
        <v>115</v>
      </c>
      <c r="L126" t="s">
        <v>27</v>
      </c>
      <c r="N126">
        <v>4</v>
      </c>
      <c r="O126">
        <f t="shared" si="12"/>
        <v>11.5</v>
      </c>
      <c r="P126">
        <f t="shared" si="11"/>
        <v>149.5</v>
      </c>
      <c r="Q126">
        <f t="shared" si="11"/>
        <v>11.5</v>
      </c>
      <c r="R126">
        <f t="shared" si="11"/>
        <v>23</v>
      </c>
      <c r="S126">
        <f t="shared" si="11"/>
        <v>0</v>
      </c>
      <c r="T126">
        <f t="shared" si="11"/>
        <v>0</v>
      </c>
      <c r="U126">
        <f t="shared" si="11"/>
        <v>11.5</v>
      </c>
      <c r="V126">
        <f t="shared" si="11"/>
        <v>23</v>
      </c>
      <c r="W126">
        <f t="shared" si="11"/>
        <v>229.99999999999997</v>
      </c>
      <c r="X126" t="str">
        <f t="shared" si="13"/>
        <v>neg target 2.5E8</v>
      </c>
      <c r="Y126" t="str">
        <f t="shared" si="14"/>
        <v>neg ctrl</v>
      </c>
    </row>
    <row r="127" spans="1:25" x14ac:dyDescent="0.35">
      <c r="A127" s="30">
        <v>5</v>
      </c>
      <c r="B127" s="15">
        <v>2.5</v>
      </c>
      <c r="C127" s="29">
        <f t="shared" si="10"/>
        <v>35</v>
      </c>
      <c r="E127">
        <v>5</v>
      </c>
      <c r="G127">
        <v>2.5</v>
      </c>
      <c r="I127">
        <v>5</v>
      </c>
      <c r="J127" s="18">
        <v>50</v>
      </c>
      <c r="K127" s="38" t="s">
        <v>107</v>
      </c>
      <c r="L127" t="s">
        <v>27</v>
      </c>
      <c r="N127">
        <v>5</v>
      </c>
      <c r="O127">
        <f t="shared" si="12"/>
        <v>11.5</v>
      </c>
      <c r="P127">
        <f t="shared" si="11"/>
        <v>161</v>
      </c>
      <c r="Q127">
        <f t="shared" si="11"/>
        <v>0</v>
      </c>
      <c r="R127">
        <f t="shared" si="11"/>
        <v>23</v>
      </c>
      <c r="S127">
        <f t="shared" si="11"/>
        <v>0</v>
      </c>
      <c r="T127">
        <f t="shared" si="11"/>
        <v>11.5</v>
      </c>
      <c r="U127">
        <f t="shared" si="11"/>
        <v>0</v>
      </c>
      <c r="V127">
        <f t="shared" si="11"/>
        <v>23</v>
      </c>
      <c r="W127">
        <f t="shared" si="11"/>
        <v>229.99999999999997</v>
      </c>
      <c r="X127" t="str">
        <f t="shared" si="13"/>
        <v>no guide</v>
      </c>
      <c r="Y127" t="str">
        <f t="shared" si="14"/>
        <v>neg ctrl</v>
      </c>
    </row>
    <row r="128" spans="1:25" x14ac:dyDescent="0.35">
      <c r="A128" s="30">
        <v>6</v>
      </c>
      <c r="B128" s="15">
        <v>2.5</v>
      </c>
      <c r="C128" s="29">
        <f t="shared" si="10"/>
        <v>35</v>
      </c>
      <c r="D128">
        <v>2.5</v>
      </c>
      <c r="E128">
        <v>5</v>
      </c>
      <c r="G128" s="28"/>
      <c r="H128" s="28"/>
      <c r="I128">
        <v>5</v>
      </c>
      <c r="J128" s="18">
        <v>50</v>
      </c>
      <c r="K128" s="38" t="s">
        <v>105</v>
      </c>
      <c r="L128" t="s">
        <v>27</v>
      </c>
      <c r="N128">
        <v>6</v>
      </c>
      <c r="O128">
        <f t="shared" si="12"/>
        <v>11.5</v>
      </c>
      <c r="P128">
        <f t="shared" si="11"/>
        <v>161</v>
      </c>
      <c r="Q128">
        <f t="shared" si="11"/>
        <v>11.5</v>
      </c>
      <c r="R128">
        <f t="shared" si="11"/>
        <v>23</v>
      </c>
      <c r="S128">
        <f t="shared" si="11"/>
        <v>0</v>
      </c>
      <c r="T128">
        <f t="shared" si="11"/>
        <v>0</v>
      </c>
      <c r="U128">
        <f t="shared" si="11"/>
        <v>0</v>
      </c>
      <c r="V128">
        <f t="shared" si="11"/>
        <v>23</v>
      </c>
      <c r="W128">
        <f t="shared" si="11"/>
        <v>229.99999999999997</v>
      </c>
      <c r="X128" t="str">
        <f t="shared" si="13"/>
        <v>no target</v>
      </c>
      <c r="Y128" t="str">
        <f t="shared" si="14"/>
        <v>neg ctrl</v>
      </c>
    </row>
    <row r="129" spans="1:25" x14ac:dyDescent="0.35">
      <c r="A129" s="30">
        <v>7</v>
      </c>
      <c r="B129" s="28">
        <v>2.5</v>
      </c>
      <c r="C129" s="29">
        <f t="shared" si="10"/>
        <v>37.5</v>
      </c>
      <c r="D129">
        <v>2.5</v>
      </c>
      <c r="E129" s="28"/>
      <c r="F129" s="28"/>
      <c r="G129">
        <v>2.5</v>
      </c>
      <c r="H129" s="28"/>
      <c r="I129" s="15">
        <v>5</v>
      </c>
      <c r="J129" s="18">
        <v>50</v>
      </c>
      <c r="K129" s="38" t="s">
        <v>106</v>
      </c>
      <c r="L129" t="s">
        <v>27</v>
      </c>
      <c r="N129">
        <v>7</v>
      </c>
      <c r="O129">
        <f t="shared" si="12"/>
        <v>11.5</v>
      </c>
      <c r="P129">
        <f t="shared" si="11"/>
        <v>172.5</v>
      </c>
      <c r="Q129">
        <f t="shared" si="11"/>
        <v>11.5</v>
      </c>
      <c r="R129">
        <f t="shared" si="11"/>
        <v>0</v>
      </c>
      <c r="S129">
        <f t="shared" si="11"/>
        <v>0</v>
      </c>
      <c r="T129">
        <f t="shared" si="11"/>
        <v>11.5</v>
      </c>
      <c r="U129">
        <f t="shared" si="11"/>
        <v>0</v>
      </c>
      <c r="V129">
        <f t="shared" si="11"/>
        <v>23</v>
      </c>
      <c r="W129">
        <f t="shared" si="11"/>
        <v>229.99999999999997</v>
      </c>
      <c r="X129" t="str">
        <f t="shared" si="13"/>
        <v>no Cas</v>
      </c>
      <c r="Y129" t="str">
        <f t="shared" si="14"/>
        <v>neg ctrl</v>
      </c>
    </row>
    <row r="130" spans="1:25" x14ac:dyDescent="0.35">
      <c r="A130" s="30">
        <v>8</v>
      </c>
      <c r="B130" s="15">
        <v>2.5</v>
      </c>
      <c r="C130" s="29">
        <f t="shared" si="10"/>
        <v>42</v>
      </c>
      <c r="F130">
        <v>0.5</v>
      </c>
      <c r="G130" s="28"/>
      <c r="I130">
        <v>5</v>
      </c>
      <c r="J130" s="18">
        <v>50</v>
      </c>
      <c r="K130" s="38" t="s">
        <v>133</v>
      </c>
      <c r="L130" t="s">
        <v>136</v>
      </c>
      <c r="N130">
        <v>8</v>
      </c>
      <c r="O130">
        <f t="shared" si="12"/>
        <v>11.5</v>
      </c>
      <c r="P130">
        <f t="shared" si="11"/>
        <v>193.2</v>
      </c>
      <c r="Q130">
        <f t="shared" si="11"/>
        <v>0</v>
      </c>
      <c r="R130">
        <f t="shared" si="11"/>
        <v>0</v>
      </c>
      <c r="S130">
        <f t="shared" si="11"/>
        <v>2.2999999999999998</v>
      </c>
      <c r="T130">
        <f t="shared" si="11"/>
        <v>0</v>
      </c>
      <c r="U130">
        <f t="shared" si="11"/>
        <v>0</v>
      </c>
      <c r="V130">
        <f t="shared" si="11"/>
        <v>23</v>
      </c>
      <c r="W130">
        <f t="shared" si="11"/>
        <v>229.99999999999997</v>
      </c>
      <c r="X130" t="str">
        <f t="shared" si="13"/>
        <v>Benzoase</v>
      </c>
      <c r="Y130" t="str">
        <f t="shared" si="14"/>
        <v>pos ctrl - substrate only</v>
      </c>
    </row>
    <row r="131" spans="1:25" x14ac:dyDescent="0.35">
      <c r="A131" s="30"/>
      <c r="B131" s="28"/>
      <c r="C131" s="28"/>
      <c r="D131" s="28"/>
      <c r="E131" s="28"/>
      <c r="F131" s="28"/>
      <c r="G131" s="28"/>
      <c r="H131" s="28"/>
      <c r="J131" s="28"/>
      <c r="K131" s="28"/>
      <c r="L131" s="28"/>
      <c r="M131" s="28"/>
      <c r="N131" s="28"/>
      <c r="O131" s="28"/>
      <c r="P131" s="28"/>
    </row>
    <row r="132" spans="1:25" x14ac:dyDescent="0.35">
      <c r="A132" s="36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35"/>
      <c r="P132" s="28"/>
      <c r="Q132" s="15"/>
    </row>
    <row r="133" spans="1:25" x14ac:dyDescent="0.35">
      <c r="A133" s="26" t="s">
        <v>81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</row>
    <row r="134" spans="1:25" x14ac:dyDescent="0.35">
      <c r="A134" s="27">
        <v>1</v>
      </c>
      <c r="B134" s="15" t="s">
        <v>141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</row>
    <row r="135" spans="1:25" x14ac:dyDescent="0.35">
      <c r="A135" s="27">
        <v>2</v>
      </c>
      <c r="B135" s="15" t="s">
        <v>122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</row>
    <row r="136" spans="1:25" x14ac:dyDescent="0.35">
      <c r="A136" s="27">
        <v>3</v>
      </c>
      <c r="B136" s="15" t="s">
        <v>142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</row>
    <row r="137" spans="1:25" x14ac:dyDescent="0.35">
      <c r="A137" s="27">
        <v>4</v>
      </c>
      <c r="B137" s="15" t="s">
        <v>143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</row>
    <row r="138" spans="1:25" x14ac:dyDescent="0.35">
      <c r="A138" s="27">
        <v>5</v>
      </c>
      <c r="B138" s="15" t="s">
        <v>35</v>
      </c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</row>
    <row r="142" spans="1:25" ht="21" x14ac:dyDescent="0.35">
      <c r="A142" s="13" t="s">
        <v>163</v>
      </c>
    </row>
    <row r="143" spans="1:25" ht="15.5" x14ac:dyDescent="0.35">
      <c r="A143" s="50" t="s">
        <v>186</v>
      </c>
    </row>
    <row r="144" spans="1:25" x14ac:dyDescent="0.35">
      <c r="A144" t="s">
        <v>164</v>
      </c>
    </row>
    <row r="145" spans="1:14" x14ac:dyDescent="0.35">
      <c r="B145" s="14"/>
      <c r="C145" s="14"/>
      <c r="D145" s="14"/>
      <c r="E145" s="14"/>
      <c r="F145" s="14"/>
      <c r="G145" s="14"/>
      <c r="H145" s="14"/>
      <c r="I145" s="14"/>
      <c r="J145" s="14"/>
      <c r="K145" s="15"/>
      <c r="L145" s="15"/>
      <c r="M145" s="15"/>
      <c r="N145" s="15"/>
    </row>
    <row r="146" spans="1:14" ht="15.5" x14ac:dyDescent="0.35">
      <c r="A146" s="50" t="s">
        <v>155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5"/>
      <c r="L146" s="15"/>
      <c r="M146" s="15"/>
      <c r="N146" s="15"/>
    </row>
    <row r="147" spans="1:14" ht="15.5" x14ac:dyDescent="0.35">
      <c r="A147" s="46" t="s">
        <v>129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5"/>
      <c r="L147" s="15"/>
      <c r="M147" s="15"/>
      <c r="N147" s="15"/>
    </row>
    <row r="148" spans="1:14" ht="15.5" x14ac:dyDescent="0.35">
      <c r="A148" s="47" t="s">
        <v>165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5"/>
      <c r="L148" s="15"/>
      <c r="M148" s="15"/>
      <c r="N148" s="15"/>
    </row>
    <row r="149" spans="1:14" ht="15.5" x14ac:dyDescent="0.35">
      <c r="A149" s="47" t="s">
        <v>187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5"/>
      <c r="L149" s="15"/>
      <c r="M149" s="15"/>
      <c r="N149" s="15"/>
    </row>
    <row r="150" spans="1:14" ht="15.5" x14ac:dyDescent="0.35">
      <c r="A150" s="47" t="s">
        <v>130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5"/>
      <c r="L150" s="15"/>
      <c r="M150" s="15"/>
      <c r="N150" s="15"/>
    </row>
    <row r="151" spans="1:14" ht="15.5" x14ac:dyDescent="0.35">
      <c r="A151" s="45"/>
      <c r="B151" s="14"/>
      <c r="C151" s="14"/>
      <c r="D151" s="14"/>
      <c r="E151" s="14"/>
      <c r="F151" s="14"/>
      <c r="G151" s="14"/>
      <c r="H151" s="14"/>
      <c r="I151" s="14"/>
      <c r="J151" s="14"/>
      <c r="K151" s="15"/>
      <c r="L151" s="15"/>
      <c r="M151" s="15"/>
      <c r="N151" s="15"/>
    </row>
    <row r="152" spans="1:14" x14ac:dyDescent="0.35">
      <c r="A152" s="26" t="s">
        <v>79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5"/>
      <c r="L152" s="15"/>
      <c r="M152" s="15"/>
      <c r="N152" s="15"/>
    </row>
    <row r="153" spans="1:14" x14ac:dyDescent="0.35">
      <c r="A153" s="26" t="s">
        <v>77</v>
      </c>
      <c r="B153" s="42" t="s">
        <v>78</v>
      </c>
      <c r="C153" s="42"/>
      <c r="D153" s="43"/>
      <c r="E153" s="43" t="s">
        <v>150</v>
      </c>
      <c r="F153" s="43"/>
      <c r="G153" s="43"/>
      <c r="H153" s="43"/>
      <c r="I153" s="44"/>
      <c r="J153" s="14"/>
      <c r="K153" s="15"/>
      <c r="L153" s="15"/>
      <c r="M153" s="15"/>
      <c r="N153" s="15"/>
    </row>
    <row r="154" spans="1:14" x14ac:dyDescent="0.35">
      <c r="A154" s="24" t="s">
        <v>39</v>
      </c>
      <c r="B154" s="24" t="s">
        <v>84</v>
      </c>
      <c r="C154" s="14"/>
      <c r="D154" s="14"/>
      <c r="E154" s="14">
        <v>1</v>
      </c>
      <c r="F154" s="14">
        <v>53367.7</v>
      </c>
      <c r="G154" s="14">
        <f>E154/F154</f>
        <v>1.8737925749095427E-5</v>
      </c>
      <c r="H154" s="14" t="s">
        <v>146</v>
      </c>
      <c r="I154" s="14">
        <f>G154/1000000000</f>
        <v>1.8737925749095426E-14</v>
      </c>
      <c r="J154" s="14" t="s">
        <v>147</v>
      </c>
      <c r="K154" s="15">
        <f>I154*6E+23</f>
        <v>11242755449.457256</v>
      </c>
      <c r="L154" s="15">
        <f>E154/F154/0.000001</f>
        <v>18.737925749095428</v>
      </c>
      <c r="M154" s="15" t="s">
        <v>149</v>
      </c>
      <c r="N154" s="15"/>
    </row>
    <row r="155" spans="1:14" x14ac:dyDescent="0.35">
      <c r="A155" s="24" t="s">
        <v>49</v>
      </c>
      <c r="B155" s="24" t="s">
        <v>49</v>
      </c>
      <c r="C155" s="14"/>
      <c r="D155" s="14"/>
      <c r="E155" s="14"/>
      <c r="F155" s="14"/>
      <c r="G155" s="14">
        <f>G154*1000000</f>
        <v>18.737925749095428</v>
      </c>
      <c r="H155" s="14" t="s">
        <v>148</v>
      </c>
      <c r="I155" s="14"/>
      <c r="J155" s="14"/>
      <c r="K155" s="15"/>
      <c r="L155" s="15"/>
      <c r="M155" s="15"/>
      <c r="N155" s="15"/>
    </row>
    <row r="156" spans="1:14" x14ac:dyDescent="0.35">
      <c r="A156" s="24" t="s">
        <v>75</v>
      </c>
      <c r="B156" s="24" t="s">
        <v>170</v>
      </c>
      <c r="C156" s="14"/>
      <c r="D156" s="14"/>
      <c r="E156" s="14"/>
      <c r="F156" s="14"/>
      <c r="G156" s="14"/>
      <c r="H156" s="14"/>
      <c r="I156" s="14"/>
      <c r="J156" s="14"/>
      <c r="K156" s="15"/>
      <c r="L156" s="15"/>
      <c r="M156" s="15"/>
      <c r="N156" s="15"/>
    </row>
    <row r="157" spans="1:14" x14ac:dyDescent="0.35">
      <c r="A157" s="24" t="s">
        <v>76</v>
      </c>
      <c r="B157" s="24" t="s">
        <v>112</v>
      </c>
      <c r="C157" s="14"/>
      <c r="D157" s="14"/>
      <c r="E157" s="14"/>
      <c r="F157" s="14"/>
      <c r="G157" s="14"/>
      <c r="H157" s="14"/>
      <c r="I157" s="14"/>
      <c r="J157" s="14"/>
      <c r="K157" s="15"/>
      <c r="L157" s="15"/>
      <c r="M157" s="15"/>
      <c r="N157" s="15"/>
    </row>
    <row r="158" spans="1:14" x14ac:dyDescent="0.35">
      <c r="A158" s="24" t="s">
        <v>72</v>
      </c>
      <c r="B158" s="14" t="s">
        <v>166</v>
      </c>
      <c r="C158" s="40"/>
      <c r="D158" s="14"/>
      <c r="F158" s="14"/>
      <c r="G158" s="14"/>
      <c r="H158" s="14"/>
      <c r="I158" s="14" t="s">
        <v>167</v>
      </c>
      <c r="K158" s="15"/>
      <c r="L158" s="15"/>
      <c r="M158" s="15"/>
      <c r="N158" s="15"/>
    </row>
    <row r="159" spans="1:14" x14ac:dyDescent="0.35">
      <c r="A159" s="24" t="s">
        <v>80</v>
      </c>
      <c r="B159" s="33" t="s">
        <v>151</v>
      </c>
      <c r="F159" s="14"/>
      <c r="G159" s="14"/>
      <c r="H159" s="14"/>
      <c r="I159" s="14" t="s">
        <v>108</v>
      </c>
      <c r="K159" s="15"/>
      <c r="L159" s="15"/>
      <c r="M159" s="15"/>
      <c r="N159" s="15"/>
    </row>
    <row r="160" spans="1:14" ht="29" x14ac:dyDescent="0.35">
      <c r="A160" s="17" t="s">
        <v>168</v>
      </c>
      <c r="B160" s="33" t="s">
        <v>169</v>
      </c>
      <c r="C160" s="14"/>
      <c r="D160" s="40"/>
      <c r="F160" s="14"/>
      <c r="G160" s="14"/>
      <c r="H160" s="14"/>
      <c r="I160" s="14"/>
      <c r="K160" s="15"/>
      <c r="L160" s="15"/>
      <c r="M160" s="15"/>
      <c r="N160" s="15"/>
    </row>
    <row r="161" spans="1:43" ht="29" x14ac:dyDescent="0.35">
      <c r="A161" s="17" t="s">
        <v>131</v>
      </c>
      <c r="B161" t="s">
        <v>132</v>
      </c>
      <c r="L161" s="15"/>
      <c r="M161" s="15"/>
      <c r="N161" s="15"/>
    </row>
    <row r="162" spans="1:43" x14ac:dyDescent="0.35">
      <c r="A162" s="51" t="s">
        <v>171</v>
      </c>
      <c r="B162" s="14"/>
      <c r="C162" s="14"/>
      <c r="D162" s="14" t="s">
        <v>176</v>
      </c>
      <c r="E162" s="14">
        <f>3/53367</f>
        <v>5.6214514587666533E-5</v>
      </c>
      <c r="F162" s="14" t="s">
        <v>146</v>
      </c>
      <c r="G162" t="s">
        <v>177</v>
      </c>
      <c r="H162" s="14">
        <f>E162/1000000000</f>
        <v>5.6214514587666534E-14</v>
      </c>
      <c r="I162" s="14" t="s">
        <v>89</v>
      </c>
      <c r="J162" s="53" t="s">
        <v>176</v>
      </c>
      <c r="K162" s="54">
        <f>H162*6E+23</f>
        <v>33728708752.599922</v>
      </c>
      <c r="L162" t="s">
        <v>174</v>
      </c>
      <c r="M162" t="s">
        <v>178</v>
      </c>
      <c r="O162" s="56">
        <f>ROUND(K162/1000000000,1)</f>
        <v>33.700000000000003</v>
      </c>
      <c r="P162" t="s">
        <v>179</v>
      </c>
      <c r="Q162" s="55">
        <f>K162/O162</f>
        <v>1000851891.7685436</v>
      </c>
      <c r="R162" s="55"/>
      <c r="S162" t="s">
        <v>174</v>
      </c>
    </row>
    <row r="163" spans="1:43" x14ac:dyDescent="0.35">
      <c r="A163" s="51" t="s">
        <v>172</v>
      </c>
      <c r="B163" s="14"/>
      <c r="C163" s="14"/>
      <c r="D163" s="14" t="s">
        <v>176</v>
      </c>
      <c r="E163" s="14">
        <f>2/53367</f>
        <v>3.7476343058444355E-5</v>
      </c>
      <c r="F163" s="14" t="s">
        <v>146</v>
      </c>
      <c r="G163" t="s">
        <v>177</v>
      </c>
      <c r="H163" s="14">
        <f>E163/1000000000</f>
        <v>3.7476343058444354E-14</v>
      </c>
      <c r="I163" s="14" t="s">
        <v>89</v>
      </c>
      <c r="J163" s="53" t="s">
        <v>176</v>
      </c>
      <c r="K163" s="54">
        <f>H163*6E+23</f>
        <v>22485805835.066612</v>
      </c>
      <c r="L163" t="s">
        <v>174</v>
      </c>
      <c r="M163" t="s">
        <v>178</v>
      </c>
      <c r="O163" s="56">
        <f>ROUND(K163/1000000000,1)</f>
        <v>22.5</v>
      </c>
      <c r="Q163" s="55">
        <f>K163/O163</f>
        <v>999369148.22518277</v>
      </c>
      <c r="R163" s="55">
        <f>Q163/100</f>
        <v>9993691.4822518285</v>
      </c>
      <c r="S163" t="s">
        <v>174</v>
      </c>
    </row>
    <row r="164" spans="1:43" x14ac:dyDescent="0.35">
      <c r="A164" s="51" t="s">
        <v>173</v>
      </c>
      <c r="B164" s="14" t="s">
        <v>182</v>
      </c>
      <c r="C164" s="14"/>
      <c r="D164" s="14"/>
      <c r="E164" s="14"/>
      <c r="F164" s="14"/>
      <c r="G164" s="14"/>
      <c r="H164" s="14"/>
      <c r="I164" s="14"/>
      <c r="J164" s="14"/>
      <c r="K164" s="15"/>
      <c r="L164" s="15"/>
      <c r="M164" s="15"/>
      <c r="N164" s="15"/>
    </row>
    <row r="165" spans="1:43" x14ac:dyDescent="0.35">
      <c r="A165" s="51" t="s">
        <v>152</v>
      </c>
      <c r="B165" s="14" t="s">
        <v>183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5"/>
      <c r="M165" s="15"/>
      <c r="N165" s="15"/>
      <c r="O165" s="15"/>
    </row>
    <row r="166" spans="1:43" x14ac:dyDescent="0.35">
      <c r="A166" s="17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5"/>
      <c r="M166" s="15"/>
      <c r="N166" s="15"/>
      <c r="O166" s="26" t="s">
        <v>113</v>
      </c>
    </row>
    <row r="167" spans="1:43" ht="58" x14ac:dyDescent="0.35">
      <c r="A167" s="34" t="s">
        <v>73</v>
      </c>
      <c r="B167" s="48" t="s">
        <v>135</v>
      </c>
      <c r="C167" s="48" t="s">
        <v>135</v>
      </c>
      <c r="D167" s="48" t="s">
        <v>135</v>
      </c>
      <c r="E167" s="48" t="s">
        <v>135</v>
      </c>
      <c r="F167" s="48" t="s">
        <v>135</v>
      </c>
      <c r="G167" s="48" t="s">
        <v>135</v>
      </c>
      <c r="H167" s="48" t="s">
        <v>135</v>
      </c>
      <c r="I167" s="48" t="s">
        <v>135</v>
      </c>
      <c r="J167" s="49" t="s">
        <v>134</v>
      </c>
      <c r="K167" s="49" t="s">
        <v>134</v>
      </c>
      <c r="L167" s="49" t="s">
        <v>134</v>
      </c>
      <c r="M167" s="49" t="s">
        <v>134</v>
      </c>
      <c r="N167" s="49" t="s">
        <v>134</v>
      </c>
      <c r="O167" s="49"/>
      <c r="P167" s="52" t="s">
        <v>185</v>
      </c>
      <c r="Q167" s="17"/>
      <c r="R167" s="17"/>
      <c r="S167" s="17"/>
      <c r="W167" s="48" t="s">
        <v>135</v>
      </c>
      <c r="X167" s="48" t="s">
        <v>135</v>
      </c>
      <c r="Y167" s="48" t="s">
        <v>135</v>
      </c>
      <c r="Z167" s="48" t="s">
        <v>135</v>
      </c>
      <c r="AA167" s="48" t="s">
        <v>135</v>
      </c>
      <c r="AB167" s="48" t="s">
        <v>135</v>
      </c>
      <c r="AC167" s="48" t="s">
        <v>135</v>
      </c>
      <c r="AD167" s="48" t="s">
        <v>135</v>
      </c>
      <c r="AE167" s="49" t="s">
        <v>134</v>
      </c>
      <c r="AF167" s="49" t="s">
        <v>134</v>
      </c>
      <c r="AG167" s="49" t="s">
        <v>134</v>
      </c>
      <c r="AH167" s="49" t="s">
        <v>134</v>
      </c>
      <c r="AI167" s="49" t="s">
        <v>134</v>
      </c>
    </row>
    <row r="168" spans="1:43" ht="58.5" thickBot="1" x14ac:dyDescent="0.4">
      <c r="A168" s="31" t="s">
        <v>7</v>
      </c>
      <c r="B168" s="32" t="s">
        <v>39</v>
      </c>
      <c r="C168" s="32" t="s">
        <v>49</v>
      </c>
      <c r="D168" s="32" t="s">
        <v>48</v>
      </c>
      <c r="E168" s="32" t="s">
        <v>224</v>
      </c>
      <c r="F168" s="32" t="s">
        <v>82</v>
      </c>
      <c r="G168" s="32" t="s">
        <v>153</v>
      </c>
      <c r="H168" s="32" t="s">
        <v>74</v>
      </c>
      <c r="I168" s="32" t="s">
        <v>154</v>
      </c>
      <c r="J168" s="32" t="s">
        <v>157</v>
      </c>
      <c r="K168" s="32" t="s">
        <v>156</v>
      </c>
      <c r="L168" s="32"/>
      <c r="M168" s="32"/>
      <c r="N168" s="32" t="s">
        <v>72</v>
      </c>
      <c r="O168" s="32" t="s">
        <v>49</v>
      </c>
      <c r="P168" s="32" t="s">
        <v>29</v>
      </c>
      <c r="Q168" s="5" t="s">
        <v>6</v>
      </c>
      <c r="R168" s="5" t="s">
        <v>184</v>
      </c>
      <c r="S168" s="5" t="s">
        <v>180</v>
      </c>
      <c r="T168" s="5" t="s">
        <v>17</v>
      </c>
      <c r="U168" s="5" t="s">
        <v>78</v>
      </c>
      <c r="W168" t="str">
        <f t="shared" ref="W168:AM168" si="15">A168</f>
        <v>reaction mix No.</v>
      </c>
      <c r="X168" t="str">
        <f t="shared" si="15"/>
        <v>buffer</v>
      </c>
      <c r="Y168" t="str">
        <f t="shared" si="15"/>
        <v>water</v>
      </c>
      <c r="Z168" t="str">
        <f t="shared" si="15"/>
        <v>1M MgCl2</v>
      </c>
      <c r="AA168" t="str">
        <f t="shared" si="15"/>
        <v>rNTP mix</v>
      </c>
      <c r="AB168" t="str">
        <f t="shared" si="15"/>
        <v>guide RNA</v>
      </c>
      <c r="AC168" t="str">
        <f t="shared" si="15"/>
        <v>T7 RNApol</v>
      </c>
      <c r="AD168" t="str">
        <f t="shared" si="15"/>
        <v>Cas13</v>
      </c>
      <c r="AE168" t="str">
        <f t="shared" si="15"/>
        <v>Murine RNAse inhibitor</v>
      </c>
      <c r="AF168" t="str">
        <f t="shared" si="15"/>
        <v>Amplified target DNA positive</v>
      </c>
      <c r="AG168" t="str">
        <f t="shared" si="15"/>
        <v>Amplified target DNA negative</v>
      </c>
      <c r="AH168">
        <f t="shared" si="15"/>
        <v>0</v>
      </c>
      <c r="AI168">
        <f t="shared" si="15"/>
        <v>0</v>
      </c>
      <c r="AJ168" t="str">
        <f t="shared" si="15"/>
        <v>substrate</v>
      </c>
      <c r="AK168" t="str">
        <f t="shared" si="15"/>
        <v>water</v>
      </c>
      <c r="AL168" t="str">
        <f t="shared" si="15"/>
        <v>Benzoase(TM) nuclease 25U/ul</v>
      </c>
      <c r="AM168" t="str">
        <f t="shared" si="15"/>
        <v>total</v>
      </c>
      <c r="AN168" t="str">
        <f t="shared" ref="AN168:AQ168" si="16">R168</f>
        <v>tube A</v>
      </c>
      <c r="AO168" t="str">
        <f t="shared" si="16"/>
        <v>tube B</v>
      </c>
      <c r="AP168" t="str">
        <f t="shared" si="16"/>
        <v>notes</v>
      </c>
      <c r="AQ168" t="str">
        <f t="shared" si="16"/>
        <v>details</v>
      </c>
    </row>
    <row r="169" spans="1:43" ht="15" thickTop="1" x14ac:dyDescent="0.35">
      <c r="A169" s="30">
        <v>1</v>
      </c>
      <c r="B169" s="15">
        <v>0.4</v>
      </c>
      <c r="C169" s="29">
        <f>Q169-B169-SUM(D169:O169)</f>
        <v>9.120000000000001</v>
      </c>
      <c r="D169" s="28">
        <v>0.18</v>
      </c>
      <c r="E169" s="28">
        <v>0.8</v>
      </c>
      <c r="F169" s="28">
        <v>1</v>
      </c>
      <c r="G169" s="28">
        <v>0.5</v>
      </c>
      <c r="H169" s="28">
        <v>2</v>
      </c>
      <c r="I169" s="28">
        <v>1</v>
      </c>
      <c r="J169" s="28"/>
      <c r="L169" s="28"/>
      <c r="N169" s="15">
        <v>1.25</v>
      </c>
      <c r="O169" s="29">
        <f t="shared" ref="O169:O175" si="17">S169-SUM(J169:N169)</f>
        <v>3.75</v>
      </c>
      <c r="P169" s="28"/>
      <c r="Q169" s="18">
        <v>20</v>
      </c>
      <c r="R169" s="18">
        <v>15</v>
      </c>
      <c r="S169" s="18">
        <v>5</v>
      </c>
      <c r="T169" s="15" t="s">
        <v>27</v>
      </c>
      <c r="U169" s="25" t="s">
        <v>105</v>
      </c>
      <c r="W169">
        <v>1</v>
      </c>
      <c r="X169">
        <f>B169*4*1.25</f>
        <v>2</v>
      </c>
      <c r="Y169">
        <f t="shared" ref="Y169:AO175" si="18">C169*4*1.25</f>
        <v>45.600000000000009</v>
      </c>
      <c r="Z169">
        <f t="shared" si="18"/>
        <v>0.89999999999999991</v>
      </c>
      <c r="AA169">
        <f t="shared" si="18"/>
        <v>4</v>
      </c>
      <c r="AB169">
        <f t="shared" si="18"/>
        <v>5</v>
      </c>
      <c r="AC169">
        <f t="shared" si="18"/>
        <v>2.5</v>
      </c>
      <c r="AD169">
        <f t="shared" si="18"/>
        <v>10</v>
      </c>
      <c r="AE169">
        <f t="shared" si="18"/>
        <v>5</v>
      </c>
      <c r="AF169">
        <f t="shared" si="18"/>
        <v>0</v>
      </c>
      <c r="AG169">
        <f t="shared" si="18"/>
        <v>0</v>
      </c>
      <c r="AH169">
        <f t="shared" si="18"/>
        <v>0</v>
      </c>
      <c r="AI169">
        <f t="shared" si="18"/>
        <v>0</v>
      </c>
      <c r="AJ169">
        <f t="shared" si="18"/>
        <v>6.25</v>
      </c>
      <c r="AK169">
        <f t="shared" si="18"/>
        <v>18.75</v>
      </c>
      <c r="AL169">
        <f t="shared" si="18"/>
        <v>0</v>
      </c>
      <c r="AM169">
        <f t="shared" si="18"/>
        <v>100</v>
      </c>
      <c r="AN169">
        <f t="shared" si="18"/>
        <v>75</v>
      </c>
      <c r="AO169">
        <f t="shared" si="18"/>
        <v>25</v>
      </c>
      <c r="AP169" t="str">
        <f>T169</f>
        <v>neg ctrl</v>
      </c>
      <c r="AQ169" t="str">
        <f>U169</f>
        <v>no target</v>
      </c>
    </row>
    <row r="170" spans="1:43" x14ac:dyDescent="0.35">
      <c r="A170" s="30">
        <v>2</v>
      </c>
      <c r="B170" s="15">
        <v>0.4</v>
      </c>
      <c r="C170" s="29">
        <f t="shared" ref="C170:C173" si="19">Q170-B170-SUM(D170:O170)</f>
        <v>11.120000000000001</v>
      </c>
      <c r="D170" s="28">
        <v>0.18</v>
      </c>
      <c r="E170" s="28">
        <v>0.8</v>
      </c>
      <c r="F170" s="28">
        <v>1</v>
      </c>
      <c r="G170" s="28">
        <v>0.5</v>
      </c>
      <c r="H170" s="28"/>
      <c r="I170" s="28">
        <v>1</v>
      </c>
      <c r="J170" s="28">
        <v>1</v>
      </c>
      <c r="L170" s="28"/>
      <c r="N170" s="15">
        <v>1.25</v>
      </c>
      <c r="O170" s="29">
        <f t="shared" si="17"/>
        <v>2.75</v>
      </c>
      <c r="P170" s="28"/>
      <c r="Q170" s="18">
        <v>20</v>
      </c>
      <c r="R170" s="18">
        <v>15</v>
      </c>
      <c r="S170" s="18">
        <v>5</v>
      </c>
      <c r="T170" s="15" t="s">
        <v>27</v>
      </c>
      <c r="U170" s="25" t="s">
        <v>181</v>
      </c>
      <c r="W170">
        <v>2</v>
      </c>
      <c r="X170">
        <f t="shared" ref="X170:X175" si="20">B170*4*1.25</f>
        <v>2</v>
      </c>
      <c r="Y170">
        <f t="shared" si="18"/>
        <v>55.600000000000009</v>
      </c>
      <c r="Z170">
        <f t="shared" si="18"/>
        <v>0.89999999999999991</v>
      </c>
      <c r="AA170">
        <f t="shared" si="18"/>
        <v>4</v>
      </c>
      <c r="AB170">
        <f t="shared" si="18"/>
        <v>5</v>
      </c>
      <c r="AC170">
        <f t="shared" si="18"/>
        <v>2.5</v>
      </c>
      <c r="AD170">
        <f t="shared" si="18"/>
        <v>0</v>
      </c>
      <c r="AE170">
        <f t="shared" si="18"/>
        <v>5</v>
      </c>
      <c r="AF170">
        <f t="shared" si="18"/>
        <v>5</v>
      </c>
      <c r="AG170">
        <f t="shared" si="18"/>
        <v>0</v>
      </c>
      <c r="AH170">
        <f t="shared" si="18"/>
        <v>0</v>
      </c>
      <c r="AI170">
        <f t="shared" si="18"/>
        <v>0</v>
      </c>
      <c r="AJ170">
        <f t="shared" si="18"/>
        <v>6.25</v>
      </c>
      <c r="AK170">
        <f t="shared" si="18"/>
        <v>13.75</v>
      </c>
      <c r="AL170">
        <f t="shared" si="18"/>
        <v>0</v>
      </c>
      <c r="AM170">
        <f t="shared" si="18"/>
        <v>100</v>
      </c>
      <c r="AN170">
        <f t="shared" si="18"/>
        <v>75</v>
      </c>
      <c r="AO170">
        <f t="shared" si="18"/>
        <v>25</v>
      </c>
      <c r="AP170" t="str">
        <f t="shared" ref="AP170:AP175" si="21">T170</f>
        <v>neg ctrl</v>
      </c>
      <c r="AQ170" t="str">
        <f t="shared" ref="AQ170:AQ175" si="22">U170</f>
        <v>no Cas13, DNA 1E7</v>
      </c>
    </row>
    <row r="171" spans="1:43" x14ac:dyDescent="0.35">
      <c r="A171" s="30">
        <v>3</v>
      </c>
      <c r="B171" s="15">
        <v>0.4</v>
      </c>
      <c r="C171" s="29">
        <f t="shared" si="19"/>
        <v>9.120000000000001</v>
      </c>
      <c r="D171" s="28">
        <v>0.18</v>
      </c>
      <c r="E171" s="28">
        <v>0.8</v>
      </c>
      <c r="F171" s="28">
        <v>1</v>
      </c>
      <c r="G171" s="28">
        <v>0.5</v>
      </c>
      <c r="H171" s="28">
        <v>2</v>
      </c>
      <c r="I171" s="28">
        <v>1</v>
      </c>
      <c r="J171" s="28">
        <v>1</v>
      </c>
      <c r="L171" s="28"/>
      <c r="N171" s="15">
        <v>1.25</v>
      </c>
      <c r="O171" s="29">
        <f t="shared" si="17"/>
        <v>2.75</v>
      </c>
      <c r="Q171" s="18">
        <v>20</v>
      </c>
      <c r="R171" s="18">
        <v>15</v>
      </c>
      <c r="S171" s="18">
        <v>5</v>
      </c>
      <c r="T171" s="15" t="s">
        <v>18</v>
      </c>
      <c r="U171" s="38" t="s">
        <v>160</v>
      </c>
      <c r="W171">
        <v>3</v>
      </c>
      <c r="X171">
        <f t="shared" si="20"/>
        <v>2</v>
      </c>
      <c r="Y171">
        <f t="shared" si="18"/>
        <v>45.600000000000009</v>
      </c>
      <c r="Z171">
        <f t="shared" si="18"/>
        <v>0.89999999999999991</v>
      </c>
      <c r="AA171">
        <f t="shared" si="18"/>
        <v>4</v>
      </c>
      <c r="AB171">
        <f t="shared" si="18"/>
        <v>5</v>
      </c>
      <c r="AC171">
        <f t="shared" si="18"/>
        <v>2.5</v>
      </c>
      <c r="AD171">
        <f t="shared" si="18"/>
        <v>10</v>
      </c>
      <c r="AE171">
        <f t="shared" si="18"/>
        <v>5</v>
      </c>
      <c r="AF171">
        <f t="shared" si="18"/>
        <v>5</v>
      </c>
      <c r="AG171">
        <f t="shared" si="18"/>
        <v>0</v>
      </c>
      <c r="AH171">
        <f t="shared" si="18"/>
        <v>0</v>
      </c>
      <c r="AI171">
        <f t="shared" si="18"/>
        <v>0</v>
      </c>
      <c r="AJ171">
        <f t="shared" si="18"/>
        <v>6.25</v>
      </c>
      <c r="AK171">
        <f t="shared" si="18"/>
        <v>13.75</v>
      </c>
      <c r="AL171">
        <f t="shared" si="18"/>
        <v>0</v>
      </c>
      <c r="AM171">
        <f t="shared" si="18"/>
        <v>100</v>
      </c>
      <c r="AN171">
        <f t="shared" si="18"/>
        <v>75</v>
      </c>
      <c r="AO171">
        <f t="shared" si="18"/>
        <v>25</v>
      </c>
      <c r="AP171" t="str">
        <f t="shared" si="21"/>
        <v>pos ctrl</v>
      </c>
      <c r="AQ171" t="str">
        <f t="shared" si="22"/>
        <v>DNA 1E7</v>
      </c>
    </row>
    <row r="172" spans="1:43" x14ac:dyDescent="0.35">
      <c r="A172" s="30">
        <v>4</v>
      </c>
      <c r="B172" s="15">
        <v>0.4</v>
      </c>
      <c r="C172" s="29">
        <f t="shared" si="19"/>
        <v>9.120000000000001</v>
      </c>
      <c r="D172" s="28">
        <v>0.18</v>
      </c>
      <c r="E172" s="28">
        <v>0.8</v>
      </c>
      <c r="F172" s="28">
        <v>1</v>
      </c>
      <c r="G172" s="28">
        <v>0.5</v>
      </c>
      <c r="H172" s="28">
        <v>2</v>
      </c>
      <c r="I172" s="28">
        <v>1</v>
      </c>
      <c r="J172" s="28">
        <v>1</v>
      </c>
      <c r="L172" s="28"/>
      <c r="N172" s="15">
        <v>1.25</v>
      </c>
      <c r="O172" s="29">
        <f t="shared" si="17"/>
        <v>2.75</v>
      </c>
      <c r="Q172" s="18">
        <v>20</v>
      </c>
      <c r="R172" s="18">
        <v>15</v>
      </c>
      <c r="S172" s="18">
        <v>5</v>
      </c>
      <c r="T172" s="15" t="s">
        <v>18</v>
      </c>
      <c r="U172" s="38" t="s">
        <v>175</v>
      </c>
      <c r="W172">
        <v>4</v>
      </c>
      <c r="X172">
        <f t="shared" si="20"/>
        <v>2</v>
      </c>
      <c r="Y172">
        <f t="shared" si="18"/>
        <v>45.600000000000009</v>
      </c>
      <c r="Z172">
        <f t="shared" si="18"/>
        <v>0.89999999999999991</v>
      </c>
      <c r="AA172">
        <f t="shared" si="18"/>
        <v>4</v>
      </c>
      <c r="AB172">
        <f t="shared" si="18"/>
        <v>5</v>
      </c>
      <c r="AC172">
        <f t="shared" si="18"/>
        <v>2.5</v>
      </c>
      <c r="AD172">
        <f t="shared" si="18"/>
        <v>10</v>
      </c>
      <c r="AE172">
        <f t="shared" si="18"/>
        <v>5</v>
      </c>
      <c r="AF172">
        <f t="shared" si="18"/>
        <v>5</v>
      </c>
      <c r="AG172">
        <f t="shared" si="18"/>
        <v>0</v>
      </c>
      <c r="AH172">
        <f t="shared" si="18"/>
        <v>0</v>
      </c>
      <c r="AI172">
        <f t="shared" si="18"/>
        <v>0</v>
      </c>
      <c r="AJ172">
        <f t="shared" si="18"/>
        <v>6.25</v>
      </c>
      <c r="AK172">
        <f t="shared" si="18"/>
        <v>13.75</v>
      </c>
      <c r="AL172">
        <f t="shared" si="18"/>
        <v>0</v>
      </c>
      <c r="AM172">
        <f t="shared" si="18"/>
        <v>100</v>
      </c>
      <c r="AN172">
        <f t="shared" si="18"/>
        <v>75</v>
      </c>
      <c r="AO172">
        <f t="shared" si="18"/>
        <v>25</v>
      </c>
      <c r="AP172" t="str">
        <f t="shared" si="21"/>
        <v>pos ctrl</v>
      </c>
      <c r="AQ172" t="str">
        <f t="shared" si="22"/>
        <v>DNA 1E9</v>
      </c>
    </row>
    <row r="173" spans="1:43" x14ac:dyDescent="0.35">
      <c r="A173" s="30">
        <v>5</v>
      </c>
      <c r="B173" s="15">
        <v>0.4</v>
      </c>
      <c r="C173" s="29">
        <f t="shared" si="19"/>
        <v>9.120000000000001</v>
      </c>
      <c r="D173" s="28">
        <v>0.18</v>
      </c>
      <c r="E173" s="28">
        <v>0.8</v>
      </c>
      <c r="F173" s="28">
        <v>1</v>
      </c>
      <c r="G173" s="28">
        <v>0.5</v>
      </c>
      <c r="H173" s="28">
        <v>2</v>
      </c>
      <c r="I173" s="28">
        <v>1</v>
      </c>
      <c r="J173" s="28"/>
      <c r="K173" s="28">
        <v>1</v>
      </c>
      <c r="M173" s="28"/>
      <c r="N173" s="15">
        <v>1.25</v>
      </c>
      <c r="O173" s="29">
        <f t="shared" si="17"/>
        <v>2.75</v>
      </c>
      <c r="P173" s="28">
        <v>0.5</v>
      </c>
      <c r="Q173" s="18">
        <v>20</v>
      </c>
      <c r="R173" s="18">
        <v>15</v>
      </c>
      <c r="S173" s="18">
        <v>5</v>
      </c>
      <c r="T173" t="s">
        <v>27</v>
      </c>
      <c r="U173" s="38" t="s">
        <v>160</v>
      </c>
      <c r="W173">
        <v>5</v>
      </c>
      <c r="X173">
        <f t="shared" si="20"/>
        <v>2</v>
      </c>
      <c r="Y173">
        <f t="shared" si="18"/>
        <v>45.600000000000009</v>
      </c>
      <c r="Z173">
        <f t="shared" si="18"/>
        <v>0.89999999999999991</v>
      </c>
      <c r="AA173">
        <f t="shared" si="18"/>
        <v>4</v>
      </c>
      <c r="AB173">
        <f t="shared" si="18"/>
        <v>5</v>
      </c>
      <c r="AC173">
        <f t="shared" si="18"/>
        <v>2.5</v>
      </c>
      <c r="AD173">
        <f t="shared" si="18"/>
        <v>10</v>
      </c>
      <c r="AE173">
        <f t="shared" si="18"/>
        <v>5</v>
      </c>
      <c r="AF173">
        <f t="shared" si="18"/>
        <v>0</v>
      </c>
      <c r="AG173">
        <f t="shared" si="18"/>
        <v>5</v>
      </c>
      <c r="AH173">
        <f t="shared" si="18"/>
        <v>0</v>
      </c>
      <c r="AI173">
        <f t="shared" si="18"/>
        <v>0</v>
      </c>
      <c r="AJ173">
        <f t="shared" si="18"/>
        <v>6.25</v>
      </c>
      <c r="AK173">
        <f t="shared" si="18"/>
        <v>13.75</v>
      </c>
      <c r="AL173">
        <f t="shared" si="18"/>
        <v>2.5</v>
      </c>
      <c r="AM173">
        <f t="shared" si="18"/>
        <v>100</v>
      </c>
      <c r="AN173">
        <f t="shared" si="18"/>
        <v>75</v>
      </c>
      <c r="AO173">
        <f t="shared" si="18"/>
        <v>25</v>
      </c>
      <c r="AP173" t="str">
        <f t="shared" si="21"/>
        <v>neg ctrl</v>
      </c>
      <c r="AQ173" t="str">
        <f t="shared" si="22"/>
        <v>DNA 1E7</v>
      </c>
    </row>
    <row r="174" spans="1:43" x14ac:dyDescent="0.35">
      <c r="A174" s="30">
        <v>6</v>
      </c>
      <c r="B174" s="15">
        <v>0.4</v>
      </c>
      <c r="C174" s="29">
        <f t="shared" ref="C174:C175" si="23">Q174-B174-SUM(D174:O174)</f>
        <v>12.120000000000001</v>
      </c>
      <c r="D174" s="28">
        <v>0.18</v>
      </c>
      <c r="E174" s="28">
        <v>0.8</v>
      </c>
      <c r="F174" s="28">
        <v>1</v>
      </c>
      <c r="G174" s="28">
        <v>0.5</v>
      </c>
      <c r="H174" s="28"/>
      <c r="I174" s="28"/>
      <c r="J174" s="28">
        <v>1</v>
      </c>
      <c r="M174" s="28"/>
      <c r="N174" s="15">
        <v>1.25</v>
      </c>
      <c r="O174" s="29">
        <f t="shared" si="17"/>
        <v>2.75</v>
      </c>
      <c r="P174" s="28">
        <v>0.5</v>
      </c>
      <c r="Q174" s="18">
        <v>20</v>
      </c>
      <c r="R174" s="18">
        <v>15</v>
      </c>
      <c r="S174" s="18">
        <v>5</v>
      </c>
      <c r="T174" t="s">
        <v>18</v>
      </c>
      <c r="U174" s="38" t="s">
        <v>161</v>
      </c>
      <c r="W174">
        <v>6</v>
      </c>
      <c r="X174">
        <f t="shared" si="20"/>
        <v>2</v>
      </c>
      <c r="Y174">
        <f t="shared" si="18"/>
        <v>60.600000000000009</v>
      </c>
      <c r="Z174">
        <f t="shared" si="18"/>
        <v>0.89999999999999991</v>
      </c>
      <c r="AA174">
        <f t="shared" si="18"/>
        <v>4</v>
      </c>
      <c r="AB174">
        <f t="shared" si="18"/>
        <v>5</v>
      </c>
      <c r="AC174">
        <f t="shared" si="18"/>
        <v>2.5</v>
      </c>
      <c r="AD174">
        <f t="shared" si="18"/>
        <v>0</v>
      </c>
      <c r="AE174">
        <f t="shared" si="18"/>
        <v>0</v>
      </c>
      <c r="AF174">
        <f t="shared" si="18"/>
        <v>5</v>
      </c>
      <c r="AG174">
        <f t="shared" si="18"/>
        <v>0</v>
      </c>
      <c r="AH174">
        <f t="shared" si="18"/>
        <v>0</v>
      </c>
      <c r="AI174">
        <f t="shared" si="18"/>
        <v>0</v>
      </c>
      <c r="AJ174">
        <f t="shared" si="18"/>
        <v>6.25</v>
      </c>
      <c r="AK174">
        <f t="shared" si="18"/>
        <v>13.75</v>
      </c>
      <c r="AL174">
        <f t="shared" si="18"/>
        <v>2.5</v>
      </c>
      <c r="AM174">
        <f t="shared" si="18"/>
        <v>100</v>
      </c>
      <c r="AN174">
        <f t="shared" si="18"/>
        <v>75</v>
      </c>
      <c r="AO174">
        <f t="shared" si="18"/>
        <v>25</v>
      </c>
      <c r="AP174" t="str">
        <f t="shared" si="21"/>
        <v>pos ctrl</v>
      </c>
      <c r="AQ174" t="str">
        <f t="shared" si="22"/>
        <v>RNApol test</v>
      </c>
    </row>
    <row r="175" spans="1:43" x14ac:dyDescent="0.35">
      <c r="A175" s="36">
        <v>7</v>
      </c>
      <c r="B175" s="15">
        <v>0.4</v>
      </c>
      <c r="C175" s="29">
        <f t="shared" si="23"/>
        <v>13.420000000000002</v>
      </c>
      <c r="D175" s="28">
        <v>0.18</v>
      </c>
      <c r="E175" s="28"/>
      <c r="F175" s="28">
        <v>1</v>
      </c>
      <c r="G175" s="28"/>
      <c r="H175" s="28"/>
      <c r="I175" s="28"/>
      <c r="N175" s="15">
        <v>1.25</v>
      </c>
      <c r="O175" s="29">
        <f t="shared" si="17"/>
        <v>3.75</v>
      </c>
      <c r="P175">
        <v>0.5</v>
      </c>
      <c r="Q175" s="18">
        <v>20</v>
      </c>
      <c r="R175" s="18">
        <v>15</v>
      </c>
      <c r="S175" s="18">
        <v>5</v>
      </c>
      <c r="T175" t="s">
        <v>18</v>
      </c>
      <c r="U175" s="38" t="s">
        <v>162</v>
      </c>
      <c r="W175">
        <v>7</v>
      </c>
      <c r="X175">
        <f t="shared" si="20"/>
        <v>2</v>
      </c>
      <c r="Y175">
        <f t="shared" si="18"/>
        <v>67.100000000000009</v>
      </c>
      <c r="Z175">
        <f t="shared" si="18"/>
        <v>0.89999999999999991</v>
      </c>
      <c r="AA175">
        <f t="shared" si="18"/>
        <v>0</v>
      </c>
      <c r="AB175">
        <f t="shared" si="18"/>
        <v>5</v>
      </c>
      <c r="AC175">
        <f t="shared" si="18"/>
        <v>0</v>
      </c>
      <c r="AD175">
        <f t="shared" si="18"/>
        <v>0</v>
      </c>
      <c r="AE175">
        <f t="shared" si="18"/>
        <v>0</v>
      </c>
      <c r="AF175">
        <f t="shared" si="18"/>
        <v>0</v>
      </c>
      <c r="AG175">
        <f t="shared" si="18"/>
        <v>0</v>
      </c>
      <c r="AH175">
        <f t="shared" si="18"/>
        <v>0</v>
      </c>
      <c r="AI175">
        <f t="shared" si="18"/>
        <v>0</v>
      </c>
      <c r="AJ175">
        <f t="shared" si="18"/>
        <v>6.25</v>
      </c>
      <c r="AK175">
        <f t="shared" si="18"/>
        <v>18.75</v>
      </c>
      <c r="AL175">
        <f t="shared" si="18"/>
        <v>2.5</v>
      </c>
      <c r="AM175">
        <f t="shared" si="18"/>
        <v>100</v>
      </c>
      <c r="AN175">
        <f t="shared" si="18"/>
        <v>75</v>
      </c>
      <c r="AO175">
        <f t="shared" si="18"/>
        <v>25</v>
      </c>
      <c r="AP175" t="str">
        <f t="shared" si="21"/>
        <v>pos ctrl</v>
      </c>
      <c r="AQ175" t="str">
        <f t="shared" si="22"/>
        <v>reporter system test</v>
      </c>
    </row>
    <row r="176" spans="1:43" x14ac:dyDescent="0.35">
      <c r="A176" s="36"/>
      <c r="B176" s="28"/>
      <c r="C176" s="28"/>
      <c r="D176" s="28"/>
      <c r="E176" s="28"/>
      <c r="F176" s="28"/>
      <c r="G176" s="28"/>
      <c r="H176" s="28"/>
      <c r="I176" s="28"/>
      <c r="P176" s="18"/>
      <c r="R176" s="38"/>
    </row>
    <row r="177" spans="1:17" x14ac:dyDescent="0.35">
      <c r="A177" s="36"/>
      <c r="B177" s="28"/>
      <c r="C177" s="28"/>
      <c r="D177" s="28"/>
      <c r="E177" s="28"/>
      <c r="F177" s="28"/>
      <c r="G177" s="28"/>
      <c r="H177" s="28"/>
      <c r="J177" s="28"/>
      <c r="K177" s="28"/>
      <c r="M177" s="28"/>
      <c r="N177" s="28"/>
      <c r="P177" s="18"/>
      <c r="Q177" s="28"/>
    </row>
    <row r="178" spans="1:17" x14ac:dyDescent="0.35">
      <c r="A178" s="36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35"/>
      <c r="P178" s="28"/>
      <c r="Q178" s="15"/>
    </row>
    <row r="179" spans="1:17" x14ac:dyDescent="0.35">
      <c r="A179" s="26" t="s">
        <v>81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</row>
    <row r="180" spans="1:17" x14ac:dyDescent="0.35">
      <c r="A180" s="27">
        <v>1</v>
      </c>
      <c r="B180" s="15" t="s">
        <v>158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</row>
    <row r="181" spans="1:17" x14ac:dyDescent="0.35">
      <c r="A181" s="27">
        <v>2</v>
      </c>
      <c r="B181" s="15" t="s">
        <v>122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</row>
    <row r="182" spans="1:17" x14ac:dyDescent="0.35">
      <c r="A182" s="27">
        <v>3</v>
      </c>
      <c r="B182" s="15" t="s">
        <v>159</v>
      </c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</row>
    <row r="183" spans="1:17" x14ac:dyDescent="0.35">
      <c r="A183" s="27">
        <v>4</v>
      </c>
      <c r="B183" s="15" t="s">
        <v>143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</row>
    <row r="184" spans="1:17" x14ac:dyDescent="0.35">
      <c r="A184" s="27">
        <v>5</v>
      </c>
      <c r="B184" s="15" t="s">
        <v>35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</row>
    <row r="190" spans="1:17" ht="21" x14ac:dyDescent="0.35">
      <c r="A190" s="13" t="s">
        <v>188</v>
      </c>
    </row>
    <row r="191" spans="1:17" ht="15.5" x14ac:dyDescent="0.35">
      <c r="A191" s="50" t="s">
        <v>186</v>
      </c>
    </row>
    <row r="192" spans="1:17" x14ac:dyDescent="0.35">
      <c r="A192" t="s">
        <v>189</v>
      </c>
    </row>
    <row r="193" spans="1:14" x14ac:dyDescent="0.35">
      <c r="B193" s="14"/>
      <c r="C193" s="14"/>
      <c r="D193" s="14"/>
      <c r="E193" s="14"/>
      <c r="F193" s="14"/>
      <c r="G193" s="14"/>
      <c r="H193" s="14"/>
      <c r="I193" s="14"/>
      <c r="J193" s="14"/>
      <c r="K193" s="15"/>
      <c r="L193" s="15"/>
      <c r="M193" s="15"/>
      <c r="N193" s="15"/>
    </row>
    <row r="194" spans="1:14" ht="15.5" x14ac:dyDescent="0.35">
      <c r="A194" s="50" t="s">
        <v>155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5"/>
      <c r="L194" s="15"/>
      <c r="M194" s="15"/>
      <c r="N194" s="15"/>
    </row>
    <row r="195" spans="1:14" ht="15.5" x14ac:dyDescent="0.35">
      <c r="A195" s="46" t="s">
        <v>129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5"/>
      <c r="L195" s="15"/>
      <c r="M195" s="15"/>
      <c r="N195" s="15"/>
    </row>
    <row r="196" spans="1:14" ht="15.5" x14ac:dyDescent="0.35">
      <c r="A196" s="47" t="s">
        <v>190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5"/>
      <c r="L196" s="15"/>
      <c r="M196" s="15"/>
      <c r="N196" s="15"/>
    </row>
    <row r="197" spans="1:14" ht="15.5" x14ac:dyDescent="0.35">
      <c r="A197" s="47" t="s">
        <v>191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5"/>
      <c r="L197" s="15"/>
      <c r="M197" s="15"/>
      <c r="N197" s="15"/>
    </row>
    <row r="198" spans="1:14" ht="15.5" x14ac:dyDescent="0.35">
      <c r="A198" s="47"/>
      <c r="B198" s="14"/>
      <c r="C198" s="14"/>
      <c r="D198" s="14"/>
      <c r="E198" s="14"/>
      <c r="F198" s="14"/>
      <c r="G198" s="14"/>
      <c r="H198" s="14"/>
      <c r="I198" s="14"/>
      <c r="J198" s="14"/>
      <c r="K198" s="15"/>
      <c r="L198" s="15"/>
      <c r="M198" s="15"/>
      <c r="N198" s="15"/>
    </row>
    <row r="199" spans="1:14" x14ac:dyDescent="0.35">
      <c r="A199" s="26" t="s">
        <v>79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5"/>
      <c r="L199" s="15"/>
      <c r="M199" s="15"/>
      <c r="N199" s="15"/>
    </row>
    <row r="200" spans="1:14" x14ac:dyDescent="0.35">
      <c r="A200" s="26" t="s">
        <v>77</v>
      </c>
      <c r="B200" s="42" t="s">
        <v>78</v>
      </c>
      <c r="C200" s="14"/>
      <c r="D200" s="14"/>
      <c r="E200" s="14"/>
      <c r="F200" s="14"/>
      <c r="G200" s="14"/>
      <c r="H200" s="14"/>
      <c r="I200" s="14"/>
      <c r="J200" s="14"/>
      <c r="K200" s="15"/>
      <c r="L200" s="15"/>
      <c r="M200" s="15"/>
      <c r="N200" s="15"/>
    </row>
    <row r="201" spans="1:14" x14ac:dyDescent="0.35">
      <c r="A201" s="24" t="s">
        <v>39</v>
      </c>
      <c r="B201" s="24" t="s">
        <v>84</v>
      </c>
      <c r="C201" s="42"/>
      <c r="D201" s="43"/>
      <c r="E201" s="43"/>
      <c r="F201" s="43"/>
      <c r="G201" s="43"/>
      <c r="H201" s="43"/>
      <c r="I201" s="44"/>
      <c r="J201" s="14"/>
      <c r="K201" s="15"/>
      <c r="L201" s="15"/>
      <c r="M201" s="15"/>
      <c r="N201" s="15"/>
    </row>
    <row r="202" spans="1:14" x14ac:dyDescent="0.35">
      <c r="A202" s="24" t="s">
        <v>49</v>
      </c>
      <c r="B202" s="24" t="s">
        <v>203</v>
      </c>
      <c r="C202" s="14"/>
      <c r="D202" s="14"/>
      <c r="E202" s="14"/>
      <c r="F202" s="14"/>
      <c r="G202" s="14"/>
      <c r="H202" s="14"/>
      <c r="I202" s="14"/>
      <c r="J202" s="14"/>
      <c r="K202" s="15"/>
      <c r="L202" s="15"/>
      <c r="M202" s="15"/>
      <c r="N202" s="15"/>
    </row>
    <row r="203" spans="1:14" x14ac:dyDescent="0.35">
      <c r="A203" s="24" t="s">
        <v>21</v>
      </c>
      <c r="B203" s="24" t="s">
        <v>84</v>
      </c>
      <c r="C203" s="14"/>
      <c r="D203" s="14"/>
      <c r="E203" s="14"/>
      <c r="F203" s="14"/>
      <c r="G203" s="14"/>
      <c r="H203" s="14"/>
      <c r="I203" s="14"/>
      <c r="J203" s="14"/>
      <c r="K203" s="15"/>
      <c r="L203" s="15"/>
      <c r="M203" s="15"/>
      <c r="N203" s="15"/>
    </row>
    <row r="204" spans="1:14" x14ac:dyDescent="0.35">
      <c r="A204" s="24" t="s">
        <v>194</v>
      </c>
      <c r="B204" s="24" t="s">
        <v>204</v>
      </c>
      <c r="C204" s="14"/>
      <c r="D204" s="14"/>
      <c r="E204" s="14"/>
      <c r="F204" s="14"/>
      <c r="G204" s="14"/>
      <c r="H204" s="14"/>
      <c r="I204" s="14"/>
      <c r="J204" s="14"/>
      <c r="K204" s="15"/>
      <c r="L204" s="15"/>
      <c r="M204" s="15"/>
      <c r="N204" s="15"/>
    </row>
    <row r="205" spans="1:14" x14ac:dyDescent="0.35">
      <c r="A205" s="33" t="s">
        <v>206</v>
      </c>
      <c r="B205" s="33" t="s">
        <v>207</v>
      </c>
      <c r="C205" s="14"/>
      <c r="D205" s="14"/>
      <c r="E205" s="14"/>
      <c r="F205" s="14"/>
      <c r="G205" s="14"/>
      <c r="H205" s="14"/>
      <c r="I205" s="14"/>
      <c r="J205" s="14"/>
      <c r="K205" s="15"/>
      <c r="L205" s="15"/>
      <c r="M205" s="15"/>
      <c r="N205" s="15"/>
    </row>
    <row r="206" spans="1:14" x14ac:dyDescent="0.35">
      <c r="A206" s="33" t="s">
        <v>193</v>
      </c>
      <c r="B206" s="33" t="s">
        <v>208</v>
      </c>
      <c r="C206" s="40"/>
      <c r="D206" s="14"/>
      <c r="F206" s="14"/>
      <c r="G206" s="14"/>
      <c r="H206" s="14"/>
      <c r="I206" s="14"/>
      <c r="K206" s="15"/>
      <c r="L206" s="15"/>
      <c r="M206" s="15"/>
      <c r="N206" s="15"/>
    </row>
    <row r="207" spans="1:14" x14ac:dyDescent="0.35">
      <c r="A207" s="33" t="s">
        <v>192</v>
      </c>
      <c r="B207" s="33" t="s">
        <v>209</v>
      </c>
      <c r="F207" s="14"/>
      <c r="G207" s="14"/>
      <c r="H207" s="14"/>
      <c r="I207" s="14"/>
      <c r="K207" s="15"/>
      <c r="L207" s="15"/>
      <c r="M207" s="15"/>
      <c r="N207" s="15"/>
    </row>
    <row r="208" spans="1:14" x14ac:dyDescent="0.35">
      <c r="A208" s="24" t="s">
        <v>200</v>
      </c>
      <c r="B208" s="14" t="s">
        <v>201</v>
      </c>
      <c r="C208" s="14"/>
      <c r="D208" s="40"/>
      <c r="F208" s="14"/>
      <c r="G208" s="14"/>
      <c r="H208" s="14"/>
      <c r="I208" s="14"/>
      <c r="K208" s="15"/>
      <c r="L208" s="15"/>
      <c r="M208" s="15"/>
      <c r="N208" s="15"/>
    </row>
    <row r="209" spans="1:43" x14ac:dyDescent="0.35">
      <c r="A209" s="24" t="s">
        <v>195</v>
      </c>
      <c r="B209" s="33" t="s">
        <v>202</v>
      </c>
      <c r="L209" s="15"/>
      <c r="M209" s="15"/>
      <c r="N209" s="15"/>
    </row>
    <row r="210" spans="1:43" x14ac:dyDescent="0.35">
      <c r="A210" s="24" t="s">
        <v>199</v>
      </c>
      <c r="B210" s="33" t="s">
        <v>205</v>
      </c>
      <c r="C210" s="14"/>
      <c r="D210" s="14"/>
      <c r="E210" s="14"/>
      <c r="F210" s="14"/>
      <c r="H210" s="14"/>
      <c r="I210" s="14"/>
      <c r="J210" s="53"/>
      <c r="K210" s="54"/>
      <c r="O210" s="56"/>
      <c r="Q210" s="55"/>
      <c r="R210" s="55"/>
    </row>
    <row r="211" spans="1:43" ht="29" x14ac:dyDescent="0.35">
      <c r="A211" s="17" t="s">
        <v>168</v>
      </c>
      <c r="B211" s="33" t="s">
        <v>169</v>
      </c>
      <c r="C211" s="14"/>
      <c r="D211" s="14"/>
      <c r="E211" s="14"/>
      <c r="F211" s="14"/>
      <c r="H211" s="14"/>
      <c r="I211" s="14"/>
      <c r="J211" s="53"/>
      <c r="K211" s="54"/>
      <c r="O211" s="56"/>
      <c r="Q211" s="55"/>
      <c r="R211" s="55"/>
    </row>
    <row r="212" spans="1:43" ht="29" x14ac:dyDescent="0.35">
      <c r="A212" s="17" t="s">
        <v>131</v>
      </c>
      <c r="B212" t="s">
        <v>132</v>
      </c>
      <c r="C212" s="14"/>
      <c r="D212" s="14"/>
      <c r="E212" s="14"/>
      <c r="F212" s="14"/>
      <c r="G212" s="14"/>
      <c r="H212" s="14"/>
      <c r="I212" s="14"/>
      <c r="J212" s="14"/>
      <c r="K212" s="15"/>
      <c r="L212" s="15"/>
      <c r="M212" s="15"/>
      <c r="N212" s="15"/>
    </row>
    <row r="213" spans="1:43" x14ac:dyDescent="0.35">
      <c r="A213" s="5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5"/>
      <c r="N213" s="15"/>
      <c r="O213" s="15"/>
    </row>
    <row r="214" spans="1:43" x14ac:dyDescent="0.35">
      <c r="A214" s="17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5"/>
      <c r="N214" s="15"/>
      <c r="O214" s="26" t="s">
        <v>113</v>
      </c>
    </row>
    <row r="215" spans="1:43" ht="29" x14ac:dyDescent="0.35">
      <c r="A215" s="34" t="s">
        <v>73</v>
      </c>
      <c r="B215" s="48" t="s">
        <v>198</v>
      </c>
      <c r="C215" s="48" t="s">
        <v>198</v>
      </c>
      <c r="D215" s="48" t="s">
        <v>198</v>
      </c>
      <c r="E215" s="48" t="s">
        <v>198</v>
      </c>
      <c r="F215" s="48" t="s">
        <v>198</v>
      </c>
      <c r="G215" s="48" t="s">
        <v>198</v>
      </c>
      <c r="H215" s="48" t="s">
        <v>198</v>
      </c>
      <c r="I215" s="48" t="s">
        <v>198</v>
      </c>
      <c r="J215" s="48" t="s">
        <v>198</v>
      </c>
      <c r="K215" s="49" t="s">
        <v>197</v>
      </c>
      <c r="L215" s="49" t="s">
        <v>197</v>
      </c>
      <c r="M215" s="49" t="s">
        <v>197</v>
      </c>
      <c r="N215" s="49" t="s">
        <v>197</v>
      </c>
      <c r="O215" s="49"/>
      <c r="P215" s="9"/>
      <c r="Q215" s="17"/>
      <c r="R215" s="17"/>
      <c r="S215" s="17"/>
      <c r="W215" s="48" t="s">
        <v>135</v>
      </c>
      <c r="X215" s="48" t="s">
        <v>135</v>
      </c>
      <c r="Y215" s="48" t="s">
        <v>135</v>
      </c>
      <c r="Z215" s="48" t="s">
        <v>135</v>
      </c>
      <c r="AA215" s="48" t="s">
        <v>135</v>
      </c>
      <c r="AB215" s="48" t="s">
        <v>135</v>
      </c>
      <c r="AC215" s="48" t="s">
        <v>135</v>
      </c>
      <c r="AD215" s="48" t="s">
        <v>135</v>
      </c>
      <c r="AE215" s="49" t="s">
        <v>134</v>
      </c>
      <c r="AF215" s="49" t="s">
        <v>134</v>
      </c>
      <c r="AG215" s="49" t="s">
        <v>134</v>
      </c>
      <c r="AH215" s="49" t="s">
        <v>134</v>
      </c>
      <c r="AI215" s="49" t="s">
        <v>134</v>
      </c>
    </row>
    <row r="216" spans="1:43" ht="44" thickBot="1" x14ac:dyDescent="0.4">
      <c r="A216" s="31" t="s">
        <v>7</v>
      </c>
      <c r="B216" s="32" t="s">
        <v>49</v>
      </c>
      <c r="C216" s="32" t="s">
        <v>210</v>
      </c>
      <c r="D216" s="32" t="s">
        <v>211</v>
      </c>
      <c r="E216" s="32" t="s">
        <v>212</v>
      </c>
      <c r="F216" s="32" t="s">
        <v>213</v>
      </c>
      <c r="G216" s="32" t="s">
        <v>214</v>
      </c>
      <c r="H216" s="32" t="s">
        <v>154</v>
      </c>
      <c r="I216" s="32" t="s">
        <v>8</v>
      </c>
      <c r="J216" s="32" t="s">
        <v>29</v>
      </c>
      <c r="K216" s="32"/>
      <c r="L216" s="32" t="s">
        <v>199</v>
      </c>
      <c r="M216" s="32" t="s">
        <v>195</v>
      </c>
      <c r="N216" s="32" t="s">
        <v>196</v>
      </c>
      <c r="O216" s="32" t="s">
        <v>49</v>
      </c>
      <c r="Q216" s="5" t="s">
        <v>6</v>
      </c>
      <c r="R216" s="5" t="s">
        <v>184</v>
      </c>
      <c r="S216" s="5" t="s">
        <v>180</v>
      </c>
      <c r="T216" s="5" t="s">
        <v>17</v>
      </c>
      <c r="U216" s="5" t="s">
        <v>78</v>
      </c>
      <c r="W216" t="str">
        <f>A216</f>
        <v>reaction mix No.</v>
      </c>
      <c r="X216" t="str">
        <f t="shared" ref="X216:AQ216" si="24">B216</f>
        <v>water</v>
      </c>
      <c r="Y216" t="str">
        <f t="shared" si="24"/>
        <v>20mM HEPES pH7</v>
      </c>
      <c r="Z216" t="str">
        <f t="shared" si="24"/>
        <v>20mM Tris.Cl ph 7.5</v>
      </c>
      <c r="AA216" t="str">
        <f t="shared" si="24"/>
        <v>10mM Phosphate pH7</v>
      </c>
      <c r="AB216" t="str">
        <f t="shared" si="24"/>
        <v>kit buffer 1x</v>
      </c>
      <c r="AC216" t="str">
        <f t="shared" si="24"/>
        <v>SB buffer 1x</v>
      </c>
      <c r="AD216" t="str">
        <f t="shared" si="24"/>
        <v>Murine RNAse inhibitor</v>
      </c>
      <c r="AE216" t="str">
        <f t="shared" si="24"/>
        <v>…</v>
      </c>
      <c r="AF216" t="str">
        <f t="shared" si="24"/>
        <v>Benzoase(TM) nuclease 25U/ul</v>
      </c>
      <c r="AG216">
        <f t="shared" si="24"/>
        <v>0</v>
      </c>
      <c r="AH216" t="str">
        <f t="shared" si="24"/>
        <v>very old substrate</v>
      </c>
      <c r="AI216" t="str">
        <f t="shared" si="24"/>
        <v>kit substrate</v>
      </c>
      <c r="AJ216" t="str">
        <f t="shared" si="24"/>
        <v>new substrate</v>
      </c>
      <c r="AK216" t="str">
        <f t="shared" si="24"/>
        <v>water</v>
      </c>
      <c r="AL216">
        <f t="shared" si="24"/>
        <v>0</v>
      </c>
      <c r="AM216" t="str">
        <f t="shared" si="24"/>
        <v>total</v>
      </c>
      <c r="AN216" t="str">
        <f t="shared" si="24"/>
        <v>tube A</v>
      </c>
      <c r="AO216" t="str">
        <f t="shared" si="24"/>
        <v>tube B</v>
      </c>
      <c r="AP216" t="str">
        <f t="shared" si="24"/>
        <v>notes</v>
      </c>
      <c r="AQ216" t="str">
        <f t="shared" si="24"/>
        <v>details</v>
      </c>
    </row>
    <row r="217" spans="1:43" ht="15" thickTop="1" x14ac:dyDescent="0.35">
      <c r="A217" s="30">
        <v>1</v>
      </c>
      <c r="B217" s="29">
        <f>$R217-SUM(C217:J217)</f>
        <v>23.5</v>
      </c>
      <c r="C217" s="28"/>
      <c r="D217" s="28"/>
      <c r="E217" s="28"/>
      <c r="F217" s="28">
        <v>1</v>
      </c>
      <c r="G217" s="28"/>
      <c r="H217" s="28"/>
      <c r="I217" s="28"/>
      <c r="J217">
        <v>0.5</v>
      </c>
      <c r="L217" s="28">
        <v>1.25</v>
      </c>
      <c r="N217" s="15"/>
      <c r="O217" s="29">
        <f>S217-SUM(K217:N217)</f>
        <v>23.75</v>
      </c>
      <c r="P217" s="28"/>
      <c r="Q217" s="57">
        <f>R217+S217</f>
        <v>50</v>
      </c>
      <c r="R217" s="18">
        <v>25</v>
      </c>
      <c r="S217" s="18">
        <v>25</v>
      </c>
      <c r="T217" s="15" t="s">
        <v>18</v>
      </c>
      <c r="U217" s="25"/>
      <c r="W217">
        <v>1</v>
      </c>
      <c r="X217">
        <f>B217*4*1.25</f>
        <v>117.5</v>
      </c>
      <c r="Y217">
        <f t="shared" ref="Y217:AO229" si="25">C217*4*1.25</f>
        <v>0</v>
      </c>
      <c r="Z217">
        <f t="shared" si="25"/>
        <v>0</v>
      </c>
      <c r="AA217">
        <f t="shared" si="25"/>
        <v>0</v>
      </c>
      <c r="AB217">
        <f t="shared" si="25"/>
        <v>5</v>
      </c>
      <c r="AC217">
        <f t="shared" si="25"/>
        <v>0</v>
      </c>
      <c r="AD217">
        <f t="shared" si="25"/>
        <v>0</v>
      </c>
      <c r="AE217">
        <f t="shared" si="25"/>
        <v>0</v>
      </c>
      <c r="AF217">
        <f t="shared" si="25"/>
        <v>2.5</v>
      </c>
      <c r="AG217">
        <f t="shared" si="25"/>
        <v>0</v>
      </c>
      <c r="AH217">
        <f t="shared" si="25"/>
        <v>6.25</v>
      </c>
      <c r="AI217">
        <f t="shared" si="25"/>
        <v>0</v>
      </c>
      <c r="AJ217">
        <f t="shared" si="25"/>
        <v>0</v>
      </c>
      <c r="AK217">
        <f t="shared" si="25"/>
        <v>118.75</v>
      </c>
      <c r="AL217">
        <f t="shared" si="25"/>
        <v>0</v>
      </c>
      <c r="AM217">
        <f t="shared" si="25"/>
        <v>250</v>
      </c>
      <c r="AN217">
        <f t="shared" si="25"/>
        <v>125</v>
      </c>
      <c r="AO217">
        <f t="shared" si="25"/>
        <v>125</v>
      </c>
      <c r="AP217" t="str">
        <f>T217</f>
        <v>pos ctrl</v>
      </c>
      <c r="AQ217">
        <f>U217</f>
        <v>0</v>
      </c>
    </row>
    <row r="218" spans="1:43" x14ac:dyDescent="0.35">
      <c r="A218" s="30">
        <v>2</v>
      </c>
      <c r="B218" s="29">
        <f t="shared" ref="B218:B230" si="26">$R218-SUM(C218:J218)</f>
        <v>23.5</v>
      </c>
      <c r="C218" s="28"/>
      <c r="D218" s="28"/>
      <c r="E218" s="28"/>
      <c r="F218" s="28">
        <v>1</v>
      </c>
      <c r="G218" s="28"/>
      <c r="H218" s="28"/>
      <c r="I218" s="28"/>
      <c r="J218">
        <v>0.5</v>
      </c>
      <c r="L218" s="28">
        <v>10</v>
      </c>
      <c r="N218" s="15"/>
      <c r="O218" s="29">
        <f t="shared" ref="O218:O222" si="27">S218-SUM(K218:N218)</f>
        <v>15</v>
      </c>
      <c r="P218" s="28"/>
      <c r="Q218" s="57">
        <f t="shared" ref="Q218:Q222" si="28">R218+S218</f>
        <v>50</v>
      </c>
      <c r="R218" s="18">
        <v>25</v>
      </c>
      <c r="S218" s="18">
        <v>25</v>
      </c>
      <c r="T218" s="15" t="s">
        <v>18</v>
      </c>
      <c r="U218" s="25"/>
      <c r="W218">
        <v>2</v>
      </c>
      <c r="X218">
        <f t="shared" ref="X218:X222" si="29">B218*4*1.25</f>
        <v>117.5</v>
      </c>
      <c r="Y218">
        <f t="shared" ref="Y218:Y222" si="30">C218*4*1.25</f>
        <v>0</v>
      </c>
      <c r="Z218">
        <f t="shared" ref="Z218:Z222" si="31">D218*4*1.25</f>
        <v>0</v>
      </c>
      <c r="AA218">
        <f t="shared" ref="AA218:AA222" si="32">E218*4*1.25</f>
        <v>0</v>
      </c>
      <c r="AB218">
        <f t="shared" ref="AB218:AB222" si="33">F218*4*1.25</f>
        <v>5</v>
      </c>
      <c r="AC218">
        <f t="shared" ref="AC218:AC222" si="34">G218*4*1.25</f>
        <v>0</v>
      </c>
      <c r="AD218">
        <f t="shared" ref="AD218:AD222" si="35">H218*4*1.25</f>
        <v>0</v>
      </c>
      <c r="AE218">
        <f t="shared" ref="AE218:AE222" si="36">I218*4*1.25</f>
        <v>0</v>
      </c>
      <c r="AF218">
        <f t="shared" ref="AF218:AF222" si="37">J218*4*1.25</f>
        <v>2.5</v>
      </c>
      <c r="AG218">
        <f t="shared" ref="AG218:AG222" si="38">K218*4*1.25</f>
        <v>0</v>
      </c>
      <c r="AH218">
        <f t="shared" ref="AH218:AH222" si="39">L218*4*1.25</f>
        <v>50</v>
      </c>
      <c r="AI218">
        <f t="shared" ref="AI218:AI222" si="40">M218*4*1.25</f>
        <v>0</v>
      </c>
      <c r="AJ218">
        <f t="shared" ref="AJ218:AJ222" si="41">N218*4*1.25</f>
        <v>0</v>
      </c>
      <c r="AK218">
        <f t="shared" ref="AK218:AK222" si="42">O218*4*1.25</f>
        <v>75</v>
      </c>
      <c r="AL218">
        <f t="shared" ref="AL218:AL222" si="43">P218*4*1.25</f>
        <v>0</v>
      </c>
      <c r="AM218">
        <f t="shared" ref="AM218:AM222" si="44">Q218*4*1.25</f>
        <v>250</v>
      </c>
      <c r="AN218">
        <f t="shared" ref="AN218:AN222" si="45">R218*4*1.25</f>
        <v>125</v>
      </c>
      <c r="AO218">
        <f t="shared" ref="AO218:AO222" si="46">S218*4*1.25</f>
        <v>125</v>
      </c>
      <c r="AP218" t="str">
        <f t="shared" ref="AP218:AP222" si="47">T218</f>
        <v>pos ctrl</v>
      </c>
      <c r="AQ218">
        <f t="shared" ref="AQ218:AQ222" si="48">U218</f>
        <v>0</v>
      </c>
    </row>
    <row r="219" spans="1:43" x14ac:dyDescent="0.35">
      <c r="A219" s="30">
        <v>3</v>
      </c>
      <c r="B219" s="29">
        <f t="shared" si="26"/>
        <v>23.5</v>
      </c>
      <c r="C219" s="28"/>
      <c r="D219" s="28"/>
      <c r="E219" s="28"/>
      <c r="F219" s="28">
        <v>1</v>
      </c>
      <c r="G219" s="28"/>
      <c r="H219" s="28"/>
      <c r="I219" s="28"/>
      <c r="J219">
        <v>0.5</v>
      </c>
      <c r="L219" s="28"/>
      <c r="M219" s="28">
        <v>1.25</v>
      </c>
      <c r="N219" s="15"/>
      <c r="O219" s="29">
        <f t="shared" si="27"/>
        <v>23.75</v>
      </c>
      <c r="P219" s="28"/>
      <c r="Q219" s="57">
        <f t="shared" si="28"/>
        <v>50</v>
      </c>
      <c r="R219" s="18">
        <v>25</v>
      </c>
      <c r="S219" s="18">
        <v>25</v>
      </c>
      <c r="T219" s="15" t="s">
        <v>18</v>
      </c>
      <c r="U219" s="25"/>
      <c r="W219">
        <v>3</v>
      </c>
      <c r="X219">
        <f t="shared" si="29"/>
        <v>117.5</v>
      </c>
      <c r="Y219">
        <f t="shared" si="30"/>
        <v>0</v>
      </c>
      <c r="Z219">
        <f t="shared" si="31"/>
        <v>0</v>
      </c>
      <c r="AA219">
        <f t="shared" si="32"/>
        <v>0</v>
      </c>
      <c r="AB219">
        <f t="shared" si="33"/>
        <v>5</v>
      </c>
      <c r="AC219">
        <f t="shared" si="34"/>
        <v>0</v>
      </c>
      <c r="AD219">
        <f t="shared" si="35"/>
        <v>0</v>
      </c>
      <c r="AE219">
        <f t="shared" si="36"/>
        <v>0</v>
      </c>
      <c r="AF219">
        <f t="shared" si="37"/>
        <v>2.5</v>
      </c>
      <c r="AG219">
        <f t="shared" si="38"/>
        <v>0</v>
      </c>
      <c r="AH219">
        <f t="shared" si="39"/>
        <v>0</v>
      </c>
      <c r="AI219">
        <f t="shared" si="40"/>
        <v>6.25</v>
      </c>
      <c r="AJ219">
        <f t="shared" si="41"/>
        <v>0</v>
      </c>
      <c r="AK219">
        <f t="shared" si="42"/>
        <v>118.75</v>
      </c>
      <c r="AL219">
        <f t="shared" si="43"/>
        <v>0</v>
      </c>
      <c r="AM219">
        <f t="shared" si="44"/>
        <v>250</v>
      </c>
      <c r="AN219">
        <f t="shared" si="45"/>
        <v>125</v>
      </c>
      <c r="AO219">
        <f t="shared" si="46"/>
        <v>125</v>
      </c>
      <c r="AP219" t="str">
        <f t="shared" si="47"/>
        <v>pos ctrl</v>
      </c>
      <c r="AQ219">
        <f t="shared" si="48"/>
        <v>0</v>
      </c>
    </row>
    <row r="220" spans="1:43" x14ac:dyDescent="0.35">
      <c r="A220" s="30">
        <v>4</v>
      </c>
      <c r="B220" s="29">
        <f t="shared" si="26"/>
        <v>23.5</v>
      </c>
      <c r="C220" s="28"/>
      <c r="D220" s="28"/>
      <c r="E220" s="28"/>
      <c r="F220" s="28">
        <v>1</v>
      </c>
      <c r="G220" s="28"/>
      <c r="H220" s="28"/>
      <c r="I220" s="28"/>
      <c r="J220">
        <v>0.5</v>
      </c>
      <c r="L220" s="28"/>
      <c r="M220" s="28">
        <v>10</v>
      </c>
      <c r="N220" s="15"/>
      <c r="O220" s="29">
        <f t="shared" si="27"/>
        <v>15</v>
      </c>
      <c r="P220" s="28"/>
      <c r="Q220" s="57">
        <f t="shared" si="28"/>
        <v>50</v>
      </c>
      <c r="R220" s="18">
        <v>25</v>
      </c>
      <c r="S220" s="18">
        <v>25</v>
      </c>
      <c r="T220" s="15" t="s">
        <v>18</v>
      </c>
      <c r="U220" s="25"/>
      <c r="W220">
        <v>4</v>
      </c>
      <c r="X220">
        <f t="shared" si="29"/>
        <v>117.5</v>
      </c>
      <c r="Y220">
        <f t="shared" si="30"/>
        <v>0</v>
      </c>
      <c r="Z220">
        <f t="shared" si="31"/>
        <v>0</v>
      </c>
      <c r="AA220">
        <f t="shared" si="32"/>
        <v>0</v>
      </c>
      <c r="AB220">
        <f t="shared" si="33"/>
        <v>5</v>
      </c>
      <c r="AC220">
        <f t="shared" si="34"/>
        <v>0</v>
      </c>
      <c r="AD220">
        <f t="shared" si="35"/>
        <v>0</v>
      </c>
      <c r="AE220">
        <f t="shared" si="36"/>
        <v>0</v>
      </c>
      <c r="AF220">
        <f t="shared" si="37"/>
        <v>2.5</v>
      </c>
      <c r="AG220">
        <f t="shared" si="38"/>
        <v>0</v>
      </c>
      <c r="AH220">
        <f t="shared" si="39"/>
        <v>0</v>
      </c>
      <c r="AI220">
        <f t="shared" si="40"/>
        <v>50</v>
      </c>
      <c r="AJ220">
        <f t="shared" si="41"/>
        <v>0</v>
      </c>
      <c r="AK220">
        <f t="shared" si="42"/>
        <v>75</v>
      </c>
      <c r="AL220">
        <f t="shared" si="43"/>
        <v>0</v>
      </c>
      <c r="AM220">
        <f t="shared" si="44"/>
        <v>250</v>
      </c>
      <c r="AN220">
        <f t="shared" si="45"/>
        <v>125</v>
      </c>
      <c r="AO220">
        <f t="shared" si="46"/>
        <v>125</v>
      </c>
      <c r="AP220" t="str">
        <f t="shared" si="47"/>
        <v>pos ctrl</v>
      </c>
      <c r="AQ220">
        <f t="shared" si="48"/>
        <v>0</v>
      </c>
    </row>
    <row r="221" spans="1:43" x14ac:dyDescent="0.35">
      <c r="A221" s="30">
        <v>5</v>
      </c>
      <c r="B221" s="29">
        <f t="shared" si="26"/>
        <v>23.5</v>
      </c>
      <c r="C221" s="28"/>
      <c r="D221" s="28"/>
      <c r="E221" s="28"/>
      <c r="F221" s="28">
        <v>1</v>
      </c>
      <c r="G221" s="28"/>
      <c r="H221" s="28"/>
      <c r="I221" s="28"/>
      <c r="J221">
        <v>0.5</v>
      </c>
      <c r="L221" s="28"/>
      <c r="N221" s="28">
        <v>1.25</v>
      </c>
      <c r="O221" s="29">
        <f t="shared" si="27"/>
        <v>23.75</v>
      </c>
      <c r="P221" s="28"/>
      <c r="Q221" s="57">
        <f t="shared" si="28"/>
        <v>50</v>
      </c>
      <c r="R221" s="18">
        <v>25</v>
      </c>
      <c r="S221" s="18">
        <v>25</v>
      </c>
      <c r="T221" s="15" t="s">
        <v>18</v>
      </c>
      <c r="U221" s="25"/>
      <c r="W221">
        <v>5</v>
      </c>
      <c r="X221">
        <f t="shared" si="29"/>
        <v>117.5</v>
      </c>
      <c r="Y221">
        <f t="shared" si="30"/>
        <v>0</v>
      </c>
      <c r="Z221">
        <f t="shared" si="31"/>
        <v>0</v>
      </c>
      <c r="AA221">
        <f t="shared" si="32"/>
        <v>0</v>
      </c>
      <c r="AB221">
        <f t="shared" si="33"/>
        <v>5</v>
      </c>
      <c r="AC221">
        <f t="shared" si="34"/>
        <v>0</v>
      </c>
      <c r="AD221">
        <f t="shared" si="35"/>
        <v>0</v>
      </c>
      <c r="AE221">
        <f t="shared" si="36"/>
        <v>0</v>
      </c>
      <c r="AF221">
        <f t="shared" si="37"/>
        <v>2.5</v>
      </c>
      <c r="AG221">
        <f t="shared" si="38"/>
        <v>0</v>
      </c>
      <c r="AH221">
        <f t="shared" si="39"/>
        <v>0</v>
      </c>
      <c r="AI221">
        <f t="shared" si="40"/>
        <v>0</v>
      </c>
      <c r="AJ221">
        <f t="shared" si="41"/>
        <v>6.25</v>
      </c>
      <c r="AK221">
        <f t="shared" si="42"/>
        <v>118.75</v>
      </c>
      <c r="AL221">
        <f t="shared" si="43"/>
        <v>0</v>
      </c>
      <c r="AM221">
        <f t="shared" si="44"/>
        <v>250</v>
      </c>
      <c r="AN221">
        <f t="shared" si="45"/>
        <v>125</v>
      </c>
      <c r="AO221">
        <f t="shared" si="46"/>
        <v>125</v>
      </c>
      <c r="AP221" t="str">
        <f t="shared" si="47"/>
        <v>pos ctrl</v>
      </c>
      <c r="AQ221">
        <f t="shared" si="48"/>
        <v>0</v>
      </c>
    </row>
    <row r="222" spans="1:43" x14ac:dyDescent="0.35">
      <c r="A222" s="30">
        <v>6</v>
      </c>
      <c r="B222" s="29">
        <f t="shared" si="26"/>
        <v>23.5</v>
      </c>
      <c r="C222" s="28"/>
      <c r="D222" s="28"/>
      <c r="E222" s="28"/>
      <c r="F222" s="28">
        <v>1</v>
      </c>
      <c r="G222" s="28"/>
      <c r="H222" s="28"/>
      <c r="I222" s="28"/>
      <c r="J222">
        <v>0.5</v>
      </c>
      <c r="L222" s="28"/>
      <c r="N222" s="28">
        <v>10</v>
      </c>
      <c r="O222" s="29">
        <f t="shared" si="27"/>
        <v>15</v>
      </c>
      <c r="P222" s="28"/>
      <c r="Q222" s="57">
        <f t="shared" si="28"/>
        <v>50</v>
      </c>
      <c r="R222" s="18">
        <v>25</v>
      </c>
      <c r="S222" s="18">
        <v>25</v>
      </c>
      <c r="T222" s="15" t="s">
        <v>18</v>
      </c>
      <c r="U222" s="25"/>
      <c r="W222">
        <v>6</v>
      </c>
      <c r="X222">
        <f t="shared" si="29"/>
        <v>117.5</v>
      </c>
      <c r="Y222">
        <f t="shared" si="30"/>
        <v>0</v>
      </c>
      <c r="Z222">
        <f t="shared" si="31"/>
        <v>0</v>
      </c>
      <c r="AA222">
        <f t="shared" si="32"/>
        <v>0</v>
      </c>
      <c r="AB222">
        <f t="shared" si="33"/>
        <v>5</v>
      </c>
      <c r="AC222">
        <f t="shared" si="34"/>
        <v>0</v>
      </c>
      <c r="AD222">
        <f t="shared" si="35"/>
        <v>0</v>
      </c>
      <c r="AE222">
        <f t="shared" si="36"/>
        <v>0</v>
      </c>
      <c r="AF222">
        <f t="shared" si="37"/>
        <v>2.5</v>
      </c>
      <c r="AG222">
        <f t="shared" si="38"/>
        <v>0</v>
      </c>
      <c r="AH222">
        <f t="shared" si="39"/>
        <v>0</v>
      </c>
      <c r="AI222">
        <f t="shared" si="40"/>
        <v>0</v>
      </c>
      <c r="AJ222">
        <f t="shared" si="41"/>
        <v>50</v>
      </c>
      <c r="AK222">
        <f t="shared" si="42"/>
        <v>75</v>
      </c>
      <c r="AL222">
        <f t="shared" si="43"/>
        <v>0</v>
      </c>
      <c r="AM222">
        <f t="shared" si="44"/>
        <v>250</v>
      </c>
      <c r="AN222">
        <f t="shared" si="45"/>
        <v>125</v>
      </c>
      <c r="AO222">
        <f t="shared" si="46"/>
        <v>125</v>
      </c>
      <c r="AP222" t="str">
        <f t="shared" si="47"/>
        <v>pos ctrl</v>
      </c>
      <c r="AQ222">
        <f t="shared" si="48"/>
        <v>0</v>
      </c>
    </row>
    <row r="223" spans="1:43" x14ac:dyDescent="0.35">
      <c r="A223" s="30"/>
      <c r="B223" s="29"/>
      <c r="C223" s="28"/>
      <c r="D223" s="28"/>
      <c r="E223" s="28"/>
      <c r="F223" s="28"/>
      <c r="G223" s="28"/>
      <c r="H223" s="28"/>
      <c r="I223" s="28"/>
      <c r="J223" s="15"/>
      <c r="K223" s="15"/>
      <c r="L223" s="28"/>
      <c r="M223" s="15"/>
      <c r="N223" s="15"/>
      <c r="O223" s="29"/>
      <c r="P223" s="28"/>
      <c r="Q223" s="57"/>
      <c r="R223" s="18"/>
      <c r="S223" s="18"/>
      <c r="T223" s="15"/>
      <c r="U223" s="38"/>
      <c r="V223" s="15"/>
      <c r="W223" s="15"/>
    </row>
    <row r="224" spans="1:43" x14ac:dyDescent="0.35">
      <c r="A224" s="30">
        <v>1</v>
      </c>
      <c r="B224" s="29">
        <f t="shared" si="26"/>
        <v>24</v>
      </c>
      <c r="C224" s="28">
        <v>1</v>
      </c>
      <c r="D224" s="28"/>
      <c r="E224" s="28"/>
      <c r="F224" s="28"/>
      <c r="G224" s="28"/>
      <c r="H224" s="28"/>
      <c r="I224" s="28"/>
      <c r="L224" s="28"/>
      <c r="N224" s="15">
        <v>1.25</v>
      </c>
      <c r="O224" s="29">
        <f t="shared" ref="O224:O229" si="49">S224-SUM(K224:N224)</f>
        <v>23.75</v>
      </c>
      <c r="P224" s="28"/>
      <c r="Q224" s="57">
        <f t="shared" ref="Q224:Q229" si="50">R224+S224</f>
        <v>50</v>
      </c>
      <c r="R224" s="18">
        <v>25</v>
      </c>
      <c r="S224" s="18">
        <v>25</v>
      </c>
      <c r="T224" s="15" t="s">
        <v>27</v>
      </c>
      <c r="U224" s="25" t="s">
        <v>215</v>
      </c>
      <c r="W224">
        <v>1</v>
      </c>
      <c r="X224">
        <f t="shared" ref="X224:X229" si="51">B224*4*1.25</f>
        <v>120</v>
      </c>
      <c r="Y224">
        <f t="shared" si="25"/>
        <v>5</v>
      </c>
      <c r="Z224">
        <f t="shared" si="25"/>
        <v>0</v>
      </c>
      <c r="AA224">
        <f t="shared" si="25"/>
        <v>0</v>
      </c>
      <c r="AB224">
        <f t="shared" si="25"/>
        <v>0</v>
      </c>
      <c r="AC224">
        <f t="shared" si="25"/>
        <v>0</v>
      </c>
      <c r="AD224">
        <f t="shared" si="25"/>
        <v>0</v>
      </c>
      <c r="AE224">
        <f t="shared" si="25"/>
        <v>0</v>
      </c>
      <c r="AF224">
        <f t="shared" si="25"/>
        <v>0</v>
      </c>
      <c r="AG224">
        <f t="shared" si="25"/>
        <v>0</v>
      </c>
      <c r="AH224">
        <f t="shared" si="25"/>
        <v>0</v>
      </c>
      <c r="AI224">
        <f t="shared" si="25"/>
        <v>0</v>
      </c>
      <c r="AJ224">
        <f t="shared" si="25"/>
        <v>6.25</v>
      </c>
      <c r="AK224">
        <f t="shared" si="25"/>
        <v>118.75</v>
      </c>
      <c r="AL224">
        <f t="shared" si="25"/>
        <v>0</v>
      </c>
      <c r="AM224">
        <f t="shared" si="25"/>
        <v>250</v>
      </c>
      <c r="AN224">
        <f t="shared" si="25"/>
        <v>125</v>
      </c>
      <c r="AO224">
        <f t="shared" si="25"/>
        <v>125</v>
      </c>
      <c r="AP224" t="str">
        <f t="shared" ref="AP224:AP229" si="52">T224</f>
        <v>neg ctrl</v>
      </c>
      <c r="AQ224" t="str">
        <f t="shared" ref="AQ224:AQ229" si="53">U224</f>
        <v>no Benzoase</v>
      </c>
    </row>
    <row r="225" spans="1:43" x14ac:dyDescent="0.35">
      <c r="A225" s="30">
        <v>2</v>
      </c>
      <c r="B225" s="29">
        <f t="shared" si="26"/>
        <v>22.5</v>
      </c>
      <c r="C225" s="28">
        <v>1</v>
      </c>
      <c r="D225" s="28"/>
      <c r="E225" s="28"/>
      <c r="F225" s="28"/>
      <c r="G225" s="28"/>
      <c r="H225" s="28">
        <v>1</v>
      </c>
      <c r="I225" s="28"/>
      <c r="J225">
        <v>0.5</v>
      </c>
      <c r="L225" s="28"/>
      <c r="N225" s="15">
        <v>1.25</v>
      </c>
      <c r="O225" s="29">
        <f t="shared" ref="O225" si="54">S225-SUM(K225:N225)</f>
        <v>23.75</v>
      </c>
      <c r="P225" s="28"/>
      <c r="Q225" s="57">
        <f t="shared" ref="Q225" si="55">R225+S225</f>
        <v>50</v>
      </c>
      <c r="R225" s="18">
        <v>25</v>
      </c>
      <c r="S225" s="18">
        <v>25</v>
      </c>
      <c r="T225" s="15" t="s">
        <v>216</v>
      </c>
      <c r="U225" s="25" t="s">
        <v>217</v>
      </c>
      <c r="W225">
        <v>2</v>
      </c>
      <c r="X225">
        <f t="shared" si="51"/>
        <v>112.5</v>
      </c>
      <c r="Y225">
        <f t="shared" si="25"/>
        <v>5</v>
      </c>
      <c r="Z225">
        <f t="shared" si="25"/>
        <v>0</v>
      </c>
      <c r="AA225">
        <f t="shared" si="25"/>
        <v>0</v>
      </c>
      <c r="AB225">
        <f t="shared" si="25"/>
        <v>0</v>
      </c>
      <c r="AC225">
        <f t="shared" si="25"/>
        <v>0</v>
      </c>
      <c r="AD225">
        <f t="shared" si="25"/>
        <v>5</v>
      </c>
      <c r="AE225">
        <f t="shared" si="25"/>
        <v>0</v>
      </c>
      <c r="AF225">
        <f t="shared" si="25"/>
        <v>2.5</v>
      </c>
      <c r="AG225">
        <f t="shared" si="25"/>
        <v>0</v>
      </c>
      <c r="AH225">
        <f t="shared" si="25"/>
        <v>0</v>
      </c>
      <c r="AI225">
        <f t="shared" si="25"/>
        <v>0</v>
      </c>
      <c r="AJ225">
        <f t="shared" si="25"/>
        <v>6.25</v>
      </c>
      <c r="AK225">
        <f t="shared" si="25"/>
        <v>118.75</v>
      </c>
      <c r="AL225">
        <f t="shared" si="25"/>
        <v>0</v>
      </c>
      <c r="AM225">
        <f t="shared" si="25"/>
        <v>250</v>
      </c>
      <c r="AN225">
        <f t="shared" si="25"/>
        <v>125</v>
      </c>
      <c r="AO225">
        <f t="shared" si="25"/>
        <v>125</v>
      </c>
      <c r="AP225" t="str">
        <f t="shared" si="52"/>
        <v>? ctrl</v>
      </c>
      <c r="AQ225" t="str">
        <f t="shared" si="53"/>
        <v>Mur.Inh</v>
      </c>
    </row>
    <row r="226" spans="1:43" x14ac:dyDescent="0.35">
      <c r="A226" s="30">
        <v>3</v>
      </c>
      <c r="B226" s="29">
        <f t="shared" si="26"/>
        <v>23.5</v>
      </c>
      <c r="C226" s="28">
        <v>1</v>
      </c>
      <c r="D226" s="28"/>
      <c r="E226" s="28"/>
      <c r="F226" s="28"/>
      <c r="G226" s="28"/>
      <c r="H226" s="28"/>
      <c r="I226" s="28"/>
      <c r="J226">
        <v>0.5</v>
      </c>
      <c r="L226" s="28"/>
      <c r="N226" s="15">
        <v>1.25</v>
      </c>
      <c r="O226" s="29">
        <f t="shared" si="49"/>
        <v>23.75</v>
      </c>
      <c r="P226" s="28"/>
      <c r="Q226" s="57">
        <f t="shared" si="50"/>
        <v>50</v>
      </c>
      <c r="R226" s="18">
        <v>25</v>
      </c>
      <c r="S226" s="18">
        <v>25</v>
      </c>
      <c r="T226" s="15" t="s">
        <v>18</v>
      </c>
      <c r="U226" s="38" t="s">
        <v>21</v>
      </c>
      <c r="W226">
        <v>3</v>
      </c>
      <c r="X226">
        <f t="shared" si="51"/>
        <v>117.5</v>
      </c>
      <c r="Y226">
        <f t="shared" si="25"/>
        <v>5</v>
      </c>
      <c r="Z226">
        <f t="shared" si="25"/>
        <v>0</v>
      </c>
      <c r="AA226">
        <f t="shared" si="25"/>
        <v>0</v>
      </c>
      <c r="AB226">
        <f t="shared" si="25"/>
        <v>0</v>
      </c>
      <c r="AC226">
        <f t="shared" si="25"/>
        <v>0</v>
      </c>
      <c r="AD226">
        <f t="shared" si="25"/>
        <v>0</v>
      </c>
      <c r="AE226">
        <f t="shared" si="25"/>
        <v>0</v>
      </c>
      <c r="AF226">
        <f t="shared" si="25"/>
        <v>2.5</v>
      </c>
      <c r="AG226">
        <f t="shared" si="25"/>
        <v>0</v>
      </c>
      <c r="AH226">
        <f t="shared" si="25"/>
        <v>0</v>
      </c>
      <c r="AI226">
        <f t="shared" si="25"/>
        <v>0</v>
      </c>
      <c r="AJ226">
        <f t="shared" si="25"/>
        <v>6.25</v>
      </c>
      <c r="AK226">
        <f t="shared" si="25"/>
        <v>118.75</v>
      </c>
      <c r="AL226">
        <f t="shared" si="25"/>
        <v>0</v>
      </c>
      <c r="AM226">
        <f t="shared" si="25"/>
        <v>250</v>
      </c>
      <c r="AN226">
        <f t="shared" si="25"/>
        <v>125</v>
      </c>
      <c r="AO226">
        <f t="shared" si="25"/>
        <v>125</v>
      </c>
      <c r="AP226" t="str">
        <f t="shared" si="52"/>
        <v>pos ctrl</v>
      </c>
      <c r="AQ226" t="str">
        <f t="shared" si="53"/>
        <v>HEPES</v>
      </c>
    </row>
    <row r="227" spans="1:43" x14ac:dyDescent="0.35">
      <c r="A227" s="30">
        <v>4</v>
      </c>
      <c r="B227" s="29">
        <f t="shared" si="26"/>
        <v>23.5</v>
      </c>
      <c r="C227" s="28"/>
      <c r="D227" s="28">
        <v>1</v>
      </c>
      <c r="E227" s="28"/>
      <c r="F227" s="28"/>
      <c r="G227" s="28"/>
      <c r="H227" s="28"/>
      <c r="I227" s="28"/>
      <c r="J227">
        <v>0.5</v>
      </c>
      <c r="K227" s="28"/>
      <c r="M227" s="28"/>
      <c r="N227" s="15">
        <v>1.25</v>
      </c>
      <c r="O227" s="29">
        <f t="shared" si="49"/>
        <v>23.75</v>
      </c>
      <c r="P227" s="28"/>
      <c r="Q227" s="57">
        <f t="shared" si="50"/>
        <v>50</v>
      </c>
      <c r="R227" s="18">
        <v>25</v>
      </c>
      <c r="S227" s="18">
        <v>25</v>
      </c>
      <c r="T227" s="15" t="s">
        <v>18</v>
      </c>
      <c r="U227" s="38" t="s">
        <v>192</v>
      </c>
      <c r="W227">
        <v>4</v>
      </c>
      <c r="X227">
        <f t="shared" si="51"/>
        <v>117.5</v>
      </c>
      <c r="Y227">
        <f t="shared" si="25"/>
        <v>0</v>
      </c>
      <c r="Z227">
        <f t="shared" si="25"/>
        <v>5</v>
      </c>
      <c r="AA227">
        <f t="shared" si="25"/>
        <v>0</v>
      </c>
      <c r="AB227">
        <f t="shared" si="25"/>
        <v>0</v>
      </c>
      <c r="AC227">
        <f t="shared" si="25"/>
        <v>0</v>
      </c>
      <c r="AD227">
        <f t="shared" si="25"/>
        <v>0</v>
      </c>
      <c r="AE227">
        <f t="shared" si="25"/>
        <v>0</v>
      </c>
      <c r="AF227">
        <f t="shared" si="25"/>
        <v>2.5</v>
      </c>
      <c r="AG227">
        <f t="shared" si="25"/>
        <v>0</v>
      </c>
      <c r="AH227">
        <f t="shared" si="25"/>
        <v>0</v>
      </c>
      <c r="AI227">
        <f t="shared" si="25"/>
        <v>0</v>
      </c>
      <c r="AJ227">
        <f t="shared" si="25"/>
        <v>6.25</v>
      </c>
      <c r="AK227">
        <f t="shared" si="25"/>
        <v>118.75</v>
      </c>
      <c r="AL227">
        <f t="shared" si="25"/>
        <v>0</v>
      </c>
      <c r="AM227">
        <f t="shared" si="25"/>
        <v>250</v>
      </c>
      <c r="AN227">
        <f t="shared" si="25"/>
        <v>125</v>
      </c>
      <c r="AO227">
        <f t="shared" si="25"/>
        <v>125</v>
      </c>
      <c r="AP227" t="str">
        <f t="shared" si="52"/>
        <v>pos ctrl</v>
      </c>
      <c r="AQ227" t="str">
        <f t="shared" si="53"/>
        <v>Tris</v>
      </c>
    </row>
    <row r="228" spans="1:43" x14ac:dyDescent="0.35">
      <c r="A228" s="30">
        <v>5</v>
      </c>
      <c r="B228" s="29">
        <f t="shared" si="26"/>
        <v>19.5</v>
      </c>
      <c r="C228" s="28"/>
      <c r="D228" s="28"/>
      <c r="E228" s="28">
        <v>5</v>
      </c>
      <c r="F228" s="28"/>
      <c r="G228" s="28"/>
      <c r="H228" s="28"/>
      <c r="I228" s="28"/>
      <c r="J228">
        <v>0.5</v>
      </c>
      <c r="M228" s="28"/>
      <c r="N228" s="15">
        <v>1.25</v>
      </c>
      <c r="O228" s="29">
        <f t="shared" si="49"/>
        <v>23.75</v>
      </c>
      <c r="P228" s="28"/>
      <c r="Q228" s="57">
        <f t="shared" si="50"/>
        <v>50</v>
      </c>
      <c r="R228" s="18">
        <v>25</v>
      </c>
      <c r="S228" s="18">
        <v>25</v>
      </c>
      <c r="T228" s="15" t="s">
        <v>18</v>
      </c>
      <c r="U228" s="38" t="s">
        <v>218</v>
      </c>
      <c r="W228">
        <v>5</v>
      </c>
      <c r="X228">
        <f t="shared" si="51"/>
        <v>97.5</v>
      </c>
      <c r="Y228">
        <f t="shared" si="25"/>
        <v>0</v>
      </c>
      <c r="Z228">
        <f t="shared" si="25"/>
        <v>0</v>
      </c>
      <c r="AA228">
        <f t="shared" si="25"/>
        <v>25</v>
      </c>
      <c r="AB228">
        <f t="shared" si="25"/>
        <v>0</v>
      </c>
      <c r="AC228">
        <f t="shared" si="25"/>
        <v>0</v>
      </c>
      <c r="AD228">
        <f t="shared" si="25"/>
        <v>0</v>
      </c>
      <c r="AE228">
        <f t="shared" si="25"/>
        <v>0</v>
      </c>
      <c r="AF228">
        <f t="shared" si="25"/>
        <v>2.5</v>
      </c>
      <c r="AG228">
        <f t="shared" si="25"/>
        <v>0</v>
      </c>
      <c r="AH228">
        <f t="shared" si="25"/>
        <v>0</v>
      </c>
      <c r="AI228">
        <f t="shared" si="25"/>
        <v>0</v>
      </c>
      <c r="AJ228">
        <f t="shared" si="25"/>
        <v>6.25</v>
      </c>
      <c r="AK228">
        <f t="shared" si="25"/>
        <v>118.75</v>
      </c>
      <c r="AL228">
        <f t="shared" si="25"/>
        <v>0</v>
      </c>
      <c r="AM228">
        <f t="shared" si="25"/>
        <v>250</v>
      </c>
      <c r="AN228">
        <f t="shared" si="25"/>
        <v>125</v>
      </c>
      <c r="AO228">
        <f t="shared" si="25"/>
        <v>125</v>
      </c>
      <c r="AP228" t="str">
        <f t="shared" si="52"/>
        <v>pos ctrl</v>
      </c>
      <c r="AQ228" t="str">
        <f t="shared" si="53"/>
        <v>Phosph</v>
      </c>
    </row>
    <row r="229" spans="1:43" x14ac:dyDescent="0.35">
      <c r="A229" s="30">
        <v>6</v>
      </c>
      <c r="B229" s="29">
        <f t="shared" si="26"/>
        <v>19.5</v>
      </c>
      <c r="C229" s="28"/>
      <c r="D229" s="28"/>
      <c r="E229" s="28"/>
      <c r="F229" s="28">
        <v>5</v>
      </c>
      <c r="G229" s="28"/>
      <c r="H229" s="28"/>
      <c r="J229">
        <v>0.5</v>
      </c>
      <c r="N229" s="15">
        <v>1.25</v>
      </c>
      <c r="O229" s="29">
        <f t="shared" si="49"/>
        <v>23.75</v>
      </c>
      <c r="P229" s="28"/>
      <c r="Q229" s="57">
        <f t="shared" si="50"/>
        <v>50</v>
      </c>
      <c r="R229" s="18">
        <v>25</v>
      </c>
      <c r="S229" s="18">
        <v>25</v>
      </c>
      <c r="T229" s="15" t="s">
        <v>18</v>
      </c>
      <c r="U229" s="38" t="s">
        <v>219</v>
      </c>
      <c r="W229">
        <v>6</v>
      </c>
      <c r="X229">
        <f t="shared" si="51"/>
        <v>97.5</v>
      </c>
      <c r="Y229">
        <f t="shared" si="25"/>
        <v>0</v>
      </c>
      <c r="Z229">
        <f t="shared" si="25"/>
        <v>0</v>
      </c>
      <c r="AA229">
        <f t="shared" si="25"/>
        <v>0</v>
      </c>
      <c r="AB229">
        <f t="shared" si="25"/>
        <v>25</v>
      </c>
      <c r="AC229">
        <f t="shared" si="25"/>
        <v>0</v>
      </c>
      <c r="AD229">
        <f t="shared" si="25"/>
        <v>0</v>
      </c>
      <c r="AE229">
        <f t="shared" si="25"/>
        <v>0</v>
      </c>
      <c r="AF229">
        <f t="shared" si="25"/>
        <v>2.5</v>
      </c>
      <c r="AG229">
        <f t="shared" si="25"/>
        <v>0</v>
      </c>
      <c r="AH229">
        <f t="shared" si="25"/>
        <v>0</v>
      </c>
      <c r="AI229">
        <f t="shared" si="25"/>
        <v>0</v>
      </c>
      <c r="AJ229">
        <f t="shared" si="25"/>
        <v>6.25</v>
      </c>
      <c r="AK229">
        <f t="shared" si="25"/>
        <v>118.75</v>
      </c>
      <c r="AL229">
        <f t="shared" si="25"/>
        <v>0</v>
      </c>
      <c r="AM229">
        <f t="shared" si="25"/>
        <v>250</v>
      </c>
      <c r="AN229">
        <f t="shared" si="25"/>
        <v>125</v>
      </c>
      <c r="AO229">
        <f t="shared" si="25"/>
        <v>125</v>
      </c>
      <c r="AP229" t="str">
        <f t="shared" si="52"/>
        <v>pos ctrl</v>
      </c>
      <c r="AQ229" t="str">
        <f t="shared" si="53"/>
        <v>kit</v>
      </c>
    </row>
    <row r="230" spans="1:43" x14ac:dyDescent="0.35">
      <c r="A230" s="30">
        <v>7</v>
      </c>
      <c r="B230" s="29">
        <f t="shared" si="26"/>
        <v>19.5</v>
      </c>
      <c r="C230" s="28"/>
      <c r="D230" s="28"/>
      <c r="E230" s="28"/>
      <c r="F230" s="28"/>
      <c r="G230" s="28">
        <v>5</v>
      </c>
      <c r="H230" s="28"/>
      <c r="I230" s="28"/>
      <c r="J230">
        <v>0.5</v>
      </c>
      <c r="N230" s="15">
        <v>1.25</v>
      </c>
      <c r="O230" s="29">
        <f t="shared" ref="O230" si="56">S230-SUM(K230:N230)</f>
        <v>23.75</v>
      </c>
      <c r="P230" s="28"/>
      <c r="Q230" s="57">
        <f t="shared" ref="Q230" si="57">R230+S230</f>
        <v>50</v>
      </c>
      <c r="R230" s="18">
        <v>25</v>
      </c>
      <c r="S230" s="18">
        <v>25</v>
      </c>
      <c r="T230" s="15" t="s">
        <v>18</v>
      </c>
      <c r="U230" s="38" t="s">
        <v>76</v>
      </c>
      <c r="W230">
        <v>7</v>
      </c>
      <c r="X230">
        <f t="shared" ref="X230" si="58">B230*4*1.25</f>
        <v>97.5</v>
      </c>
      <c r="Y230">
        <f t="shared" ref="Y230" si="59">C230*4*1.25</f>
        <v>0</v>
      </c>
      <c r="Z230">
        <f t="shared" ref="Z230" si="60">D230*4*1.25</f>
        <v>0</v>
      </c>
      <c r="AA230">
        <f t="shared" ref="AA230" si="61">E230*4*1.25</f>
        <v>0</v>
      </c>
      <c r="AB230">
        <f t="shared" ref="AB230" si="62">F230*4*1.25</f>
        <v>0</v>
      </c>
      <c r="AC230">
        <f t="shared" ref="AC230" si="63">G230*4*1.25</f>
        <v>25</v>
      </c>
      <c r="AD230">
        <f t="shared" ref="AD230" si="64">H230*4*1.25</f>
        <v>0</v>
      </c>
      <c r="AE230">
        <f t="shared" ref="AE230" si="65">I230*4*1.25</f>
        <v>0</v>
      </c>
      <c r="AF230">
        <f t="shared" ref="AF230" si="66">J230*4*1.25</f>
        <v>2.5</v>
      </c>
      <c r="AG230">
        <f t="shared" ref="AG230" si="67">K230*4*1.25</f>
        <v>0</v>
      </c>
      <c r="AH230">
        <f t="shared" ref="AH230" si="68">L230*4*1.25</f>
        <v>0</v>
      </c>
      <c r="AI230">
        <f t="shared" ref="AI230" si="69">M230*4*1.25</f>
        <v>0</v>
      </c>
      <c r="AJ230">
        <f t="shared" ref="AJ230" si="70">N230*4*1.25</f>
        <v>6.25</v>
      </c>
      <c r="AK230">
        <f t="shared" ref="AK230" si="71">O230*4*1.25</f>
        <v>118.75</v>
      </c>
      <c r="AL230">
        <f t="shared" ref="AL230" si="72">P230*4*1.25</f>
        <v>0</v>
      </c>
      <c r="AM230">
        <f t="shared" ref="AM230" si="73">Q230*4*1.25</f>
        <v>250</v>
      </c>
      <c r="AN230">
        <f t="shared" ref="AN230" si="74">R230*4*1.25</f>
        <v>125</v>
      </c>
      <c r="AO230">
        <f t="shared" ref="AO230" si="75">S230*4*1.25</f>
        <v>125</v>
      </c>
      <c r="AP230" t="str">
        <f t="shared" ref="AP230" si="76">T230</f>
        <v>pos ctrl</v>
      </c>
      <c r="AQ230" t="str">
        <f t="shared" ref="AQ230" si="77">U230</f>
        <v>SB</v>
      </c>
    </row>
    <row r="231" spans="1:43" x14ac:dyDescent="0.35">
      <c r="A231" s="36"/>
      <c r="B231" s="29"/>
      <c r="C231" s="28"/>
      <c r="D231" s="28"/>
      <c r="E231" s="28"/>
      <c r="F231" s="28"/>
      <c r="G231" s="28"/>
      <c r="H231" s="28"/>
      <c r="I231" s="28"/>
      <c r="P231" s="28"/>
      <c r="R231" s="38"/>
    </row>
    <row r="232" spans="1:43" x14ac:dyDescent="0.35">
      <c r="A232" s="36"/>
      <c r="B232" s="29"/>
      <c r="C232" s="28"/>
      <c r="D232" s="28"/>
      <c r="E232" s="28"/>
      <c r="F232" s="28"/>
      <c r="G232" s="28"/>
      <c r="H232" s="28"/>
      <c r="I232" s="28"/>
      <c r="P232" s="28"/>
      <c r="R232" s="38"/>
    </row>
    <row r="233" spans="1:43" x14ac:dyDescent="0.35">
      <c r="A233" s="36"/>
      <c r="B233" s="29"/>
      <c r="C233" s="28"/>
      <c r="D233" s="28"/>
      <c r="E233" s="28"/>
      <c r="F233" s="28"/>
      <c r="G233" s="28"/>
      <c r="H233" s="28"/>
      <c r="I233" s="28"/>
      <c r="P233" s="28"/>
      <c r="R233" s="38"/>
    </row>
    <row r="234" spans="1:43" x14ac:dyDescent="0.35">
      <c r="A234" s="36"/>
      <c r="B234" s="29"/>
      <c r="C234" s="28"/>
      <c r="D234" s="28"/>
      <c r="E234" s="28"/>
      <c r="F234" s="28"/>
      <c r="G234" s="28"/>
      <c r="H234" s="28"/>
      <c r="I234" s="28"/>
      <c r="P234" s="28"/>
      <c r="R234" s="38"/>
    </row>
    <row r="235" spans="1:43" x14ac:dyDescent="0.35">
      <c r="A235" s="36"/>
      <c r="B235" s="28"/>
      <c r="C235" s="28"/>
      <c r="D235" s="28"/>
      <c r="E235" s="28"/>
      <c r="F235" s="28"/>
      <c r="G235" s="28"/>
      <c r="H235" s="28"/>
      <c r="J235" s="28"/>
      <c r="K235" s="28"/>
      <c r="M235" s="28"/>
      <c r="N235" s="28"/>
      <c r="P235" s="18"/>
      <c r="Q235" s="28"/>
    </row>
    <row r="236" spans="1:43" x14ac:dyDescent="0.35">
      <c r="A236" s="36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35"/>
      <c r="P236" s="28"/>
      <c r="Q236" s="15"/>
    </row>
    <row r="237" spans="1:43" x14ac:dyDescent="0.35">
      <c r="A237" s="26" t="s">
        <v>81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</row>
    <row r="238" spans="1:43" x14ac:dyDescent="0.35">
      <c r="A238" s="27">
        <v>1</v>
      </c>
      <c r="B238" s="15" t="s">
        <v>158</v>
      </c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</row>
    <row r="239" spans="1:43" x14ac:dyDescent="0.35">
      <c r="A239" s="27">
        <v>2</v>
      </c>
      <c r="B239" s="15" t="s">
        <v>122</v>
      </c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</row>
    <row r="240" spans="1:43" x14ac:dyDescent="0.35">
      <c r="A240" s="27">
        <v>3</v>
      </c>
      <c r="B240" s="15" t="s">
        <v>159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</row>
    <row r="241" spans="1:14" x14ac:dyDescent="0.35">
      <c r="A241" s="27">
        <v>4</v>
      </c>
      <c r="B241" s="15" t="s">
        <v>143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</row>
    <row r="242" spans="1:14" x14ac:dyDescent="0.35">
      <c r="A242" s="27">
        <v>5</v>
      </c>
      <c r="B242" s="15" t="s">
        <v>35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</row>
    <row r="250" spans="1:14" ht="21" x14ac:dyDescent="0.35">
      <c r="A250" s="13" t="s">
        <v>231</v>
      </c>
    </row>
    <row r="251" spans="1:14" ht="15.5" x14ac:dyDescent="0.35">
      <c r="A251" s="50" t="s">
        <v>186</v>
      </c>
    </row>
    <row r="252" spans="1:14" x14ac:dyDescent="0.35">
      <c r="A252" t="s">
        <v>164</v>
      </c>
    </row>
    <row r="253" spans="1:14" x14ac:dyDescent="0.35">
      <c r="B253" s="14"/>
      <c r="C253" s="14"/>
      <c r="D253" s="14"/>
      <c r="E253" s="14"/>
      <c r="F253" s="14"/>
      <c r="G253" s="14"/>
      <c r="H253" s="14"/>
      <c r="I253" s="14"/>
      <c r="J253" s="14"/>
      <c r="K253" s="15"/>
      <c r="L253" s="15"/>
      <c r="M253" s="15"/>
      <c r="N253" s="15"/>
    </row>
    <row r="254" spans="1:14" ht="15.5" x14ac:dyDescent="0.35">
      <c r="A254" s="50" t="s">
        <v>155</v>
      </c>
      <c r="B254" s="14"/>
      <c r="C254" s="14"/>
      <c r="D254" s="14"/>
      <c r="E254" s="14"/>
      <c r="F254" s="14"/>
      <c r="G254" s="14"/>
      <c r="H254" s="14"/>
      <c r="I254" s="14"/>
      <c r="J254" s="14"/>
      <c r="K254" s="15"/>
      <c r="L254" s="15"/>
      <c r="M254" s="15"/>
      <c r="N254" s="15"/>
    </row>
    <row r="255" spans="1:14" ht="15.5" x14ac:dyDescent="0.35">
      <c r="A255" s="46" t="s">
        <v>220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5"/>
      <c r="L255" s="15"/>
      <c r="M255" s="15"/>
      <c r="N255" s="15"/>
    </row>
    <row r="256" spans="1:14" ht="15.5" x14ac:dyDescent="0.35">
      <c r="A256" s="47" t="s">
        <v>221</v>
      </c>
      <c r="B256" s="14"/>
      <c r="C256" s="14"/>
      <c r="D256" s="14"/>
      <c r="E256" s="14"/>
      <c r="F256" s="14"/>
      <c r="G256" s="14"/>
      <c r="H256" s="14"/>
      <c r="I256" s="14"/>
      <c r="J256" s="14"/>
      <c r="K256" s="15"/>
      <c r="L256" s="15"/>
      <c r="M256" s="15"/>
      <c r="N256" s="15"/>
    </row>
    <row r="257" spans="1:19" ht="15.5" x14ac:dyDescent="0.35">
      <c r="A257" s="47" t="s">
        <v>222</v>
      </c>
      <c r="B257" s="14"/>
      <c r="C257" s="14"/>
      <c r="D257" s="14"/>
      <c r="E257" s="14"/>
      <c r="F257" s="14"/>
      <c r="G257" s="14"/>
      <c r="H257" s="14"/>
      <c r="I257" s="14"/>
      <c r="J257" s="14"/>
      <c r="K257" s="15"/>
      <c r="L257" s="15"/>
      <c r="M257" s="15"/>
      <c r="N257" s="15"/>
    </row>
    <row r="258" spans="1:19" ht="15.5" x14ac:dyDescent="0.35">
      <c r="A258" s="47" t="s">
        <v>223</v>
      </c>
      <c r="B258" s="14"/>
      <c r="C258" s="14"/>
      <c r="D258" s="14"/>
      <c r="E258" s="14"/>
      <c r="F258" s="14"/>
      <c r="G258" s="14"/>
      <c r="H258" s="14"/>
      <c r="I258" s="14"/>
      <c r="J258" s="14"/>
      <c r="K258" s="15"/>
      <c r="L258" s="15"/>
      <c r="M258" s="15"/>
      <c r="N258" s="15"/>
    </row>
    <row r="259" spans="1:19" ht="15.5" x14ac:dyDescent="0.35">
      <c r="A259" s="45"/>
      <c r="B259" s="14"/>
      <c r="C259" s="14"/>
      <c r="D259" s="14"/>
      <c r="E259" s="14"/>
      <c r="F259" s="14"/>
      <c r="G259" s="14"/>
      <c r="H259" s="14"/>
      <c r="I259" s="14"/>
      <c r="J259" s="14"/>
      <c r="K259" s="15"/>
      <c r="L259" s="15"/>
      <c r="M259" s="15"/>
      <c r="N259" s="15"/>
    </row>
    <row r="260" spans="1:19" x14ac:dyDescent="0.35">
      <c r="A260" s="26" t="s">
        <v>79</v>
      </c>
      <c r="B260" s="14"/>
      <c r="C260" s="14"/>
      <c r="D260" s="14"/>
      <c r="E260" s="14"/>
      <c r="F260" s="14"/>
      <c r="G260" s="14"/>
      <c r="H260" s="14"/>
      <c r="I260" s="14"/>
      <c r="J260" s="14"/>
      <c r="K260" s="15"/>
      <c r="L260" s="15"/>
      <c r="M260" s="15"/>
      <c r="N260" s="15"/>
    </row>
    <row r="261" spans="1:19" x14ac:dyDescent="0.35">
      <c r="A261" s="26" t="s">
        <v>77</v>
      </c>
      <c r="B261" s="42" t="s">
        <v>78</v>
      </c>
      <c r="C261" s="42"/>
      <c r="D261" s="43"/>
      <c r="E261" s="43" t="s">
        <v>150</v>
      </c>
      <c r="F261" s="43"/>
      <c r="G261" s="43"/>
      <c r="H261" s="43"/>
      <c r="I261" s="44"/>
      <c r="J261" s="14"/>
      <c r="K261" s="15"/>
      <c r="L261" s="15"/>
      <c r="M261" s="15"/>
      <c r="N261" s="15"/>
    </row>
    <row r="262" spans="1:19" x14ac:dyDescent="0.35">
      <c r="A262" s="24" t="s">
        <v>39</v>
      </c>
      <c r="B262" s="24" t="s">
        <v>84</v>
      </c>
      <c r="C262" s="14"/>
      <c r="D262" s="14"/>
      <c r="E262" s="14">
        <v>1</v>
      </c>
      <c r="F262" s="14">
        <v>53367.7</v>
      </c>
      <c r="G262" s="14">
        <f>E262/F262</f>
        <v>1.8737925749095427E-5</v>
      </c>
      <c r="H262" s="14" t="s">
        <v>146</v>
      </c>
      <c r="I262" s="14">
        <f>G262/1000000000</f>
        <v>1.8737925749095426E-14</v>
      </c>
      <c r="J262" s="14" t="s">
        <v>147</v>
      </c>
      <c r="K262" s="15">
        <f>I262*6E+23</f>
        <v>11242755449.457256</v>
      </c>
      <c r="L262" s="15">
        <f>E262/F262/0.000001</f>
        <v>18.737925749095428</v>
      </c>
      <c r="M262" s="15" t="s">
        <v>149</v>
      </c>
      <c r="N262" s="15"/>
    </row>
    <row r="263" spans="1:19" x14ac:dyDescent="0.35">
      <c r="A263" s="24" t="s">
        <v>49</v>
      </c>
      <c r="B263" s="24" t="s">
        <v>49</v>
      </c>
      <c r="C263" s="14"/>
      <c r="D263" s="14"/>
      <c r="E263" s="14"/>
      <c r="F263" s="14"/>
      <c r="G263" s="14">
        <f>G262*1000000</f>
        <v>18.737925749095428</v>
      </c>
      <c r="H263" s="14" t="s">
        <v>148</v>
      </c>
      <c r="I263" s="14"/>
      <c r="J263" s="14"/>
      <c r="K263" s="15"/>
      <c r="L263" s="15"/>
      <c r="M263" s="15"/>
      <c r="N263" s="15"/>
    </row>
    <row r="264" spans="1:19" x14ac:dyDescent="0.35">
      <c r="A264" s="24" t="s">
        <v>75</v>
      </c>
      <c r="B264" s="24" t="s">
        <v>170</v>
      </c>
      <c r="C264" s="14"/>
      <c r="D264" s="14"/>
      <c r="E264" s="14"/>
      <c r="F264" s="14"/>
      <c r="G264" s="14"/>
      <c r="H264" s="14"/>
      <c r="I264" s="14"/>
      <c r="J264" s="14"/>
      <c r="K264" s="15"/>
      <c r="L264" s="15"/>
      <c r="M264" s="15"/>
      <c r="N264" s="15"/>
    </row>
    <row r="265" spans="1:19" x14ac:dyDescent="0.35">
      <c r="A265" s="24" t="s">
        <v>76</v>
      </c>
      <c r="B265" s="24" t="s">
        <v>112</v>
      </c>
      <c r="C265" s="14"/>
      <c r="D265" s="14"/>
      <c r="E265" s="14"/>
      <c r="F265" s="14"/>
      <c r="G265" s="14"/>
      <c r="H265" s="14"/>
      <c r="I265" s="14"/>
      <c r="J265" s="14"/>
      <c r="K265" s="15"/>
      <c r="L265" s="15"/>
      <c r="M265" s="15"/>
      <c r="N265" s="15"/>
    </row>
    <row r="266" spans="1:19" x14ac:dyDescent="0.35">
      <c r="A266" s="24" t="s">
        <v>72</v>
      </c>
      <c r="B266" s="14" t="s">
        <v>232</v>
      </c>
      <c r="C266" s="40"/>
      <c r="D266" s="14"/>
      <c r="F266" s="14"/>
      <c r="G266" s="14"/>
      <c r="H266" s="14"/>
      <c r="I266" s="14" t="s">
        <v>167</v>
      </c>
      <c r="K266" s="15"/>
      <c r="L266" s="15"/>
      <c r="M266" s="15"/>
      <c r="N266" s="15"/>
    </row>
    <row r="267" spans="1:19" x14ac:dyDescent="0.35">
      <c r="A267" s="24" t="s">
        <v>80</v>
      </c>
      <c r="B267" s="33" t="s">
        <v>151</v>
      </c>
      <c r="F267" s="14"/>
      <c r="G267" s="14"/>
      <c r="H267" s="14"/>
      <c r="I267" s="14" t="s">
        <v>108</v>
      </c>
      <c r="K267" s="15"/>
      <c r="L267" s="15"/>
      <c r="M267" s="15"/>
      <c r="N267" s="15"/>
    </row>
    <row r="268" spans="1:19" ht="29" x14ac:dyDescent="0.35">
      <c r="A268" s="17" t="s">
        <v>168</v>
      </c>
      <c r="B268" s="33" t="s">
        <v>234</v>
      </c>
      <c r="C268" s="14" t="s">
        <v>233</v>
      </c>
      <c r="D268" s="40"/>
      <c r="F268" s="14"/>
      <c r="G268" s="14"/>
      <c r="H268" s="14"/>
      <c r="I268" s="14"/>
      <c r="K268" s="15"/>
      <c r="L268" s="15"/>
      <c r="M268" s="15"/>
      <c r="N268" s="15"/>
    </row>
    <row r="269" spans="1:19" ht="29" x14ac:dyDescent="0.35">
      <c r="A269" s="17" t="s">
        <v>131</v>
      </c>
      <c r="B269" t="s">
        <v>132</v>
      </c>
      <c r="L269" s="15"/>
      <c r="M269" s="15"/>
      <c r="N269" s="15"/>
    </row>
    <row r="270" spans="1:19" x14ac:dyDescent="0.35">
      <c r="A270" s="51" t="s">
        <v>171</v>
      </c>
      <c r="B270" s="14"/>
      <c r="C270" s="14"/>
      <c r="D270" s="14" t="s">
        <v>176</v>
      </c>
      <c r="E270" s="14">
        <f>3/53367</f>
        <v>5.6214514587666533E-5</v>
      </c>
      <c r="F270" s="14" t="s">
        <v>146</v>
      </c>
      <c r="G270" t="s">
        <v>177</v>
      </c>
      <c r="H270" s="14">
        <f>E270/1000000000</f>
        <v>5.6214514587666534E-14</v>
      </c>
      <c r="I270" s="14" t="s">
        <v>89</v>
      </c>
      <c r="J270" s="53" t="s">
        <v>176</v>
      </c>
      <c r="K270" s="54">
        <f>H270*6E+23</f>
        <v>33728708752.599922</v>
      </c>
      <c r="L270" t="s">
        <v>174</v>
      </c>
      <c r="M270" t="s">
        <v>178</v>
      </c>
      <c r="O270" s="56">
        <f>ROUND(K270/1000000000,1)</f>
        <v>33.700000000000003</v>
      </c>
      <c r="P270" t="s">
        <v>179</v>
      </c>
      <c r="Q270" s="55">
        <f>K270/O270</f>
        <v>1000851891.7685436</v>
      </c>
      <c r="R270" s="55"/>
      <c r="S270" t="s">
        <v>174</v>
      </c>
    </row>
    <row r="271" spans="1:19" x14ac:dyDescent="0.35">
      <c r="A271" s="51" t="s">
        <v>172</v>
      </c>
      <c r="B271" s="14"/>
      <c r="C271" s="14"/>
      <c r="D271" s="14" t="s">
        <v>176</v>
      </c>
      <c r="E271" s="14">
        <f>2/53367</f>
        <v>3.7476343058444355E-5</v>
      </c>
      <c r="F271" s="14" t="s">
        <v>146</v>
      </c>
      <c r="G271" t="s">
        <v>177</v>
      </c>
      <c r="H271" s="14">
        <f>E271/1000000000</f>
        <v>3.7476343058444354E-14</v>
      </c>
      <c r="I271" s="14" t="s">
        <v>89</v>
      </c>
      <c r="J271" s="53" t="s">
        <v>176</v>
      </c>
      <c r="K271" s="54">
        <f>H271*6E+23</f>
        <v>22485805835.066612</v>
      </c>
      <c r="L271" t="s">
        <v>174</v>
      </c>
      <c r="M271" t="s">
        <v>178</v>
      </c>
      <c r="O271" s="56">
        <f>ROUND(K271/1000000000,1)</f>
        <v>22.5</v>
      </c>
      <c r="Q271" s="55">
        <f>K271/O271</f>
        <v>999369148.22518277</v>
      </c>
      <c r="R271" s="55">
        <f>Q271/100</f>
        <v>9993691.4822518285</v>
      </c>
      <c r="S271" t="s">
        <v>174</v>
      </c>
    </row>
    <row r="272" spans="1:19" x14ac:dyDescent="0.35">
      <c r="A272" s="51" t="s">
        <v>173</v>
      </c>
      <c r="B272" s="14" t="s">
        <v>182</v>
      </c>
      <c r="C272" s="14"/>
      <c r="D272" s="14"/>
      <c r="E272" s="14"/>
      <c r="F272" s="14"/>
      <c r="G272" s="14"/>
      <c r="H272" s="14"/>
      <c r="I272" s="14"/>
      <c r="J272" s="14"/>
      <c r="K272" s="15"/>
      <c r="L272" s="15"/>
      <c r="M272" s="15"/>
      <c r="N272" s="15"/>
    </row>
    <row r="273" spans="1:43" x14ac:dyDescent="0.35">
      <c r="A273" s="51" t="s">
        <v>224</v>
      </c>
      <c r="B273" s="14" t="s">
        <v>183</v>
      </c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5"/>
      <c r="N273" s="15"/>
      <c r="O273" s="15"/>
    </row>
    <row r="274" spans="1:43" x14ac:dyDescent="0.35">
      <c r="A274" s="17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5"/>
      <c r="N274" s="15"/>
      <c r="O274" s="26" t="s">
        <v>113</v>
      </c>
    </row>
    <row r="275" spans="1:43" ht="58" x14ac:dyDescent="0.35">
      <c r="A275" s="34" t="s">
        <v>73</v>
      </c>
      <c r="B275" s="48" t="s">
        <v>198</v>
      </c>
      <c r="C275" s="48" t="s">
        <v>198</v>
      </c>
      <c r="D275" s="48" t="s">
        <v>198</v>
      </c>
      <c r="E275" s="48" t="s">
        <v>198</v>
      </c>
      <c r="F275" s="48" t="s">
        <v>198</v>
      </c>
      <c r="G275" s="48" t="s">
        <v>198</v>
      </c>
      <c r="H275" s="48" t="s">
        <v>198</v>
      </c>
      <c r="I275" s="48" t="s">
        <v>198</v>
      </c>
      <c r="J275" s="48" t="s">
        <v>198</v>
      </c>
      <c r="K275" s="49" t="s">
        <v>197</v>
      </c>
      <c r="L275" s="49" t="s">
        <v>197</v>
      </c>
      <c r="M275" s="49" t="s">
        <v>197</v>
      </c>
      <c r="N275" s="49" t="s">
        <v>197</v>
      </c>
      <c r="O275" s="49" t="s">
        <v>197</v>
      </c>
      <c r="P275" s="52" t="s">
        <v>185</v>
      </c>
      <c r="Q275" s="17"/>
      <c r="R275" s="17"/>
      <c r="S275" s="17"/>
      <c r="W275" s="48" t="s">
        <v>135</v>
      </c>
      <c r="X275" s="48" t="s">
        <v>135</v>
      </c>
      <c r="Y275" s="48" t="s">
        <v>135</v>
      </c>
      <c r="Z275" s="48" t="s">
        <v>135</v>
      </c>
      <c r="AA275" s="48" t="s">
        <v>135</v>
      </c>
      <c r="AB275" s="48" t="s">
        <v>135</v>
      </c>
      <c r="AC275" s="48" t="s">
        <v>135</v>
      </c>
      <c r="AD275" s="48" t="s">
        <v>135</v>
      </c>
      <c r="AE275" s="48" t="s">
        <v>135</v>
      </c>
      <c r="AF275" s="48" t="s">
        <v>135</v>
      </c>
      <c r="AG275" s="49" t="s">
        <v>134</v>
      </c>
      <c r="AH275" s="49" t="s">
        <v>134</v>
      </c>
      <c r="AI275" s="49" t="s">
        <v>134</v>
      </c>
      <c r="AJ275" s="49" t="s">
        <v>134</v>
      </c>
      <c r="AK275" s="49" t="s">
        <v>134</v>
      </c>
    </row>
    <row r="276" spans="1:43" ht="58.5" thickBot="1" x14ac:dyDescent="0.4">
      <c r="A276" s="31" t="s">
        <v>7</v>
      </c>
      <c r="B276" s="32" t="s">
        <v>49</v>
      </c>
      <c r="C276" s="32" t="s">
        <v>210</v>
      </c>
      <c r="D276" s="32" t="s">
        <v>48</v>
      </c>
      <c r="E276" s="32" t="s">
        <v>224</v>
      </c>
      <c r="F276" s="32" t="s">
        <v>82</v>
      </c>
      <c r="G276" s="32" t="s">
        <v>153</v>
      </c>
      <c r="H276" s="32" t="s">
        <v>74</v>
      </c>
      <c r="I276" s="32" t="s">
        <v>154</v>
      </c>
      <c r="J276" s="32"/>
      <c r="K276" s="32" t="s">
        <v>157</v>
      </c>
      <c r="L276" s="32" t="s">
        <v>156</v>
      </c>
      <c r="M276" s="32"/>
      <c r="N276" s="32" t="s">
        <v>72</v>
      </c>
      <c r="O276" s="32" t="s">
        <v>49</v>
      </c>
      <c r="P276" s="32" t="s">
        <v>29</v>
      </c>
      <c r="Q276" s="5" t="s">
        <v>6</v>
      </c>
      <c r="R276" s="5" t="s">
        <v>184</v>
      </c>
      <c r="S276" s="5" t="s">
        <v>180</v>
      </c>
      <c r="T276" s="5" t="s">
        <v>17</v>
      </c>
      <c r="U276" s="5" t="s">
        <v>78</v>
      </c>
      <c r="W276" s="61" t="str">
        <f>A276</f>
        <v>reaction mix No.</v>
      </c>
      <c r="X276" s="60" t="str">
        <f t="shared" ref="X276" si="78">B276</f>
        <v>water</v>
      </c>
      <c r="Y276" s="60" t="str">
        <f t="shared" ref="Y276" si="79">C276</f>
        <v>20mM HEPES pH7</v>
      </c>
      <c r="Z276" s="60" t="str">
        <f t="shared" ref="Z276" si="80">D276</f>
        <v>1M MgCl2</v>
      </c>
      <c r="AA276" s="60" t="str">
        <f t="shared" ref="AA276" si="81">E276</f>
        <v>rNTP mix</v>
      </c>
      <c r="AB276" s="60" t="str">
        <f t="shared" ref="AB276" si="82">F276</f>
        <v>guide RNA</v>
      </c>
      <c r="AC276" s="60" t="str">
        <f t="shared" ref="AC276" si="83">G276</f>
        <v>T7 RNApol</v>
      </c>
      <c r="AD276" s="60" t="str">
        <f t="shared" ref="AD276" si="84">H276</f>
        <v>Cas13</v>
      </c>
      <c r="AE276" s="60" t="str">
        <f t="shared" ref="AE276" si="85">I276</f>
        <v>Murine RNAse inhibitor</v>
      </c>
      <c r="AF276" s="60">
        <f t="shared" ref="AF276" si="86">J276</f>
        <v>0</v>
      </c>
      <c r="AG276" s="60" t="str">
        <f t="shared" ref="AG276" si="87">K276</f>
        <v>Amplified target DNA positive</v>
      </c>
      <c r="AH276" s="60" t="str">
        <f t="shared" ref="AH276" si="88">L276</f>
        <v>Amplified target DNA negative</v>
      </c>
      <c r="AI276" s="60">
        <f t="shared" ref="AI276" si="89">M276</f>
        <v>0</v>
      </c>
      <c r="AJ276" s="60" t="str">
        <f t="shared" ref="AJ276" si="90">N276</f>
        <v>substrate</v>
      </c>
      <c r="AK276" s="60" t="str">
        <f t="shared" ref="AK276" si="91">O276</f>
        <v>water</v>
      </c>
      <c r="AL276" s="60" t="str">
        <f t="shared" ref="AL276" si="92">P276</f>
        <v>Benzoase(TM) nuclease 25U/ul</v>
      </c>
      <c r="AM276" s="60" t="str">
        <f t="shared" ref="AM276" si="93">Q276</f>
        <v>total</v>
      </c>
      <c r="AN276" s="60" t="str">
        <f t="shared" ref="AN276" si="94">R276</f>
        <v>tube A</v>
      </c>
      <c r="AO276" s="60" t="str">
        <f t="shared" ref="AO276" si="95">S276</f>
        <v>tube B</v>
      </c>
      <c r="AP276" s="60" t="str">
        <f t="shared" ref="AP276" si="96">T276</f>
        <v>notes</v>
      </c>
      <c r="AQ276" s="60" t="str">
        <f t="shared" ref="AQ276" si="97">U276</f>
        <v>details</v>
      </c>
    </row>
    <row r="277" spans="1:43" ht="15" thickTop="1" x14ac:dyDescent="0.35">
      <c r="A277" s="30">
        <v>1</v>
      </c>
      <c r="B277" s="29">
        <f>$R277-SUM(C277:J277)</f>
        <v>8.24</v>
      </c>
      <c r="C277" s="28">
        <v>0.8</v>
      </c>
      <c r="D277" s="28">
        <v>0.36</v>
      </c>
      <c r="E277" s="28">
        <v>1.6</v>
      </c>
      <c r="F277" s="28">
        <v>2</v>
      </c>
      <c r="G277" s="28">
        <v>1</v>
      </c>
      <c r="H277" s="28">
        <v>4</v>
      </c>
      <c r="I277" s="28">
        <v>2</v>
      </c>
      <c r="J277" s="28"/>
      <c r="K277" s="28"/>
      <c r="N277" s="15">
        <v>10</v>
      </c>
      <c r="O277" s="29">
        <f>S277-SUM(K277:N277)-P277</f>
        <v>10</v>
      </c>
      <c r="P277" s="28"/>
      <c r="Q277" s="57">
        <f>R277+S277</f>
        <v>40</v>
      </c>
      <c r="R277" s="18">
        <v>20</v>
      </c>
      <c r="S277" s="18">
        <v>20</v>
      </c>
      <c r="T277" s="15" t="s">
        <v>27</v>
      </c>
      <c r="U277" s="25" t="s">
        <v>105</v>
      </c>
      <c r="W277" s="62">
        <f>A277</f>
        <v>1</v>
      </c>
      <c r="X277" s="59">
        <f>B277*4*1.25</f>
        <v>41.2</v>
      </c>
      <c r="Y277" s="59">
        <f t="shared" ref="Y277:AO284" si="98">C277*4*1.25</f>
        <v>4</v>
      </c>
      <c r="Z277" s="59">
        <f t="shared" si="98"/>
        <v>1.7999999999999998</v>
      </c>
      <c r="AA277" s="59">
        <f t="shared" si="98"/>
        <v>8</v>
      </c>
      <c r="AB277" s="59">
        <f t="shared" si="98"/>
        <v>10</v>
      </c>
      <c r="AC277" s="59">
        <f t="shared" si="98"/>
        <v>5</v>
      </c>
      <c r="AD277" s="59">
        <f t="shared" si="98"/>
        <v>20</v>
      </c>
      <c r="AE277" s="59">
        <f t="shared" si="98"/>
        <v>10</v>
      </c>
      <c r="AF277" s="59">
        <f t="shared" si="98"/>
        <v>0</v>
      </c>
      <c r="AG277" s="59">
        <f t="shared" si="98"/>
        <v>0</v>
      </c>
      <c r="AH277" s="59">
        <f t="shared" si="98"/>
        <v>0</v>
      </c>
      <c r="AI277" s="59">
        <f t="shared" si="98"/>
        <v>0</v>
      </c>
      <c r="AJ277" s="59">
        <f t="shared" si="98"/>
        <v>50</v>
      </c>
      <c r="AK277" s="59">
        <f t="shared" si="98"/>
        <v>50</v>
      </c>
      <c r="AL277" s="59">
        <f t="shared" si="98"/>
        <v>0</v>
      </c>
      <c r="AM277" s="59">
        <f t="shared" si="98"/>
        <v>200</v>
      </c>
      <c r="AN277" s="59">
        <f t="shared" si="98"/>
        <v>100</v>
      </c>
      <c r="AO277" s="59">
        <f t="shared" si="98"/>
        <v>100</v>
      </c>
      <c r="AP277" s="59" t="str">
        <f>T277</f>
        <v>neg ctrl</v>
      </c>
      <c r="AQ277" s="59" t="str">
        <f>U277</f>
        <v>no target</v>
      </c>
    </row>
    <row r="278" spans="1:43" x14ac:dyDescent="0.35">
      <c r="A278" s="30">
        <v>2</v>
      </c>
      <c r="B278" s="29">
        <f t="shared" ref="B278:B283" si="99">$R278-SUM(C278:J278)</f>
        <v>12.24</v>
      </c>
      <c r="C278" s="28">
        <v>0.8</v>
      </c>
      <c r="D278" s="28">
        <v>0.36</v>
      </c>
      <c r="E278" s="28">
        <v>1.6</v>
      </c>
      <c r="F278" s="28">
        <v>2</v>
      </c>
      <c r="G278" s="28">
        <v>1</v>
      </c>
      <c r="H278" s="28"/>
      <c r="I278" s="28">
        <v>2</v>
      </c>
      <c r="J278" s="28"/>
      <c r="K278" s="28">
        <v>2</v>
      </c>
      <c r="N278" s="15">
        <v>10</v>
      </c>
      <c r="O278" s="29">
        <f>S278-SUM(K278:N278)-P278</f>
        <v>8</v>
      </c>
      <c r="P278" s="28"/>
      <c r="Q278" s="57">
        <f t="shared" ref="Q278:Q283" si="100">R278+S278</f>
        <v>40</v>
      </c>
      <c r="R278" s="18">
        <v>20</v>
      </c>
      <c r="S278" s="18">
        <v>20</v>
      </c>
      <c r="T278" s="15" t="s">
        <v>27</v>
      </c>
      <c r="U278" s="25" t="s">
        <v>229</v>
      </c>
      <c r="W278" s="63">
        <f t="shared" ref="W278:W284" si="101">A278</f>
        <v>2</v>
      </c>
      <c r="X278" s="58">
        <f t="shared" ref="X278:X284" si="102">B278*4*1.25</f>
        <v>61.2</v>
      </c>
      <c r="Y278" s="58">
        <f t="shared" si="98"/>
        <v>4</v>
      </c>
      <c r="Z278" s="58">
        <f t="shared" si="98"/>
        <v>1.7999999999999998</v>
      </c>
      <c r="AA278" s="58">
        <f t="shared" si="98"/>
        <v>8</v>
      </c>
      <c r="AB278" s="58">
        <f t="shared" si="98"/>
        <v>10</v>
      </c>
      <c r="AC278" s="58">
        <f t="shared" si="98"/>
        <v>5</v>
      </c>
      <c r="AD278" s="58">
        <f t="shared" si="98"/>
        <v>0</v>
      </c>
      <c r="AE278" s="58">
        <f t="shared" si="98"/>
        <v>10</v>
      </c>
      <c r="AF278" s="58">
        <f t="shared" si="98"/>
        <v>0</v>
      </c>
      <c r="AG278" s="58">
        <f t="shared" si="98"/>
        <v>10</v>
      </c>
      <c r="AH278" s="58">
        <f t="shared" si="98"/>
        <v>0</v>
      </c>
      <c r="AI278" s="58">
        <f t="shared" si="98"/>
        <v>0</v>
      </c>
      <c r="AJ278" s="58">
        <f t="shared" si="98"/>
        <v>50</v>
      </c>
      <c r="AK278" s="58">
        <f t="shared" si="98"/>
        <v>40</v>
      </c>
      <c r="AL278" s="58">
        <f t="shared" si="98"/>
        <v>0</v>
      </c>
      <c r="AM278" s="58">
        <f t="shared" si="98"/>
        <v>200</v>
      </c>
      <c r="AN278" s="58">
        <f t="shared" si="98"/>
        <v>100</v>
      </c>
      <c r="AO278" s="58">
        <f t="shared" si="98"/>
        <v>100</v>
      </c>
      <c r="AP278" s="58" t="str">
        <f t="shared" ref="AP278:AQ284" si="103">T278</f>
        <v>neg ctrl</v>
      </c>
      <c r="AQ278" s="58" t="str">
        <f t="shared" si="103"/>
        <v>no Cas13, DNA(+) 1E7</v>
      </c>
    </row>
    <row r="279" spans="1:43" x14ac:dyDescent="0.35">
      <c r="A279" s="30">
        <v>3</v>
      </c>
      <c r="B279" s="29">
        <f t="shared" si="99"/>
        <v>9.24</v>
      </c>
      <c r="C279" s="28">
        <v>0.8</v>
      </c>
      <c r="D279" s="28">
        <v>0.36</v>
      </c>
      <c r="E279" s="28">
        <v>1.6</v>
      </c>
      <c r="F279" s="28">
        <v>2</v>
      </c>
      <c r="G279" s="28"/>
      <c r="H279" s="28">
        <v>4</v>
      </c>
      <c r="I279" s="28">
        <v>2</v>
      </c>
      <c r="J279" s="28"/>
      <c r="K279" s="28">
        <v>2</v>
      </c>
      <c r="N279" s="15">
        <v>10</v>
      </c>
      <c r="O279" s="29">
        <f t="shared" ref="O279:O283" si="104">S279-SUM(K279:N279)-P279</f>
        <v>8</v>
      </c>
      <c r="P279" s="28"/>
      <c r="Q279" s="57">
        <f t="shared" si="100"/>
        <v>40</v>
      </c>
      <c r="R279" s="18">
        <v>20</v>
      </c>
      <c r="S279" s="18">
        <v>20</v>
      </c>
      <c r="T279" s="15" t="s">
        <v>27</v>
      </c>
      <c r="U279" s="38" t="s">
        <v>228</v>
      </c>
      <c r="W279" s="63">
        <f t="shared" si="101"/>
        <v>3</v>
      </c>
      <c r="X279" s="58">
        <f t="shared" si="102"/>
        <v>46.2</v>
      </c>
      <c r="Y279" s="58">
        <f t="shared" si="98"/>
        <v>4</v>
      </c>
      <c r="Z279" s="58">
        <f t="shared" si="98"/>
        <v>1.7999999999999998</v>
      </c>
      <c r="AA279" s="58">
        <f t="shared" si="98"/>
        <v>8</v>
      </c>
      <c r="AB279" s="58">
        <f t="shared" si="98"/>
        <v>10</v>
      </c>
      <c r="AC279" s="58">
        <f t="shared" si="98"/>
        <v>0</v>
      </c>
      <c r="AD279" s="58">
        <f t="shared" si="98"/>
        <v>20</v>
      </c>
      <c r="AE279" s="58">
        <f t="shared" si="98"/>
        <v>10</v>
      </c>
      <c r="AF279" s="58">
        <f t="shared" si="98"/>
        <v>0</v>
      </c>
      <c r="AG279" s="58">
        <f t="shared" si="98"/>
        <v>10</v>
      </c>
      <c r="AH279" s="58">
        <f t="shared" si="98"/>
        <v>0</v>
      </c>
      <c r="AI279" s="58">
        <f t="shared" si="98"/>
        <v>0</v>
      </c>
      <c r="AJ279" s="58">
        <f t="shared" si="98"/>
        <v>50</v>
      </c>
      <c r="AK279" s="58">
        <f t="shared" si="98"/>
        <v>40</v>
      </c>
      <c r="AL279" s="58">
        <f t="shared" si="98"/>
        <v>0</v>
      </c>
      <c r="AM279" s="58">
        <f t="shared" si="98"/>
        <v>200</v>
      </c>
      <c r="AN279" s="58">
        <f t="shared" si="98"/>
        <v>100</v>
      </c>
      <c r="AO279" s="58">
        <f t="shared" si="98"/>
        <v>100</v>
      </c>
      <c r="AP279" s="58" t="str">
        <f t="shared" si="103"/>
        <v>neg ctrl</v>
      </c>
      <c r="AQ279" s="58" t="str">
        <f t="shared" si="103"/>
        <v>no T7, DNA(+) 1E7</v>
      </c>
    </row>
    <row r="280" spans="1:43" x14ac:dyDescent="0.35">
      <c r="A280" s="30">
        <v>4</v>
      </c>
      <c r="B280" s="29">
        <f t="shared" si="99"/>
        <v>8.24</v>
      </c>
      <c r="C280" s="28">
        <v>0.8</v>
      </c>
      <c r="D280" s="28">
        <v>0.36</v>
      </c>
      <c r="E280" s="28">
        <v>1.6</v>
      </c>
      <c r="F280" s="28">
        <v>2</v>
      </c>
      <c r="G280" s="28">
        <v>1</v>
      </c>
      <c r="H280" s="28">
        <v>4</v>
      </c>
      <c r="I280" s="28">
        <v>2</v>
      </c>
      <c r="J280" s="28"/>
      <c r="K280" s="28"/>
      <c r="L280" s="28">
        <v>2</v>
      </c>
      <c r="N280" s="15">
        <v>10</v>
      </c>
      <c r="O280" s="29">
        <f t="shared" ref="O280:O282" si="105">S280-SUM(K280:N280)-P280</f>
        <v>8</v>
      </c>
      <c r="P280" s="28"/>
      <c r="Q280" s="57">
        <f t="shared" ref="Q280:Q282" si="106">R280+S280</f>
        <v>40</v>
      </c>
      <c r="R280" s="18">
        <v>20</v>
      </c>
      <c r="S280" s="18">
        <v>20</v>
      </c>
      <c r="T280" s="15" t="s">
        <v>27</v>
      </c>
      <c r="U280" s="38" t="s">
        <v>225</v>
      </c>
      <c r="W280" s="63">
        <f t="shared" si="101"/>
        <v>4</v>
      </c>
      <c r="X280" s="58">
        <f t="shared" si="102"/>
        <v>41.2</v>
      </c>
      <c r="Y280" s="58">
        <f t="shared" si="98"/>
        <v>4</v>
      </c>
      <c r="Z280" s="58">
        <f t="shared" si="98"/>
        <v>1.7999999999999998</v>
      </c>
      <c r="AA280" s="58">
        <f t="shared" si="98"/>
        <v>8</v>
      </c>
      <c r="AB280" s="58">
        <f t="shared" si="98"/>
        <v>10</v>
      </c>
      <c r="AC280" s="58">
        <f t="shared" si="98"/>
        <v>5</v>
      </c>
      <c r="AD280" s="58">
        <f t="shared" si="98"/>
        <v>20</v>
      </c>
      <c r="AE280" s="58">
        <f t="shared" si="98"/>
        <v>10</v>
      </c>
      <c r="AF280" s="58">
        <f t="shared" si="98"/>
        <v>0</v>
      </c>
      <c r="AG280" s="58">
        <f t="shared" si="98"/>
        <v>0</v>
      </c>
      <c r="AH280" s="58">
        <f t="shared" si="98"/>
        <v>10</v>
      </c>
      <c r="AI280" s="58">
        <f t="shared" si="98"/>
        <v>0</v>
      </c>
      <c r="AJ280" s="58">
        <f t="shared" si="98"/>
        <v>50</v>
      </c>
      <c r="AK280" s="58">
        <f t="shared" si="98"/>
        <v>40</v>
      </c>
      <c r="AL280" s="58">
        <f t="shared" si="98"/>
        <v>0</v>
      </c>
      <c r="AM280" s="58">
        <f t="shared" si="98"/>
        <v>200</v>
      </c>
      <c r="AN280" s="58">
        <f t="shared" si="98"/>
        <v>100</v>
      </c>
      <c r="AO280" s="58">
        <f t="shared" si="98"/>
        <v>100</v>
      </c>
      <c r="AP280" s="58" t="str">
        <f t="shared" si="103"/>
        <v>neg ctrl</v>
      </c>
      <c r="AQ280" s="58" t="str">
        <f t="shared" si="103"/>
        <v>DNA(-) 1E7</v>
      </c>
    </row>
    <row r="281" spans="1:43" x14ac:dyDescent="0.35">
      <c r="A281" s="30">
        <v>5</v>
      </c>
      <c r="B281" s="29">
        <f t="shared" si="99"/>
        <v>8.24</v>
      </c>
      <c r="C281" s="28">
        <v>0.8</v>
      </c>
      <c r="D281" s="28">
        <v>0.36</v>
      </c>
      <c r="E281" s="28">
        <v>1.6</v>
      </c>
      <c r="F281" s="28">
        <v>2</v>
      </c>
      <c r="G281" s="28">
        <v>1</v>
      </c>
      <c r="H281" s="28">
        <v>4</v>
      </c>
      <c r="I281" s="28">
        <v>2</v>
      </c>
      <c r="J281" s="28"/>
      <c r="K281" s="28">
        <v>2</v>
      </c>
      <c r="N281" s="15">
        <v>10</v>
      </c>
      <c r="O281" s="29">
        <f t="shared" si="105"/>
        <v>8</v>
      </c>
      <c r="P281" s="28"/>
      <c r="Q281" s="57">
        <f t="shared" si="106"/>
        <v>40</v>
      </c>
      <c r="R281" s="18">
        <v>20</v>
      </c>
      <c r="S281" s="18">
        <v>20</v>
      </c>
      <c r="T281" s="15" t="s">
        <v>18</v>
      </c>
      <c r="U281" s="38" t="s">
        <v>227</v>
      </c>
      <c r="W281" s="63">
        <f t="shared" si="101"/>
        <v>5</v>
      </c>
      <c r="X281" s="58">
        <f t="shared" si="102"/>
        <v>41.2</v>
      </c>
      <c r="Y281" s="58">
        <f t="shared" si="98"/>
        <v>4</v>
      </c>
      <c r="Z281" s="58">
        <f t="shared" si="98"/>
        <v>1.7999999999999998</v>
      </c>
      <c r="AA281" s="58">
        <f t="shared" si="98"/>
        <v>8</v>
      </c>
      <c r="AB281" s="58">
        <f t="shared" si="98"/>
        <v>10</v>
      </c>
      <c r="AC281" s="58">
        <f t="shared" si="98"/>
        <v>5</v>
      </c>
      <c r="AD281" s="58">
        <f t="shared" si="98"/>
        <v>20</v>
      </c>
      <c r="AE281" s="58">
        <f t="shared" si="98"/>
        <v>10</v>
      </c>
      <c r="AF281" s="58">
        <f t="shared" si="98"/>
        <v>0</v>
      </c>
      <c r="AG281" s="58">
        <f t="shared" si="98"/>
        <v>10</v>
      </c>
      <c r="AH281" s="58">
        <f t="shared" si="98"/>
        <v>0</v>
      </c>
      <c r="AI281" s="58">
        <f t="shared" si="98"/>
        <v>0</v>
      </c>
      <c r="AJ281" s="58">
        <f t="shared" si="98"/>
        <v>50</v>
      </c>
      <c r="AK281" s="58">
        <f t="shared" si="98"/>
        <v>40</v>
      </c>
      <c r="AL281" s="58">
        <f t="shared" si="98"/>
        <v>0</v>
      </c>
      <c r="AM281" s="58">
        <f t="shared" si="98"/>
        <v>200</v>
      </c>
      <c r="AN281" s="58">
        <f t="shared" si="98"/>
        <v>100</v>
      </c>
      <c r="AO281" s="58">
        <f t="shared" si="98"/>
        <v>100</v>
      </c>
      <c r="AP281" s="58" t="str">
        <f t="shared" si="103"/>
        <v>pos ctrl</v>
      </c>
      <c r="AQ281" s="58" t="str">
        <f t="shared" si="103"/>
        <v>DNA(+) 1E9</v>
      </c>
    </row>
    <row r="282" spans="1:43" x14ac:dyDescent="0.35">
      <c r="A282" s="30">
        <v>6</v>
      </c>
      <c r="B282" s="29">
        <f t="shared" si="99"/>
        <v>8.24</v>
      </c>
      <c r="C282" s="28">
        <v>0.8</v>
      </c>
      <c r="D282" s="28">
        <v>0.36</v>
      </c>
      <c r="E282" s="28">
        <v>1.6</v>
      </c>
      <c r="F282" s="28">
        <v>2</v>
      </c>
      <c r="G282" s="28">
        <v>1</v>
      </c>
      <c r="H282" s="28">
        <v>4</v>
      </c>
      <c r="I282" s="28">
        <v>2</v>
      </c>
      <c r="J282" s="28"/>
      <c r="K282" s="28">
        <v>2</v>
      </c>
      <c r="L282" s="28"/>
      <c r="M282" s="28"/>
      <c r="N282" s="15">
        <v>10</v>
      </c>
      <c r="O282" s="29">
        <f t="shared" si="105"/>
        <v>8</v>
      </c>
      <c r="P282" s="28"/>
      <c r="Q282" s="57">
        <f t="shared" si="106"/>
        <v>40</v>
      </c>
      <c r="R282" s="18">
        <v>20</v>
      </c>
      <c r="S282" s="18">
        <v>20</v>
      </c>
      <c r="T282" s="15" t="s">
        <v>18</v>
      </c>
      <c r="U282" s="38" t="s">
        <v>226</v>
      </c>
      <c r="W282" s="63">
        <f t="shared" si="101"/>
        <v>6</v>
      </c>
      <c r="X282" s="58">
        <f t="shared" si="102"/>
        <v>41.2</v>
      </c>
      <c r="Y282" s="58">
        <f t="shared" si="98"/>
        <v>4</v>
      </c>
      <c r="Z282" s="58">
        <f t="shared" si="98"/>
        <v>1.7999999999999998</v>
      </c>
      <c r="AA282" s="58">
        <f t="shared" si="98"/>
        <v>8</v>
      </c>
      <c r="AB282" s="58">
        <f t="shared" si="98"/>
        <v>10</v>
      </c>
      <c r="AC282" s="58">
        <f t="shared" si="98"/>
        <v>5</v>
      </c>
      <c r="AD282" s="58">
        <f t="shared" si="98"/>
        <v>20</v>
      </c>
      <c r="AE282" s="58">
        <f t="shared" si="98"/>
        <v>10</v>
      </c>
      <c r="AF282" s="58">
        <f t="shared" si="98"/>
        <v>0</v>
      </c>
      <c r="AG282" s="58">
        <f t="shared" si="98"/>
        <v>10</v>
      </c>
      <c r="AH282" s="58">
        <f t="shared" si="98"/>
        <v>0</v>
      </c>
      <c r="AI282" s="58">
        <f t="shared" si="98"/>
        <v>0</v>
      </c>
      <c r="AJ282" s="58">
        <f t="shared" si="98"/>
        <v>50</v>
      </c>
      <c r="AK282" s="58">
        <f t="shared" si="98"/>
        <v>40</v>
      </c>
      <c r="AL282" s="58">
        <f t="shared" si="98"/>
        <v>0</v>
      </c>
      <c r="AM282" s="58">
        <f t="shared" si="98"/>
        <v>200</v>
      </c>
      <c r="AN282" s="58">
        <f t="shared" si="98"/>
        <v>100</v>
      </c>
      <c r="AO282" s="58">
        <f t="shared" si="98"/>
        <v>100</v>
      </c>
      <c r="AP282" s="58" t="str">
        <f t="shared" si="103"/>
        <v>pos ctrl</v>
      </c>
      <c r="AQ282" s="58" t="str">
        <f t="shared" si="103"/>
        <v>DNA(+) 1E7</v>
      </c>
    </row>
    <row r="283" spans="1:43" x14ac:dyDescent="0.35">
      <c r="A283" s="30">
        <v>7</v>
      </c>
      <c r="B283" s="29">
        <f t="shared" si="99"/>
        <v>17.2</v>
      </c>
      <c r="C283" s="28">
        <v>0.8</v>
      </c>
      <c r="D283" s="28"/>
      <c r="E283" s="28"/>
      <c r="F283" s="28">
        <v>2</v>
      </c>
      <c r="G283" s="28"/>
      <c r="H283" s="28"/>
      <c r="I283" s="28"/>
      <c r="N283" s="15">
        <v>10</v>
      </c>
      <c r="O283" s="29">
        <f t="shared" si="104"/>
        <v>9.75</v>
      </c>
      <c r="P283" s="28">
        <v>0.25</v>
      </c>
      <c r="Q283" s="57">
        <f t="shared" si="100"/>
        <v>40</v>
      </c>
      <c r="R283" s="18">
        <v>20</v>
      </c>
      <c r="S283" s="18">
        <v>20</v>
      </c>
      <c r="T283" t="s">
        <v>18</v>
      </c>
      <c r="U283" s="38" t="s">
        <v>230</v>
      </c>
      <c r="W283" s="63">
        <f t="shared" si="101"/>
        <v>7</v>
      </c>
      <c r="X283" s="58">
        <f t="shared" si="102"/>
        <v>86</v>
      </c>
      <c r="Y283" s="58">
        <f t="shared" si="98"/>
        <v>4</v>
      </c>
      <c r="Z283" s="58">
        <f t="shared" si="98"/>
        <v>0</v>
      </c>
      <c r="AA283" s="58">
        <f t="shared" si="98"/>
        <v>0</v>
      </c>
      <c r="AB283" s="58">
        <f t="shared" si="98"/>
        <v>10</v>
      </c>
      <c r="AC283" s="58">
        <f t="shared" si="98"/>
        <v>0</v>
      </c>
      <c r="AD283" s="58">
        <f t="shared" si="98"/>
        <v>0</v>
      </c>
      <c r="AE283" s="58">
        <f t="shared" si="98"/>
        <v>0</v>
      </c>
      <c r="AF283" s="58">
        <f t="shared" si="98"/>
        <v>0</v>
      </c>
      <c r="AG283" s="58">
        <f t="shared" si="98"/>
        <v>0</v>
      </c>
      <c r="AH283" s="58">
        <f t="shared" si="98"/>
        <v>0</v>
      </c>
      <c r="AI283" s="58">
        <f t="shared" si="98"/>
        <v>0</v>
      </c>
      <c r="AJ283" s="58">
        <f t="shared" si="98"/>
        <v>50</v>
      </c>
      <c r="AK283" s="58">
        <f t="shared" si="98"/>
        <v>48.75</v>
      </c>
      <c r="AL283" s="58">
        <f t="shared" si="98"/>
        <v>1.25</v>
      </c>
      <c r="AM283" s="58">
        <f t="shared" si="98"/>
        <v>200</v>
      </c>
      <c r="AN283" s="58">
        <f t="shared" si="98"/>
        <v>100</v>
      </c>
      <c r="AO283" s="58">
        <f t="shared" si="98"/>
        <v>100</v>
      </c>
      <c r="AP283" s="58" t="str">
        <f t="shared" si="103"/>
        <v>pos ctrl</v>
      </c>
      <c r="AQ283" s="58" t="str">
        <f t="shared" si="103"/>
        <v>reporter test</v>
      </c>
    </row>
    <row r="284" spans="1:43" x14ac:dyDescent="0.35">
      <c r="A284" s="30">
        <v>8</v>
      </c>
      <c r="B284" s="29"/>
      <c r="C284" s="28"/>
      <c r="D284" s="28"/>
      <c r="E284" s="28"/>
      <c r="F284" s="28"/>
      <c r="G284" s="28"/>
      <c r="H284" s="28"/>
      <c r="I284" s="28"/>
      <c r="N284" s="15"/>
      <c r="O284" s="29"/>
      <c r="P284" s="28"/>
      <c r="Q284" s="57"/>
      <c r="R284" s="18"/>
      <c r="S284" s="18"/>
      <c r="T284" t="s">
        <v>27</v>
      </c>
      <c r="U284" s="38" t="s">
        <v>5</v>
      </c>
      <c r="W284" s="63">
        <f t="shared" si="101"/>
        <v>8</v>
      </c>
      <c r="X284" s="58">
        <f t="shared" si="102"/>
        <v>0</v>
      </c>
      <c r="Y284" s="58">
        <f t="shared" si="98"/>
        <v>0</v>
      </c>
      <c r="Z284" s="58">
        <f t="shared" si="98"/>
        <v>0</v>
      </c>
      <c r="AA284" s="58">
        <f t="shared" si="98"/>
        <v>0</v>
      </c>
      <c r="AB284" s="58">
        <f t="shared" si="98"/>
        <v>0</v>
      </c>
      <c r="AC284" s="58">
        <f t="shared" si="98"/>
        <v>0</v>
      </c>
      <c r="AD284" s="58">
        <f t="shared" si="98"/>
        <v>0</v>
      </c>
      <c r="AE284" s="58">
        <f t="shared" si="98"/>
        <v>0</v>
      </c>
      <c r="AF284" s="58">
        <f t="shared" si="98"/>
        <v>0</v>
      </c>
      <c r="AG284" s="58">
        <f t="shared" si="98"/>
        <v>0</v>
      </c>
      <c r="AH284" s="58">
        <f t="shared" si="98"/>
        <v>0</v>
      </c>
      <c r="AI284" s="58">
        <f t="shared" si="98"/>
        <v>0</v>
      </c>
      <c r="AJ284" s="58">
        <f t="shared" si="98"/>
        <v>0</v>
      </c>
      <c r="AK284" s="58">
        <f t="shared" si="98"/>
        <v>0</v>
      </c>
      <c r="AL284" s="58">
        <f t="shared" si="98"/>
        <v>0</v>
      </c>
      <c r="AM284" s="58">
        <f t="shared" si="98"/>
        <v>0</v>
      </c>
      <c r="AN284" s="58">
        <f t="shared" si="98"/>
        <v>0</v>
      </c>
      <c r="AO284" s="58">
        <f t="shared" si="98"/>
        <v>0</v>
      </c>
      <c r="AP284" s="58" t="str">
        <f t="shared" si="103"/>
        <v>neg ctrl</v>
      </c>
      <c r="AQ284" s="58" t="str">
        <f t="shared" si="103"/>
        <v>air</v>
      </c>
    </row>
    <row r="292" spans="1:14" ht="21" x14ac:dyDescent="0.35">
      <c r="A292" s="13" t="s">
        <v>235</v>
      </c>
      <c r="B292" s="14"/>
      <c r="C292" s="14"/>
      <c r="D292" s="14"/>
      <c r="E292" s="14"/>
      <c r="F292" s="14"/>
      <c r="G292" s="14"/>
      <c r="H292" s="14"/>
      <c r="I292" s="14"/>
      <c r="J292" s="14"/>
      <c r="K292" s="15"/>
      <c r="L292" s="15"/>
      <c r="M292" s="15"/>
      <c r="N292" s="15"/>
    </row>
    <row r="293" spans="1:14" ht="15.5" x14ac:dyDescent="0.35">
      <c r="A293" s="50" t="s">
        <v>186</v>
      </c>
      <c r="B293" s="14"/>
      <c r="C293" s="14"/>
      <c r="D293" s="14"/>
      <c r="E293" s="14"/>
      <c r="F293" s="14"/>
      <c r="G293" s="14"/>
      <c r="H293" s="14"/>
      <c r="I293" s="14"/>
      <c r="J293" s="14"/>
      <c r="K293" s="15"/>
      <c r="L293" s="15"/>
      <c r="M293" s="15"/>
      <c r="N293" s="15"/>
    </row>
    <row r="294" spans="1:14" x14ac:dyDescent="0.35">
      <c r="A294" t="s">
        <v>239</v>
      </c>
      <c r="B294" s="14"/>
      <c r="C294" s="14"/>
      <c r="D294" s="14"/>
      <c r="E294" s="14"/>
      <c r="F294" s="14"/>
      <c r="G294" s="14"/>
      <c r="H294" s="14"/>
      <c r="I294" s="14"/>
      <c r="J294" s="14"/>
      <c r="K294" s="15"/>
      <c r="L294" s="15"/>
      <c r="M294" s="15"/>
      <c r="N294" s="15"/>
    </row>
    <row r="295" spans="1:14" ht="15.5" x14ac:dyDescent="0.35">
      <c r="A295" s="47" t="s">
        <v>236</v>
      </c>
      <c r="B295" s="14"/>
      <c r="C295" s="14"/>
      <c r="D295" s="14"/>
      <c r="E295" s="14"/>
      <c r="F295" s="14"/>
      <c r="G295" s="14"/>
      <c r="H295" s="14"/>
      <c r="I295" s="14"/>
      <c r="J295" s="14"/>
      <c r="K295" s="15"/>
      <c r="L295" s="15"/>
      <c r="M295" s="15"/>
      <c r="N295" s="15"/>
    </row>
    <row r="296" spans="1:14" ht="15.5" x14ac:dyDescent="0.35">
      <c r="A296" s="47" t="s">
        <v>237</v>
      </c>
      <c r="B296" s="14"/>
      <c r="C296" s="14"/>
      <c r="D296" s="14"/>
      <c r="E296" s="14"/>
      <c r="F296" s="14"/>
      <c r="G296" s="14"/>
      <c r="H296" s="14"/>
      <c r="I296" s="14"/>
      <c r="J296" s="14"/>
      <c r="K296" s="15"/>
      <c r="L296" s="15"/>
      <c r="M296" s="15"/>
      <c r="N296" s="15"/>
    </row>
    <row r="297" spans="1:14" ht="15.5" x14ac:dyDescent="0.35">
      <c r="A297" s="47" t="s">
        <v>238</v>
      </c>
      <c r="B297" s="14"/>
      <c r="C297" s="14"/>
      <c r="D297" s="14"/>
      <c r="E297" s="14"/>
      <c r="F297" s="14"/>
      <c r="G297" s="14"/>
      <c r="H297" s="14"/>
      <c r="I297" s="14"/>
      <c r="J297" s="14"/>
      <c r="K297" s="15"/>
      <c r="L297" s="15"/>
      <c r="M297" s="15"/>
      <c r="N297" s="15"/>
    </row>
    <row r="298" spans="1:14" ht="15.5" x14ac:dyDescent="0.35">
      <c r="A298" s="45"/>
      <c r="B298" s="14"/>
      <c r="C298" s="14"/>
      <c r="D298" s="14"/>
      <c r="E298" s="14"/>
      <c r="F298" s="14"/>
      <c r="G298" s="14"/>
      <c r="H298" s="14"/>
      <c r="I298" s="14"/>
      <c r="J298" s="14"/>
      <c r="K298" s="15"/>
      <c r="L298" s="15"/>
      <c r="M298" s="15"/>
      <c r="N298" s="15"/>
    </row>
    <row r="299" spans="1:14" x14ac:dyDescent="0.35">
      <c r="A299" s="26" t="s">
        <v>79</v>
      </c>
      <c r="B299" s="14"/>
      <c r="C299" s="14"/>
      <c r="D299" s="14"/>
      <c r="E299" s="14"/>
      <c r="F299" s="14"/>
      <c r="G299" s="14"/>
      <c r="H299" s="14"/>
      <c r="I299" s="14"/>
      <c r="J299" s="14"/>
      <c r="K299" s="15"/>
      <c r="L299" s="15"/>
      <c r="M299" s="15"/>
      <c r="N299" s="15"/>
    </row>
    <row r="300" spans="1:14" x14ac:dyDescent="0.35">
      <c r="A300" s="26" t="s">
        <v>77</v>
      </c>
      <c r="B300" s="42" t="s">
        <v>240</v>
      </c>
      <c r="C300" s="42"/>
      <c r="D300" s="43"/>
      <c r="E300" s="43"/>
      <c r="F300" s="43"/>
      <c r="G300" s="43"/>
      <c r="H300" s="43"/>
      <c r="I300" s="44"/>
      <c r="J300" s="14"/>
      <c r="K300" s="15"/>
      <c r="L300" s="15"/>
      <c r="M300" s="15"/>
      <c r="N300" s="15"/>
    </row>
    <row r="301" spans="1:14" x14ac:dyDescent="0.35">
      <c r="A301" s="24" t="s">
        <v>39</v>
      </c>
      <c r="B301" s="24" t="s">
        <v>84</v>
      </c>
      <c r="C301" s="14"/>
      <c r="D301" s="14"/>
      <c r="E301" s="14"/>
      <c r="F301" s="14"/>
      <c r="G301" s="14"/>
      <c r="H301" s="14"/>
      <c r="I301" s="14"/>
      <c r="J301" s="14"/>
      <c r="K301" s="15"/>
      <c r="L301" s="15"/>
      <c r="M301" s="15"/>
      <c r="N301" s="15"/>
    </row>
    <row r="302" spans="1:14" x14ac:dyDescent="0.35">
      <c r="A302" s="24" t="s">
        <v>49</v>
      </c>
      <c r="B302" s="24" t="s">
        <v>49</v>
      </c>
      <c r="C302" s="14"/>
      <c r="D302" s="14"/>
      <c r="E302" s="14"/>
      <c r="F302" s="14"/>
      <c r="G302" s="14"/>
      <c r="H302" s="14"/>
      <c r="I302" s="14"/>
      <c r="J302" s="14"/>
      <c r="K302" s="15"/>
      <c r="L302" s="15"/>
      <c r="M302" s="15"/>
      <c r="N302" s="15"/>
    </row>
    <row r="303" spans="1:14" x14ac:dyDescent="0.35">
      <c r="A303" s="24" t="s">
        <v>273</v>
      </c>
      <c r="C303" t="s">
        <v>8</v>
      </c>
      <c r="D303" s="24" t="s">
        <v>272</v>
      </c>
      <c r="E303" s="14"/>
      <c r="F303" s="14"/>
      <c r="G303" s="14"/>
      <c r="H303" s="14"/>
      <c r="I303" s="14"/>
      <c r="J303" s="14"/>
      <c r="K303" s="15"/>
      <c r="L303" s="15"/>
      <c r="M303" s="15"/>
      <c r="N303" s="15"/>
    </row>
    <row r="304" spans="1:14" x14ac:dyDescent="0.35">
      <c r="A304" s="24"/>
      <c r="B304" s="24"/>
      <c r="C304" s="14"/>
      <c r="D304" s="14"/>
      <c r="E304" s="14"/>
      <c r="F304" s="14"/>
      <c r="G304" s="14"/>
      <c r="H304" s="14"/>
      <c r="I304" s="14"/>
      <c r="J304" s="14"/>
      <c r="K304" s="15"/>
      <c r="L304" s="15"/>
      <c r="M304" s="15"/>
      <c r="N304" s="15"/>
    </row>
    <row r="305" spans="1:43" x14ac:dyDescent="0.35">
      <c r="A305" s="24" t="s">
        <v>72</v>
      </c>
      <c r="B305" s="14" t="s">
        <v>232</v>
      </c>
      <c r="C305" s="40"/>
      <c r="D305" s="14"/>
      <c r="F305" s="14"/>
      <c r="G305" s="14"/>
      <c r="H305" s="14"/>
      <c r="I305" s="14" t="s">
        <v>167</v>
      </c>
      <c r="K305" s="15"/>
      <c r="L305" s="15"/>
      <c r="M305" s="15"/>
      <c r="N305" s="15"/>
    </row>
    <row r="306" spans="1:43" x14ac:dyDescent="0.35">
      <c r="A306" s="24"/>
      <c r="B306" s="33"/>
      <c r="F306" s="14"/>
      <c r="G306" s="14"/>
      <c r="H306" s="14"/>
      <c r="I306" s="14" t="s">
        <v>108</v>
      </c>
      <c r="K306" s="15"/>
      <c r="L306" s="15"/>
      <c r="M306" s="15"/>
      <c r="N306" s="15"/>
    </row>
    <row r="307" spans="1:43" x14ac:dyDescent="0.35">
      <c r="A307" s="17"/>
      <c r="B307" s="33"/>
      <c r="C307" s="14"/>
      <c r="D307" s="40"/>
      <c r="F307" s="14"/>
      <c r="G307" s="14"/>
      <c r="H307" s="14"/>
      <c r="I307" s="14"/>
      <c r="K307" s="15"/>
      <c r="L307" s="15"/>
      <c r="M307" s="15"/>
      <c r="N307" s="15"/>
    </row>
    <row r="308" spans="1:43" ht="29" x14ac:dyDescent="0.35">
      <c r="A308" s="17" t="s">
        <v>131</v>
      </c>
      <c r="B308" t="s">
        <v>132</v>
      </c>
      <c r="L308" s="15"/>
      <c r="M308" s="15"/>
      <c r="N308" s="15"/>
    </row>
    <row r="309" spans="1:43" x14ac:dyDescent="0.35">
      <c r="A309" s="51" t="s">
        <v>241</v>
      </c>
      <c r="B309" s="14"/>
      <c r="C309" s="14"/>
      <c r="D309" t="s">
        <v>244</v>
      </c>
      <c r="E309">
        <f>2400/0.1</f>
        <v>24000</v>
      </c>
      <c r="F309" t="s">
        <v>247</v>
      </c>
      <c r="I309" t="s">
        <v>245</v>
      </c>
      <c r="J309" t="s">
        <v>246</v>
      </c>
      <c r="N309">
        <f>(0.1/53000)*1000000</f>
        <v>1.8867924528301889</v>
      </c>
      <c r="O309" s="56" t="s">
        <v>148</v>
      </c>
      <c r="P309">
        <f>N309/50</f>
        <v>3.7735849056603779E-2</v>
      </c>
      <c r="Q309" s="55" t="s">
        <v>243</v>
      </c>
      <c r="R309" s="55" t="s">
        <v>149</v>
      </c>
      <c r="U309" s="64"/>
    </row>
    <row r="310" spans="1:43" x14ac:dyDescent="0.35">
      <c r="A310" s="51" t="s">
        <v>242</v>
      </c>
      <c r="B310" s="14"/>
      <c r="C310" s="14"/>
      <c r="D310" t="s">
        <v>244</v>
      </c>
      <c r="E310">
        <f>1200/0.1</f>
        <v>12000</v>
      </c>
      <c r="F310" t="s">
        <v>248</v>
      </c>
      <c r="J310" t="s">
        <v>246</v>
      </c>
      <c r="O310" s="56"/>
      <c r="Q310" s="55"/>
      <c r="R310" s="55"/>
    </row>
    <row r="311" spans="1:43" x14ac:dyDescent="0.35">
      <c r="A311" s="51"/>
      <c r="B311" s="14"/>
      <c r="C311" s="14"/>
      <c r="N311" s="15"/>
    </row>
    <row r="312" spans="1:43" x14ac:dyDescent="0.35">
      <c r="A312" s="51"/>
      <c r="B312" s="14"/>
      <c r="C312" s="14"/>
      <c r="N312" s="15"/>
      <c r="O312" s="15"/>
    </row>
    <row r="313" spans="1:43" x14ac:dyDescent="0.35">
      <c r="A313" s="17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5"/>
      <c r="N313" s="15"/>
      <c r="O313" s="26" t="s">
        <v>113</v>
      </c>
    </row>
    <row r="314" spans="1:43" ht="58" x14ac:dyDescent="0.35">
      <c r="A314" s="34" t="s">
        <v>73</v>
      </c>
      <c r="B314" s="48" t="s">
        <v>198</v>
      </c>
      <c r="C314" s="48" t="s">
        <v>198</v>
      </c>
      <c r="D314" s="48" t="s">
        <v>198</v>
      </c>
      <c r="E314" s="48" t="s">
        <v>198</v>
      </c>
      <c r="F314" s="48" t="s">
        <v>198</v>
      </c>
      <c r="G314" s="48" t="s">
        <v>198</v>
      </c>
      <c r="H314" s="48" t="s">
        <v>198</v>
      </c>
      <c r="I314" s="48" t="s">
        <v>198</v>
      </c>
      <c r="J314" s="48" t="s">
        <v>198</v>
      </c>
      <c r="K314" s="49" t="s">
        <v>197</v>
      </c>
      <c r="L314" s="49" t="s">
        <v>197</v>
      </c>
      <c r="M314" s="49" t="s">
        <v>197</v>
      </c>
      <c r="N314" s="49" t="s">
        <v>197</v>
      </c>
      <c r="O314" s="49" t="s">
        <v>197</v>
      </c>
      <c r="P314" s="52" t="s">
        <v>185</v>
      </c>
      <c r="Q314" s="17"/>
      <c r="R314" s="17"/>
      <c r="S314" s="17"/>
      <c r="W314" s="48" t="s">
        <v>135</v>
      </c>
      <c r="X314" s="48" t="s">
        <v>135</v>
      </c>
      <c r="Y314" s="48" t="s">
        <v>135</v>
      </c>
      <c r="Z314" s="48" t="s">
        <v>135</v>
      </c>
      <c r="AA314" s="48" t="s">
        <v>135</v>
      </c>
      <c r="AB314" s="48" t="s">
        <v>135</v>
      </c>
      <c r="AC314" s="48" t="s">
        <v>135</v>
      </c>
      <c r="AD314" s="48" t="s">
        <v>135</v>
      </c>
      <c r="AE314" s="48" t="s">
        <v>135</v>
      </c>
      <c r="AF314" s="48" t="s">
        <v>135</v>
      </c>
      <c r="AG314" s="49" t="s">
        <v>134</v>
      </c>
      <c r="AH314" s="49" t="s">
        <v>134</v>
      </c>
      <c r="AI314" s="49" t="s">
        <v>134</v>
      </c>
      <c r="AJ314" s="49" t="s">
        <v>134</v>
      </c>
      <c r="AK314" s="49" t="s">
        <v>134</v>
      </c>
    </row>
    <row r="315" spans="1:43" ht="58.5" thickBot="1" x14ac:dyDescent="0.4">
      <c r="A315" s="31" t="s">
        <v>7</v>
      </c>
      <c r="B315" s="32" t="s">
        <v>49</v>
      </c>
      <c r="C315" s="32" t="s">
        <v>210</v>
      </c>
      <c r="D315" s="32" t="s">
        <v>48</v>
      </c>
      <c r="E315" s="32"/>
      <c r="F315" s="32" t="s">
        <v>82</v>
      </c>
      <c r="G315" s="32"/>
      <c r="H315" s="32" t="s">
        <v>74</v>
      </c>
      <c r="I315" s="32"/>
      <c r="J315" s="32"/>
      <c r="K315" s="32" t="s">
        <v>157</v>
      </c>
      <c r="L315" s="32" t="s">
        <v>156</v>
      </c>
      <c r="M315" s="32"/>
      <c r="N315" s="32" t="s">
        <v>72</v>
      </c>
      <c r="O315" s="32" t="s">
        <v>49</v>
      </c>
      <c r="P315" s="32" t="s">
        <v>29</v>
      </c>
      <c r="Q315" s="5" t="s">
        <v>6</v>
      </c>
      <c r="R315" s="5" t="s">
        <v>184</v>
      </c>
      <c r="S315" s="5" t="s">
        <v>180</v>
      </c>
      <c r="T315" s="5" t="s">
        <v>17</v>
      </c>
      <c r="U315" s="5" t="s">
        <v>78</v>
      </c>
      <c r="W315" s="61" t="str">
        <f>A315</f>
        <v>reaction mix No.</v>
      </c>
      <c r="X315" s="60" t="str">
        <f t="shared" ref="X315" si="107">B315</f>
        <v>water</v>
      </c>
      <c r="Y315" s="60" t="str">
        <f t="shared" ref="Y315" si="108">C315</f>
        <v>20mM HEPES pH7</v>
      </c>
      <c r="Z315" s="60" t="str">
        <f t="shared" ref="Z315" si="109">D315</f>
        <v>1M MgCl2</v>
      </c>
      <c r="AA315" s="60">
        <f t="shared" ref="AA315" si="110">E315</f>
        <v>0</v>
      </c>
      <c r="AB315" s="60" t="str">
        <f t="shared" ref="AB315" si="111">F315</f>
        <v>guide RNA</v>
      </c>
      <c r="AC315" s="60">
        <f t="shared" ref="AC315" si="112">G315</f>
        <v>0</v>
      </c>
      <c r="AD315" s="60" t="str">
        <f t="shared" ref="AD315" si="113">H315</f>
        <v>Cas13</v>
      </c>
      <c r="AE315" s="60">
        <f t="shared" ref="AE315" si="114">I315</f>
        <v>0</v>
      </c>
      <c r="AF315" s="60">
        <f t="shared" ref="AF315" si="115">J315</f>
        <v>0</v>
      </c>
      <c r="AG315" s="60" t="str">
        <f t="shared" ref="AG315" si="116">K315</f>
        <v>Amplified target DNA positive</v>
      </c>
      <c r="AH315" s="60" t="str">
        <f t="shared" ref="AH315" si="117">L315</f>
        <v>Amplified target DNA negative</v>
      </c>
      <c r="AI315" s="60">
        <f t="shared" ref="AI315" si="118">M315</f>
        <v>0</v>
      </c>
      <c r="AJ315" s="60" t="str">
        <f t="shared" ref="AJ315" si="119">N315</f>
        <v>substrate</v>
      </c>
      <c r="AK315" s="60" t="str">
        <f t="shared" ref="AK315" si="120">O315</f>
        <v>water</v>
      </c>
      <c r="AL315" s="60" t="str">
        <f t="shared" ref="AL315" si="121">P315</f>
        <v>Benzoase(TM) nuclease 25U/ul</v>
      </c>
      <c r="AM315" s="60" t="str">
        <f t="shared" ref="AM315" si="122">Q315</f>
        <v>total</v>
      </c>
      <c r="AN315" s="60" t="str">
        <f t="shared" ref="AN315" si="123">R315</f>
        <v>tube A</v>
      </c>
      <c r="AO315" s="60" t="str">
        <f t="shared" ref="AO315" si="124">S315</f>
        <v>tube B</v>
      </c>
      <c r="AP315" s="60" t="str">
        <f t="shared" ref="AP315" si="125">T315</f>
        <v>notes</v>
      </c>
      <c r="AQ315" s="60" t="str">
        <f t="shared" ref="AQ315" si="126">U315</f>
        <v>details</v>
      </c>
    </row>
    <row r="316" spans="1:43" ht="15" thickTop="1" x14ac:dyDescent="0.35">
      <c r="A316" s="30">
        <v>1</v>
      </c>
      <c r="B316" s="29">
        <f>$R316-SUM(C316:J316)</f>
        <v>14.84</v>
      </c>
      <c r="C316" s="28">
        <v>0.8</v>
      </c>
      <c r="D316" s="28">
        <v>0.36</v>
      </c>
      <c r="E316" s="28"/>
      <c r="F316" s="28">
        <v>2</v>
      </c>
      <c r="G316" s="28"/>
      <c r="H316" s="28">
        <v>2</v>
      </c>
      <c r="I316" s="28"/>
      <c r="J316" s="28"/>
      <c r="K316" s="28">
        <v>1</v>
      </c>
      <c r="N316" s="15">
        <v>1</v>
      </c>
      <c r="O316" s="29">
        <f>S316-SUM(K316:N316)-P316</f>
        <v>18</v>
      </c>
      <c r="P316" s="28"/>
      <c r="Q316" s="57">
        <f>R316+S316</f>
        <v>40</v>
      </c>
      <c r="R316" s="18">
        <v>20</v>
      </c>
      <c r="S316" s="18">
        <v>20</v>
      </c>
      <c r="T316" s="15" t="s">
        <v>18</v>
      </c>
      <c r="U316" s="25"/>
      <c r="W316" s="62">
        <f>A316</f>
        <v>1</v>
      </c>
      <c r="X316" s="59">
        <f>B316*4*1.25</f>
        <v>74.2</v>
      </c>
      <c r="Y316" s="59">
        <f t="shared" ref="Y316:Y323" si="127">C316*4*1.25</f>
        <v>4</v>
      </c>
      <c r="Z316" s="59">
        <f t="shared" ref="Z316:Z323" si="128">D316*4*1.25</f>
        <v>1.7999999999999998</v>
      </c>
      <c r="AA316" s="59">
        <f t="shared" ref="AA316:AA323" si="129">E316*4*1.25</f>
        <v>0</v>
      </c>
      <c r="AB316" s="59">
        <f t="shared" ref="AB316:AB323" si="130">F316*4*1.25</f>
        <v>10</v>
      </c>
      <c r="AC316" s="59">
        <f t="shared" ref="AC316:AC323" si="131">G316*4*1.25</f>
        <v>0</v>
      </c>
      <c r="AD316" s="59">
        <f t="shared" ref="AD316:AD323" si="132">H316*4*1.25</f>
        <v>10</v>
      </c>
      <c r="AE316" s="59">
        <f t="shared" ref="AE316:AE323" si="133">I316*4*1.25</f>
        <v>0</v>
      </c>
      <c r="AF316" s="59">
        <f t="shared" ref="AF316:AF323" si="134">J316*4*1.25</f>
        <v>0</v>
      </c>
      <c r="AG316" s="59">
        <f t="shared" ref="AG316:AG323" si="135">K316*4*1.25</f>
        <v>5</v>
      </c>
      <c r="AH316" s="59">
        <f t="shared" ref="AH316:AH323" si="136">L316*4*1.25</f>
        <v>0</v>
      </c>
      <c r="AI316" s="59">
        <f t="shared" ref="AI316:AI323" si="137">M316*4*1.25</f>
        <v>0</v>
      </c>
      <c r="AJ316" s="59">
        <f t="shared" ref="AJ316:AJ323" si="138">N316*4*1.25</f>
        <v>5</v>
      </c>
      <c r="AK316" s="59">
        <f t="shared" ref="AK316:AK323" si="139">O316*4*1.25</f>
        <v>90</v>
      </c>
      <c r="AL316" s="59">
        <f t="shared" ref="AL316:AL323" si="140">P316*4*1.25</f>
        <v>0</v>
      </c>
      <c r="AM316" s="59">
        <f t="shared" ref="AM316:AM323" si="141">Q316*4*1.25</f>
        <v>200</v>
      </c>
      <c r="AN316" s="59">
        <f t="shared" ref="AN316:AN323" si="142">R316*4*1.25</f>
        <v>100</v>
      </c>
      <c r="AO316" s="59">
        <f t="shared" ref="AO316:AO323" si="143">S316*4*1.25</f>
        <v>100</v>
      </c>
      <c r="AP316" s="59" t="str">
        <f>T316</f>
        <v>pos ctrl</v>
      </c>
      <c r="AQ316" s="59">
        <f>U316</f>
        <v>0</v>
      </c>
    </row>
    <row r="317" spans="1:43" x14ac:dyDescent="0.35">
      <c r="A317" s="30">
        <v>2</v>
      </c>
      <c r="B317" s="29">
        <f t="shared" ref="B317:B322" si="144">$R317-SUM(C317:J317)</f>
        <v>14.84</v>
      </c>
      <c r="C317" s="28">
        <v>0.8</v>
      </c>
      <c r="D317" s="28">
        <v>0.36</v>
      </c>
      <c r="E317" s="28"/>
      <c r="F317" s="28">
        <v>2</v>
      </c>
      <c r="G317" s="28"/>
      <c r="H317" s="28">
        <v>2</v>
      </c>
      <c r="I317" s="28"/>
      <c r="J317" s="28"/>
      <c r="K317" s="28">
        <v>1</v>
      </c>
      <c r="N317" s="15">
        <v>1</v>
      </c>
      <c r="O317" s="29">
        <f>S317-SUM(K317:N317)-P317</f>
        <v>18</v>
      </c>
      <c r="P317" s="28"/>
      <c r="Q317" s="57">
        <f t="shared" ref="Q317:Q322" si="145">R317+S317</f>
        <v>40</v>
      </c>
      <c r="R317" s="18">
        <v>20</v>
      </c>
      <c r="S317" s="18">
        <v>20</v>
      </c>
      <c r="T317" s="15" t="s">
        <v>18</v>
      </c>
      <c r="U317" s="25"/>
      <c r="W317" s="63">
        <f t="shared" ref="W317:W323" si="146">A317</f>
        <v>2</v>
      </c>
      <c r="X317" s="58">
        <f t="shared" ref="X317:X323" si="147">B317*4*1.25</f>
        <v>74.2</v>
      </c>
      <c r="Y317" s="58">
        <f t="shared" si="127"/>
        <v>4</v>
      </c>
      <c r="Z317" s="58">
        <f t="shared" si="128"/>
        <v>1.7999999999999998</v>
      </c>
      <c r="AA317" s="58">
        <f t="shared" si="129"/>
        <v>0</v>
      </c>
      <c r="AB317" s="58">
        <f t="shared" si="130"/>
        <v>10</v>
      </c>
      <c r="AC317" s="58">
        <f t="shared" si="131"/>
        <v>0</v>
      </c>
      <c r="AD317" s="58">
        <f t="shared" si="132"/>
        <v>10</v>
      </c>
      <c r="AE317" s="58">
        <f t="shared" si="133"/>
        <v>0</v>
      </c>
      <c r="AF317" s="58">
        <f t="shared" si="134"/>
        <v>0</v>
      </c>
      <c r="AG317" s="58">
        <f t="shared" si="135"/>
        <v>5</v>
      </c>
      <c r="AH317" s="58">
        <f t="shared" si="136"/>
        <v>0</v>
      </c>
      <c r="AI317" s="58">
        <f t="shared" si="137"/>
        <v>0</v>
      </c>
      <c r="AJ317" s="58">
        <f t="shared" si="138"/>
        <v>5</v>
      </c>
      <c r="AK317" s="58">
        <f t="shared" si="139"/>
        <v>90</v>
      </c>
      <c r="AL317" s="58">
        <f t="shared" si="140"/>
        <v>0</v>
      </c>
      <c r="AM317" s="58">
        <f t="shared" si="141"/>
        <v>200</v>
      </c>
      <c r="AN317" s="58">
        <f t="shared" si="142"/>
        <v>100</v>
      </c>
      <c r="AO317" s="58">
        <f t="shared" si="143"/>
        <v>100</v>
      </c>
      <c r="AP317" s="58" t="str">
        <f t="shared" ref="AP317:AP323" si="148">T317</f>
        <v>pos ctrl</v>
      </c>
      <c r="AQ317" s="58">
        <f t="shared" ref="AQ317:AQ323" si="149">U317</f>
        <v>0</v>
      </c>
    </row>
    <row r="318" spans="1:43" x14ac:dyDescent="0.35">
      <c r="A318" s="30">
        <v>3</v>
      </c>
      <c r="B318" s="29">
        <f t="shared" si="144"/>
        <v>14.84</v>
      </c>
      <c r="C318" s="28">
        <v>0.8</v>
      </c>
      <c r="D318" s="28">
        <v>0.36</v>
      </c>
      <c r="E318" s="28"/>
      <c r="F318" s="28">
        <v>2</v>
      </c>
      <c r="G318" s="28"/>
      <c r="H318" s="28">
        <v>2</v>
      </c>
      <c r="I318" s="28"/>
      <c r="J318" s="28"/>
      <c r="K318" s="28">
        <v>1</v>
      </c>
      <c r="N318" s="15">
        <v>1</v>
      </c>
      <c r="O318" s="29">
        <f t="shared" ref="O318:O322" si="150">S318-SUM(K318:N318)-P318</f>
        <v>18</v>
      </c>
      <c r="P318" s="28"/>
      <c r="Q318" s="57">
        <f t="shared" si="145"/>
        <v>40</v>
      </c>
      <c r="R318" s="18">
        <v>20</v>
      </c>
      <c r="S318" s="18">
        <v>20</v>
      </c>
      <c r="T318" s="15" t="s">
        <v>18</v>
      </c>
      <c r="U318" s="38"/>
      <c r="W318" s="63">
        <f t="shared" si="146"/>
        <v>3</v>
      </c>
      <c r="X318" s="58">
        <f t="shared" si="147"/>
        <v>74.2</v>
      </c>
      <c r="Y318" s="58">
        <f t="shared" si="127"/>
        <v>4</v>
      </c>
      <c r="Z318" s="58">
        <f t="shared" si="128"/>
        <v>1.7999999999999998</v>
      </c>
      <c r="AA318" s="58">
        <f t="shared" si="129"/>
        <v>0</v>
      </c>
      <c r="AB318" s="58">
        <f t="shared" si="130"/>
        <v>10</v>
      </c>
      <c r="AC318" s="58">
        <f t="shared" si="131"/>
        <v>0</v>
      </c>
      <c r="AD318" s="58">
        <f t="shared" si="132"/>
        <v>10</v>
      </c>
      <c r="AE318" s="58">
        <f t="shared" si="133"/>
        <v>0</v>
      </c>
      <c r="AF318" s="58">
        <f t="shared" si="134"/>
        <v>0</v>
      </c>
      <c r="AG318" s="58">
        <f t="shared" si="135"/>
        <v>5</v>
      </c>
      <c r="AH318" s="58">
        <f t="shared" si="136"/>
        <v>0</v>
      </c>
      <c r="AI318" s="58">
        <f t="shared" si="137"/>
        <v>0</v>
      </c>
      <c r="AJ318" s="58">
        <f t="shared" si="138"/>
        <v>5</v>
      </c>
      <c r="AK318" s="58">
        <f t="shared" si="139"/>
        <v>90</v>
      </c>
      <c r="AL318" s="58">
        <f t="shared" si="140"/>
        <v>0</v>
      </c>
      <c r="AM318" s="58">
        <f t="shared" si="141"/>
        <v>200</v>
      </c>
      <c r="AN318" s="58">
        <f t="shared" si="142"/>
        <v>100</v>
      </c>
      <c r="AO318" s="58">
        <f t="shared" si="143"/>
        <v>100</v>
      </c>
      <c r="AP318" s="58" t="str">
        <f t="shared" si="148"/>
        <v>pos ctrl</v>
      </c>
      <c r="AQ318" s="58">
        <f t="shared" si="149"/>
        <v>0</v>
      </c>
    </row>
    <row r="319" spans="1:43" x14ac:dyDescent="0.35">
      <c r="A319" s="30">
        <v>4</v>
      </c>
      <c r="B319" s="29">
        <f t="shared" si="144"/>
        <v>14.84</v>
      </c>
      <c r="C319" s="28">
        <v>0.8</v>
      </c>
      <c r="D319" s="28">
        <v>0.36</v>
      </c>
      <c r="E319" s="28"/>
      <c r="F319" s="28">
        <v>2</v>
      </c>
      <c r="G319" s="28"/>
      <c r="H319" s="28">
        <v>2</v>
      </c>
      <c r="I319" s="28"/>
      <c r="J319" s="28"/>
      <c r="K319" s="28"/>
      <c r="L319" s="28">
        <v>1</v>
      </c>
      <c r="N319" s="15">
        <v>1</v>
      </c>
      <c r="O319" s="29">
        <f t="shared" si="150"/>
        <v>18</v>
      </c>
      <c r="P319" s="28"/>
      <c r="Q319" s="57">
        <f t="shared" si="145"/>
        <v>40</v>
      </c>
      <c r="R319" s="18">
        <v>20</v>
      </c>
      <c r="S319" s="18">
        <v>20</v>
      </c>
      <c r="T319" s="15" t="s">
        <v>27</v>
      </c>
      <c r="U319" s="38"/>
      <c r="W319" s="63">
        <f t="shared" si="146"/>
        <v>4</v>
      </c>
      <c r="X319" s="58">
        <f t="shared" si="147"/>
        <v>74.2</v>
      </c>
      <c r="Y319" s="58">
        <f t="shared" si="127"/>
        <v>4</v>
      </c>
      <c r="Z319" s="58">
        <f t="shared" si="128"/>
        <v>1.7999999999999998</v>
      </c>
      <c r="AA319" s="58">
        <f t="shared" si="129"/>
        <v>0</v>
      </c>
      <c r="AB319" s="58">
        <f t="shared" si="130"/>
        <v>10</v>
      </c>
      <c r="AC319" s="58">
        <f t="shared" si="131"/>
        <v>0</v>
      </c>
      <c r="AD319" s="58">
        <f t="shared" si="132"/>
        <v>10</v>
      </c>
      <c r="AE319" s="58">
        <f t="shared" si="133"/>
        <v>0</v>
      </c>
      <c r="AF319" s="58">
        <f t="shared" si="134"/>
        <v>0</v>
      </c>
      <c r="AG319" s="58">
        <f t="shared" si="135"/>
        <v>0</v>
      </c>
      <c r="AH319" s="58">
        <f t="shared" si="136"/>
        <v>5</v>
      </c>
      <c r="AI319" s="58">
        <f t="shared" si="137"/>
        <v>0</v>
      </c>
      <c r="AJ319" s="58">
        <f t="shared" si="138"/>
        <v>5</v>
      </c>
      <c r="AK319" s="58">
        <f t="shared" si="139"/>
        <v>90</v>
      </c>
      <c r="AL319" s="58">
        <f t="shared" si="140"/>
        <v>0</v>
      </c>
      <c r="AM319" s="58">
        <f t="shared" si="141"/>
        <v>200</v>
      </c>
      <c r="AN319" s="58">
        <f t="shared" si="142"/>
        <v>100</v>
      </c>
      <c r="AO319" s="58">
        <f t="shared" si="143"/>
        <v>100</v>
      </c>
      <c r="AP319" s="58" t="str">
        <f t="shared" si="148"/>
        <v>neg ctrl</v>
      </c>
      <c r="AQ319" s="58">
        <f t="shared" si="149"/>
        <v>0</v>
      </c>
    </row>
    <row r="320" spans="1:43" x14ac:dyDescent="0.35">
      <c r="A320" s="30">
        <v>5</v>
      </c>
      <c r="B320" s="29">
        <f t="shared" si="144"/>
        <v>14.84</v>
      </c>
      <c r="C320" s="28">
        <v>0.8</v>
      </c>
      <c r="D320" s="28">
        <v>0.36</v>
      </c>
      <c r="E320" s="28"/>
      <c r="F320" s="28">
        <v>2</v>
      </c>
      <c r="G320" s="28"/>
      <c r="H320" s="28">
        <v>2</v>
      </c>
      <c r="I320" s="28"/>
      <c r="J320" s="28"/>
      <c r="K320" s="28"/>
      <c r="L320" s="28">
        <v>1</v>
      </c>
      <c r="N320" s="15">
        <v>1</v>
      </c>
      <c r="O320" s="29">
        <f t="shared" si="150"/>
        <v>18</v>
      </c>
      <c r="P320" s="28"/>
      <c r="Q320" s="57">
        <f t="shared" si="145"/>
        <v>40</v>
      </c>
      <c r="R320" s="18">
        <v>20</v>
      </c>
      <c r="S320" s="18">
        <v>20</v>
      </c>
      <c r="T320" s="15" t="s">
        <v>27</v>
      </c>
      <c r="U320" s="38"/>
      <c r="W320" s="63">
        <f t="shared" si="146"/>
        <v>5</v>
      </c>
      <c r="X320" s="58">
        <f t="shared" si="147"/>
        <v>74.2</v>
      </c>
      <c r="Y320" s="58">
        <f t="shared" si="127"/>
        <v>4</v>
      </c>
      <c r="Z320" s="58">
        <f t="shared" si="128"/>
        <v>1.7999999999999998</v>
      </c>
      <c r="AA320" s="58">
        <f t="shared" si="129"/>
        <v>0</v>
      </c>
      <c r="AB320" s="58">
        <f t="shared" si="130"/>
        <v>10</v>
      </c>
      <c r="AC320" s="58">
        <f t="shared" si="131"/>
        <v>0</v>
      </c>
      <c r="AD320" s="58">
        <f t="shared" si="132"/>
        <v>10</v>
      </c>
      <c r="AE320" s="58">
        <f t="shared" si="133"/>
        <v>0</v>
      </c>
      <c r="AF320" s="58">
        <f t="shared" si="134"/>
        <v>0</v>
      </c>
      <c r="AG320" s="58">
        <f t="shared" si="135"/>
        <v>0</v>
      </c>
      <c r="AH320" s="58">
        <f t="shared" si="136"/>
        <v>5</v>
      </c>
      <c r="AI320" s="58">
        <f t="shared" si="137"/>
        <v>0</v>
      </c>
      <c r="AJ320" s="58">
        <f t="shared" si="138"/>
        <v>5</v>
      </c>
      <c r="AK320" s="58">
        <f t="shared" si="139"/>
        <v>90</v>
      </c>
      <c r="AL320" s="58">
        <f t="shared" si="140"/>
        <v>0</v>
      </c>
      <c r="AM320" s="58">
        <f t="shared" si="141"/>
        <v>200</v>
      </c>
      <c r="AN320" s="58">
        <f t="shared" si="142"/>
        <v>100</v>
      </c>
      <c r="AO320" s="58">
        <f t="shared" si="143"/>
        <v>100</v>
      </c>
      <c r="AP320" s="58" t="str">
        <f t="shared" si="148"/>
        <v>neg ctrl</v>
      </c>
      <c r="AQ320" s="58">
        <f t="shared" si="149"/>
        <v>0</v>
      </c>
    </row>
    <row r="321" spans="1:43" x14ac:dyDescent="0.35">
      <c r="A321" s="30">
        <v>6</v>
      </c>
      <c r="B321" s="29">
        <f t="shared" si="144"/>
        <v>14.84</v>
      </c>
      <c r="C321" s="28">
        <v>0.8</v>
      </c>
      <c r="D321" s="28">
        <v>0.36</v>
      </c>
      <c r="E321" s="28"/>
      <c r="F321" s="28">
        <v>2</v>
      </c>
      <c r="G321" s="28"/>
      <c r="H321" s="28">
        <v>2</v>
      </c>
      <c r="I321" s="28"/>
      <c r="J321" s="28"/>
      <c r="K321" s="28"/>
      <c r="L321" s="28">
        <v>1</v>
      </c>
      <c r="M321" s="28"/>
      <c r="N321" s="15">
        <v>1</v>
      </c>
      <c r="O321" s="29">
        <f t="shared" si="150"/>
        <v>18</v>
      </c>
      <c r="P321" s="28"/>
      <c r="Q321" s="57">
        <f t="shared" si="145"/>
        <v>40</v>
      </c>
      <c r="R321" s="18">
        <v>20</v>
      </c>
      <c r="S321" s="18">
        <v>20</v>
      </c>
      <c r="T321" s="15" t="s">
        <v>27</v>
      </c>
      <c r="U321" s="38"/>
      <c r="W321" s="63">
        <f t="shared" si="146"/>
        <v>6</v>
      </c>
      <c r="X321" s="58">
        <f t="shared" si="147"/>
        <v>74.2</v>
      </c>
      <c r="Y321" s="58">
        <f t="shared" si="127"/>
        <v>4</v>
      </c>
      <c r="Z321" s="58">
        <f t="shared" si="128"/>
        <v>1.7999999999999998</v>
      </c>
      <c r="AA321" s="58">
        <f t="shared" si="129"/>
        <v>0</v>
      </c>
      <c r="AB321" s="58">
        <f t="shared" si="130"/>
        <v>10</v>
      </c>
      <c r="AC321" s="58">
        <f t="shared" si="131"/>
        <v>0</v>
      </c>
      <c r="AD321" s="58">
        <f t="shared" si="132"/>
        <v>10</v>
      </c>
      <c r="AE321" s="58">
        <f t="shared" si="133"/>
        <v>0</v>
      </c>
      <c r="AF321" s="58">
        <f t="shared" si="134"/>
        <v>0</v>
      </c>
      <c r="AG321" s="58">
        <f t="shared" si="135"/>
        <v>0</v>
      </c>
      <c r="AH321" s="58">
        <f t="shared" si="136"/>
        <v>5</v>
      </c>
      <c r="AI321" s="58">
        <f t="shared" si="137"/>
        <v>0</v>
      </c>
      <c r="AJ321" s="58">
        <f t="shared" si="138"/>
        <v>5</v>
      </c>
      <c r="AK321" s="58">
        <f t="shared" si="139"/>
        <v>90</v>
      </c>
      <c r="AL321" s="58">
        <f t="shared" si="140"/>
        <v>0</v>
      </c>
      <c r="AM321" s="58">
        <f t="shared" si="141"/>
        <v>200</v>
      </c>
      <c r="AN321" s="58">
        <f t="shared" si="142"/>
        <v>100</v>
      </c>
      <c r="AO321" s="58">
        <f t="shared" si="143"/>
        <v>100</v>
      </c>
      <c r="AP321" s="58" t="str">
        <f t="shared" si="148"/>
        <v>neg ctrl</v>
      </c>
      <c r="AQ321" s="58">
        <f t="shared" si="149"/>
        <v>0</v>
      </c>
    </row>
    <row r="322" spans="1:43" x14ac:dyDescent="0.35">
      <c r="A322" s="30">
        <v>7</v>
      </c>
      <c r="B322" s="29">
        <f t="shared" si="144"/>
        <v>16.84</v>
      </c>
      <c r="C322" s="28">
        <v>0.8</v>
      </c>
      <c r="D322" s="28">
        <v>0.36</v>
      </c>
      <c r="E322" s="28"/>
      <c r="F322" s="28">
        <v>2</v>
      </c>
      <c r="G322" s="28"/>
      <c r="H322" s="28"/>
      <c r="I322" s="28"/>
      <c r="N322" s="15">
        <v>1</v>
      </c>
      <c r="O322" s="29">
        <f t="shared" si="150"/>
        <v>18.5</v>
      </c>
      <c r="P322" s="28">
        <v>0.5</v>
      </c>
      <c r="Q322" s="57">
        <f t="shared" si="145"/>
        <v>40</v>
      </c>
      <c r="R322" s="18">
        <v>20</v>
      </c>
      <c r="S322" s="18">
        <v>20</v>
      </c>
      <c r="T322" t="s">
        <v>18</v>
      </c>
      <c r="U322" s="38" t="s">
        <v>230</v>
      </c>
      <c r="W322" s="63">
        <f t="shared" si="146"/>
        <v>7</v>
      </c>
      <c r="X322" s="58">
        <f t="shared" si="147"/>
        <v>84.2</v>
      </c>
      <c r="Y322" s="58">
        <f t="shared" si="127"/>
        <v>4</v>
      </c>
      <c r="Z322" s="58">
        <f t="shared" si="128"/>
        <v>1.7999999999999998</v>
      </c>
      <c r="AA322" s="58">
        <f t="shared" si="129"/>
        <v>0</v>
      </c>
      <c r="AB322" s="58">
        <f t="shared" si="130"/>
        <v>10</v>
      </c>
      <c r="AC322" s="58">
        <f t="shared" si="131"/>
        <v>0</v>
      </c>
      <c r="AD322" s="58">
        <f t="shared" si="132"/>
        <v>0</v>
      </c>
      <c r="AE322" s="58">
        <f t="shared" si="133"/>
        <v>0</v>
      </c>
      <c r="AF322" s="58">
        <f t="shared" si="134"/>
        <v>0</v>
      </c>
      <c r="AG322" s="58">
        <f t="shared" si="135"/>
        <v>0</v>
      </c>
      <c r="AH322" s="58">
        <f t="shared" si="136"/>
        <v>0</v>
      </c>
      <c r="AI322" s="58">
        <f t="shared" si="137"/>
        <v>0</v>
      </c>
      <c r="AJ322" s="58">
        <f t="shared" si="138"/>
        <v>5</v>
      </c>
      <c r="AK322" s="58">
        <f t="shared" si="139"/>
        <v>92.5</v>
      </c>
      <c r="AL322" s="58">
        <f t="shared" si="140"/>
        <v>2.5</v>
      </c>
      <c r="AM322" s="58">
        <f t="shared" si="141"/>
        <v>200</v>
      </c>
      <c r="AN322" s="58">
        <f t="shared" si="142"/>
        <v>100</v>
      </c>
      <c r="AO322" s="58">
        <f t="shared" si="143"/>
        <v>100</v>
      </c>
      <c r="AP322" s="58" t="str">
        <f t="shared" si="148"/>
        <v>pos ctrl</v>
      </c>
      <c r="AQ322" s="58" t="str">
        <f t="shared" si="149"/>
        <v>reporter test</v>
      </c>
    </row>
    <row r="323" spans="1:43" x14ac:dyDescent="0.35">
      <c r="A323" s="30">
        <v>8</v>
      </c>
      <c r="B323" s="29"/>
      <c r="C323" s="28"/>
      <c r="D323" s="28"/>
      <c r="E323" s="28"/>
      <c r="F323" s="28"/>
      <c r="G323" s="28"/>
      <c r="H323" s="28"/>
      <c r="I323" s="28"/>
      <c r="N323" s="15"/>
      <c r="O323" s="29"/>
      <c r="P323" s="28"/>
      <c r="Q323" s="57"/>
      <c r="R323" s="18"/>
      <c r="S323" s="18"/>
      <c r="T323" t="s">
        <v>27</v>
      </c>
      <c r="U323" s="38" t="s">
        <v>5</v>
      </c>
      <c r="W323" s="63">
        <f t="shared" si="146"/>
        <v>8</v>
      </c>
      <c r="X323" s="58">
        <f t="shared" si="147"/>
        <v>0</v>
      </c>
      <c r="Y323" s="58">
        <f t="shared" si="127"/>
        <v>0</v>
      </c>
      <c r="Z323" s="58">
        <f t="shared" si="128"/>
        <v>0</v>
      </c>
      <c r="AA323" s="58">
        <f t="shared" si="129"/>
        <v>0</v>
      </c>
      <c r="AB323" s="58">
        <f t="shared" si="130"/>
        <v>0</v>
      </c>
      <c r="AC323" s="58">
        <f t="shared" si="131"/>
        <v>0</v>
      </c>
      <c r="AD323" s="58">
        <f t="shared" si="132"/>
        <v>0</v>
      </c>
      <c r="AE323" s="58">
        <f t="shared" si="133"/>
        <v>0</v>
      </c>
      <c r="AF323" s="58">
        <f t="shared" si="134"/>
        <v>0</v>
      </c>
      <c r="AG323" s="58">
        <f t="shared" si="135"/>
        <v>0</v>
      </c>
      <c r="AH323" s="58">
        <f t="shared" si="136"/>
        <v>0</v>
      </c>
      <c r="AI323" s="58">
        <f t="shared" si="137"/>
        <v>0</v>
      </c>
      <c r="AJ323" s="58">
        <f t="shared" si="138"/>
        <v>0</v>
      </c>
      <c r="AK323" s="58">
        <f t="shared" si="139"/>
        <v>0</v>
      </c>
      <c r="AL323" s="58">
        <f t="shared" si="140"/>
        <v>0</v>
      </c>
      <c r="AM323" s="58">
        <f t="shared" si="141"/>
        <v>0</v>
      </c>
      <c r="AN323" s="58">
        <f t="shared" si="142"/>
        <v>0</v>
      </c>
      <c r="AO323" s="58">
        <f t="shared" si="143"/>
        <v>0</v>
      </c>
      <c r="AP323" s="58" t="str">
        <f t="shared" si="148"/>
        <v>neg ctrl</v>
      </c>
      <c r="AQ323" s="58" t="str">
        <f t="shared" si="149"/>
        <v>air</v>
      </c>
    </row>
    <row r="328" spans="1:43" ht="21" x14ac:dyDescent="0.35">
      <c r="A328" s="13" t="s">
        <v>249</v>
      </c>
      <c r="B328" s="14"/>
      <c r="C328" s="14"/>
      <c r="D328" s="14"/>
      <c r="E328" s="14"/>
      <c r="F328" s="14"/>
      <c r="G328" s="14"/>
      <c r="H328" s="14"/>
      <c r="I328" s="14"/>
      <c r="J328" s="14"/>
      <c r="K328" s="15"/>
      <c r="L328" s="15"/>
      <c r="M328" s="15"/>
      <c r="N328" s="15"/>
    </row>
    <row r="329" spans="1:43" ht="15.5" x14ac:dyDescent="0.35">
      <c r="A329" s="65" t="s">
        <v>258</v>
      </c>
      <c r="B329" s="14"/>
      <c r="C329" s="14"/>
      <c r="D329" s="14"/>
      <c r="E329" s="14"/>
      <c r="F329" s="14"/>
      <c r="G329" s="14"/>
      <c r="H329" s="14"/>
      <c r="I329" s="14"/>
      <c r="J329" s="14"/>
      <c r="K329" s="15"/>
      <c r="L329" s="15"/>
      <c r="M329" s="15"/>
      <c r="N329" s="15"/>
    </row>
    <row r="330" spans="1:43" ht="15.5" x14ac:dyDescent="0.35">
      <c r="A330" s="50" t="s">
        <v>186</v>
      </c>
      <c r="B330" s="14"/>
      <c r="C330" s="14"/>
      <c r="D330" s="14"/>
      <c r="E330" s="14"/>
      <c r="F330" s="14"/>
      <c r="G330" s="14"/>
      <c r="H330" s="14"/>
      <c r="I330" s="14"/>
      <c r="J330" s="14"/>
      <c r="K330" s="15"/>
      <c r="L330" s="15"/>
      <c r="M330" s="15"/>
      <c r="N330" s="15"/>
    </row>
    <row r="331" spans="1:43" x14ac:dyDescent="0.35">
      <c r="A331" t="s">
        <v>239</v>
      </c>
      <c r="B331" s="14"/>
      <c r="C331" s="14"/>
      <c r="D331" s="14" t="s">
        <v>267</v>
      </c>
      <c r="E331" s="14" t="s">
        <v>268</v>
      </c>
      <c r="F331" s="14" t="s">
        <v>269</v>
      </c>
      <c r="G331" s="14"/>
      <c r="H331" s="14"/>
      <c r="I331" s="14"/>
      <c r="J331" s="14" t="s">
        <v>39</v>
      </c>
      <c r="K331" s="15"/>
      <c r="L331" s="15"/>
      <c r="M331" s="15"/>
      <c r="N331" s="15"/>
    </row>
    <row r="332" spans="1:43" ht="15.5" x14ac:dyDescent="0.35">
      <c r="A332" s="47" t="s">
        <v>236</v>
      </c>
      <c r="B332" s="14"/>
      <c r="C332" s="14"/>
      <c r="D332" s="14">
        <v>60</v>
      </c>
      <c r="E332" s="14" t="s">
        <v>8</v>
      </c>
      <c r="F332" s="14" t="s">
        <v>8</v>
      </c>
      <c r="G332" s="14"/>
      <c r="H332" s="14"/>
      <c r="I332" s="14"/>
      <c r="J332" s="14"/>
      <c r="K332" s="15"/>
      <c r="L332" s="15"/>
      <c r="M332" s="15"/>
      <c r="N332" s="15"/>
    </row>
    <row r="333" spans="1:43" ht="15.5" x14ac:dyDescent="0.35">
      <c r="A333" s="47" t="s">
        <v>237</v>
      </c>
      <c r="B333" s="14"/>
      <c r="C333" s="14"/>
      <c r="D333" s="14">
        <v>15</v>
      </c>
      <c r="E333" s="14">
        <v>0.38</v>
      </c>
      <c r="F333" s="14">
        <f>E333*D333</f>
        <v>5.7</v>
      </c>
      <c r="G333" s="14"/>
      <c r="H333" s="14"/>
      <c r="I333" s="14"/>
      <c r="J333" s="14" t="s">
        <v>270</v>
      </c>
      <c r="K333" s="15"/>
      <c r="L333" s="15"/>
      <c r="M333" s="15"/>
      <c r="N333" s="15"/>
    </row>
    <row r="334" spans="1:43" ht="15.5" x14ac:dyDescent="0.35">
      <c r="A334" s="47" t="s">
        <v>238</v>
      </c>
      <c r="B334" s="14"/>
      <c r="C334" s="14"/>
      <c r="D334" s="14">
        <v>10</v>
      </c>
      <c r="E334" s="14">
        <v>0.12</v>
      </c>
      <c r="F334" s="14">
        <f>E334*D334</f>
        <v>1.2</v>
      </c>
      <c r="G334" s="14"/>
      <c r="H334" s="14"/>
      <c r="I334" s="14"/>
      <c r="J334" s="14" t="s">
        <v>271</v>
      </c>
      <c r="K334" s="15"/>
      <c r="L334" s="15"/>
      <c r="M334" s="15"/>
      <c r="N334" s="15"/>
    </row>
    <row r="335" spans="1:43" ht="15.5" x14ac:dyDescent="0.35">
      <c r="A335" s="45"/>
      <c r="B335" s="14"/>
      <c r="C335" s="14"/>
      <c r="D335" s="14"/>
      <c r="E335" s="14"/>
      <c r="F335" s="14"/>
      <c r="G335" s="14"/>
      <c r="H335" s="14"/>
      <c r="I335" s="14"/>
      <c r="J335" s="14"/>
      <c r="K335" s="15"/>
      <c r="L335" s="15"/>
      <c r="M335" s="15"/>
      <c r="N335" s="15"/>
    </row>
    <row r="336" spans="1:43" x14ac:dyDescent="0.35">
      <c r="A336" s="26" t="s">
        <v>79</v>
      </c>
      <c r="B336" s="14"/>
      <c r="C336" s="14"/>
      <c r="D336" s="14"/>
      <c r="E336" s="14"/>
      <c r="F336" s="14"/>
      <c r="G336" s="14"/>
      <c r="H336" s="14"/>
      <c r="I336" s="14"/>
      <c r="J336" s="14"/>
      <c r="K336" s="15"/>
      <c r="L336" s="15"/>
      <c r="M336" s="15"/>
      <c r="N336" s="15"/>
    </row>
    <row r="337" spans="1:45" x14ac:dyDescent="0.35">
      <c r="A337" s="26" t="s">
        <v>77</v>
      </c>
      <c r="B337" s="42" t="s">
        <v>240</v>
      </c>
      <c r="C337" s="42"/>
      <c r="D337" s="43"/>
      <c r="E337" s="43"/>
      <c r="F337" s="43"/>
      <c r="G337" s="43"/>
      <c r="H337" s="43"/>
      <c r="I337" s="44"/>
      <c r="J337" s="14"/>
      <c r="K337" s="15"/>
      <c r="L337" s="15"/>
      <c r="M337" s="15"/>
      <c r="N337" s="15"/>
    </row>
    <row r="338" spans="1:45" x14ac:dyDescent="0.35">
      <c r="A338" s="24" t="s">
        <v>39</v>
      </c>
      <c r="B338" s="24" t="s">
        <v>84</v>
      </c>
      <c r="C338" s="14"/>
      <c r="D338" s="14"/>
      <c r="E338" s="14"/>
      <c r="F338" s="14"/>
      <c r="G338" s="14"/>
      <c r="H338" s="14"/>
      <c r="I338" s="14"/>
      <c r="J338" s="14"/>
      <c r="K338" s="15"/>
      <c r="L338" s="15"/>
      <c r="M338" s="15"/>
      <c r="N338" s="15"/>
    </row>
    <row r="339" spans="1:45" x14ac:dyDescent="0.35">
      <c r="A339" s="24" t="s">
        <v>49</v>
      </c>
      <c r="B339" s="24" t="s">
        <v>49</v>
      </c>
      <c r="C339" s="14"/>
      <c r="D339" s="14"/>
      <c r="E339" s="14"/>
      <c r="F339" s="14"/>
      <c r="G339" s="14"/>
      <c r="H339" s="14"/>
      <c r="I339" s="14"/>
      <c r="J339" s="14"/>
      <c r="K339" s="15"/>
      <c r="L339" s="15"/>
      <c r="M339" s="15"/>
      <c r="N339" s="15"/>
    </row>
    <row r="340" spans="1:45" x14ac:dyDescent="0.35">
      <c r="A340" s="24" t="s">
        <v>75</v>
      </c>
      <c r="B340" s="24" t="s">
        <v>266</v>
      </c>
      <c r="C340" s="14"/>
      <c r="D340" s="14"/>
      <c r="E340" s="14"/>
      <c r="F340" s="14"/>
      <c r="G340" s="14"/>
      <c r="H340" s="14"/>
      <c r="I340" s="14"/>
      <c r="J340" s="14"/>
      <c r="K340" s="15"/>
      <c r="L340" s="15"/>
      <c r="M340" s="15"/>
      <c r="N340" s="15"/>
    </row>
    <row r="341" spans="1:45" x14ac:dyDescent="0.35">
      <c r="A341" s="24"/>
      <c r="B341" s="24"/>
      <c r="C341" s="14"/>
      <c r="D341" s="14"/>
      <c r="E341" s="14"/>
      <c r="F341" s="14"/>
      <c r="G341" s="14"/>
      <c r="H341" s="14"/>
      <c r="I341" s="14"/>
      <c r="J341" s="14"/>
      <c r="K341" s="15"/>
      <c r="L341" s="15"/>
      <c r="M341" s="15"/>
      <c r="N341" s="15"/>
    </row>
    <row r="342" spans="1:45" x14ac:dyDescent="0.35">
      <c r="A342" s="24" t="s">
        <v>72</v>
      </c>
      <c r="B342" s="14" t="s">
        <v>259</v>
      </c>
      <c r="C342" s="40"/>
      <c r="D342" s="14"/>
      <c r="F342" s="14"/>
      <c r="G342" s="14"/>
      <c r="H342" s="14"/>
      <c r="I342" s="14" t="s">
        <v>167</v>
      </c>
      <c r="K342" s="15"/>
      <c r="L342" s="15"/>
      <c r="M342" s="15"/>
      <c r="N342" s="15"/>
    </row>
    <row r="343" spans="1:45" x14ac:dyDescent="0.35">
      <c r="A343" s="24" t="s">
        <v>80</v>
      </c>
      <c r="B343" s="33" t="s">
        <v>151</v>
      </c>
      <c r="F343" s="14"/>
      <c r="G343" s="14"/>
      <c r="H343" s="14"/>
      <c r="I343" s="14" t="s">
        <v>108</v>
      </c>
      <c r="K343" s="15"/>
      <c r="L343" s="15"/>
      <c r="M343" s="15"/>
      <c r="N343" s="15"/>
    </row>
    <row r="344" spans="1:45" ht="29" x14ac:dyDescent="0.35">
      <c r="A344" s="17" t="s">
        <v>168</v>
      </c>
      <c r="B344" s="33" t="s">
        <v>234</v>
      </c>
      <c r="C344" s="14" t="s">
        <v>233</v>
      </c>
      <c r="D344" s="40"/>
      <c r="F344" s="14"/>
      <c r="G344" s="14"/>
      <c r="H344" s="14"/>
      <c r="I344" s="14"/>
      <c r="K344" s="15"/>
      <c r="L344" s="15"/>
      <c r="M344" s="15"/>
      <c r="N344" s="15"/>
    </row>
    <row r="345" spans="1:45" ht="29" x14ac:dyDescent="0.35">
      <c r="A345" s="17" t="s">
        <v>131</v>
      </c>
      <c r="B345" t="s">
        <v>132</v>
      </c>
      <c r="L345" s="15"/>
      <c r="M345" s="15"/>
      <c r="N345" s="15"/>
    </row>
    <row r="346" spans="1:45" x14ac:dyDescent="0.35">
      <c r="A346" s="51" t="s">
        <v>241</v>
      </c>
      <c r="B346" s="14"/>
      <c r="C346" s="14"/>
      <c r="D346" t="s">
        <v>244</v>
      </c>
      <c r="E346">
        <f>2400/0.1</f>
        <v>24000</v>
      </c>
      <c r="F346" t="s">
        <v>263</v>
      </c>
      <c r="I346" t="s">
        <v>245</v>
      </c>
      <c r="J346" t="s">
        <v>246</v>
      </c>
      <c r="N346">
        <f>(0.1/53000)*1000000</f>
        <v>1.8867924528301889</v>
      </c>
      <c r="O346" s="56" t="s">
        <v>148</v>
      </c>
      <c r="P346">
        <f>N346/50</f>
        <v>3.7735849056603779E-2</v>
      </c>
      <c r="Q346" s="55" t="s">
        <v>243</v>
      </c>
      <c r="R346" s="55" t="s">
        <v>149</v>
      </c>
      <c r="U346" s="64"/>
    </row>
    <row r="347" spans="1:45" x14ac:dyDescent="0.35">
      <c r="A347" s="51" t="s">
        <v>242</v>
      </c>
      <c r="B347" s="14"/>
      <c r="C347" s="14"/>
      <c r="D347" t="s">
        <v>244</v>
      </c>
      <c r="E347">
        <f>1200/0.1</f>
        <v>12000</v>
      </c>
      <c r="F347" t="s">
        <v>264</v>
      </c>
      <c r="I347" t="s">
        <v>245</v>
      </c>
      <c r="O347" s="56"/>
      <c r="Q347" s="55"/>
      <c r="R347" s="55"/>
    </row>
    <row r="348" spans="1:45" x14ac:dyDescent="0.35">
      <c r="A348" s="51" t="s">
        <v>260</v>
      </c>
      <c r="B348" s="14"/>
      <c r="C348" s="14"/>
      <c r="D348" t="s">
        <v>244</v>
      </c>
      <c r="E348">
        <f>2200/0.1</f>
        <v>22000</v>
      </c>
      <c r="F348" t="s">
        <v>265</v>
      </c>
      <c r="I348" t="s">
        <v>245</v>
      </c>
      <c r="N348" s="15"/>
    </row>
    <row r="349" spans="1:45" x14ac:dyDescent="0.35">
      <c r="A349" s="51" t="s">
        <v>261</v>
      </c>
      <c r="B349" s="14"/>
      <c r="C349" s="14"/>
      <c r="D349" t="s">
        <v>244</v>
      </c>
      <c r="E349">
        <f>42/0.1</f>
        <v>420</v>
      </c>
      <c r="F349" t="s">
        <v>262</v>
      </c>
      <c r="I349" t="s">
        <v>245</v>
      </c>
      <c r="N349" s="15"/>
      <c r="O349" s="15"/>
    </row>
    <row r="350" spans="1:45" x14ac:dyDescent="0.35">
      <c r="A350" s="17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5"/>
      <c r="N350" s="15"/>
      <c r="O350" s="15"/>
      <c r="P350" s="26" t="s">
        <v>113</v>
      </c>
    </row>
    <row r="351" spans="1:45" ht="58" x14ac:dyDescent="0.35">
      <c r="A351" s="34" t="s">
        <v>73</v>
      </c>
      <c r="B351" s="48" t="s">
        <v>198</v>
      </c>
      <c r="C351" s="48" t="s">
        <v>198</v>
      </c>
      <c r="D351" s="48" t="s">
        <v>198</v>
      </c>
      <c r="E351" s="48" t="s">
        <v>198</v>
      </c>
      <c r="F351" s="48" t="s">
        <v>198</v>
      </c>
      <c r="G351" s="48" t="s">
        <v>198</v>
      </c>
      <c r="H351" s="48" t="s">
        <v>198</v>
      </c>
      <c r="I351" s="48" t="s">
        <v>198</v>
      </c>
      <c r="J351" s="48" t="s">
        <v>198</v>
      </c>
      <c r="K351" s="49" t="s">
        <v>197</v>
      </c>
      <c r="L351" s="49" t="s">
        <v>197</v>
      </c>
      <c r="M351" s="49" t="s">
        <v>197</v>
      </c>
      <c r="N351" s="49" t="s">
        <v>197</v>
      </c>
      <c r="O351" s="49" t="s">
        <v>197</v>
      </c>
      <c r="P351" s="49" t="s">
        <v>197</v>
      </c>
      <c r="Q351" s="52" t="s">
        <v>185</v>
      </c>
      <c r="R351" s="17"/>
      <c r="S351" s="17"/>
      <c r="T351" s="17"/>
      <c r="X351" s="48" t="s">
        <v>135</v>
      </c>
      <c r="Y351" s="48" t="s">
        <v>135</v>
      </c>
      <c r="Z351" s="48" t="s">
        <v>135</v>
      </c>
      <c r="AA351" s="48" t="s">
        <v>135</v>
      </c>
      <c r="AB351" s="48"/>
      <c r="AC351" s="48" t="s">
        <v>135</v>
      </c>
      <c r="AD351" s="48" t="s">
        <v>135</v>
      </c>
      <c r="AE351" s="48" t="s">
        <v>135</v>
      </c>
      <c r="AF351" s="48"/>
      <c r="AG351" s="48"/>
      <c r="AH351" s="49" t="s">
        <v>134</v>
      </c>
      <c r="AI351" s="49" t="s">
        <v>134</v>
      </c>
      <c r="AJ351" s="49" t="s">
        <v>134</v>
      </c>
      <c r="AK351" s="49" t="s">
        <v>134</v>
      </c>
      <c r="AL351" s="49" t="s">
        <v>134</v>
      </c>
      <c r="AM351" s="49" t="s">
        <v>134</v>
      </c>
    </row>
    <row r="352" spans="1:45" s="69" customFormat="1" ht="58.5" thickBot="1" x14ac:dyDescent="0.4">
      <c r="A352" s="67" t="s">
        <v>7</v>
      </c>
      <c r="B352" s="68" t="s">
        <v>49</v>
      </c>
      <c r="C352" s="68" t="s">
        <v>210</v>
      </c>
      <c r="D352" s="68" t="s">
        <v>48</v>
      </c>
      <c r="E352" s="68"/>
      <c r="F352" s="68" t="s">
        <v>82</v>
      </c>
      <c r="G352" s="68" t="s">
        <v>250</v>
      </c>
      <c r="H352" s="68" t="s">
        <v>74</v>
      </c>
      <c r="I352" s="68"/>
      <c r="J352" s="68"/>
      <c r="K352" s="68" t="s">
        <v>255</v>
      </c>
      <c r="L352" s="68" t="s">
        <v>254</v>
      </c>
      <c r="M352" s="68" t="s">
        <v>256</v>
      </c>
      <c r="N352" s="68" t="s">
        <v>257</v>
      </c>
      <c r="O352" s="68" t="s">
        <v>72</v>
      </c>
      <c r="P352" s="68" t="s">
        <v>49</v>
      </c>
      <c r="Q352" s="68" t="s">
        <v>29</v>
      </c>
      <c r="R352" s="5" t="s">
        <v>6</v>
      </c>
      <c r="S352" s="5" t="s">
        <v>184</v>
      </c>
      <c r="T352" s="5" t="s">
        <v>180</v>
      </c>
      <c r="U352" s="5" t="s">
        <v>17</v>
      </c>
      <c r="V352" s="5" t="s">
        <v>78</v>
      </c>
      <c r="X352" s="70" t="str">
        <f t="shared" ref="X352:AJ352" si="151">A352</f>
        <v>reaction mix No.</v>
      </c>
      <c r="Y352" s="71" t="str">
        <f t="shared" si="151"/>
        <v>water</v>
      </c>
      <c r="Z352" s="71" t="str">
        <f t="shared" si="151"/>
        <v>20mM HEPES pH7</v>
      </c>
      <c r="AA352" s="71" t="str">
        <f t="shared" si="151"/>
        <v>1M MgCl2</v>
      </c>
      <c r="AB352" s="71">
        <f t="shared" si="151"/>
        <v>0</v>
      </c>
      <c r="AC352" s="71" t="str">
        <f t="shared" si="151"/>
        <v>guide RNA</v>
      </c>
      <c r="AD352" s="71" t="str">
        <f t="shared" si="151"/>
        <v>Murine inhibitor</v>
      </c>
      <c r="AE352" s="71" t="str">
        <f t="shared" si="151"/>
        <v>Cas13</v>
      </c>
      <c r="AF352" s="71">
        <f t="shared" si="151"/>
        <v>0</v>
      </c>
      <c r="AG352" s="71">
        <f t="shared" si="151"/>
        <v>0</v>
      </c>
      <c r="AH352" s="71" t="str">
        <f t="shared" si="151"/>
        <v>Orf1ab RNA positive</v>
      </c>
      <c r="AI352" s="71" t="str">
        <f t="shared" si="151"/>
        <v>Orf1ab RNA negative</v>
      </c>
      <c r="AJ352" s="71" t="str">
        <f t="shared" si="151"/>
        <v>S RNA positive</v>
      </c>
      <c r="AK352" s="71" t="str">
        <f t="shared" ref="AK352:AS352" si="152">N352</f>
        <v>S RNA negative</v>
      </c>
      <c r="AL352" s="71" t="str">
        <f t="shared" si="152"/>
        <v>substrate</v>
      </c>
      <c r="AM352" s="71" t="str">
        <f t="shared" si="152"/>
        <v>water</v>
      </c>
      <c r="AN352" s="71" t="str">
        <f t="shared" si="152"/>
        <v>Benzoase(TM) nuclease 25U/ul</v>
      </c>
      <c r="AO352" s="71" t="str">
        <f t="shared" si="152"/>
        <v>total</v>
      </c>
      <c r="AP352" s="71" t="str">
        <f t="shared" si="152"/>
        <v>tube A</v>
      </c>
      <c r="AQ352" s="71" t="str">
        <f t="shared" si="152"/>
        <v>tube B</v>
      </c>
      <c r="AR352" s="71" t="str">
        <f t="shared" si="152"/>
        <v>notes</v>
      </c>
      <c r="AS352" s="71" t="str">
        <f t="shared" si="152"/>
        <v>details</v>
      </c>
    </row>
    <row r="353" spans="1:45" ht="15" thickTop="1" x14ac:dyDescent="0.35">
      <c r="A353" s="30">
        <v>1</v>
      </c>
      <c r="B353" s="29">
        <f>$S353-SUM(C353:J353)</f>
        <v>14.84</v>
      </c>
      <c r="C353" s="28">
        <v>0.8</v>
      </c>
      <c r="D353" s="28">
        <v>0.36</v>
      </c>
      <c r="E353" s="28"/>
      <c r="F353" s="28">
        <v>2</v>
      </c>
      <c r="G353" s="28"/>
      <c r="H353" s="28">
        <v>2</v>
      </c>
      <c r="I353" s="28"/>
      <c r="J353" s="28"/>
      <c r="K353" s="28">
        <v>1</v>
      </c>
      <c r="O353" s="15">
        <v>10</v>
      </c>
      <c r="P353" s="29">
        <f>T353-SUM(K353:O353)-Q353</f>
        <v>9</v>
      </c>
      <c r="Q353" s="28"/>
      <c r="R353" s="57">
        <f>S353+T353</f>
        <v>40</v>
      </c>
      <c r="S353" s="18">
        <v>20</v>
      </c>
      <c r="T353" s="18">
        <v>20</v>
      </c>
      <c r="U353" s="15" t="s">
        <v>18</v>
      </c>
      <c r="V353" s="25" t="s">
        <v>251</v>
      </c>
      <c r="X353" s="62">
        <f t="shared" ref="X353:X360" si="153">A353</f>
        <v>1</v>
      </c>
      <c r="Y353" s="59">
        <f>IF(B353*4*1.25=0,"",B353*4*1.25)</f>
        <v>74.2</v>
      </c>
      <c r="Z353" s="59">
        <f t="shared" ref="Z353:AQ367" si="154">IF(C353*4*1.25=0,"",C353*4*1.25)</f>
        <v>4</v>
      </c>
      <c r="AA353" s="59">
        <f t="shared" si="154"/>
        <v>1.7999999999999998</v>
      </c>
      <c r="AB353" s="59" t="str">
        <f t="shared" si="154"/>
        <v/>
      </c>
      <c r="AC353" s="59">
        <f t="shared" si="154"/>
        <v>10</v>
      </c>
      <c r="AD353" s="59" t="str">
        <f t="shared" si="154"/>
        <v/>
      </c>
      <c r="AE353" s="59">
        <f t="shared" si="154"/>
        <v>10</v>
      </c>
      <c r="AF353" s="59" t="str">
        <f t="shared" si="154"/>
        <v/>
      </c>
      <c r="AG353" s="59" t="str">
        <f t="shared" si="154"/>
        <v/>
      </c>
      <c r="AH353" s="59">
        <f t="shared" si="154"/>
        <v>5</v>
      </c>
      <c r="AI353" s="59" t="str">
        <f t="shared" si="154"/>
        <v/>
      </c>
      <c r="AJ353" s="59" t="str">
        <f t="shared" si="154"/>
        <v/>
      </c>
      <c r="AK353" s="59" t="str">
        <f t="shared" si="154"/>
        <v/>
      </c>
      <c r="AL353" s="59">
        <f t="shared" si="154"/>
        <v>50</v>
      </c>
      <c r="AM353" s="59">
        <f t="shared" si="154"/>
        <v>45</v>
      </c>
      <c r="AN353" s="59" t="str">
        <f t="shared" si="154"/>
        <v/>
      </c>
      <c r="AO353" s="59">
        <f t="shared" si="154"/>
        <v>200</v>
      </c>
      <c r="AP353" s="59">
        <f t="shared" si="154"/>
        <v>100</v>
      </c>
      <c r="AQ353" s="59">
        <f t="shared" si="154"/>
        <v>100</v>
      </c>
      <c r="AR353" s="59" t="str">
        <f>U353</f>
        <v>pos ctrl</v>
      </c>
      <c r="AS353" s="59" t="str">
        <f>V353</f>
        <v>crude</v>
      </c>
    </row>
    <row r="354" spans="1:45" x14ac:dyDescent="0.35">
      <c r="A354" s="30">
        <v>2</v>
      </c>
      <c r="B354" s="29">
        <f t="shared" ref="B354:B368" si="155">$S354-SUM(C354:J354)</f>
        <v>14.84</v>
      </c>
      <c r="C354" s="28">
        <v>0.8</v>
      </c>
      <c r="D354" s="28">
        <v>0.36</v>
      </c>
      <c r="E354" s="28"/>
      <c r="F354" s="28">
        <v>2</v>
      </c>
      <c r="G354" s="28"/>
      <c r="H354" s="28">
        <v>2</v>
      </c>
      <c r="I354" s="28"/>
      <c r="J354" s="28"/>
      <c r="L354">
        <v>1</v>
      </c>
      <c r="O354" s="15">
        <v>10</v>
      </c>
      <c r="P354" s="29">
        <f t="shared" ref="P354:P368" si="156">T354-SUM(K354:O354)-Q354</f>
        <v>9</v>
      </c>
      <c r="Q354" s="28"/>
      <c r="R354" s="57">
        <f t="shared" ref="R354:R368" si="157">S354+T354</f>
        <v>40</v>
      </c>
      <c r="S354" s="18">
        <v>20</v>
      </c>
      <c r="T354" s="18">
        <v>20</v>
      </c>
      <c r="U354" s="15" t="s">
        <v>27</v>
      </c>
      <c r="V354" s="25" t="s">
        <v>251</v>
      </c>
      <c r="X354" s="63">
        <f t="shared" si="153"/>
        <v>2</v>
      </c>
      <c r="Y354" s="59">
        <f t="shared" ref="Y354:Y368" si="158">IF(B354*4*1.25=0,"",B354*4*1.25)</f>
        <v>74.2</v>
      </c>
      <c r="Z354" s="59">
        <f t="shared" si="154"/>
        <v>4</v>
      </c>
      <c r="AA354" s="59">
        <f t="shared" si="154"/>
        <v>1.7999999999999998</v>
      </c>
      <c r="AB354" s="59" t="str">
        <f t="shared" si="154"/>
        <v/>
      </c>
      <c r="AC354" s="59">
        <f t="shared" si="154"/>
        <v>10</v>
      </c>
      <c r="AD354" s="59" t="str">
        <f t="shared" si="154"/>
        <v/>
      </c>
      <c r="AE354" s="59">
        <f t="shared" si="154"/>
        <v>10</v>
      </c>
      <c r="AF354" s="59" t="str">
        <f t="shared" si="154"/>
        <v/>
      </c>
      <c r="AG354" s="59" t="str">
        <f t="shared" si="154"/>
        <v/>
      </c>
      <c r="AH354" s="59" t="str">
        <f t="shared" si="154"/>
        <v/>
      </c>
      <c r="AI354" s="59">
        <f t="shared" si="154"/>
        <v>5</v>
      </c>
      <c r="AJ354" s="59" t="str">
        <f t="shared" si="154"/>
        <v/>
      </c>
      <c r="AK354" s="59" t="str">
        <f t="shared" si="154"/>
        <v/>
      </c>
      <c r="AL354" s="59">
        <f t="shared" si="154"/>
        <v>50</v>
      </c>
      <c r="AM354" s="59">
        <f t="shared" si="154"/>
        <v>45</v>
      </c>
      <c r="AN354" s="59" t="str">
        <f t="shared" si="154"/>
        <v/>
      </c>
      <c r="AO354" s="59">
        <f t="shared" si="154"/>
        <v>200</v>
      </c>
      <c r="AP354" s="59">
        <f t="shared" si="154"/>
        <v>100</v>
      </c>
      <c r="AQ354" s="59">
        <f t="shared" si="154"/>
        <v>100</v>
      </c>
      <c r="AR354" s="59" t="str">
        <f t="shared" ref="AR354:AR368" si="159">U354</f>
        <v>neg ctrl</v>
      </c>
      <c r="AS354" s="59" t="str">
        <f t="shared" ref="AS354:AS368" si="160">V354</f>
        <v>crude</v>
      </c>
    </row>
    <row r="355" spans="1:45" x14ac:dyDescent="0.35">
      <c r="A355" s="30">
        <v>3</v>
      </c>
      <c r="B355" s="29">
        <f t="shared" si="155"/>
        <v>13.84</v>
      </c>
      <c r="C355" s="28">
        <v>0.8</v>
      </c>
      <c r="D355" s="28">
        <v>0.36</v>
      </c>
      <c r="E355" s="28"/>
      <c r="F355" s="28">
        <v>2</v>
      </c>
      <c r="G355" s="28">
        <v>1</v>
      </c>
      <c r="H355" s="28">
        <v>2</v>
      </c>
      <c r="I355" s="28"/>
      <c r="J355" s="28"/>
      <c r="K355" s="28">
        <v>1</v>
      </c>
      <c r="O355" s="15">
        <v>10</v>
      </c>
      <c r="P355" s="29">
        <f t="shared" si="156"/>
        <v>9</v>
      </c>
      <c r="Q355" s="28"/>
      <c r="R355" s="57">
        <f t="shared" si="157"/>
        <v>40</v>
      </c>
      <c r="S355" s="18">
        <v>20</v>
      </c>
      <c r="T355" s="18">
        <v>20</v>
      </c>
      <c r="U355" s="15" t="s">
        <v>18</v>
      </c>
      <c r="V355" s="25" t="s">
        <v>251</v>
      </c>
      <c r="X355" s="63">
        <f t="shared" si="153"/>
        <v>3</v>
      </c>
      <c r="Y355" s="59">
        <f t="shared" si="158"/>
        <v>69.2</v>
      </c>
      <c r="Z355" s="59">
        <f t="shared" si="154"/>
        <v>4</v>
      </c>
      <c r="AA355" s="59">
        <f t="shared" si="154"/>
        <v>1.7999999999999998</v>
      </c>
      <c r="AB355" s="59" t="str">
        <f t="shared" si="154"/>
        <v/>
      </c>
      <c r="AC355" s="59">
        <f t="shared" si="154"/>
        <v>10</v>
      </c>
      <c r="AD355" s="59">
        <f t="shared" si="154"/>
        <v>5</v>
      </c>
      <c r="AE355" s="59">
        <f t="shared" si="154"/>
        <v>10</v>
      </c>
      <c r="AF355" s="59" t="str">
        <f t="shared" si="154"/>
        <v/>
      </c>
      <c r="AG355" s="59" t="str">
        <f t="shared" si="154"/>
        <v/>
      </c>
      <c r="AH355" s="59">
        <f t="shared" si="154"/>
        <v>5</v>
      </c>
      <c r="AI355" s="59" t="str">
        <f t="shared" si="154"/>
        <v/>
      </c>
      <c r="AJ355" s="59" t="str">
        <f t="shared" si="154"/>
        <v/>
      </c>
      <c r="AK355" s="59" t="str">
        <f t="shared" si="154"/>
        <v/>
      </c>
      <c r="AL355" s="59">
        <f t="shared" si="154"/>
        <v>50</v>
      </c>
      <c r="AM355" s="59">
        <f t="shared" si="154"/>
        <v>45</v>
      </c>
      <c r="AN355" s="59" t="str">
        <f t="shared" si="154"/>
        <v/>
      </c>
      <c r="AO355" s="59">
        <f t="shared" si="154"/>
        <v>200</v>
      </c>
      <c r="AP355" s="59">
        <f t="shared" si="154"/>
        <v>100</v>
      </c>
      <c r="AQ355" s="59">
        <f t="shared" si="154"/>
        <v>100</v>
      </c>
      <c r="AR355" s="59" t="str">
        <f t="shared" si="159"/>
        <v>pos ctrl</v>
      </c>
      <c r="AS355" s="59" t="str">
        <f t="shared" si="160"/>
        <v>crude</v>
      </c>
    </row>
    <row r="356" spans="1:45" x14ac:dyDescent="0.35">
      <c r="A356" s="30">
        <v>4</v>
      </c>
      <c r="B356" s="29">
        <f t="shared" si="155"/>
        <v>13.84</v>
      </c>
      <c r="C356" s="28">
        <v>0.8</v>
      </c>
      <c r="D356" s="28">
        <v>0.36</v>
      </c>
      <c r="E356" s="28"/>
      <c r="F356" s="28">
        <v>2</v>
      </c>
      <c r="G356" s="28">
        <v>1</v>
      </c>
      <c r="H356" s="28">
        <v>2</v>
      </c>
      <c r="I356" s="28"/>
      <c r="J356" s="28"/>
      <c r="K356" s="28"/>
      <c r="L356" s="28">
        <v>1</v>
      </c>
      <c r="O356" s="15">
        <v>10</v>
      </c>
      <c r="P356" s="29">
        <f t="shared" si="156"/>
        <v>9</v>
      </c>
      <c r="Q356" s="28"/>
      <c r="R356" s="57">
        <f t="shared" si="157"/>
        <v>40</v>
      </c>
      <c r="S356" s="18">
        <v>20</v>
      </c>
      <c r="T356" s="18">
        <v>20</v>
      </c>
      <c r="U356" s="15" t="s">
        <v>27</v>
      </c>
      <c r="V356" s="25" t="s">
        <v>251</v>
      </c>
      <c r="X356" s="63">
        <f t="shared" si="153"/>
        <v>4</v>
      </c>
      <c r="Y356" s="59">
        <f t="shared" si="158"/>
        <v>69.2</v>
      </c>
      <c r="Z356" s="59">
        <f t="shared" si="154"/>
        <v>4</v>
      </c>
      <c r="AA356" s="59">
        <f t="shared" si="154"/>
        <v>1.7999999999999998</v>
      </c>
      <c r="AB356" s="59" t="str">
        <f t="shared" si="154"/>
        <v/>
      </c>
      <c r="AC356" s="59">
        <f t="shared" si="154"/>
        <v>10</v>
      </c>
      <c r="AD356" s="59">
        <f t="shared" si="154"/>
        <v>5</v>
      </c>
      <c r="AE356" s="59">
        <f t="shared" si="154"/>
        <v>10</v>
      </c>
      <c r="AF356" s="59" t="str">
        <f t="shared" si="154"/>
        <v/>
      </c>
      <c r="AG356" s="59" t="str">
        <f t="shared" si="154"/>
        <v/>
      </c>
      <c r="AH356" s="59" t="str">
        <f t="shared" si="154"/>
        <v/>
      </c>
      <c r="AI356" s="59">
        <f t="shared" si="154"/>
        <v>5</v>
      </c>
      <c r="AJ356" s="59" t="str">
        <f t="shared" si="154"/>
        <v/>
      </c>
      <c r="AK356" s="59" t="str">
        <f t="shared" si="154"/>
        <v/>
      </c>
      <c r="AL356" s="59">
        <f t="shared" si="154"/>
        <v>50</v>
      </c>
      <c r="AM356" s="59">
        <f t="shared" si="154"/>
        <v>45</v>
      </c>
      <c r="AN356" s="59" t="str">
        <f t="shared" si="154"/>
        <v/>
      </c>
      <c r="AO356" s="59">
        <f t="shared" si="154"/>
        <v>200</v>
      </c>
      <c r="AP356" s="59">
        <f t="shared" si="154"/>
        <v>100</v>
      </c>
      <c r="AQ356" s="59">
        <f t="shared" si="154"/>
        <v>100</v>
      </c>
      <c r="AR356" s="59" t="str">
        <f t="shared" si="159"/>
        <v>neg ctrl</v>
      </c>
      <c r="AS356" s="59" t="str">
        <f t="shared" si="160"/>
        <v>crude</v>
      </c>
    </row>
    <row r="357" spans="1:45" x14ac:dyDescent="0.35">
      <c r="A357" s="30">
        <v>5</v>
      </c>
      <c r="B357" s="29">
        <f t="shared" si="155"/>
        <v>14.84</v>
      </c>
      <c r="C357" s="28">
        <v>0.8</v>
      </c>
      <c r="D357" s="28">
        <v>0.36</v>
      </c>
      <c r="E357" s="28"/>
      <c r="F357" s="28">
        <v>2</v>
      </c>
      <c r="G357" s="28"/>
      <c r="H357" s="28">
        <v>2</v>
      </c>
      <c r="I357" s="28"/>
      <c r="J357" s="28"/>
      <c r="K357" s="28"/>
      <c r="M357">
        <v>1</v>
      </c>
      <c r="O357" s="15">
        <v>10</v>
      </c>
      <c r="P357" s="29">
        <f t="shared" si="156"/>
        <v>9</v>
      </c>
      <c r="Q357" s="28"/>
      <c r="R357" s="57">
        <f t="shared" si="157"/>
        <v>40</v>
      </c>
      <c r="S357" s="18">
        <v>20</v>
      </c>
      <c r="T357" s="18">
        <v>20</v>
      </c>
      <c r="U357" s="15" t="s">
        <v>18</v>
      </c>
      <c r="V357" s="38" t="s">
        <v>251</v>
      </c>
      <c r="X357" s="63">
        <f t="shared" si="153"/>
        <v>5</v>
      </c>
      <c r="Y357" s="59">
        <f t="shared" si="158"/>
        <v>74.2</v>
      </c>
      <c r="Z357" s="59">
        <f t="shared" si="154"/>
        <v>4</v>
      </c>
      <c r="AA357" s="59">
        <f t="shared" si="154"/>
        <v>1.7999999999999998</v>
      </c>
      <c r="AB357" s="59" t="str">
        <f t="shared" si="154"/>
        <v/>
      </c>
      <c r="AC357" s="59">
        <f t="shared" si="154"/>
        <v>10</v>
      </c>
      <c r="AD357" s="59" t="str">
        <f t="shared" si="154"/>
        <v/>
      </c>
      <c r="AE357" s="59">
        <f t="shared" si="154"/>
        <v>10</v>
      </c>
      <c r="AF357" s="59" t="str">
        <f t="shared" si="154"/>
        <v/>
      </c>
      <c r="AG357" s="59" t="str">
        <f t="shared" si="154"/>
        <v/>
      </c>
      <c r="AH357" s="59" t="str">
        <f t="shared" si="154"/>
        <v/>
      </c>
      <c r="AI357" s="59" t="str">
        <f t="shared" si="154"/>
        <v/>
      </c>
      <c r="AJ357" s="59">
        <f t="shared" si="154"/>
        <v>5</v>
      </c>
      <c r="AK357" s="59" t="str">
        <f t="shared" si="154"/>
        <v/>
      </c>
      <c r="AL357" s="59">
        <f t="shared" si="154"/>
        <v>50</v>
      </c>
      <c r="AM357" s="59">
        <f t="shared" si="154"/>
        <v>45</v>
      </c>
      <c r="AN357" s="59" t="str">
        <f t="shared" si="154"/>
        <v/>
      </c>
      <c r="AO357" s="59">
        <f t="shared" si="154"/>
        <v>200</v>
      </c>
      <c r="AP357" s="59">
        <f t="shared" si="154"/>
        <v>100</v>
      </c>
      <c r="AQ357" s="59">
        <f t="shared" si="154"/>
        <v>100</v>
      </c>
      <c r="AR357" s="59" t="str">
        <f t="shared" si="159"/>
        <v>pos ctrl</v>
      </c>
      <c r="AS357" s="59" t="str">
        <f t="shared" si="160"/>
        <v>crude</v>
      </c>
    </row>
    <row r="358" spans="1:45" x14ac:dyDescent="0.35">
      <c r="A358" s="30">
        <v>6</v>
      </c>
      <c r="B358" s="29">
        <f t="shared" si="155"/>
        <v>14.84</v>
      </c>
      <c r="C358" s="28">
        <v>0.8</v>
      </c>
      <c r="D358" s="28">
        <v>0.36</v>
      </c>
      <c r="E358" s="28"/>
      <c r="F358" s="28">
        <v>2</v>
      </c>
      <c r="G358" s="28"/>
      <c r="H358" s="28">
        <v>2</v>
      </c>
      <c r="I358" s="28"/>
      <c r="J358" s="28"/>
      <c r="K358" s="28"/>
      <c r="L358" s="28"/>
      <c r="N358">
        <v>1</v>
      </c>
      <c r="O358" s="15">
        <v>10</v>
      </c>
      <c r="P358" s="29">
        <f t="shared" si="156"/>
        <v>9</v>
      </c>
      <c r="Q358" s="28"/>
      <c r="R358" s="57">
        <f t="shared" si="157"/>
        <v>40</v>
      </c>
      <c r="S358" s="18">
        <v>20</v>
      </c>
      <c r="T358" s="18">
        <v>20</v>
      </c>
      <c r="U358" s="15" t="s">
        <v>27</v>
      </c>
      <c r="V358" s="38" t="s">
        <v>251</v>
      </c>
      <c r="X358" s="63">
        <f t="shared" si="153"/>
        <v>6</v>
      </c>
      <c r="Y358" s="59">
        <f t="shared" si="158"/>
        <v>74.2</v>
      </c>
      <c r="Z358" s="59">
        <f t="shared" si="154"/>
        <v>4</v>
      </c>
      <c r="AA358" s="59">
        <f t="shared" si="154"/>
        <v>1.7999999999999998</v>
      </c>
      <c r="AB358" s="59" t="str">
        <f t="shared" si="154"/>
        <v/>
      </c>
      <c r="AC358" s="59">
        <f t="shared" si="154"/>
        <v>10</v>
      </c>
      <c r="AD358" s="59" t="str">
        <f t="shared" si="154"/>
        <v/>
      </c>
      <c r="AE358" s="59">
        <f t="shared" si="154"/>
        <v>10</v>
      </c>
      <c r="AF358" s="59" t="str">
        <f t="shared" si="154"/>
        <v/>
      </c>
      <c r="AG358" s="59" t="str">
        <f t="shared" si="154"/>
        <v/>
      </c>
      <c r="AH358" s="59" t="str">
        <f t="shared" si="154"/>
        <v/>
      </c>
      <c r="AI358" s="59" t="str">
        <f t="shared" si="154"/>
        <v/>
      </c>
      <c r="AJ358" s="59" t="str">
        <f t="shared" si="154"/>
        <v/>
      </c>
      <c r="AK358" s="59">
        <f t="shared" si="154"/>
        <v>5</v>
      </c>
      <c r="AL358" s="59">
        <f t="shared" si="154"/>
        <v>50</v>
      </c>
      <c r="AM358" s="59">
        <f t="shared" si="154"/>
        <v>45</v>
      </c>
      <c r="AN358" s="59" t="str">
        <f t="shared" si="154"/>
        <v/>
      </c>
      <c r="AO358" s="59">
        <f t="shared" si="154"/>
        <v>200</v>
      </c>
      <c r="AP358" s="59">
        <f t="shared" si="154"/>
        <v>100</v>
      </c>
      <c r="AQ358" s="59">
        <f t="shared" si="154"/>
        <v>100</v>
      </c>
      <c r="AR358" s="59" t="str">
        <f t="shared" si="159"/>
        <v>neg ctrl</v>
      </c>
      <c r="AS358" s="59" t="str">
        <f t="shared" si="160"/>
        <v>crude</v>
      </c>
    </row>
    <row r="359" spans="1:45" x14ac:dyDescent="0.35">
      <c r="A359" s="30">
        <v>7</v>
      </c>
      <c r="B359" s="29">
        <f t="shared" si="155"/>
        <v>14.84</v>
      </c>
      <c r="C359" s="28">
        <v>0.8</v>
      </c>
      <c r="D359" s="28">
        <v>0.36</v>
      </c>
      <c r="E359" s="28"/>
      <c r="F359" s="28">
        <v>2</v>
      </c>
      <c r="G359" s="28"/>
      <c r="H359" s="28">
        <v>2</v>
      </c>
      <c r="I359" s="28"/>
      <c r="J359" s="28"/>
      <c r="K359" s="28">
        <v>1</v>
      </c>
      <c r="O359" s="15">
        <v>10</v>
      </c>
      <c r="P359" s="29">
        <f t="shared" si="156"/>
        <v>9</v>
      </c>
      <c r="Q359" s="28"/>
      <c r="R359" s="57">
        <f t="shared" si="157"/>
        <v>40</v>
      </c>
      <c r="S359" s="18">
        <v>20</v>
      </c>
      <c r="T359" s="18">
        <v>20</v>
      </c>
      <c r="U359" s="15" t="s">
        <v>18</v>
      </c>
      <c r="V359" s="38" t="s">
        <v>252</v>
      </c>
      <c r="X359" s="63">
        <f t="shared" si="153"/>
        <v>7</v>
      </c>
      <c r="Y359" s="59">
        <f t="shared" si="158"/>
        <v>74.2</v>
      </c>
      <c r="Z359" s="59">
        <f t="shared" si="154"/>
        <v>4</v>
      </c>
      <c r="AA359" s="59">
        <f t="shared" si="154"/>
        <v>1.7999999999999998</v>
      </c>
      <c r="AB359" s="59" t="str">
        <f t="shared" si="154"/>
        <v/>
      </c>
      <c r="AC359" s="59">
        <f t="shared" si="154"/>
        <v>10</v>
      </c>
      <c r="AD359" s="59" t="str">
        <f t="shared" si="154"/>
        <v/>
      </c>
      <c r="AE359" s="59">
        <f t="shared" si="154"/>
        <v>10</v>
      </c>
      <c r="AF359" s="59" t="str">
        <f t="shared" si="154"/>
        <v/>
      </c>
      <c r="AG359" s="59" t="str">
        <f t="shared" si="154"/>
        <v/>
      </c>
      <c r="AH359" s="59">
        <f t="shared" si="154"/>
        <v>5</v>
      </c>
      <c r="AI359" s="59" t="str">
        <f t="shared" si="154"/>
        <v/>
      </c>
      <c r="AJ359" s="59" t="str">
        <f t="shared" si="154"/>
        <v/>
      </c>
      <c r="AK359" s="59" t="str">
        <f t="shared" si="154"/>
        <v/>
      </c>
      <c r="AL359" s="59">
        <f t="shared" si="154"/>
        <v>50</v>
      </c>
      <c r="AM359" s="59">
        <f t="shared" si="154"/>
        <v>45</v>
      </c>
      <c r="AN359" s="59" t="str">
        <f t="shared" si="154"/>
        <v/>
      </c>
      <c r="AO359" s="59">
        <f t="shared" si="154"/>
        <v>200</v>
      </c>
      <c r="AP359" s="59">
        <f t="shared" si="154"/>
        <v>100</v>
      </c>
      <c r="AQ359" s="59">
        <f t="shared" si="154"/>
        <v>100</v>
      </c>
      <c r="AR359" s="59" t="str">
        <f t="shared" si="159"/>
        <v>pos ctrl</v>
      </c>
      <c r="AS359" s="59" t="str">
        <f t="shared" si="160"/>
        <v>StrepTrap</v>
      </c>
    </row>
    <row r="360" spans="1:45" x14ac:dyDescent="0.35">
      <c r="A360" s="30">
        <v>8</v>
      </c>
      <c r="B360" s="29">
        <f t="shared" si="155"/>
        <v>14.84</v>
      </c>
      <c r="C360" s="28">
        <v>0.8</v>
      </c>
      <c r="D360" s="28">
        <v>0.36</v>
      </c>
      <c r="E360" s="28"/>
      <c r="F360" s="28">
        <v>2</v>
      </c>
      <c r="G360" s="28"/>
      <c r="H360" s="28">
        <v>2</v>
      </c>
      <c r="I360" s="28"/>
      <c r="J360" s="28"/>
      <c r="K360" s="28"/>
      <c r="L360" s="28">
        <v>1</v>
      </c>
      <c r="O360" s="15">
        <v>10</v>
      </c>
      <c r="P360" s="29">
        <f t="shared" si="156"/>
        <v>9</v>
      </c>
      <c r="Q360" s="28"/>
      <c r="R360" s="57">
        <f t="shared" si="157"/>
        <v>40</v>
      </c>
      <c r="S360" s="18">
        <v>20</v>
      </c>
      <c r="T360" s="18">
        <v>20</v>
      </c>
      <c r="U360" s="15" t="s">
        <v>27</v>
      </c>
      <c r="V360" s="38" t="s">
        <v>252</v>
      </c>
      <c r="X360" s="63">
        <f t="shared" si="153"/>
        <v>8</v>
      </c>
      <c r="Y360" s="59">
        <f t="shared" si="158"/>
        <v>74.2</v>
      </c>
      <c r="Z360" s="59">
        <f t="shared" si="154"/>
        <v>4</v>
      </c>
      <c r="AA360" s="59">
        <f t="shared" si="154"/>
        <v>1.7999999999999998</v>
      </c>
      <c r="AB360" s="59" t="str">
        <f t="shared" si="154"/>
        <v/>
      </c>
      <c r="AC360" s="59">
        <f t="shared" si="154"/>
        <v>10</v>
      </c>
      <c r="AD360" s="59" t="str">
        <f t="shared" si="154"/>
        <v/>
      </c>
      <c r="AE360" s="59">
        <f t="shared" si="154"/>
        <v>10</v>
      </c>
      <c r="AF360" s="59" t="str">
        <f t="shared" si="154"/>
        <v/>
      </c>
      <c r="AG360" s="59" t="str">
        <f t="shared" si="154"/>
        <v/>
      </c>
      <c r="AH360" s="59" t="str">
        <f t="shared" si="154"/>
        <v/>
      </c>
      <c r="AI360" s="59">
        <f t="shared" si="154"/>
        <v>5</v>
      </c>
      <c r="AJ360" s="59" t="str">
        <f t="shared" si="154"/>
        <v/>
      </c>
      <c r="AK360" s="59" t="str">
        <f t="shared" si="154"/>
        <v/>
      </c>
      <c r="AL360" s="59">
        <f t="shared" si="154"/>
        <v>50</v>
      </c>
      <c r="AM360" s="59">
        <f t="shared" si="154"/>
        <v>45</v>
      </c>
      <c r="AN360" s="59" t="str">
        <f t="shared" si="154"/>
        <v/>
      </c>
      <c r="AO360" s="59">
        <f t="shared" si="154"/>
        <v>200</v>
      </c>
      <c r="AP360" s="59">
        <f t="shared" si="154"/>
        <v>100</v>
      </c>
      <c r="AQ360" s="59">
        <f t="shared" si="154"/>
        <v>100</v>
      </c>
      <c r="AR360" s="59" t="str">
        <f t="shared" si="159"/>
        <v>neg ctrl</v>
      </c>
      <c r="AS360" s="59" t="str">
        <f t="shared" si="160"/>
        <v>StrepTrap</v>
      </c>
    </row>
    <row r="361" spans="1:45" x14ac:dyDescent="0.35">
      <c r="A361" s="30">
        <v>9</v>
      </c>
      <c r="B361" s="29">
        <f t="shared" si="155"/>
        <v>14.84</v>
      </c>
      <c r="C361" s="28">
        <v>0.8</v>
      </c>
      <c r="D361" s="28">
        <v>0.36</v>
      </c>
      <c r="E361" s="28"/>
      <c r="F361" s="28">
        <v>2</v>
      </c>
      <c r="G361" s="28"/>
      <c r="H361" s="28">
        <v>2</v>
      </c>
      <c r="I361" s="28"/>
      <c r="J361" s="28"/>
      <c r="K361" s="28"/>
      <c r="M361">
        <v>1</v>
      </c>
      <c r="O361" s="15">
        <v>10</v>
      </c>
      <c r="P361" s="29">
        <f t="shared" si="156"/>
        <v>9</v>
      </c>
      <c r="Q361" s="28"/>
      <c r="R361" s="57">
        <f t="shared" si="157"/>
        <v>40</v>
      </c>
      <c r="S361" s="18">
        <v>20</v>
      </c>
      <c r="T361" s="18">
        <v>20</v>
      </c>
      <c r="U361" s="15" t="s">
        <v>18</v>
      </c>
      <c r="V361" s="38" t="s">
        <v>252</v>
      </c>
      <c r="X361" s="63">
        <f t="shared" ref="X361:X368" si="161">A361</f>
        <v>9</v>
      </c>
      <c r="Y361" s="59">
        <f t="shared" si="158"/>
        <v>74.2</v>
      </c>
      <c r="Z361" s="59">
        <f t="shared" si="154"/>
        <v>4</v>
      </c>
      <c r="AA361" s="59">
        <f t="shared" si="154"/>
        <v>1.7999999999999998</v>
      </c>
      <c r="AB361" s="59" t="str">
        <f t="shared" si="154"/>
        <v/>
      </c>
      <c r="AC361" s="59">
        <f t="shared" si="154"/>
        <v>10</v>
      </c>
      <c r="AD361" s="59" t="str">
        <f t="shared" si="154"/>
        <v/>
      </c>
      <c r="AE361" s="59">
        <f t="shared" si="154"/>
        <v>10</v>
      </c>
      <c r="AF361" s="59" t="str">
        <f t="shared" si="154"/>
        <v/>
      </c>
      <c r="AG361" s="59" t="str">
        <f t="shared" si="154"/>
        <v/>
      </c>
      <c r="AH361" s="59" t="str">
        <f t="shared" si="154"/>
        <v/>
      </c>
      <c r="AI361" s="59" t="str">
        <f t="shared" si="154"/>
        <v/>
      </c>
      <c r="AJ361" s="59">
        <f t="shared" si="154"/>
        <v>5</v>
      </c>
      <c r="AK361" s="59" t="str">
        <f t="shared" si="154"/>
        <v/>
      </c>
      <c r="AL361" s="59">
        <f t="shared" si="154"/>
        <v>50</v>
      </c>
      <c r="AM361" s="59">
        <f t="shared" si="154"/>
        <v>45</v>
      </c>
      <c r="AN361" s="59" t="str">
        <f t="shared" si="154"/>
        <v/>
      </c>
      <c r="AO361" s="59">
        <f t="shared" si="154"/>
        <v>200</v>
      </c>
      <c r="AP361" s="59">
        <f t="shared" si="154"/>
        <v>100</v>
      </c>
      <c r="AQ361" s="59">
        <f t="shared" si="154"/>
        <v>100</v>
      </c>
      <c r="AR361" s="59" t="str">
        <f t="shared" si="159"/>
        <v>pos ctrl</v>
      </c>
      <c r="AS361" s="59" t="str">
        <f t="shared" si="160"/>
        <v>StrepTrap</v>
      </c>
    </row>
    <row r="362" spans="1:45" x14ac:dyDescent="0.35">
      <c r="A362" s="30">
        <v>10</v>
      </c>
      <c r="B362" s="29">
        <f t="shared" si="155"/>
        <v>14.84</v>
      </c>
      <c r="C362" s="28">
        <v>0.8</v>
      </c>
      <c r="D362" s="28">
        <v>0.36</v>
      </c>
      <c r="E362" s="28"/>
      <c r="F362" s="28">
        <v>2</v>
      </c>
      <c r="G362" s="28"/>
      <c r="H362" s="28">
        <v>2</v>
      </c>
      <c r="I362" s="28"/>
      <c r="J362" s="28"/>
      <c r="K362" s="28"/>
      <c r="L362" s="28"/>
      <c r="N362">
        <v>1</v>
      </c>
      <c r="O362" s="15">
        <v>10</v>
      </c>
      <c r="P362" s="29">
        <f t="shared" si="156"/>
        <v>9</v>
      </c>
      <c r="Q362" s="28"/>
      <c r="R362" s="57">
        <f t="shared" si="157"/>
        <v>40</v>
      </c>
      <c r="S362" s="18">
        <v>20</v>
      </c>
      <c r="T362" s="18">
        <v>20</v>
      </c>
      <c r="U362" s="15" t="s">
        <v>27</v>
      </c>
      <c r="V362" s="38" t="s">
        <v>252</v>
      </c>
      <c r="X362" s="63">
        <f t="shared" si="161"/>
        <v>10</v>
      </c>
      <c r="Y362" s="59">
        <f t="shared" si="158"/>
        <v>74.2</v>
      </c>
      <c r="Z362" s="59">
        <f t="shared" si="154"/>
        <v>4</v>
      </c>
      <c r="AA362" s="59">
        <f t="shared" si="154"/>
        <v>1.7999999999999998</v>
      </c>
      <c r="AB362" s="59" t="str">
        <f t="shared" si="154"/>
        <v/>
      </c>
      <c r="AC362" s="59">
        <f t="shared" si="154"/>
        <v>10</v>
      </c>
      <c r="AD362" s="59" t="str">
        <f t="shared" si="154"/>
        <v/>
      </c>
      <c r="AE362" s="59">
        <f t="shared" si="154"/>
        <v>10</v>
      </c>
      <c r="AF362" s="59" t="str">
        <f t="shared" si="154"/>
        <v/>
      </c>
      <c r="AG362" s="59" t="str">
        <f t="shared" si="154"/>
        <v/>
      </c>
      <c r="AH362" s="59" t="str">
        <f t="shared" si="154"/>
        <v/>
      </c>
      <c r="AI362" s="59" t="str">
        <f t="shared" si="154"/>
        <v/>
      </c>
      <c r="AJ362" s="59" t="str">
        <f t="shared" si="154"/>
        <v/>
      </c>
      <c r="AK362" s="59">
        <f t="shared" si="154"/>
        <v>5</v>
      </c>
      <c r="AL362" s="59">
        <f t="shared" si="154"/>
        <v>50</v>
      </c>
      <c r="AM362" s="59">
        <f t="shared" si="154"/>
        <v>45</v>
      </c>
      <c r="AN362" s="59" t="str">
        <f t="shared" si="154"/>
        <v/>
      </c>
      <c r="AO362" s="59">
        <f t="shared" si="154"/>
        <v>200</v>
      </c>
      <c r="AP362" s="59">
        <f t="shared" si="154"/>
        <v>100</v>
      </c>
      <c r="AQ362" s="59">
        <f t="shared" si="154"/>
        <v>100</v>
      </c>
      <c r="AR362" s="59" t="str">
        <f t="shared" si="159"/>
        <v>neg ctrl</v>
      </c>
      <c r="AS362" s="59" t="str">
        <f t="shared" si="160"/>
        <v>StrepTrap</v>
      </c>
    </row>
    <row r="363" spans="1:45" x14ac:dyDescent="0.35">
      <c r="A363" s="30">
        <v>11</v>
      </c>
      <c r="B363" s="29">
        <f t="shared" si="155"/>
        <v>14.84</v>
      </c>
      <c r="C363" s="28">
        <v>0.8</v>
      </c>
      <c r="D363" s="28">
        <v>0.36</v>
      </c>
      <c r="E363" s="28"/>
      <c r="F363" s="28">
        <v>2</v>
      </c>
      <c r="G363" s="28"/>
      <c r="H363" s="28">
        <v>2</v>
      </c>
      <c r="I363" s="28"/>
      <c r="J363" s="28"/>
      <c r="K363" s="28">
        <v>1</v>
      </c>
      <c r="O363" s="15">
        <v>10</v>
      </c>
      <c r="P363" s="29">
        <f t="shared" si="156"/>
        <v>9</v>
      </c>
      <c r="Q363" s="28"/>
      <c r="R363" s="57">
        <f t="shared" si="157"/>
        <v>40</v>
      </c>
      <c r="S363" s="18">
        <v>20</v>
      </c>
      <c r="T363" s="18">
        <v>20</v>
      </c>
      <c r="U363" s="15" t="s">
        <v>18</v>
      </c>
      <c r="V363" s="38" t="s">
        <v>253</v>
      </c>
      <c r="X363" s="63">
        <f t="shared" si="161"/>
        <v>11</v>
      </c>
      <c r="Y363" s="59">
        <f t="shared" si="158"/>
        <v>74.2</v>
      </c>
      <c r="Z363" s="59">
        <f t="shared" si="154"/>
        <v>4</v>
      </c>
      <c r="AA363" s="59">
        <f t="shared" si="154"/>
        <v>1.7999999999999998</v>
      </c>
      <c r="AB363" s="59" t="str">
        <f t="shared" si="154"/>
        <v/>
      </c>
      <c r="AC363" s="59">
        <f t="shared" si="154"/>
        <v>10</v>
      </c>
      <c r="AD363" s="59" t="str">
        <f t="shared" si="154"/>
        <v/>
      </c>
      <c r="AE363" s="59">
        <f t="shared" si="154"/>
        <v>10</v>
      </c>
      <c r="AF363" s="59" t="str">
        <f t="shared" si="154"/>
        <v/>
      </c>
      <c r="AG363" s="59" t="str">
        <f t="shared" si="154"/>
        <v/>
      </c>
      <c r="AH363" s="59">
        <f t="shared" si="154"/>
        <v>5</v>
      </c>
      <c r="AI363" s="59" t="str">
        <f t="shared" si="154"/>
        <v/>
      </c>
      <c r="AJ363" s="59" t="str">
        <f t="shared" si="154"/>
        <v/>
      </c>
      <c r="AK363" s="59" t="str">
        <f t="shared" si="154"/>
        <v/>
      </c>
      <c r="AL363" s="59">
        <f t="shared" si="154"/>
        <v>50</v>
      </c>
      <c r="AM363" s="59">
        <f t="shared" si="154"/>
        <v>45</v>
      </c>
      <c r="AN363" s="59" t="str">
        <f t="shared" si="154"/>
        <v/>
      </c>
      <c r="AO363" s="59">
        <f t="shared" si="154"/>
        <v>200</v>
      </c>
      <c r="AP363" s="59">
        <f t="shared" si="154"/>
        <v>100</v>
      </c>
      <c r="AQ363" s="59">
        <f t="shared" si="154"/>
        <v>100</v>
      </c>
      <c r="AR363" s="59" t="str">
        <f t="shared" si="159"/>
        <v>pos ctrl</v>
      </c>
      <c r="AS363" s="59" t="str">
        <f t="shared" si="160"/>
        <v>CIEX</v>
      </c>
    </row>
    <row r="364" spans="1:45" x14ac:dyDescent="0.35">
      <c r="A364" s="30">
        <v>12</v>
      </c>
      <c r="B364" s="29">
        <f t="shared" si="155"/>
        <v>14.84</v>
      </c>
      <c r="C364" s="28">
        <v>0.8</v>
      </c>
      <c r="D364" s="28">
        <v>0.36</v>
      </c>
      <c r="E364" s="28"/>
      <c r="F364" s="28">
        <v>2</v>
      </c>
      <c r="G364" s="28"/>
      <c r="H364" s="28">
        <v>2</v>
      </c>
      <c r="I364" s="28"/>
      <c r="J364" s="28"/>
      <c r="K364" s="28"/>
      <c r="L364" s="28">
        <v>1</v>
      </c>
      <c r="O364" s="15">
        <v>10</v>
      </c>
      <c r="P364" s="29">
        <f t="shared" si="156"/>
        <v>9</v>
      </c>
      <c r="Q364" s="28"/>
      <c r="R364" s="57">
        <f t="shared" si="157"/>
        <v>40</v>
      </c>
      <c r="S364" s="18">
        <v>20</v>
      </c>
      <c r="T364" s="18">
        <v>20</v>
      </c>
      <c r="U364" s="15" t="s">
        <v>27</v>
      </c>
      <c r="V364" s="38" t="s">
        <v>253</v>
      </c>
      <c r="X364" s="63">
        <f t="shared" si="161"/>
        <v>12</v>
      </c>
      <c r="Y364" s="59">
        <f t="shared" si="158"/>
        <v>74.2</v>
      </c>
      <c r="Z364" s="59">
        <f t="shared" si="154"/>
        <v>4</v>
      </c>
      <c r="AA364" s="59">
        <f t="shared" si="154"/>
        <v>1.7999999999999998</v>
      </c>
      <c r="AB364" s="59" t="str">
        <f t="shared" si="154"/>
        <v/>
      </c>
      <c r="AC364" s="59">
        <f t="shared" si="154"/>
        <v>10</v>
      </c>
      <c r="AD364" s="59" t="str">
        <f t="shared" si="154"/>
        <v/>
      </c>
      <c r="AE364" s="59">
        <f t="shared" si="154"/>
        <v>10</v>
      </c>
      <c r="AF364" s="59" t="str">
        <f t="shared" si="154"/>
        <v/>
      </c>
      <c r="AG364" s="59" t="str">
        <f t="shared" si="154"/>
        <v/>
      </c>
      <c r="AH364" s="59" t="str">
        <f t="shared" si="154"/>
        <v/>
      </c>
      <c r="AI364" s="59">
        <f t="shared" si="154"/>
        <v>5</v>
      </c>
      <c r="AJ364" s="59" t="str">
        <f t="shared" si="154"/>
        <v/>
      </c>
      <c r="AK364" s="59" t="str">
        <f t="shared" si="154"/>
        <v/>
      </c>
      <c r="AL364" s="59">
        <f t="shared" si="154"/>
        <v>50</v>
      </c>
      <c r="AM364" s="59">
        <f t="shared" si="154"/>
        <v>45</v>
      </c>
      <c r="AN364" s="59" t="str">
        <f t="shared" si="154"/>
        <v/>
      </c>
      <c r="AO364" s="59">
        <f t="shared" si="154"/>
        <v>200</v>
      </c>
      <c r="AP364" s="59">
        <f t="shared" si="154"/>
        <v>100</v>
      </c>
      <c r="AQ364" s="59">
        <f t="shared" si="154"/>
        <v>100</v>
      </c>
      <c r="AR364" s="59" t="str">
        <f t="shared" si="159"/>
        <v>neg ctrl</v>
      </c>
      <c r="AS364" s="59" t="str">
        <f t="shared" si="160"/>
        <v>CIEX</v>
      </c>
    </row>
    <row r="365" spans="1:45" x14ac:dyDescent="0.35">
      <c r="A365" s="30">
        <v>13</v>
      </c>
      <c r="B365" s="29">
        <f t="shared" si="155"/>
        <v>14.84</v>
      </c>
      <c r="C365" s="28">
        <v>0.8</v>
      </c>
      <c r="D365" s="28">
        <v>0.36</v>
      </c>
      <c r="E365" s="28"/>
      <c r="F365" s="28">
        <v>2</v>
      </c>
      <c r="G365" s="28"/>
      <c r="H365" s="28">
        <v>2</v>
      </c>
      <c r="I365" s="28"/>
      <c r="J365" s="28"/>
      <c r="K365" s="28"/>
      <c r="M365">
        <v>1</v>
      </c>
      <c r="O365" s="15">
        <v>10</v>
      </c>
      <c r="P365" s="29">
        <f t="shared" si="156"/>
        <v>9</v>
      </c>
      <c r="Q365" s="28"/>
      <c r="R365" s="57">
        <f t="shared" si="157"/>
        <v>40</v>
      </c>
      <c r="S365" s="18">
        <v>20</v>
      </c>
      <c r="T365" s="18">
        <v>20</v>
      </c>
      <c r="U365" s="15" t="s">
        <v>18</v>
      </c>
      <c r="V365" s="38" t="s">
        <v>253</v>
      </c>
      <c r="X365" s="63">
        <f t="shared" si="161"/>
        <v>13</v>
      </c>
      <c r="Y365" s="59">
        <f t="shared" si="158"/>
        <v>74.2</v>
      </c>
      <c r="Z365" s="59">
        <f t="shared" si="154"/>
        <v>4</v>
      </c>
      <c r="AA365" s="59">
        <f t="shared" si="154"/>
        <v>1.7999999999999998</v>
      </c>
      <c r="AB365" s="59" t="str">
        <f t="shared" si="154"/>
        <v/>
      </c>
      <c r="AC365" s="59">
        <f t="shared" si="154"/>
        <v>10</v>
      </c>
      <c r="AD365" s="59" t="str">
        <f t="shared" si="154"/>
        <v/>
      </c>
      <c r="AE365" s="59">
        <f t="shared" si="154"/>
        <v>10</v>
      </c>
      <c r="AF365" s="59" t="str">
        <f t="shared" si="154"/>
        <v/>
      </c>
      <c r="AG365" s="59" t="str">
        <f t="shared" si="154"/>
        <v/>
      </c>
      <c r="AH365" s="59" t="str">
        <f t="shared" si="154"/>
        <v/>
      </c>
      <c r="AI365" s="59" t="str">
        <f t="shared" si="154"/>
        <v/>
      </c>
      <c r="AJ365" s="59">
        <f t="shared" si="154"/>
        <v>5</v>
      </c>
      <c r="AK365" s="59" t="str">
        <f t="shared" si="154"/>
        <v/>
      </c>
      <c r="AL365" s="59">
        <f t="shared" si="154"/>
        <v>50</v>
      </c>
      <c r="AM365" s="59">
        <f t="shared" si="154"/>
        <v>45</v>
      </c>
      <c r="AN365" s="59" t="str">
        <f t="shared" si="154"/>
        <v/>
      </c>
      <c r="AO365" s="59">
        <f t="shared" si="154"/>
        <v>200</v>
      </c>
      <c r="AP365" s="59">
        <f t="shared" si="154"/>
        <v>100</v>
      </c>
      <c r="AQ365" s="59">
        <f t="shared" si="154"/>
        <v>100</v>
      </c>
      <c r="AR365" s="59" t="str">
        <f t="shared" si="159"/>
        <v>pos ctrl</v>
      </c>
      <c r="AS365" s="59" t="str">
        <f t="shared" si="160"/>
        <v>CIEX</v>
      </c>
    </row>
    <row r="366" spans="1:45" x14ac:dyDescent="0.35">
      <c r="A366" s="66">
        <v>14</v>
      </c>
      <c r="B366" s="29">
        <f t="shared" si="155"/>
        <v>14.84</v>
      </c>
      <c r="C366" s="28">
        <v>0.8</v>
      </c>
      <c r="D366" s="28">
        <v>0.36</v>
      </c>
      <c r="E366" s="28"/>
      <c r="F366" s="28">
        <v>2</v>
      </c>
      <c r="G366" s="28"/>
      <c r="H366" s="28">
        <v>2</v>
      </c>
      <c r="I366" s="28"/>
      <c r="J366" s="28"/>
      <c r="K366" s="28"/>
      <c r="L366" s="28"/>
      <c r="N366">
        <v>1</v>
      </c>
      <c r="O366" s="15">
        <v>10</v>
      </c>
      <c r="P366" s="29">
        <f t="shared" si="156"/>
        <v>9</v>
      </c>
      <c r="Q366" s="28"/>
      <c r="R366" s="57">
        <f t="shared" si="157"/>
        <v>40</v>
      </c>
      <c r="S366" s="18">
        <v>20</v>
      </c>
      <c r="T366" s="18">
        <v>20</v>
      </c>
      <c r="U366" s="15" t="s">
        <v>27</v>
      </c>
      <c r="V366" s="38" t="s">
        <v>253</v>
      </c>
      <c r="X366" s="63">
        <f t="shared" si="161"/>
        <v>14</v>
      </c>
      <c r="Y366" s="59">
        <f t="shared" si="158"/>
        <v>74.2</v>
      </c>
      <c r="Z366" s="59">
        <f t="shared" si="154"/>
        <v>4</v>
      </c>
      <c r="AA366" s="59">
        <f t="shared" si="154"/>
        <v>1.7999999999999998</v>
      </c>
      <c r="AB366" s="59" t="str">
        <f t="shared" si="154"/>
        <v/>
      </c>
      <c r="AC366" s="59">
        <f t="shared" si="154"/>
        <v>10</v>
      </c>
      <c r="AD366" s="59" t="str">
        <f t="shared" si="154"/>
        <v/>
      </c>
      <c r="AE366" s="59">
        <f t="shared" si="154"/>
        <v>10</v>
      </c>
      <c r="AF366" s="59" t="str">
        <f t="shared" si="154"/>
        <v/>
      </c>
      <c r="AG366" s="59" t="str">
        <f t="shared" si="154"/>
        <v/>
      </c>
      <c r="AH366" s="59" t="str">
        <f t="shared" si="154"/>
        <v/>
      </c>
      <c r="AI366" s="59" t="str">
        <f t="shared" si="154"/>
        <v/>
      </c>
      <c r="AJ366" s="59" t="str">
        <f t="shared" si="154"/>
        <v/>
      </c>
      <c r="AK366" s="59">
        <f t="shared" si="154"/>
        <v>5</v>
      </c>
      <c r="AL366" s="59">
        <f t="shared" si="154"/>
        <v>50</v>
      </c>
      <c r="AM366" s="59">
        <f t="shared" si="154"/>
        <v>45</v>
      </c>
      <c r="AN366" s="59" t="str">
        <f t="shared" si="154"/>
        <v/>
      </c>
      <c r="AO366" s="59">
        <f t="shared" si="154"/>
        <v>200</v>
      </c>
      <c r="AP366" s="59">
        <f t="shared" si="154"/>
        <v>100</v>
      </c>
      <c r="AQ366" s="59">
        <f t="shared" si="154"/>
        <v>100</v>
      </c>
      <c r="AR366" s="59" t="str">
        <f t="shared" si="159"/>
        <v>neg ctrl</v>
      </c>
      <c r="AS366" s="59" t="str">
        <f t="shared" si="160"/>
        <v>CIEX</v>
      </c>
    </row>
    <row r="367" spans="1:45" x14ac:dyDescent="0.35">
      <c r="A367" s="30">
        <v>15</v>
      </c>
      <c r="B367" s="29">
        <f t="shared" si="155"/>
        <v>14.84</v>
      </c>
      <c r="C367" s="28">
        <v>0.8</v>
      </c>
      <c r="D367" s="28">
        <v>0.36</v>
      </c>
      <c r="E367" s="28"/>
      <c r="F367" s="28">
        <v>2</v>
      </c>
      <c r="G367" s="28"/>
      <c r="H367" s="28">
        <v>2</v>
      </c>
      <c r="I367" s="28"/>
      <c r="J367" s="28"/>
      <c r="O367" s="15">
        <v>10</v>
      </c>
      <c r="P367" s="29">
        <f t="shared" si="156"/>
        <v>9.8000000000000007</v>
      </c>
      <c r="Q367" s="28">
        <v>0.2</v>
      </c>
      <c r="R367" s="57">
        <f t="shared" si="157"/>
        <v>40</v>
      </c>
      <c r="S367" s="18">
        <v>20</v>
      </c>
      <c r="T367" s="18">
        <v>20</v>
      </c>
      <c r="U367" s="15" t="s">
        <v>18</v>
      </c>
      <c r="V367" s="38" t="s">
        <v>230</v>
      </c>
      <c r="X367" s="63">
        <f t="shared" si="161"/>
        <v>15</v>
      </c>
      <c r="Y367" s="59">
        <f t="shared" si="158"/>
        <v>74.2</v>
      </c>
      <c r="Z367" s="59">
        <f t="shared" si="154"/>
        <v>4</v>
      </c>
      <c r="AA367" s="59">
        <f t="shared" si="154"/>
        <v>1.7999999999999998</v>
      </c>
      <c r="AB367" s="59" t="str">
        <f t="shared" si="154"/>
        <v/>
      </c>
      <c r="AC367" s="59">
        <f t="shared" ref="AC367:AC368" si="162">IF(F367*4*1.25=0,"",F367*4*1.25)</f>
        <v>10</v>
      </c>
      <c r="AD367" s="59" t="str">
        <f t="shared" ref="AD367:AD368" si="163">IF(G367*4*1.25=0,"",G367*4*1.25)</f>
        <v/>
      </c>
      <c r="AE367" s="59">
        <f t="shared" ref="AE367:AE368" si="164">IF(H367*4*1.25=0,"",H367*4*1.25)</f>
        <v>10</v>
      </c>
      <c r="AF367" s="59" t="str">
        <f t="shared" ref="AF367:AF368" si="165">IF(I367*4*1.25=0,"",I367*4*1.25)</f>
        <v/>
      </c>
      <c r="AG367" s="59" t="str">
        <f t="shared" ref="AG367:AG368" si="166">IF(J367*4*1.25=0,"",J367*4*1.25)</f>
        <v/>
      </c>
      <c r="AH367" s="59" t="str">
        <f t="shared" ref="AH367:AH368" si="167">IF(K367*4*1.25=0,"",K367*4*1.25)</f>
        <v/>
      </c>
      <c r="AI367" s="59" t="str">
        <f t="shared" ref="AI367:AI368" si="168">IF(L367*4*1.25=0,"",L367*4*1.25)</f>
        <v/>
      </c>
      <c r="AJ367" s="59" t="str">
        <f t="shared" ref="AJ367:AJ368" si="169">IF(M367*4*1.25=0,"",M367*4*1.25)</f>
        <v/>
      </c>
      <c r="AK367" s="59" t="str">
        <f t="shared" ref="AK367:AK368" si="170">IF(N367*4*1.25=0,"",N367*4*1.25)</f>
        <v/>
      </c>
      <c r="AL367" s="59">
        <f t="shared" ref="AL367:AL368" si="171">IF(O367*4*1.25=0,"",O367*4*1.25)</f>
        <v>50</v>
      </c>
      <c r="AM367" s="59">
        <f t="shared" ref="AM367:AM368" si="172">IF(P367*4*1.25=0,"",P367*4*1.25)</f>
        <v>49</v>
      </c>
      <c r="AN367" s="59">
        <f t="shared" ref="AN367:AN368" si="173">IF(Q367*4*1.25=0,"",Q367*4*1.25)</f>
        <v>1</v>
      </c>
      <c r="AO367" s="59">
        <f t="shared" ref="AO367:AO368" si="174">IF(R367*4*1.25=0,"",R367*4*1.25)</f>
        <v>200</v>
      </c>
      <c r="AP367" s="59">
        <f t="shared" ref="AP367:AP368" si="175">IF(S367*4*1.25=0,"",S367*4*1.25)</f>
        <v>100</v>
      </c>
      <c r="AQ367" s="59">
        <f t="shared" ref="AQ367:AQ368" si="176">IF(T367*4*1.25=0,"",T367*4*1.25)</f>
        <v>100</v>
      </c>
      <c r="AR367" s="59" t="str">
        <f t="shared" si="159"/>
        <v>pos ctrl</v>
      </c>
      <c r="AS367" s="59" t="str">
        <f t="shared" si="160"/>
        <v>reporter test</v>
      </c>
    </row>
    <row r="368" spans="1:45" x14ac:dyDescent="0.35">
      <c r="A368" s="66">
        <v>16</v>
      </c>
      <c r="B368" s="29">
        <f t="shared" si="155"/>
        <v>14.84</v>
      </c>
      <c r="C368" s="28">
        <v>0.8</v>
      </c>
      <c r="D368" s="28">
        <v>0.36</v>
      </c>
      <c r="E368" s="28"/>
      <c r="F368" s="28">
        <v>2</v>
      </c>
      <c r="G368" s="28"/>
      <c r="H368" s="28">
        <v>2</v>
      </c>
      <c r="I368" s="28"/>
      <c r="J368" s="28"/>
      <c r="O368" s="15"/>
      <c r="P368" s="29">
        <f t="shared" si="156"/>
        <v>20</v>
      </c>
      <c r="Q368" s="28"/>
      <c r="R368" s="57">
        <f t="shared" si="157"/>
        <v>40</v>
      </c>
      <c r="S368" s="18">
        <v>20</v>
      </c>
      <c r="T368" s="18">
        <v>20</v>
      </c>
      <c r="U368" s="15" t="s">
        <v>27</v>
      </c>
      <c r="V368" s="38" t="s">
        <v>5</v>
      </c>
      <c r="X368" s="63">
        <f t="shared" si="161"/>
        <v>16</v>
      </c>
      <c r="Y368" s="59">
        <f t="shared" si="158"/>
        <v>74.2</v>
      </c>
      <c r="Z368" s="59">
        <f t="shared" ref="Z368" si="177">IF(C368*4*1.25=0,"",C368*4*1.25)</f>
        <v>4</v>
      </c>
      <c r="AA368" s="59">
        <f t="shared" ref="AA368" si="178">IF(D368*4*1.25=0,"",D368*4*1.25)</f>
        <v>1.7999999999999998</v>
      </c>
      <c r="AB368" s="59" t="str">
        <f t="shared" ref="AB368" si="179">IF(E368*4*1.25=0,"",E368*4*1.25)</f>
        <v/>
      </c>
      <c r="AC368" s="59">
        <f t="shared" si="162"/>
        <v>10</v>
      </c>
      <c r="AD368" s="59" t="str">
        <f t="shared" si="163"/>
        <v/>
      </c>
      <c r="AE368" s="59">
        <f t="shared" si="164"/>
        <v>10</v>
      </c>
      <c r="AF368" s="59" t="str">
        <f t="shared" si="165"/>
        <v/>
      </c>
      <c r="AG368" s="59" t="str">
        <f t="shared" si="166"/>
        <v/>
      </c>
      <c r="AH368" s="59" t="str">
        <f t="shared" si="167"/>
        <v/>
      </c>
      <c r="AI368" s="59" t="str">
        <f t="shared" si="168"/>
        <v/>
      </c>
      <c r="AJ368" s="59" t="str">
        <f t="shared" si="169"/>
        <v/>
      </c>
      <c r="AK368" s="59" t="str">
        <f t="shared" si="170"/>
        <v/>
      </c>
      <c r="AL368" s="59" t="str">
        <f t="shared" si="171"/>
        <v/>
      </c>
      <c r="AM368" s="59">
        <f t="shared" si="172"/>
        <v>100</v>
      </c>
      <c r="AN368" s="59" t="str">
        <f t="shared" si="173"/>
        <v/>
      </c>
      <c r="AO368" s="59">
        <f t="shared" si="174"/>
        <v>200</v>
      </c>
      <c r="AP368" s="59">
        <f t="shared" si="175"/>
        <v>100</v>
      </c>
      <c r="AQ368" s="59">
        <f t="shared" si="176"/>
        <v>100</v>
      </c>
      <c r="AR368" s="59" t="str">
        <f t="shared" si="159"/>
        <v>neg ctrl</v>
      </c>
      <c r="AS368" s="59" t="str">
        <f t="shared" si="160"/>
        <v>air</v>
      </c>
    </row>
    <row r="378" spans="1:15" ht="21" x14ac:dyDescent="0.35">
      <c r="A378" s="13" t="s">
        <v>274</v>
      </c>
      <c r="B378" s="14"/>
      <c r="C378" s="14"/>
      <c r="D378" s="14"/>
      <c r="E378" s="14"/>
      <c r="F378" s="14"/>
      <c r="G378" s="14"/>
      <c r="H378" s="14"/>
      <c r="I378" s="14"/>
      <c r="J378" s="14"/>
      <c r="K378" s="15"/>
      <c r="L378" s="15"/>
      <c r="M378" s="15"/>
      <c r="N378" s="15"/>
    </row>
    <row r="379" spans="1:15" ht="15.5" x14ac:dyDescent="0.35">
      <c r="A379" s="50" t="s">
        <v>275</v>
      </c>
      <c r="B379" s="14"/>
      <c r="C379" s="14"/>
      <c r="D379" s="14"/>
      <c r="E379" s="14"/>
      <c r="F379" s="14"/>
      <c r="G379" s="14"/>
      <c r="H379" s="14"/>
      <c r="I379" s="14"/>
      <c r="J379" s="14"/>
      <c r="K379" s="15"/>
      <c r="L379" s="15"/>
      <c r="M379" s="15"/>
      <c r="N379" s="15"/>
    </row>
    <row r="380" spans="1:15" x14ac:dyDescent="0.35">
      <c r="A380" t="s">
        <v>276</v>
      </c>
      <c r="B380" s="14"/>
      <c r="C380" s="14"/>
      <c r="D380" s="14"/>
      <c r="E380" s="14"/>
      <c r="F380" s="14"/>
      <c r="G380" s="14"/>
      <c r="H380" s="14"/>
      <c r="I380" s="14"/>
      <c r="J380" s="14"/>
      <c r="K380" s="15"/>
      <c r="L380" s="15"/>
      <c r="M380" s="15"/>
      <c r="N380" s="15"/>
    </row>
    <row r="381" spans="1:15" ht="15.5" x14ac:dyDescent="0.35">
      <c r="A381" s="45"/>
      <c r="B381" s="14"/>
      <c r="C381" s="14"/>
      <c r="D381" s="14"/>
      <c r="E381" s="14"/>
      <c r="F381" s="14"/>
      <c r="G381" s="14"/>
      <c r="H381" s="14"/>
      <c r="I381" s="14"/>
      <c r="J381" s="14"/>
      <c r="K381" s="15"/>
      <c r="L381" s="15"/>
      <c r="M381" s="15"/>
      <c r="N381" s="15"/>
    </row>
    <row r="382" spans="1:15" x14ac:dyDescent="0.35">
      <c r="A382" s="26" t="s">
        <v>79</v>
      </c>
      <c r="B382" s="14"/>
      <c r="C382" s="14"/>
      <c r="D382" s="14"/>
      <c r="E382" s="14"/>
      <c r="F382" s="14"/>
      <c r="G382" s="14"/>
      <c r="H382" s="14"/>
      <c r="I382" s="14"/>
      <c r="J382" s="14"/>
      <c r="K382" s="15"/>
      <c r="L382" s="15"/>
      <c r="M382" s="15"/>
      <c r="N382" s="15"/>
    </row>
    <row r="383" spans="1:15" x14ac:dyDescent="0.35">
      <c r="A383" s="26" t="s">
        <v>279</v>
      </c>
      <c r="B383" s="26" t="s">
        <v>78</v>
      </c>
      <c r="C383" s="42" t="s">
        <v>286</v>
      </c>
      <c r="D383" s="42" t="s">
        <v>285</v>
      </c>
      <c r="E383" s="43"/>
      <c r="F383" s="43"/>
      <c r="G383" s="43"/>
      <c r="H383" s="43"/>
      <c r="I383" s="43"/>
      <c r="J383" s="44"/>
      <c r="K383" s="14"/>
      <c r="L383" s="15"/>
      <c r="M383" s="15"/>
      <c r="N383" s="15"/>
      <c r="O383" s="15"/>
    </row>
    <row r="384" spans="1:15" x14ac:dyDescent="0.35">
      <c r="A384" t="s">
        <v>49</v>
      </c>
      <c r="B384" t="s">
        <v>281</v>
      </c>
      <c r="D384" s="14"/>
      <c r="E384" s="14"/>
      <c r="F384" s="14"/>
      <c r="G384" s="14"/>
      <c r="H384" s="14"/>
      <c r="I384" s="14"/>
      <c r="J384" s="14"/>
      <c r="K384" s="14"/>
      <c r="L384" s="15"/>
      <c r="M384" s="15"/>
      <c r="N384" s="15"/>
      <c r="O384" s="15"/>
    </row>
    <row r="385" spans="1:40" x14ac:dyDescent="0.35">
      <c r="A385" s="24" t="s">
        <v>39</v>
      </c>
      <c r="B385" s="24" t="s">
        <v>282</v>
      </c>
      <c r="C385" t="s">
        <v>280</v>
      </c>
      <c r="D385" t="s">
        <v>280</v>
      </c>
      <c r="E385" s="14"/>
      <c r="F385" s="14"/>
      <c r="G385" s="14"/>
      <c r="H385" s="14"/>
      <c r="I385" s="14"/>
      <c r="J385" s="14"/>
      <c r="K385" s="14"/>
      <c r="L385" s="15"/>
      <c r="M385" s="15"/>
      <c r="N385" s="15"/>
      <c r="O385" s="15"/>
    </row>
    <row r="386" spans="1:40" x14ac:dyDescent="0.35">
      <c r="A386" s="24" t="s">
        <v>284</v>
      </c>
      <c r="B386" s="24"/>
      <c r="C386" t="s">
        <v>280</v>
      </c>
      <c r="D386" t="s">
        <v>280</v>
      </c>
      <c r="E386" s="14"/>
      <c r="F386" s="14"/>
      <c r="G386" s="14"/>
      <c r="H386" s="14"/>
      <c r="I386" s="14"/>
      <c r="J386" s="14"/>
      <c r="K386" s="14"/>
      <c r="L386" s="15"/>
      <c r="M386" s="15"/>
      <c r="N386" s="15"/>
      <c r="O386" s="15"/>
    </row>
    <row r="387" spans="1:40" x14ac:dyDescent="0.35">
      <c r="A387" s="24" t="s">
        <v>72</v>
      </c>
      <c r="B387" s="24" t="s">
        <v>283</v>
      </c>
      <c r="C387" s="14" t="s">
        <v>232</v>
      </c>
      <c r="D387" s="40" t="s">
        <v>287</v>
      </c>
      <c r="E387" s="14"/>
      <c r="G387" s="14"/>
      <c r="H387" s="14"/>
      <c r="I387" s="14"/>
      <c r="J387" s="14"/>
      <c r="L387" s="15"/>
      <c r="M387" s="15"/>
      <c r="N387" s="15"/>
      <c r="O387" s="15"/>
    </row>
    <row r="388" spans="1:40" ht="43.5" x14ac:dyDescent="0.35">
      <c r="A388" s="17" t="s">
        <v>133</v>
      </c>
      <c r="B388" s="17" t="s">
        <v>131</v>
      </c>
      <c r="C388" t="s">
        <v>132</v>
      </c>
      <c r="D388" t="s">
        <v>132</v>
      </c>
      <c r="M388" s="15"/>
      <c r="N388" s="15"/>
      <c r="O388" s="15"/>
    </row>
    <row r="389" spans="1:40" x14ac:dyDescent="0.35">
      <c r="A389" s="17"/>
      <c r="L389" s="15"/>
      <c r="M389" s="15"/>
      <c r="N389" s="15"/>
    </row>
    <row r="390" spans="1:40" ht="29" x14ac:dyDescent="0.35">
      <c r="A390" s="34" t="s">
        <v>73</v>
      </c>
      <c r="B390" s="48" t="s">
        <v>198</v>
      </c>
      <c r="C390" s="48" t="s">
        <v>198</v>
      </c>
      <c r="D390" s="48" t="s">
        <v>198</v>
      </c>
      <c r="E390" s="48"/>
      <c r="F390" s="49" t="s">
        <v>197</v>
      </c>
      <c r="G390" s="49" t="s">
        <v>197</v>
      </c>
      <c r="H390" s="9"/>
      <c r="I390" s="17"/>
      <c r="J390" s="17"/>
      <c r="K390" s="17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</row>
    <row r="391" spans="1:40" ht="29.5" thickBot="1" x14ac:dyDescent="0.4">
      <c r="A391" s="31" t="s">
        <v>7</v>
      </c>
      <c r="B391" s="32" t="str">
        <f>A384</f>
        <v>water</v>
      </c>
      <c r="C391" s="32" t="str">
        <f>A385</f>
        <v>buffer</v>
      </c>
      <c r="D391" s="32" t="str">
        <f>A386</f>
        <v>MgCl2</v>
      </c>
      <c r="E391" s="32" t="str">
        <f>A387</f>
        <v>substrate</v>
      </c>
      <c r="F391" s="32" t="str">
        <f>A388</f>
        <v>Benzoase</v>
      </c>
      <c r="G391" s="32" t="s">
        <v>49</v>
      </c>
      <c r="H391" s="32"/>
      <c r="I391" s="5" t="s">
        <v>6</v>
      </c>
      <c r="J391" s="5" t="s">
        <v>184</v>
      </c>
      <c r="K391" s="5" t="s">
        <v>180</v>
      </c>
      <c r="L391" s="5" t="s">
        <v>17</v>
      </c>
      <c r="M391" s="5" t="s">
        <v>78</v>
      </c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</row>
    <row r="392" spans="1:40" ht="15" thickTop="1" x14ac:dyDescent="0.35">
      <c r="A392" s="30">
        <v>1</v>
      </c>
      <c r="B392" s="29">
        <f>$J392-SUM(C392:E392)</f>
        <v>17.84</v>
      </c>
      <c r="C392" s="28">
        <v>0.8</v>
      </c>
      <c r="D392" s="28">
        <v>0.36</v>
      </c>
      <c r="E392" s="28">
        <v>1</v>
      </c>
      <c r="F392" s="15">
        <v>0.5</v>
      </c>
      <c r="G392" s="29">
        <f>K392-SUM(F392:F392)-H392</f>
        <v>19.5</v>
      </c>
      <c r="H392" s="28"/>
      <c r="I392" s="57">
        <f>J392+K392</f>
        <v>40</v>
      </c>
      <c r="J392" s="18">
        <v>20</v>
      </c>
      <c r="K392" s="18">
        <v>20</v>
      </c>
      <c r="L392" s="15" t="s">
        <v>277</v>
      </c>
      <c r="M392" s="25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</row>
    <row r="393" spans="1:40" x14ac:dyDescent="0.35">
      <c r="A393" s="30">
        <v>2</v>
      </c>
      <c r="B393" s="29">
        <f t="shared" ref="B393" si="180">$J393-SUM(C393:E393)</f>
        <v>17.84</v>
      </c>
      <c r="C393" s="28">
        <v>0.8</v>
      </c>
      <c r="D393" s="28">
        <v>0.36</v>
      </c>
      <c r="E393" s="28">
        <v>1</v>
      </c>
      <c r="F393" s="15"/>
      <c r="G393" s="29">
        <f>K393-SUM(F393:F393)-H393</f>
        <v>20</v>
      </c>
      <c r="H393" s="28"/>
      <c r="I393" s="57">
        <f t="shared" ref="I393" si="181">J393+K393</f>
        <v>40</v>
      </c>
      <c r="J393" s="18">
        <v>20</v>
      </c>
      <c r="K393" s="18">
        <v>20</v>
      </c>
      <c r="L393" s="15" t="s">
        <v>278</v>
      </c>
      <c r="M393" s="25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</row>
    <row r="394" spans="1:40" x14ac:dyDescent="0.35">
      <c r="A394" s="30"/>
      <c r="B394" s="29"/>
      <c r="C394" s="28"/>
      <c r="D394" s="28"/>
      <c r="E394" s="28"/>
      <c r="F394" s="15"/>
      <c r="G394" s="29"/>
      <c r="H394" s="28"/>
      <c r="I394" s="57"/>
      <c r="J394" s="18"/>
      <c r="K394" s="18"/>
      <c r="L394" s="15"/>
      <c r="M394" s="3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</row>
    <row r="395" spans="1:40" ht="15.5" x14ac:dyDescent="0.35">
      <c r="A395" s="50" t="s">
        <v>290</v>
      </c>
      <c r="B395" s="29" t="s">
        <v>291</v>
      </c>
      <c r="C395" s="28"/>
      <c r="D395" s="28"/>
      <c r="E395" s="28"/>
      <c r="F395" s="15"/>
      <c r="G395" s="29"/>
      <c r="H395" s="28"/>
      <c r="I395" s="57"/>
      <c r="J395" s="18"/>
      <c r="K395" s="18"/>
      <c r="L395" s="15"/>
      <c r="M395" s="3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</row>
    <row r="396" spans="1:40" x14ac:dyDescent="0.35">
      <c r="A396" s="73"/>
      <c r="B396" s="29" t="s">
        <v>292</v>
      </c>
      <c r="C396" s="28"/>
      <c r="D396" s="28"/>
      <c r="E396" s="28"/>
      <c r="F396" s="15"/>
      <c r="G396" s="29"/>
      <c r="H396" s="28"/>
      <c r="I396" s="57"/>
      <c r="J396" s="18"/>
      <c r="K396" s="18"/>
      <c r="L396" s="15"/>
      <c r="M396" s="3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</row>
    <row r="397" spans="1:40" x14ac:dyDescent="0.35">
      <c r="A397" s="73"/>
      <c r="B397" s="29"/>
      <c r="C397" s="28"/>
      <c r="D397" s="28"/>
      <c r="E397" s="28"/>
      <c r="F397" s="15"/>
      <c r="G397" s="29"/>
      <c r="H397" s="28"/>
      <c r="I397" s="57"/>
      <c r="J397" s="18"/>
      <c r="K397" s="18"/>
      <c r="L397" s="15"/>
      <c r="M397" s="3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</row>
    <row r="398" spans="1:40" s="28" customFormat="1" x14ac:dyDescent="0.35">
      <c r="A398" s="36"/>
      <c r="Q398" s="35"/>
      <c r="R398" s="35"/>
      <c r="S398" s="35"/>
      <c r="U398" s="38"/>
    </row>
    <row r="399" spans="1:40" s="28" customFormat="1" x14ac:dyDescent="0.35">
      <c r="A399" s="36"/>
      <c r="Q399" s="35"/>
      <c r="R399" s="35"/>
      <c r="S399" s="35"/>
      <c r="U399" s="38"/>
    </row>
    <row r="400" spans="1:40" s="28" customFormat="1" ht="21" x14ac:dyDescent="0.35">
      <c r="A400" s="13" t="s">
        <v>304</v>
      </c>
      <c r="Q400" s="35"/>
      <c r="R400" s="35"/>
      <c r="S400" s="35"/>
      <c r="U400" s="38"/>
    </row>
    <row r="401" spans="1:39" s="28" customFormat="1" ht="15.5" x14ac:dyDescent="0.35">
      <c r="A401" s="50" t="s">
        <v>275</v>
      </c>
      <c r="B401" s="14"/>
      <c r="C401" s="14"/>
      <c r="D401" s="14"/>
      <c r="E401" s="14"/>
      <c r="F401" s="14"/>
      <c r="G401" s="14"/>
      <c r="H401" s="14"/>
      <c r="I401" s="14"/>
      <c r="J401" s="14"/>
      <c r="K401" s="15"/>
      <c r="L401" s="15"/>
      <c r="M401" s="15"/>
      <c r="Q401" s="35"/>
      <c r="R401" s="35"/>
      <c r="S401" s="35"/>
      <c r="U401" s="38"/>
    </row>
    <row r="402" spans="1:39" ht="15.5" x14ac:dyDescent="0.35">
      <c r="A402" s="47" t="s">
        <v>288</v>
      </c>
      <c r="C402" s="14"/>
      <c r="D402" s="14"/>
      <c r="E402" s="14"/>
      <c r="F402" s="14"/>
      <c r="G402" s="14"/>
      <c r="H402" s="14"/>
      <c r="I402" s="14"/>
      <c r="J402" s="14"/>
      <c r="K402" s="15"/>
      <c r="L402" s="15"/>
      <c r="M402" s="15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</row>
    <row r="403" spans="1:39" ht="15.5" x14ac:dyDescent="0.35">
      <c r="A403" s="47" t="s">
        <v>289</v>
      </c>
      <c r="C403" s="14"/>
      <c r="D403" s="14"/>
      <c r="E403" s="14"/>
      <c r="F403" s="14"/>
      <c r="G403" s="14"/>
      <c r="H403" s="14"/>
      <c r="I403" s="14"/>
      <c r="J403" s="14"/>
      <c r="K403" s="15"/>
      <c r="L403" s="15"/>
      <c r="M403" s="15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</row>
    <row r="404" spans="1:39" ht="15.5" x14ac:dyDescent="0.35">
      <c r="A404" s="47" t="s">
        <v>305</v>
      </c>
      <c r="C404" s="14"/>
      <c r="D404" s="14"/>
      <c r="E404" s="14"/>
      <c r="F404" s="14"/>
      <c r="G404" s="14"/>
      <c r="H404" s="14"/>
      <c r="I404" s="14"/>
      <c r="J404" s="14"/>
      <c r="K404" s="15"/>
      <c r="L404" s="15"/>
      <c r="M404" s="15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</row>
    <row r="405" spans="1:39" ht="15.5" x14ac:dyDescent="0.35">
      <c r="A405" s="47" t="s">
        <v>306</v>
      </c>
      <c r="C405" s="14"/>
      <c r="D405" s="14"/>
      <c r="E405" s="14"/>
      <c r="F405" s="14"/>
      <c r="G405" s="14"/>
      <c r="H405" s="14"/>
      <c r="I405" s="14"/>
      <c r="J405" s="14"/>
      <c r="K405" s="15"/>
      <c r="L405" s="15"/>
      <c r="M405" s="15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</row>
    <row r="406" spans="1:39" ht="15.5" x14ac:dyDescent="0.35">
      <c r="A406" s="45"/>
      <c r="B406" s="14"/>
      <c r="C406" s="14"/>
      <c r="D406" s="14"/>
      <c r="E406" s="14"/>
      <c r="F406" s="14"/>
      <c r="G406" s="14"/>
      <c r="H406" s="14"/>
      <c r="I406" s="14"/>
      <c r="J406" s="14"/>
      <c r="K406" s="15"/>
      <c r="L406" s="15"/>
      <c r="M406" s="15"/>
    </row>
    <row r="407" spans="1:39" x14ac:dyDescent="0.35">
      <c r="A407" s="26" t="s">
        <v>79</v>
      </c>
      <c r="B407" s="14"/>
      <c r="C407" s="14"/>
      <c r="D407" s="14"/>
      <c r="E407" s="14"/>
      <c r="F407" s="14"/>
      <c r="G407" s="14"/>
      <c r="H407" s="14"/>
      <c r="I407" s="14"/>
      <c r="J407" s="14"/>
      <c r="K407" s="15"/>
      <c r="L407" s="15"/>
      <c r="M407" s="15"/>
    </row>
    <row r="408" spans="1:39" x14ac:dyDescent="0.35">
      <c r="A408" s="26" t="s">
        <v>279</v>
      </c>
      <c r="B408" s="26" t="s">
        <v>78</v>
      </c>
      <c r="C408" s="42" t="s">
        <v>286</v>
      </c>
      <c r="D408" s="42" t="s">
        <v>285</v>
      </c>
      <c r="E408" s="43"/>
      <c r="F408" s="43"/>
      <c r="G408" s="43"/>
      <c r="H408" s="43"/>
      <c r="I408" s="43"/>
      <c r="J408" s="44"/>
      <c r="K408" s="14"/>
      <c r="L408" s="15"/>
      <c r="M408" s="15"/>
    </row>
    <row r="409" spans="1:39" x14ac:dyDescent="0.35">
      <c r="A409" t="s">
        <v>49</v>
      </c>
      <c r="B409" t="s">
        <v>281</v>
      </c>
      <c r="D409" s="14"/>
      <c r="E409" s="14"/>
      <c r="F409" s="14"/>
      <c r="G409" s="14"/>
      <c r="H409" s="14"/>
      <c r="I409" s="14"/>
      <c r="J409" s="14"/>
      <c r="K409" s="14"/>
      <c r="L409" s="15"/>
      <c r="M409" s="15"/>
    </row>
    <row r="410" spans="1:39" x14ac:dyDescent="0.35">
      <c r="A410" s="24" t="s">
        <v>39</v>
      </c>
      <c r="B410" s="24" t="s">
        <v>282</v>
      </c>
      <c r="C410" t="s">
        <v>280</v>
      </c>
      <c r="D410" t="s">
        <v>280</v>
      </c>
      <c r="E410" s="14"/>
      <c r="F410" s="14"/>
      <c r="G410" s="14"/>
      <c r="H410" s="14"/>
      <c r="I410" s="14"/>
      <c r="J410" s="14"/>
      <c r="K410" s="14"/>
      <c r="L410" s="15"/>
      <c r="M410" s="15"/>
    </row>
    <row r="411" spans="1:39" x14ac:dyDescent="0.35">
      <c r="A411" s="24" t="s">
        <v>284</v>
      </c>
      <c r="B411" s="24"/>
      <c r="C411" t="s">
        <v>280</v>
      </c>
      <c r="D411" t="s">
        <v>280</v>
      </c>
      <c r="E411" s="14"/>
      <c r="F411" s="14"/>
      <c r="G411" s="14"/>
      <c r="H411" s="14"/>
    </row>
    <row r="412" spans="1:39" x14ac:dyDescent="0.35">
      <c r="A412" s="24" t="s">
        <v>72</v>
      </c>
      <c r="B412" s="24" t="s">
        <v>283</v>
      </c>
      <c r="C412" s="14" t="s">
        <v>232</v>
      </c>
      <c r="D412" s="40" t="s">
        <v>287</v>
      </c>
      <c r="E412" s="14"/>
      <c r="G412" s="14"/>
      <c r="H412" s="14"/>
    </row>
    <row r="413" spans="1:39" ht="43.5" x14ac:dyDescent="0.35">
      <c r="A413" s="17" t="s">
        <v>133</v>
      </c>
      <c r="B413" s="17" t="s">
        <v>131</v>
      </c>
      <c r="C413" t="s">
        <v>132</v>
      </c>
      <c r="D413" t="s">
        <v>132</v>
      </c>
      <c r="M413" s="15"/>
    </row>
    <row r="414" spans="1:39" x14ac:dyDescent="0.35">
      <c r="A414" s="77" t="s">
        <v>307</v>
      </c>
      <c r="B414" s="77">
        <v>66.099999999999994</v>
      </c>
      <c r="C414" s="77">
        <f>B414/66.1</f>
        <v>1</v>
      </c>
      <c r="D414" s="78">
        <f>C414/100</f>
        <v>0.01</v>
      </c>
      <c r="E414" s="78">
        <f t="shared" ref="E414:I414" si="182">D414/100</f>
        <v>1E-4</v>
      </c>
      <c r="F414" s="78">
        <f t="shared" si="182"/>
        <v>9.9999999999999995E-7</v>
      </c>
      <c r="G414" s="78">
        <f t="shared" si="182"/>
        <v>1E-8</v>
      </c>
      <c r="H414" s="78">
        <f t="shared" si="182"/>
        <v>1E-10</v>
      </c>
      <c r="I414" s="78">
        <f t="shared" si="182"/>
        <v>9.9999999999999998E-13</v>
      </c>
      <c r="J414" s="79" t="s">
        <v>308</v>
      </c>
      <c r="M414" s="15"/>
    </row>
    <row r="415" spans="1:39" x14ac:dyDescent="0.35">
      <c r="A415" s="77"/>
      <c r="B415" s="77"/>
      <c r="C415" s="79"/>
      <c r="D415" s="78" t="s">
        <v>309</v>
      </c>
      <c r="E415" s="78" t="s">
        <v>310</v>
      </c>
      <c r="F415" s="79" t="s">
        <v>311</v>
      </c>
      <c r="G415" s="79" t="s">
        <v>312</v>
      </c>
      <c r="H415" s="79" t="s">
        <v>313</v>
      </c>
      <c r="I415" s="79" t="s">
        <v>314</v>
      </c>
      <c r="J415" s="79"/>
      <c r="M415" s="15"/>
    </row>
    <row r="416" spans="1:39" x14ac:dyDescent="0.35">
      <c r="A416" s="17"/>
      <c r="L416" s="15"/>
      <c r="M416" s="15"/>
    </row>
    <row r="417" spans="1:14" ht="29" x14ac:dyDescent="0.35">
      <c r="A417" s="34" t="s">
        <v>73</v>
      </c>
      <c r="B417" s="48" t="s">
        <v>198</v>
      </c>
      <c r="C417" s="48" t="s">
        <v>198</v>
      </c>
      <c r="D417" s="48" t="s">
        <v>198</v>
      </c>
      <c r="E417" s="48" t="s">
        <v>198</v>
      </c>
      <c r="F417" s="49" t="s">
        <v>197</v>
      </c>
      <c r="G417" s="49" t="s">
        <v>197</v>
      </c>
      <c r="H417" s="9"/>
      <c r="I417" s="17"/>
      <c r="J417" s="17"/>
      <c r="K417" s="17"/>
    </row>
    <row r="418" spans="1:14" ht="29.5" thickBot="1" x14ac:dyDescent="0.4">
      <c r="A418" s="31" t="s">
        <v>7</v>
      </c>
      <c r="B418" s="32" t="str">
        <f>A409</f>
        <v>water</v>
      </c>
      <c r="C418" s="32" t="str">
        <f>A410</f>
        <v>buffer</v>
      </c>
      <c r="D418" s="32" t="str">
        <f>A411</f>
        <v>MgCl2</v>
      </c>
      <c r="E418" s="32" t="str">
        <f>A412</f>
        <v>substrate</v>
      </c>
      <c r="F418" s="32" t="str">
        <f>A413</f>
        <v>Benzoase</v>
      </c>
      <c r="G418" s="32" t="s">
        <v>49</v>
      </c>
      <c r="H418" s="32"/>
      <c r="I418" s="5" t="s">
        <v>6</v>
      </c>
      <c r="J418" s="5" t="s">
        <v>184</v>
      </c>
      <c r="K418" s="5" t="s">
        <v>180</v>
      </c>
      <c r="L418" s="5" t="s">
        <v>17</v>
      </c>
      <c r="M418" s="5" t="s">
        <v>78</v>
      </c>
    </row>
    <row r="419" spans="1:14" ht="15" thickTop="1" x14ac:dyDescent="0.35">
      <c r="A419" s="30">
        <v>1</v>
      </c>
      <c r="B419" s="29">
        <f>$J419-SUM(C419:E419)</f>
        <v>8.84</v>
      </c>
      <c r="C419" s="28">
        <v>0.8</v>
      </c>
      <c r="D419" s="28">
        <v>0.36</v>
      </c>
      <c r="E419" s="28">
        <v>10</v>
      </c>
      <c r="F419" s="15"/>
      <c r="G419" s="29">
        <f>K419-SUM(F419:F419)-H419</f>
        <v>20</v>
      </c>
      <c r="H419" s="28"/>
      <c r="I419" s="57">
        <f>J419+K419</f>
        <v>40</v>
      </c>
      <c r="J419" s="18">
        <v>20</v>
      </c>
      <c r="K419" s="18">
        <v>20</v>
      </c>
      <c r="L419" s="15" t="s">
        <v>278</v>
      </c>
      <c r="M419" s="25" t="s">
        <v>315</v>
      </c>
    </row>
    <row r="420" spans="1:14" x14ac:dyDescent="0.35">
      <c r="A420" s="30">
        <v>2</v>
      </c>
      <c r="B420" s="29">
        <f t="shared" ref="B420" si="183">$J420-SUM(C420:E420)</f>
        <v>8.84</v>
      </c>
      <c r="C420" s="28">
        <v>0.8</v>
      </c>
      <c r="D420" s="28">
        <v>0.36</v>
      </c>
      <c r="E420" s="28">
        <v>10</v>
      </c>
      <c r="F420" s="15">
        <v>0.5</v>
      </c>
      <c r="G420" s="29">
        <f>K420-SUM(F420:F420)-H420</f>
        <v>19.5</v>
      </c>
      <c r="H420" s="28"/>
      <c r="I420" s="57">
        <f t="shared" ref="I420" si="184">J420+K420</f>
        <v>40</v>
      </c>
      <c r="J420" s="18">
        <v>20</v>
      </c>
      <c r="K420" s="18">
        <v>20</v>
      </c>
      <c r="L420" s="15" t="s">
        <v>277</v>
      </c>
      <c r="M420" s="25" t="s">
        <v>316</v>
      </c>
    </row>
    <row r="421" spans="1:14" x14ac:dyDescent="0.35">
      <c r="A421" s="30"/>
      <c r="B421" s="29"/>
      <c r="C421" s="28"/>
      <c r="D421" s="28"/>
      <c r="E421" s="28"/>
      <c r="F421" s="15"/>
      <c r="G421" s="29"/>
      <c r="H421" s="28"/>
      <c r="I421" s="57"/>
      <c r="J421" s="18"/>
      <c r="K421" s="18"/>
      <c r="L421" s="15"/>
      <c r="M421" s="38"/>
    </row>
    <row r="422" spans="1:14" x14ac:dyDescent="0.35">
      <c r="A422" s="30"/>
      <c r="B422" s="29"/>
      <c r="C422" s="28"/>
      <c r="D422" s="28"/>
      <c r="E422" s="28"/>
      <c r="F422" s="15"/>
      <c r="G422" s="29"/>
      <c r="H422" s="28"/>
      <c r="I422" s="57"/>
      <c r="J422" s="18"/>
      <c r="K422" s="18"/>
      <c r="L422" s="15"/>
      <c r="M422" s="38"/>
    </row>
    <row r="423" spans="1:14" x14ac:dyDescent="0.35">
      <c r="A423" t="s">
        <v>93</v>
      </c>
      <c r="B423">
        <f>2*1.15</f>
        <v>2.2999999999999998</v>
      </c>
    </row>
    <row r="425" spans="1:14" x14ac:dyDescent="0.35">
      <c r="A425" s="27">
        <f>A419</f>
        <v>1</v>
      </c>
      <c r="B425" s="74">
        <f>B419*$B$423</f>
        <v>20.331999999999997</v>
      </c>
      <c r="C425" s="74">
        <f t="shared" ref="C425:G425" si="185">C419*$B$423</f>
        <v>1.8399999999999999</v>
      </c>
      <c r="D425" s="74">
        <f t="shared" si="185"/>
        <v>0.82799999999999996</v>
      </c>
      <c r="E425" s="74">
        <f t="shared" si="185"/>
        <v>23</v>
      </c>
      <c r="F425" s="74">
        <f t="shared" si="185"/>
        <v>0</v>
      </c>
      <c r="G425" s="74">
        <f t="shared" si="185"/>
        <v>46</v>
      </c>
      <c r="H425" s="74"/>
      <c r="I425" s="74"/>
      <c r="J425" s="74"/>
      <c r="K425" s="74"/>
    </row>
    <row r="426" spans="1:14" x14ac:dyDescent="0.35">
      <c r="A426" s="27">
        <f>A420</f>
        <v>2</v>
      </c>
      <c r="B426" s="74">
        <f>B420*$B$423</f>
        <v>20.331999999999997</v>
      </c>
      <c r="C426" s="74">
        <f t="shared" ref="C426:G426" si="186">C420*$B$423</f>
        <v>1.8399999999999999</v>
      </c>
      <c r="D426" s="74">
        <f t="shared" si="186"/>
        <v>0.82799999999999996</v>
      </c>
      <c r="E426" s="74">
        <f t="shared" si="186"/>
        <v>23</v>
      </c>
      <c r="F426" s="74">
        <f t="shared" si="186"/>
        <v>1.1499999999999999</v>
      </c>
      <c r="G426" s="74">
        <f t="shared" si="186"/>
        <v>44.849999999999994</v>
      </c>
      <c r="H426" s="75"/>
      <c r="I426" s="75"/>
      <c r="J426" s="75"/>
      <c r="K426" s="75"/>
    </row>
    <row r="427" spans="1:14" x14ac:dyDescent="0.35">
      <c r="A427" s="27" t="s">
        <v>303</v>
      </c>
      <c r="B427" s="75">
        <f>SUM(B425:B426)</f>
        <v>40.663999999999994</v>
      </c>
      <c r="C427" s="75">
        <f t="shared" ref="C427:E427" si="187">SUM(C425:C426)</f>
        <v>3.6799999999999997</v>
      </c>
      <c r="D427" s="75">
        <f t="shared" si="187"/>
        <v>1.6559999999999999</v>
      </c>
      <c r="E427" s="75">
        <f t="shared" si="187"/>
        <v>46</v>
      </c>
      <c r="F427" s="75"/>
      <c r="G427" s="75"/>
      <c r="H427" s="75"/>
      <c r="I427" s="75"/>
      <c r="J427" s="75"/>
      <c r="K427" s="75"/>
    </row>
    <row r="428" spans="1:14" x14ac:dyDescent="0.35">
      <c r="A428" s="27"/>
      <c r="B428" s="76"/>
      <c r="C428" s="76"/>
      <c r="D428" s="76"/>
      <c r="E428" s="76"/>
      <c r="F428" s="76"/>
      <c r="G428" s="76"/>
      <c r="H428" s="76"/>
      <c r="I428" s="76"/>
      <c r="J428" s="76"/>
      <c r="K428" s="76"/>
    </row>
    <row r="431" spans="1:14" ht="21" x14ac:dyDescent="0.35">
      <c r="A431" s="13" t="s">
        <v>293</v>
      </c>
      <c r="B431" s="14"/>
      <c r="C431" s="14"/>
      <c r="D431" s="14"/>
      <c r="E431" s="14"/>
      <c r="F431" s="14"/>
      <c r="G431" s="14"/>
      <c r="H431" s="14"/>
      <c r="I431" s="14"/>
      <c r="J431" s="14"/>
      <c r="K431" s="15"/>
      <c r="L431" s="15"/>
      <c r="M431" s="15"/>
      <c r="N431" s="15"/>
    </row>
    <row r="432" spans="1:14" ht="15.5" x14ac:dyDescent="0.35">
      <c r="A432" s="65" t="s">
        <v>321</v>
      </c>
      <c r="B432" s="14"/>
      <c r="C432" s="14"/>
      <c r="D432" s="14"/>
      <c r="E432" s="14"/>
      <c r="F432" s="14"/>
      <c r="G432" s="14"/>
      <c r="H432" s="14"/>
      <c r="I432" s="14"/>
      <c r="J432" s="14"/>
      <c r="K432" s="15"/>
      <c r="L432" s="15"/>
      <c r="M432" s="15"/>
      <c r="N432" s="15"/>
    </row>
    <row r="433" spans="1:22" ht="15.5" x14ac:dyDescent="0.35">
      <c r="A433" s="50" t="s">
        <v>186</v>
      </c>
      <c r="B433" s="14"/>
      <c r="C433" s="14"/>
      <c r="D433" s="14"/>
      <c r="E433" s="14"/>
      <c r="F433" s="14"/>
      <c r="G433" s="14"/>
      <c r="H433" s="14"/>
      <c r="I433" s="14"/>
      <c r="J433" s="14"/>
      <c r="K433" s="15"/>
      <c r="L433" s="15"/>
      <c r="M433" s="15"/>
      <c r="N433" s="15"/>
    </row>
    <row r="434" spans="1:22" x14ac:dyDescent="0.35">
      <c r="A434" t="s">
        <v>322</v>
      </c>
      <c r="B434" s="14"/>
      <c r="C434" s="14"/>
      <c r="D434" s="14"/>
      <c r="E434" s="14"/>
      <c r="F434" s="14"/>
      <c r="G434" s="14"/>
      <c r="H434" s="14"/>
      <c r="I434" s="14"/>
      <c r="J434" s="14"/>
      <c r="K434" s="15"/>
      <c r="L434" s="15"/>
      <c r="M434" s="15"/>
      <c r="N434" s="15"/>
    </row>
    <row r="435" spans="1:22" ht="15.5" x14ac:dyDescent="0.35">
      <c r="A435" s="47"/>
      <c r="B435" s="14"/>
      <c r="C435" s="14"/>
      <c r="D435" s="14"/>
      <c r="E435" s="14"/>
      <c r="F435" s="14"/>
      <c r="G435" s="14"/>
      <c r="H435" s="14"/>
      <c r="I435" s="14"/>
      <c r="J435" s="14"/>
      <c r="K435" s="15"/>
      <c r="L435" s="15"/>
      <c r="M435" s="15"/>
      <c r="N435" s="15"/>
    </row>
    <row r="436" spans="1:22" x14ac:dyDescent="0.35">
      <c r="A436" s="26" t="s">
        <v>79</v>
      </c>
      <c r="B436" s="14"/>
      <c r="C436" s="14"/>
      <c r="D436" s="14"/>
      <c r="E436" s="14"/>
      <c r="F436" s="14"/>
      <c r="G436" s="14"/>
      <c r="H436" s="14"/>
      <c r="I436" s="14"/>
      <c r="J436" s="14"/>
      <c r="K436" s="15"/>
      <c r="L436" s="15"/>
      <c r="M436" s="15"/>
      <c r="N436" s="15"/>
    </row>
    <row r="437" spans="1:22" x14ac:dyDescent="0.35">
      <c r="A437" s="26" t="s">
        <v>279</v>
      </c>
      <c r="B437" s="26" t="s">
        <v>78</v>
      </c>
      <c r="C437" s="42" t="s">
        <v>286</v>
      </c>
      <c r="D437" s="42" t="s">
        <v>285</v>
      </c>
      <c r="E437" s="43"/>
      <c r="F437" s="43"/>
      <c r="G437" s="43"/>
      <c r="H437" s="43"/>
      <c r="I437" s="44"/>
      <c r="J437" s="14"/>
      <c r="K437" s="15"/>
      <c r="L437" s="15"/>
      <c r="M437" s="15"/>
      <c r="N437" s="15"/>
    </row>
    <row r="438" spans="1:22" x14ac:dyDescent="0.35">
      <c r="A438" t="s">
        <v>49</v>
      </c>
      <c r="D438" s="14"/>
      <c r="E438" s="14"/>
      <c r="F438" s="14"/>
      <c r="G438" s="14"/>
      <c r="H438" s="14"/>
      <c r="I438" s="14"/>
      <c r="J438" s="14"/>
      <c r="K438" s="14"/>
      <c r="L438" s="15"/>
      <c r="M438" s="15"/>
      <c r="N438" s="15"/>
      <c r="O438" s="15"/>
    </row>
    <row r="439" spans="1:22" x14ac:dyDescent="0.35">
      <c r="A439" t="s">
        <v>39</v>
      </c>
      <c r="B439" s="24" t="s">
        <v>84</v>
      </c>
      <c r="C439" s="24"/>
      <c r="D439" s="14" t="s">
        <v>280</v>
      </c>
      <c r="E439" s="14"/>
      <c r="F439" s="14"/>
      <c r="G439" s="14"/>
      <c r="H439" s="14"/>
      <c r="I439" s="14"/>
      <c r="J439" s="14"/>
      <c r="K439" s="14"/>
      <c r="L439" s="15"/>
      <c r="M439" s="15"/>
      <c r="N439" s="15"/>
      <c r="O439" s="15"/>
    </row>
    <row r="440" spans="1:22" x14ac:dyDescent="0.35">
      <c r="B440" s="24"/>
      <c r="C440" s="24"/>
      <c r="D440" s="14"/>
      <c r="E440" s="14"/>
      <c r="F440" s="14"/>
      <c r="G440" s="14"/>
      <c r="H440" s="14"/>
      <c r="I440" s="14"/>
      <c r="J440" s="14"/>
      <c r="K440" s="14"/>
      <c r="L440" s="15"/>
      <c r="M440" s="15"/>
      <c r="N440" s="15"/>
      <c r="O440" s="15"/>
    </row>
    <row r="441" spans="1:22" x14ac:dyDescent="0.35">
      <c r="B441" s="24"/>
      <c r="C441" s="24"/>
      <c r="D441" s="14"/>
      <c r="E441" s="14"/>
      <c r="F441" s="14"/>
      <c r="G441" s="14"/>
      <c r="H441" s="14"/>
      <c r="I441" s="14"/>
      <c r="J441" s="14"/>
      <c r="K441" s="14"/>
      <c r="L441" s="15"/>
      <c r="M441" s="15"/>
      <c r="N441" s="15"/>
      <c r="O441" s="15"/>
    </row>
    <row r="442" spans="1:22" x14ac:dyDescent="0.35">
      <c r="A442" s="24" t="s">
        <v>72</v>
      </c>
      <c r="B442" s="14" t="s">
        <v>259</v>
      </c>
      <c r="C442" s="40"/>
      <c r="D442" s="14" t="s">
        <v>287</v>
      </c>
      <c r="F442" s="14"/>
      <c r="G442" s="14"/>
      <c r="H442" s="14"/>
      <c r="I442" s="14" t="s">
        <v>320</v>
      </c>
      <c r="K442" s="15"/>
      <c r="M442" s="15"/>
      <c r="N442" s="15"/>
      <c r="O442" s="15"/>
    </row>
    <row r="443" spans="1:22" x14ac:dyDescent="0.35">
      <c r="A443" s="24" t="s">
        <v>80</v>
      </c>
      <c r="C443" s="33" t="s">
        <v>151</v>
      </c>
      <c r="G443" s="14"/>
      <c r="H443" s="14"/>
      <c r="I443" s="14" t="s">
        <v>108</v>
      </c>
      <c r="L443" s="15"/>
      <c r="M443" s="15"/>
      <c r="N443" s="15"/>
      <c r="O443" s="15"/>
    </row>
    <row r="444" spans="1:22" ht="58" x14ac:dyDescent="0.35">
      <c r="A444" s="33" t="s">
        <v>294</v>
      </c>
      <c r="B444" s="17" t="s">
        <v>168</v>
      </c>
      <c r="C444" s="33" t="s">
        <v>295</v>
      </c>
      <c r="D444" s="14" t="s">
        <v>296</v>
      </c>
      <c r="E444" s="40"/>
      <c r="G444" s="14"/>
      <c r="H444" s="14"/>
      <c r="I444" s="14"/>
      <c r="J444" s="14"/>
      <c r="L444" s="15"/>
      <c r="M444" s="15"/>
      <c r="N444" s="15"/>
      <c r="O444" s="15"/>
    </row>
    <row r="445" spans="1:22" x14ac:dyDescent="0.35">
      <c r="A445" s="33" t="s">
        <v>300</v>
      </c>
      <c r="B445" s="17"/>
      <c r="C445" s="33" t="s">
        <v>302</v>
      </c>
      <c r="D445" s="14" t="s">
        <v>301</v>
      </c>
      <c r="E445" s="40"/>
      <c r="G445" s="14"/>
      <c r="H445" s="14"/>
      <c r="I445" s="14"/>
      <c r="J445" s="14"/>
      <c r="L445" s="15"/>
      <c r="M445" s="15"/>
      <c r="N445" s="15"/>
      <c r="O445" s="15"/>
    </row>
    <row r="446" spans="1:22" ht="43.5" x14ac:dyDescent="0.35">
      <c r="A446" s="33" t="s">
        <v>297</v>
      </c>
      <c r="B446" s="17" t="s">
        <v>131</v>
      </c>
      <c r="D446" t="s">
        <v>132</v>
      </c>
      <c r="M446" s="15"/>
      <c r="N446" s="15"/>
      <c r="O446" s="15"/>
    </row>
    <row r="447" spans="1:22" x14ac:dyDescent="0.35">
      <c r="A447" s="33" t="s">
        <v>298</v>
      </c>
      <c r="B447" s="51" t="s">
        <v>241</v>
      </c>
      <c r="C447" s="14"/>
      <c r="D447" s="14"/>
      <c r="E447" t="s">
        <v>244</v>
      </c>
      <c r="F447">
        <f>2400/0.1</f>
        <v>24000</v>
      </c>
      <c r="G447" t="s">
        <v>263</v>
      </c>
      <c r="J447" t="s">
        <v>245</v>
      </c>
      <c r="K447" t="s">
        <v>246</v>
      </c>
      <c r="O447">
        <f>(0.1/53000)*1000000</f>
        <v>1.8867924528301889</v>
      </c>
      <c r="P447" s="56" t="s">
        <v>148</v>
      </c>
      <c r="Q447">
        <f>O447/50</f>
        <v>3.7735849056603779E-2</v>
      </c>
      <c r="R447" s="55" t="s">
        <v>243</v>
      </c>
      <c r="S447" s="55" t="s">
        <v>149</v>
      </c>
      <c r="V447" s="64"/>
    </row>
    <row r="448" spans="1:22" x14ac:dyDescent="0.35">
      <c r="A448" s="33" t="s">
        <v>299</v>
      </c>
      <c r="B448" s="51" t="s">
        <v>242</v>
      </c>
      <c r="C448" s="14"/>
      <c r="D448" s="14"/>
      <c r="E448" t="s">
        <v>244</v>
      </c>
      <c r="F448">
        <f>1200/0.1</f>
        <v>12000</v>
      </c>
      <c r="G448" t="s">
        <v>264</v>
      </c>
      <c r="J448" t="s">
        <v>245</v>
      </c>
      <c r="P448" s="56"/>
      <c r="R448" s="55"/>
      <c r="S448" s="55"/>
    </row>
    <row r="449" spans="1:46" x14ac:dyDescent="0.35">
      <c r="A449" s="33" t="s">
        <v>298</v>
      </c>
      <c r="B449" s="51" t="s">
        <v>260</v>
      </c>
      <c r="C449" s="14"/>
      <c r="D449" s="14"/>
      <c r="E449" t="s">
        <v>244</v>
      </c>
      <c r="F449">
        <f>2200/0.1</f>
        <v>22000</v>
      </c>
      <c r="G449" t="s">
        <v>265</v>
      </c>
      <c r="J449" t="s">
        <v>245</v>
      </c>
      <c r="O449" s="15"/>
    </row>
    <row r="450" spans="1:46" x14ac:dyDescent="0.35">
      <c r="A450" s="33" t="s">
        <v>299</v>
      </c>
      <c r="B450" s="51" t="s">
        <v>261</v>
      </c>
      <c r="C450" s="14"/>
      <c r="D450" s="14"/>
      <c r="E450" t="s">
        <v>244</v>
      </c>
      <c r="F450">
        <f>42/0.1</f>
        <v>420</v>
      </c>
      <c r="G450" t="s">
        <v>262</v>
      </c>
      <c r="J450" t="s">
        <v>245</v>
      </c>
      <c r="O450" s="15"/>
      <c r="P450" s="15"/>
    </row>
    <row r="451" spans="1:46" x14ac:dyDescent="0.35">
      <c r="A451" s="17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5"/>
      <c r="N451" s="15"/>
      <c r="O451" s="15"/>
      <c r="P451" s="26" t="s">
        <v>113</v>
      </c>
    </row>
    <row r="452" spans="1:46" ht="29" x14ac:dyDescent="0.35">
      <c r="A452" s="34" t="s">
        <v>73</v>
      </c>
      <c r="B452" s="48" t="s">
        <v>198</v>
      </c>
      <c r="C452" s="48" t="s">
        <v>198</v>
      </c>
      <c r="D452" s="48" t="s">
        <v>198</v>
      </c>
      <c r="E452" s="48" t="s">
        <v>198</v>
      </c>
      <c r="F452" s="48" t="s">
        <v>198</v>
      </c>
      <c r="G452" s="48" t="s">
        <v>198</v>
      </c>
      <c r="H452" s="48" t="s">
        <v>198</v>
      </c>
      <c r="I452" s="48" t="s">
        <v>198</v>
      </c>
      <c r="J452" s="48" t="s">
        <v>198</v>
      </c>
      <c r="K452" s="49" t="s">
        <v>197</v>
      </c>
      <c r="L452" s="49" t="s">
        <v>197</v>
      </c>
      <c r="M452" s="49" t="s">
        <v>197</v>
      </c>
      <c r="N452" s="49" t="s">
        <v>197</v>
      </c>
      <c r="O452" s="49" t="s">
        <v>197</v>
      </c>
      <c r="P452" s="49" t="s">
        <v>197</v>
      </c>
      <c r="Q452" s="49" t="s">
        <v>197</v>
      </c>
      <c r="R452" s="17"/>
      <c r="S452" s="17"/>
      <c r="T452" s="17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9"/>
      <c r="AI452" s="49"/>
      <c r="AJ452" s="49"/>
      <c r="AK452" s="49"/>
      <c r="AL452" s="49"/>
      <c r="AM452" s="49"/>
    </row>
    <row r="453" spans="1:46" ht="58.5" thickBot="1" x14ac:dyDescent="0.4">
      <c r="A453" s="67" t="s">
        <v>7</v>
      </c>
      <c r="B453" s="68" t="s">
        <v>49</v>
      </c>
      <c r="C453" s="68" t="s">
        <v>210</v>
      </c>
      <c r="D453" s="68" t="s">
        <v>48</v>
      </c>
      <c r="E453" s="68"/>
      <c r="F453" s="68" t="s">
        <v>82</v>
      </c>
      <c r="G453" s="68" t="s">
        <v>72</v>
      </c>
      <c r="H453" s="68" t="s">
        <v>74</v>
      </c>
      <c r="I453" s="68"/>
      <c r="J453" s="68"/>
      <c r="K453" s="68" t="s">
        <v>255</v>
      </c>
      <c r="L453" s="68" t="s">
        <v>254</v>
      </c>
      <c r="M453" s="68" t="s">
        <v>256</v>
      </c>
      <c r="N453" s="68" t="s">
        <v>257</v>
      </c>
      <c r="O453" s="68" t="s">
        <v>72</v>
      </c>
      <c r="P453" s="68" t="s">
        <v>49</v>
      </c>
      <c r="Q453" s="68" t="s">
        <v>29</v>
      </c>
      <c r="R453" s="5" t="s">
        <v>6</v>
      </c>
      <c r="S453" s="5" t="s">
        <v>184</v>
      </c>
      <c r="T453" s="5" t="s">
        <v>180</v>
      </c>
      <c r="U453" s="5" t="s">
        <v>17</v>
      </c>
      <c r="V453" s="5" t="s">
        <v>78</v>
      </c>
      <c r="W453" s="69"/>
      <c r="X453" s="70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69"/>
    </row>
    <row r="454" spans="1:46" ht="15" thickTop="1" x14ac:dyDescent="0.35">
      <c r="A454" s="30">
        <v>1</v>
      </c>
      <c r="B454" s="29">
        <f>$S454-SUM(C454:J454)</f>
        <v>14.84</v>
      </c>
      <c r="C454" s="28">
        <v>0.8</v>
      </c>
      <c r="D454" s="28">
        <v>0.36</v>
      </c>
      <c r="E454" s="28"/>
      <c r="F454" s="28">
        <v>2</v>
      </c>
      <c r="G454" s="28"/>
      <c r="H454" s="28">
        <v>2</v>
      </c>
      <c r="I454" s="28"/>
      <c r="J454" s="28"/>
      <c r="K454" s="28">
        <v>1</v>
      </c>
      <c r="O454" s="15">
        <v>10</v>
      </c>
      <c r="P454" s="29">
        <f>T454-SUM(K454:O454)-Q454</f>
        <v>9</v>
      </c>
      <c r="Q454" s="28"/>
      <c r="R454" s="57">
        <f>S454+T454</f>
        <v>40</v>
      </c>
      <c r="S454" s="18">
        <v>20</v>
      </c>
      <c r="T454" s="18">
        <v>20</v>
      </c>
      <c r="U454" s="15" t="s">
        <v>18</v>
      </c>
      <c r="V454" s="25" t="s">
        <v>318</v>
      </c>
      <c r="X454" s="62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</row>
    <row r="455" spans="1:46" x14ac:dyDescent="0.35">
      <c r="A455" s="30">
        <v>2</v>
      </c>
      <c r="B455" s="29">
        <f t="shared" ref="B455:B460" si="188">$S455-SUM(C455:J455)</f>
        <v>14.84</v>
      </c>
      <c r="C455" s="28">
        <v>0.8</v>
      </c>
      <c r="D455" s="28">
        <v>0.36</v>
      </c>
      <c r="E455" s="28"/>
      <c r="F455" s="28">
        <v>2</v>
      </c>
      <c r="G455" s="28"/>
      <c r="H455" s="28">
        <v>2</v>
      </c>
      <c r="I455" s="28"/>
      <c r="J455" s="28"/>
      <c r="L455">
        <v>1</v>
      </c>
      <c r="O455" s="15">
        <v>10</v>
      </c>
      <c r="P455" s="29">
        <f t="shared" ref="P455:P459" si="189">T455-SUM(K455:O455)-Q455</f>
        <v>9</v>
      </c>
      <c r="Q455" s="28"/>
      <c r="R455" s="57">
        <f t="shared" ref="R455:R460" si="190">S455+T455</f>
        <v>40</v>
      </c>
      <c r="S455" s="18">
        <v>20</v>
      </c>
      <c r="T455" s="18">
        <v>20</v>
      </c>
      <c r="U455" s="15" t="s">
        <v>27</v>
      </c>
      <c r="V455" s="25" t="s">
        <v>318</v>
      </c>
      <c r="X455" s="63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</row>
    <row r="456" spans="1:46" x14ac:dyDescent="0.35">
      <c r="A456" s="30">
        <v>3</v>
      </c>
      <c r="B456" s="29">
        <f t="shared" si="188"/>
        <v>16.84</v>
      </c>
      <c r="C456" s="28">
        <v>0.8</v>
      </c>
      <c r="D456" s="28">
        <v>0.36</v>
      </c>
      <c r="E456" s="28"/>
      <c r="F456" s="28">
        <v>2</v>
      </c>
      <c r="G456" s="28"/>
      <c r="H456" s="28"/>
      <c r="I456" s="28"/>
      <c r="J456" s="28"/>
      <c r="K456" s="28">
        <v>1</v>
      </c>
      <c r="O456" s="15">
        <v>10</v>
      </c>
      <c r="P456" s="29">
        <f t="shared" si="189"/>
        <v>9</v>
      </c>
      <c r="Q456" s="28"/>
      <c r="R456" s="57">
        <f t="shared" si="190"/>
        <v>40</v>
      </c>
      <c r="S456" s="18">
        <v>20</v>
      </c>
      <c r="T456" s="18">
        <v>20</v>
      </c>
      <c r="U456" s="15" t="s">
        <v>27</v>
      </c>
      <c r="V456" s="25" t="s">
        <v>317</v>
      </c>
      <c r="X456" s="63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</row>
    <row r="457" spans="1:46" x14ac:dyDescent="0.35">
      <c r="A457" s="30">
        <v>4</v>
      </c>
      <c r="B457" s="29">
        <f t="shared" si="188"/>
        <v>16.84</v>
      </c>
      <c r="C457" s="28">
        <v>0.8</v>
      </c>
      <c r="D457" s="28">
        <v>0.36</v>
      </c>
      <c r="E457" s="28"/>
      <c r="F457" s="28">
        <v>2</v>
      </c>
      <c r="G457" s="28"/>
      <c r="H457" s="28"/>
      <c r="I457" s="28"/>
      <c r="J457" s="28"/>
      <c r="K457" s="28"/>
      <c r="L457" s="28">
        <v>1</v>
      </c>
      <c r="O457" s="15">
        <v>10</v>
      </c>
      <c r="P457" s="29">
        <f t="shared" si="189"/>
        <v>9</v>
      </c>
      <c r="Q457" s="28"/>
      <c r="R457" s="57">
        <f t="shared" si="190"/>
        <v>40</v>
      </c>
      <c r="S457" s="18">
        <v>20</v>
      </c>
      <c r="T457" s="18">
        <v>20</v>
      </c>
      <c r="U457" s="15" t="s">
        <v>27</v>
      </c>
      <c r="V457" s="25" t="s">
        <v>317</v>
      </c>
      <c r="X457" s="63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</row>
    <row r="458" spans="1:46" x14ac:dyDescent="0.35">
      <c r="A458" s="30">
        <v>5</v>
      </c>
      <c r="B458" s="29">
        <f t="shared" si="188"/>
        <v>14.84</v>
      </c>
      <c r="C458" s="28">
        <v>0.8</v>
      </c>
      <c r="D458" s="28">
        <v>0.36</v>
      </c>
      <c r="E458" s="28"/>
      <c r="F458" s="28">
        <v>2</v>
      </c>
      <c r="G458" s="28"/>
      <c r="H458" s="28">
        <v>2</v>
      </c>
      <c r="I458" s="28"/>
      <c r="J458" s="28"/>
      <c r="K458" s="28"/>
      <c r="M458">
        <v>1</v>
      </c>
      <c r="O458" s="15">
        <v>10</v>
      </c>
      <c r="P458" s="29">
        <f t="shared" si="189"/>
        <v>9</v>
      </c>
      <c r="Q458" s="28"/>
      <c r="R458" s="57">
        <f t="shared" si="190"/>
        <v>40</v>
      </c>
      <c r="S458" s="18">
        <v>20</v>
      </c>
      <c r="T458" s="18">
        <v>20</v>
      </c>
      <c r="U458" s="15" t="s">
        <v>18</v>
      </c>
      <c r="V458" s="25" t="s">
        <v>319</v>
      </c>
      <c r="X458" s="63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</row>
    <row r="459" spans="1:46" x14ac:dyDescent="0.35">
      <c r="A459" s="30">
        <v>6</v>
      </c>
      <c r="B459" s="29">
        <f t="shared" si="188"/>
        <v>14.84</v>
      </c>
      <c r="C459" s="28">
        <v>0.8</v>
      </c>
      <c r="D459" s="28">
        <v>0.36</v>
      </c>
      <c r="E459" s="28"/>
      <c r="F459" s="28">
        <v>2</v>
      </c>
      <c r="G459" s="28"/>
      <c r="H459" s="28">
        <v>2</v>
      </c>
      <c r="I459" s="28"/>
      <c r="J459" s="28"/>
      <c r="K459" s="28"/>
      <c r="L459" s="28"/>
      <c r="N459">
        <v>1</v>
      </c>
      <c r="O459" s="15">
        <v>10</v>
      </c>
      <c r="P459" s="29">
        <f t="shared" si="189"/>
        <v>9</v>
      </c>
      <c r="Q459" s="28"/>
      <c r="R459" s="57">
        <f t="shared" si="190"/>
        <v>40</v>
      </c>
      <c r="S459" s="18">
        <v>20</v>
      </c>
      <c r="T459" s="18">
        <v>20</v>
      </c>
      <c r="U459" s="15" t="s">
        <v>27</v>
      </c>
      <c r="V459" s="25" t="s">
        <v>319</v>
      </c>
      <c r="X459" s="63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</row>
    <row r="460" spans="1:46" x14ac:dyDescent="0.35">
      <c r="A460" s="30">
        <v>7</v>
      </c>
      <c r="B460" s="29">
        <f t="shared" si="188"/>
        <v>6.84</v>
      </c>
      <c r="C460" s="28">
        <v>0.8</v>
      </c>
      <c r="D460" s="28">
        <v>0.36</v>
      </c>
      <c r="E460" s="28"/>
      <c r="F460" s="28">
        <v>2</v>
      </c>
      <c r="G460" s="28">
        <v>10</v>
      </c>
      <c r="H460" s="28"/>
      <c r="I460" s="28"/>
      <c r="J460" s="28"/>
      <c r="O460" s="15"/>
      <c r="P460" s="29">
        <f>T460-SUM(K460:O460)-Q460</f>
        <v>19.5</v>
      </c>
      <c r="Q460" s="28">
        <v>0.5</v>
      </c>
      <c r="R460" s="57">
        <f t="shared" si="190"/>
        <v>40</v>
      </c>
      <c r="S460" s="18">
        <v>20</v>
      </c>
      <c r="T460" s="18">
        <v>20</v>
      </c>
      <c r="U460" s="15" t="s">
        <v>18</v>
      </c>
      <c r="V460" s="38" t="s">
        <v>230</v>
      </c>
      <c r="X460" s="63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</row>
    <row r="461" spans="1:46" x14ac:dyDescent="0.35">
      <c r="A461" s="30">
        <v>8</v>
      </c>
      <c r="B461" s="29"/>
      <c r="C461" s="28"/>
      <c r="D461" s="28"/>
      <c r="E461" s="28"/>
      <c r="F461" s="28"/>
      <c r="G461" s="28"/>
      <c r="H461" s="28"/>
      <c r="I461" s="28"/>
      <c r="J461" s="28"/>
      <c r="O461" s="15"/>
      <c r="P461" s="29"/>
      <c r="Q461" s="28"/>
      <c r="R461" s="57"/>
      <c r="S461" s="18"/>
      <c r="T461" s="18"/>
      <c r="U461" s="15"/>
      <c r="V461" s="38"/>
      <c r="X461" s="63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</row>
    <row r="463" spans="1:46" x14ac:dyDescent="0.35">
      <c r="A463" t="s">
        <v>93</v>
      </c>
      <c r="B463">
        <f>3*1.15</f>
        <v>3.4499999999999997</v>
      </c>
    </row>
    <row r="465" spans="1:17" x14ac:dyDescent="0.35">
      <c r="A465" s="80">
        <f>A454</f>
        <v>1</v>
      </c>
      <c r="B465" s="83">
        <f>IF(B454*$B$463&gt;0,B454*$B$463,"")</f>
        <v>51.197999999999993</v>
      </c>
      <c r="C465" s="83">
        <f t="shared" ref="C465:Q465" si="191">IF(C454*$B$463&gt;0,C454*$B$463,"")</f>
        <v>2.76</v>
      </c>
      <c r="D465" s="83">
        <f t="shared" si="191"/>
        <v>1.2419999999999998</v>
      </c>
      <c r="E465" s="83" t="str">
        <f t="shared" si="191"/>
        <v/>
      </c>
      <c r="F465" s="83">
        <f t="shared" si="191"/>
        <v>6.8999999999999995</v>
      </c>
      <c r="G465" s="83" t="str">
        <f t="shared" si="191"/>
        <v/>
      </c>
      <c r="H465" s="83">
        <f t="shared" si="191"/>
        <v>6.8999999999999995</v>
      </c>
      <c r="I465" s="83" t="str">
        <f t="shared" si="191"/>
        <v/>
      </c>
      <c r="J465" s="83" t="str">
        <f t="shared" si="191"/>
        <v/>
      </c>
      <c r="K465" s="83">
        <f t="shared" si="191"/>
        <v>3.4499999999999997</v>
      </c>
      <c r="L465" s="83" t="str">
        <f t="shared" si="191"/>
        <v/>
      </c>
      <c r="M465" s="83" t="str">
        <f t="shared" si="191"/>
        <v/>
      </c>
      <c r="N465" s="83" t="str">
        <f t="shared" si="191"/>
        <v/>
      </c>
      <c r="O465" s="83">
        <f t="shared" si="191"/>
        <v>34.5</v>
      </c>
      <c r="P465" s="83">
        <f t="shared" si="191"/>
        <v>31.049999999999997</v>
      </c>
      <c r="Q465" s="83" t="str">
        <f t="shared" si="191"/>
        <v/>
      </c>
    </row>
    <row r="466" spans="1:17" x14ac:dyDescent="0.35">
      <c r="A466" s="81">
        <f t="shared" ref="A466" si="192">A455</f>
        <v>2</v>
      </c>
      <c r="B466" s="83">
        <f t="shared" ref="B466:Q472" si="193">IF(B455*$B$463&gt;0,B455*$B$463,"")</f>
        <v>51.197999999999993</v>
      </c>
      <c r="C466" s="83">
        <f t="shared" si="193"/>
        <v>2.76</v>
      </c>
      <c r="D466" s="83">
        <f t="shared" si="193"/>
        <v>1.2419999999999998</v>
      </c>
      <c r="E466" s="83" t="str">
        <f t="shared" si="193"/>
        <v/>
      </c>
      <c r="F466" s="83">
        <f t="shared" si="193"/>
        <v>6.8999999999999995</v>
      </c>
      <c r="G466" s="83" t="str">
        <f t="shared" si="193"/>
        <v/>
      </c>
      <c r="H466" s="83">
        <f t="shared" si="193"/>
        <v>6.8999999999999995</v>
      </c>
      <c r="I466" s="83" t="str">
        <f t="shared" si="193"/>
        <v/>
      </c>
      <c r="J466" s="83" t="str">
        <f t="shared" si="193"/>
        <v/>
      </c>
      <c r="K466" s="83" t="str">
        <f t="shared" si="193"/>
        <v/>
      </c>
      <c r="L466" s="83">
        <f t="shared" si="193"/>
        <v>3.4499999999999997</v>
      </c>
      <c r="M466" s="83" t="str">
        <f t="shared" si="193"/>
        <v/>
      </c>
      <c r="N466" s="83" t="str">
        <f t="shared" si="193"/>
        <v/>
      </c>
      <c r="O466" s="83">
        <f t="shared" si="193"/>
        <v>34.5</v>
      </c>
      <c r="P466" s="83">
        <f t="shared" si="193"/>
        <v>31.049999999999997</v>
      </c>
      <c r="Q466" s="83" t="str">
        <f t="shared" si="193"/>
        <v/>
      </c>
    </row>
    <row r="467" spans="1:17" x14ac:dyDescent="0.35">
      <c r="A467" s="81">
        <f t="shared" ref="A467" si="194">A456</f>
        <v>3</v>
      </c>
      <c r="B467" s="83">
        <f t="shared" si="193"/>
        <v>58.097999999999992</v>
      </c>
      <c r="C467" s="83">
        <f t="shared" si="193"/>
        <v>2.76</v>
      </c>
      <c r="D467" s="83">
        <f t="shared" si="193"/>
        <v>1.2419999999999998</v>
      </c>
      <c r="E467" s="83" t="str">
        <f t="shared" si="193"/>
        <v/>
      </c>
      <c r="F467" s="83">
        <f t="shared" si="193"/>
        <v>6.8999999999999995</v>
      </c>
      <c r="G467" s="83" t="str">
        <f t="shared" si="193"/>
        <v/>
      </c>
      <c r="H467" s="83" t="str">
        <f t="shared" si="193"/>
        <v/>
      </c>
      <c r="I467" s="83" t="str">
        <f t="shared" si="193"/>
        <v/>
      </c>
      <c r="J467" s="83" t="str">
        <f t="shared" si="193"/>
        <v/>
      </c>
      <c r="K467" s="83">
        <f t="shared" si="193"/>
        <v>3.4499999999999997</v>
      </c>
      <c r="L467" s="83" t="str">
        <f t="shared" si="193"/>
        <v/>
      </c>
      <c r="M467" s="83" t="str">
        <f t="shared" si="193"/>
        <v/>
      </c>
      <c r="N467" s="83" t="str">
        <f t="shared" si="193"/>
        <v/>
      </c>
      <c r="O467" s="83">
        <f t="shared" si="193"/>
        <v>34.5</v>
      </c>
      <c r="P467" s="83">
        <f t="shared" si="193"/>
        <v>31.049999999999997</v>
      </c>
      <c r="Q467" s="83" t="str">
        <f t="shared" si="193"/>
        <v/>
      </c>
    </row>
    <row r="468" spans="1:17" x14ac:dyDescent="0.35">
      <c r="A468" s="81">
        <f t="shared" ref="A468" si="195">A457</f>
        <v>4</v>
      </c>
      <c r="B468" s="83">
        <f t="shared" si="193"/>
        <v>58.097999999999992</v>
      </c>
      <c r="C468" s="83">
        <f t="shared" si="193"/>
        <v>2.76</v>
      </c>
      <c r="D468" s="83">
        <f t="shared" si="193"/>
        <v>1.2419999999999998</v>
      </c>
      <c r="E468" s="83" t="str">
        <f t="shared" si="193"/>
        <v/>
      </c>
      <c r="F468" s="83">
        <f t="shared" si="193"/>
        <v>6.8999999999999995</v>
      </c>
      <c r="G468" s="83" t="str">
        <f t="shared" si="193"/>
        <v/>
      </c>
      <c r="H468" s="83" t="str">
        <f t="shared" si="193"/>
        <v/>
      </c>
      <c r="I468" s="83" t="str">
        <f t="shared" si="193"/>
        <v/>
      </c>
      <c r="J468" s="83" t="str">
        <f t="shared" si="193"/>
        <v/>
      </c>
      <c r="K468" s="83" t="str">
        <f t="shared" si="193"/>
        <v/>
      </c>
      <c r="L468" s="83">
        <f t="shared" si="193"/>
        <v>3.4499999999999997</v>
      </c>
      <c r="M468" s="83" t="str">
        <f t="shared" si="193"/>
        <v/>
      </c>
      <c r="N468" s="83" t="str">
        <f t="shared" si="193"/>
        <v/>
      </c>
      <c r="O468" s="83">
        <f t="shared" si="193"/>
        <v>34.5</v>
      </c>
      <c r="P468" s="83">
        <f t="shared" si="193"/>
        <v>31.049999999999997</v>
      </c>
      <c r="Q468" s="83" t="str">
        <f t="shared" si="193"/>
        <v/>
      </c>
    </row>
    <row r="469" spans="1:17" x14ac:dyDescent="0.35">
      <c r="A469" s="81">
        <f t="shared" ref="A469" si="196">A458</f>
        <v>5</v>
      </c>
      <c r="B469" s="83">
        <f t="shared" si="193"/>
        <v>51.197999999999993</v>
      </c>
      <c r="C469" s="83">
        <f t="shared" si="193"/>
        <v>2.76</v>
      </c>
      <c r="D469" s="83">
        <f t="shared" si="193"/>
        <v>1.2419999999999998</v>
      </c>
      <c r="E469" s="83" t="str">
        <f t="shared" si="193"/>
        <v/>
      </c>
      <c r="F469" s="83">
        <f t="shared" si="193"/>
        <v>6.8999999999999995</v>
      </c>
      <c r="G469" s="83" t="str">
        <f t="shared" si="193"/>
        <v/>
      </c>
      <c r="H469" s="83">
        <f t="shared" si="193"/>
        <v>6.8999999999999995</v>
      </c>
      <c r="I469" s="83" t="str">
        <f t="shared" si="193"/>
        <v/>
      </c>
      <c r="J469" s="83" t="str">
        <f t="shared" si="193"/>
        <v/>
      </c>
      <c r="K469" s="83" t="str">
        <f t="shared" si="193"/>
        <v/>
      </c>
      <c r="L469" s="83" t="str">
        <f t="shared" si="193"/>
        <v/>
      </c>
      <c r="M469" s="83">
        <f t="shared" si="193"/>
        <v>3.4499999999999997</v>
      </c>
      <c r="N469" s="83" t="str">
        <f t="shared" si="193"/>
        <v/>
      </c>
      <c r="O469" s="83">
        <f t="shared" si="193"/>
        <v>34.5</v>
      </c>
      <c r="P469" s="83">
        <f t="shared" si="193"/>
        <v>31.049999999999997</v>
      </c>
      <c r="Q469" s="83" t="str">
        <f t="shared" si="193"/>
        <v/>
      </c>
    </row>
    <row r="470" spans="1:17" x14ac:dyDescent="0.35">
      <c r="A470" s="81">
        <f t="shared" ref="A470" si="197">A459</f>
        <v>6</v>
      </c>
      <c r="B470" s="83">
        <f t="shared" si="193"/>
        <v>51.197999999999993</v>
      </c>
      <c r="C470" s="83">
        <f t="shared" si="193"/>
        <v>2.76</v>
      </c>
      <c r="D470" s="83">
        <f t="shared" si="193"/>
        <v>1.2419999999999998</v>
      </c>
      <c r="E470" s="83" t="str">
        <f t="shared" si="193"/>
        <v/>
      </c>
      <c r="F470" s="83">
        <f t="shared" si="193"/>
        <v>6.8999999999999995</v>
      </c>
      <c r="G470" s="83" t="str">
        <f t="shared" si="193"/>
        <v/>
      </c>
      <c r="H470" s="83">
        <f t="shared" si="193"/>
        <v>6.8999999999999995</v>
      </c>
      <c r="I470" s="83" t="str">
        <f t="shared" si="193"/>
        <v/>
      </c>
      <c r="J470" s="83" t="str">
        <f t="shared" si="193"/>
        <v/>
      </c>
      <c r="K470" s="83" t="str">
        <f t="shared" si="193"/>
        <v/>
      </c>
      <c r="L470" s="83" t="str">
        <f t="shared" si="193"/>
        <v/>
      </c>
      <c r="M470" s="83" t="str">
        <f t="shared" si="193"/>
        <v/>
      </c>
      <c r="N470" s="83">
        <f t="shared" si="193"/>
        <v>3.4499999999999997</v>
      </c>
      <c r="O470" s="83">
        <f t="shared" si="193"/>
        <v>34.5</v>
      </c>
      <c r="P470" s="83">
        <f t="shared" si="193"/>
        <v>31.049999999999997</v>
      </c>
      <c r="Q470" s="83" t="str">
        <f t="shared" si="193"/>
        <v/>
      </c>
    </row>
    <row r="471" spans="1:17" x14ac:dyDescent="0.35">
      <c r="A471" s="81">
        <f t="shared" ref="A471" si="198">A460</f>
        <v>7</v>
      </c>
      <c r="B471" s="83">
        <f t="shared" si="193"/>
        <v>23.597999999999999</v>
      </c>
      <c r="C471" s="83">
        <f t="shared" si="193"/>
        <v>2.76</v>
      </c>
      <c r="D471" s="83">
        <f t="shared" si="193"/>
        <v>1.2419999999999998</v>
      </c>
      <c r="E471" s="83" t="str">
        <f t="shared" si="193"/>
        <v/>
      </c>
      <c r="F471" s="83">
        <f t="shared" si="193"/>
        <v>6.8999999999999995</v>
      </c>
      <c r="G471" s="83">
        <f t="shared" si="193"/>
        <v>34.5</v>
      </c>
      <c r="H471" s="83" t="str">
        <f t="shared" si="193"/>
        <v/>
      </c>
      <c r="I471" s="83" t="str">
        <f t="shared" si="193"/>
        <v/>
      </c>
      <c r="J471" s="83" t="str">
        <f t="shared" si="193"/>
        <v/>
      </c>
      <c r="K471" s="83" t="str">
        <f t="shared" si="193"/>
        <v/>
      </c>
      <c r="L471" s="83" t="str">
        <f t="shared" si="193"/>
        <v/>
      </c>
      <c r="M471" s="83" t="str">
        <f t="shared" si="193"/>
        <v/>
      </c>
      <c r="N471" s="83" t="str">
        <f t="shared" si="193"/>
        <v/>
      </c>
      <c r="O471" s="83" t="str">
        <f t="shared" si="193"/>
        <v/>
      </c>
      <c r="P471" s="83">
        <f t="shared" si="193"/>
        <v>67.274999999999991</v>
      </c>
      <c r="Q471" s="83">
        <f t="shared" si="193"/>
        <v>1.7249999999999999</v>
      </c>
    </row>
    <row r="472" spans="1:17" x14ac:dyDescent="0.35">
      <c r="A472" s="82">
        <f t="shared" ref="A472" si="199">A461</f>
        <v>8</v>
      </c>
      <c r="B472" s="83" t="str">
        <f t="shared" si="193"/>
        <v/>
      </c>
      <c r="C472" s="83" t="str">
        <f t="shared" si="193"/>
        <v/>
      </c>
      <c r="D472" s="83" t="str">
        <f t="shared" si="193"/>
        <v/>
      </c>
      <c r="E472" s="83" t="str">
        <f t="shared" si="193"/>
        <v/>
      </c>
      <c r="F472" s="83" t="str">
        <f t="shared" si="193"/>
        <v/>
      </c>
      <c r="G472" s="83" t="str">
        <f t="shared" si="193"/>
        <v/>
      </c>
      <c r="H472" s="83" t="str">
        <f t="shared" si="193"/>
        <v/>
      </c>
      <c r="I472" s="83" t="str">
        <f t="shared" si="193"/>
        <v/>
      </c>
      <c r="J472" s="83" t="str">
        <f t="shared" si="193"/>
        <v/>
      </c>
      <c r="K472" s="83" t="str">
        <f t="shared" si="193"/>
        <v/>
      </c>
      <c r="L472" s="83" t="str">
        <f t="shared" si="193"/>
        <v/>
      </c>
      <c r="M472" s="83" t="str">
        <f t="shared" si="193"/>
        <v/>
      </c>
      <c r="N472" s="83" t="str">
        <f t="shared" si="193"/>
        <v/>
      </c>
      <c r="O472" s="83" t="str">
        <f t="shared" si="193"/>
        <v/>
      </c>
      <c r="P472" s="83" t="str">
        <f t="shared" si="193"/>
        <v/>
      </c>
      <c r="Q472" s="83" t="str">
        <f t="shared" si="193"/>
        <v/>
      </c>
    </row>
    <row r="478" spans="1:17" ht="21" x14ac:dyDescent="0.35">
      <c r="A478" s="13" t="s">
        <v>333</v>
      </c>
      <c r="B478" s="14"/>
      <c r="C478" s="14"/>
      <c r="D478" s="14"/>
      <c r="E478" s="14"/>
      <c r="F478" s="14"/>
      <c r="G478" s="14"/>
      <c r="H478" s="14"/>
      <c r="I478" s="14"/>
      <c r="J478" s="14"/>
      <c r="K478" s="15"/>
      <c r="L478" s="15"/>
      <c r="M478" s="15"/>
      <c r="N478" s="15"/>
    </row>
    <row r="479" spans="1:17" ht="15.5" x14ac:dyDescent="0.35">
      <c r="A479" s="50" t="s">
        <v>186</v>
      </c>
      <c r="B479" s="14"/>
      <c r="C479" s="14"/>
      <c r="D479" s="14"/>
      <c r="E479" s="14"/>
      <c r="F479" s="14"/>
      <c r="G479" s="14"/>
      <c r="H479" s="14"/>
      <c r="I479" s="14"/>
      <c r="J479" s="14"/>
      <c r="K479" s="15"/>
      <c r="L479" s="15"/>
      <c r="M479" s="15"/>
      <c r="N479" s="15"/>
    </row>
    <row r="480" spans="1:17" x14ac:dyDescent="0.35">
      <c r="A480" t="s">
        <v>323</v>
      </c>
      <c r="B480" s="14"/>
      <c r="C480" s="14"/>
      <c r="D480" s="14"/>
      <c r="E480" s="14"/>
      <c r="F480" s="14"/>
      <c r="G480" s="14"/>
      <c r="H480" s="14"/>
      <c r="I480" s="14"/>
      <c r="J480" s="14"/>
      <c r="K480" s="15"/>
      <c r="L480" s="15"/>
      <c r="M480" s="15"/>
      <c r="N480" s="15"/>
    </row>
    <row r="481" spans="1:22" ht="15.5" x14ac:dyDescent="0.35">
      <c r="A481" s="47"/>
      <c r="B481" s="14"/>
      <c r="C481" s="14"/>
      <c r="D481" s="14"/>
      <c r="E481" s="14"/>
      <c r="F481" s="14"/>
      <c r="G481" s="14"/>
      <c r="H481" s="14"/>
      <c r="I481" s="14"/>
      <c r="J481" s="14"/>
      <c r="K481" s="15"/>
      <c r="L481" s="15"/>
      <c r="M481" s="15"/>
      <c r="N481" s="15"/>
    </row>
    <row r="482" spans="1:22" x14ac:dyDescent="0.35">
      <c r="A482" s="26" t="s">
        <v>79</v>
      </c>
      <c r="B482" s="14"/>
      <c r="C482" s="14"/>
      <c r="D482" s="14"/>
      <c r="E482" s="14"/>
      <c r="F482" s="14"/>
      <c r="G482" s="14"/>
      <c r="H482" s="14"/>
      <c r="I482" s="14"/>
      <c r="J482" s="14"/>
      <c r="K482" s="15"/>
      <c r="L482" s="15"/>
      <c r="M482" s="15"/>
      <c r="N482" s="15"/>
    </row>
    <row r="483" spans="1:22" x14ac:dyDescent="0.35">
      <c r="A483" s="26" t="s">
        <v>279</v>
      </c>
      <c r="B483" s="26" t="s">
        <v>78</v>
      </c>
      <c r="C483" s="42" t="s">
        <v>286</v>
      </c>
      <c r="D483" s="42" t="s">
        <v>285</v>
      </c>
      <c r="E483" s="43"/>
      <c r="F483" s="43"/>
      <c r="G483" s="43"/>
      <c r="H483" s="43"/>
      <c r="I483" s="44"/>
      <c r="J483" s="14"/>
      <c r="K483" s="15"/>
      <c r="L483" s="15"/>
      <c r="M483" s="15"/>
      <c r="N483" s="15"/>
    </row>
    <row r="484" spans="1:22" x14ac:dyDescent="0.35">
      <c r="A484" t="s">
        <v>49</v>
      </c>
      <c r="D484" s="14"/>
      <c r="E484" s="14"/>
      <c r="F484" s="14"/>
      <c r="G484" s="14"/>
      <c r="H484" s="14"/>
      <c r="I484" s="14"/>
      <c r="J484" s="14"/>
      <c r="K484" s="14"/>
      <c r="L484" s="15"/>
      <c r="M484" s="15"/>
      <c r="N484" s="15"/>
      <c r="O484" s="15"/>
    </row>
    <row r="485" spans="1:22" x14ac:dyDescent="0.35">
      <c r="A485" t="s">
        <v>39</v>
      </c>
      <c r="B485" s="24" t="s">
        <v>84</v>
      </c>
      <c r="C485" s="24"/>
      <c r="D485" s="14" t="s">
        <v>280</v>
      </c>
      <c r="E485" s="14"/>
      <c r="F485" s="14"/>
      <c r="G485" s="14"/>
      <c r="H485" s="14"/>
      <c r="I485" s="14"/>
      <c r="J485" s="14"/>
      <c r="K485" s="14"/>
      <c r="L485" s="15"/>
      <c r="M485" s="15"/>
      <c r="N485" s="15"/>
      <c r="O485" s="15"/>
    </row>
    <row r="486" spans="1:22" x14ac:dyDescent="0.35">
      <c r="B486" s="24"/>
      <c r="C486" s="24"/>
      <c r="D486" s="14"/>
      <c r="E486" s="14"/>
      <c r="F486" s="14"/>
      <c r="G486" s="14"/>
      <c r="H486" s="14"/>
      <c r="I486" s="14"/>
      <c r="J486" s="14"/>
      <c r="K486" s="14"/>
      <c r="L486" s="15"/>
      <c r="M486" s="15"/>
      <c r="N486" s="15"/>
      <c r="O486" s="15"/>
    </row>
    <row r="487" spans="1:22" x14ac:dyDescent="0.35">
      <c r="B487" s="24"/>
      <c r="C487" s="24"/>
      <c r="D487" s="14"/>
      <c r="E487" s="14"/>
      <c r="F487" s="14"/>
      <c r="G487" s="14"/>
      <c r="H487" s="14"/>
      <c r="I487" s="14"/>
      <c r="J487" s="14"/>
      <c r="K487" s="14"/>
      <c r="L487" s="15"/>
      <c r="M487" s="15"/>
      <c r="N487" s="15"/>
      <c r="O487" s="15"/>
    </row>
    <row r="488" spans="1:22" x14ac:dyDescent="0.35">
      <c r="A488" s="24" t="s">
        <v>72</v>
      </c>
      <c r="B488" s="14" t="s">
        <v>259</v>
      </c>
      <c r="C488" s="40"/>
      <c r="D488" s="14" t="s">
        <v>287</v>
      </c>
      <c r="E488" s="14" t="s">
        <v>320</v>
      </c>
      <c r="F488" s="14"/>
      <c r="G488" s="14"/>
      <c r="H488" s="14"/>
      <c r="K488" s="15"/>
      <c r="M488" s="15"/>
      <c r="N488" s="15"/>
      <c r="O488" s="15"/>
    </row>
    <row r="489" spans="1:22" x14ac:dyDescent="0.35">
      <c r="A489" s="24" t="s">
        <v>80</v>
      </c>
      <c r="C489" s="33" t="s">
        <v>151</v>
      </c>
      <c r="E489" s="14" t="s">
        <v>108</v>
      </c>
      <c r="G489" s="14"/>
      <c r="H489" s="14"/>
      <c r="L489" s="15"/>
      <c r="M489" s="15"/>
      <c r="N489" s="15"/>
      <c r="O489" s="15"/>
    </row>
    <row r="490" spans="1:22" x14ac:dyDescent="0.35">
      <c r="A490" s="33"/>
      <c r="B490" s="17"/>
      <c r="C490" s="33"/>
      <c r="D490" s="14"/>
      <c r="E490" s="40"/>
      <c r="G490" s="14"/>
      <c r="H490" s="14"/>
      <c r="I490" s="14"/>
      <c r="J490" s="14"/>
      <c r="L490" s="15"/>
      <c r="M490" s="15"/>
      <c r="N490" s="15"/>
      <c r="O490" s="15"/>
    </row>
    <row r="491" spans="1:22" x14ac:dyDescent="0.35">
      <c r="A491" s="33" t="s">
        <v>300</v>
      </c>
      <c r="B491" s="17"/>
      <c r="C491" s="33" t="s">
        <v>302</v>
      </c>
      <c r="D491" s="14" t="s">
        <v>301</v>
      </c>
      <c r="E491" s="40"/>
      <c r="G491" s="14"/>
      <c r="H491" s="14"/>
      <c r="I491" s="14"/>
      <c r="J491" s="14"/>
      <c r="L491" s="15"/>
      <c r="M491" s="15"/>
      <c r="N491" s="15"/>
      <c r="O491" s="15"/>
    </row>
    <row r="492" spans="1:22" ht="43.5" x14ac:dyDescent="0.35">
      <c r="A492" s="33" t="s">
        <v>297</v>
      </c>
      <c r="B492" s="17" t="s">
        <v>131</v>
      </c>
      <c r="D492" t="s">
        <v>132</v>
      </c>
      <c r="M492" s="15"/>
      <c r="N492" s="15"/>
      <c r="O492" s="15"/>
    </row>
    <row r="493" spans="1:22" x14ac:dyDescent="0.35">
      <c r="A493" s="33" t="s">
        <v>298</v>
      </c>
      <c r="B493" s="51" t="s">
        <v>241</v>
      </c>
      <c r="C493" s="14"/>
      <c r="D493" s="14"/>
      <c r="E493" t="s">
        <v>244</v>
      </c>
      <c r="F493">
        <f>2400/0.1</f>
        <v>24000</v>
      </c>
      <c r="G493" t="s">
        <v>263</v>
      </c>
      <c r="J493" t="s">
        <v>245</v>
      </c>
      <c r="K493" t="s">
        <v>246</v>
      </c>
      <c r="O493">
        <f>(0.1/53000)*1000000</f>
        <v>1.8867924528301889</v>
      </c>
      <c r="P493" s="56" t="s">
        <v>148</v>
      </c>
      <c r="Q493">
        <f>O493/50</f>
        <v>3.7735849056603779E-2</v>
      </c>
      <c r="R493" s="55" t="s">
        <v>243</v>
      </c>
      <c r="S493" s="55" t="s">
        <v>149</v>
      </c>
      <c r="V493" s="64"/>
    </row>
    <row r="494" spans="1:22" x14ac:dyDescent="0.35">
      <c r="A494" s="33" t="s">
        <v>299</v>
      </c>
      <c r="B494" s="51" t="s">
        <v>242</v>
      </c>
      <c r="C494" s="14"/>
      <c r="D494" s="14"/>
      <c r="E494" t="s">
        <v>244</v>
      </c>
      <c r="F494">
        <f>1200/0.1</f>
        <v>12000</v>
      </c>
      <c r="G494" t="s">
        <v>264</v>
      </c>
      <c r="J494" t="s">
        <v>245</v>
      </c>
      <c r="P494" s="56"/>
      <c r="R494" s="55"/>
      <c r="S494" s="55"/>
    </row>
    <row r="495" spans="1:22" x14ac:dyDescent="0.35">
      <c r="A495" s="33"/>
      <c r="B495" s="51"/>
      <c r="C495" s="14"/>
      <c r="D495" s="14"/>
      <c r="P495" s="56"/>
      <c r="R495" s="55"/>
      <c r="S495" s="55"/>
    </row>
    <row r="496" spans="1:22" x14ac:dyDescent="0.35">
      <c r="A496" s="26" t="s">
        <v>339</v>
      </c>
      <c r="B496" s="51"/>
      <c r="C496" s="14"/>
      <c r="D496" s="14"/>
      <c r="O496" s="15"/>
      <c r="P496" s="15"/>
    </row>
    <row r="497" spans="1:22" x14ac:dyDescent="0.35">
      <c r="A497" s="33" t="s">
        <v>324</v>
      </c>
      <c r="B497" s="51" t="s">
        <v>87</v>
      </c>
      <c r="C497" s="14" t="s">
        <v>325</v>
      </c>
      <c r="D497" s="14" t="s">
        <v>326</v>
      </c>
      <c r="E497" t="s">
        <v>327</v>
      </c>
      <c r="F497" t="s">
        <v>329</v>
      </c>
      <c r="O497" s="15"/>
      <c r="P497" s="15"/>
    </row>
    <row r="498" spans="1:22" x14ac:dyDescent="0.35">
      <c r="B498" s="51">
        <v>2.4</v>
      </c>
      <c r="C498" s="14">
        <v>240</v>
      </c>
      <c r="D498" s="14">
        <f>B498/53000</f>
        <v>4.528301886792453E-5</v>
      </c>
      <c r="E498">
        <f>D498*1000000</f>
        <v>45.283018867924532</v>
      </c>
      <c r="F498">
        <f>E498/40</f>
        <v>1.1320754716981134</v>
      </c>
      <c r="G498" s="84">
        <f>F498</f>
        <v>1.1320754716981134</v>
      </c>
      <c r="H498" t="s">
        <v>330</v>
      </c>
      <c r="O498" s="15"/>
      <c r="P498" s="15"/>
    </row>
    <row r="499" spans="1:22" x14ac:dyDescent="0.35">
      <c r="A499" s="30">
        <v>1</v>
      </c>
      <c r="B499" s="51">
        <f>B498/C498</f>
        <v>0.01</v>
      </c>
      <c r="C499" s="14">
        <v>10</v>
      </c>
      <c r="D499" s="14">
        <f t="shared" ref="D499:D501" si="200">B499/53000</f>
        <v>1.8867924528301886E-7</v>
      </c>
      <c r="E499">
        <f t="shared" ref="E499:E503" si="201">D499*1000000</f>
        <v>0.18867924528301885</v>
      </c>
      <c r="F499">
        <f t="shared" ref="F499:F503" si="202">E499/40</f>
        <v>4.7169811320754715E-3</v>
      </c>
      <c r="G499" s="84">
        <f>F499*1000</f>
        <v>4.7169811320754711</v>
      </c>
      <c r="H499" t="s">
        <v>149</v>
      </c>
      <c r="O499" s="15"/>
      <c r="P499" s="15"/>
    </row>
    <row r="500" spans="1:22" x14ac:dyDescent="0.35">
      <c r="A500" s="30">
        <v>2</v>
      </c>
      <c r="B500" s="51">
        <f>B499/C499</f>
        <v>1E-3</v>
      </c>
      <c r="C500" s="14">
        <v>10</v>
      </c>
      <c r="D500" s="14">
        <f t="shared" si="200"/>
        <v>1.8867924528301887E-8</v>
      </c>
      <c r="E500">
        <f t="shared" si="201"/>
        <v>1.8867924528301886E-2</v>
      </c>
      <c r="F500">
        <f t="shared" si="202"/>
        <v>4.7169811320754717E-4</v>
      </c>
      <c r="G500" s="84">
        <f>F500*1000</f>
        <v>0.47169811320754718</v>
      </c>
      <c r="H500" t="s">
        <v>149</v>
      </c>
      <c r="O500" s="15"/>
      <c r="P500" s="15"/>
    </row>
    <row r="501" spans="1:22" x14ac:dyDescent="0.35">
      <c r="A501" s="30">
        <v>3</v>
      </c>
      <c r="B501" s="51">
        <f>B500/C500</f>
        <v>1E-4</v>
      </c>
      <c r="C501" s="14">
        <v>10</v>
      </c>
      <c r="D501" s="14">
        <f t="shared" si="200"/>
        <v>1.8867924528301888E-9</v>
      </c>
      <c r="E501">
        <f t="shared" si="201"/>
        <v>1.8867924528301887E-3</v>
      </c>
      <c r="F501">
        <f t="shared" si="202"/>
        <v>4.7169811320754715E-5</v>
      </c>
      <c r="G501" s="84">
        <f>F501*1000000</f>
        <v>47.169811320754718</v>
      </c>
      <c r="H501" t="s">
        <v>328</v>
      </c>
      <c r="O501" s="15"/>
      <c r="P501" s="15"/>
    </row>
    <row r="502" spans="1:22" x14ac:dyDescent="0.35">
      <c r="A502" s="30">
        <v>4</v>
      </c>
      <c r="B502" s="51">
        <f>B501/C501</f>
        <v>1.0000000000000001E-5</v>
      </c>
      <c r="C502" s="14">
        <v>10</v>
      </c>
      <c r="D502" s="14">
        <f t="shared" ref="D502" si="203">B502/53000</f>
        <v>1.8867924528301888E-10</v>
      </c>
      <c r="E502">
        <f t="shared" si="201"/>
        <v>1.8867924528301889E-4</v>
      </c>
      <c r="F502">
        <f t="shared" si="202"/>
        <v>4.716981132075472E-6</v>
      </c>
      <c r="G502" s="84">
        <f>F502*1000000</f>
        <v>4.716981132075472</v>
      </c>
      <c r="H502" t="s">
        <v>328</v>
      </c>
      <c r="O502" s="15"/>
      <c r="P502" s="15"/>
    </row>
    <row r="503" spans="1:22" x14ac:dyDescent="0.35">
      <c r="A503" s="30">
        <v>5</v>
      </c>
      <c r="B503" s="51">
        <f>B502/C502</f>
        <v>1.0000000000000002E-6</v>
      </c>
      <c r="C503" s="14">
        <v>10</v>
      </c>
      <c r="D503" s="14">
        <f t="shared" ref="D503" si="204">B503/53000</f>
        <v>1.886792452830189E-11</v>
      </c>
      <c r="E503">
        <f t="shared" si="201"/>
        <v>1.8867924528301891E-5</v>
      </c>
      <c r="F503">
        <f t="shared" si="202"/>
        <v>4.7169811320754727E-7</v>
      </c>
      <c r="G503" s="84">
        <f>F503*1000000000</f>
        <v>471.69811320754729</v>
      </c>
      <c r="H503" t="s">
        <v>331</v>
      </c>
      <c r="O503" s="15"/>
      <c r="P503" s="15"/>
    </row>
    <row r="504" spans="1:22" x14ac:dyDescent="0.35">
      <c r="A504" s="17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5"/>
      <c r="M504" s="15"/>
      <c r="N504" s="15"/>
      <c r="O504" s="15"/>
      <c r="P504" s="26" t="s">
        <v>113</v>
      </c>
    </row>
    <row r="505" spans="1:22" ht="29" x14ac:dyDescent="0.35">
      <c r="A505" s="34" t="s">
        <v>73</v>
      </c>
      <c r="B505" s="48" t="s">
        <v>198</v>
      </c>
      <c r="C505" s="48" t="s">
        <v>198</v>
      </c>
      <c r="D505" s="48" t="s">
        <v>198</v>
      </c>
      <c r="E505" s="48" t="s">
        <v>198</v>
      </c>
      <c r="F505" s="48" t="s">
        <v>198</v>
      </c>
      <c r="G505" s="48" t="s">
        <v>198</v>
      </c>
      <c r="H505" s="48" t="s">
        <v>198</v>
      </c>
      <c r="I505" s="48" t="s">
        <v>198</v>
      </c>
      <c r="J505" s="48" t="s">
        <v>198</v>
      </c>
      <c r="K505" s="49" t="s">
        <v>197</v>
      </c>
      <c r="L505" s="49" t="s">
        <v>197</v>
      </c>
      <c r="M505" s="49" t="s">
        <v>197</v>
      </c>
      <c r="N505" s="49" t="s">
        <v>197</v>
      </c>
      <c r="O505" s="49" t="s">
        <v>197</v>
      </c>
      <c r="P505" s="49" t="s">
        <v>197</v>
      </c>
      <c r="Q505" s="49" t="s">
        <v>197</v>
      </c>
      <c r="R505" s="17"/>
      <c r="S505" s="17"/>
      <c r="T505" s="17"/>
    </row>
    <row r="506" spans="1:22" ht="58.5" thickBot="1" x14ac:dyDescent="0.4">
      <c r="A506" s="67" t="s">
        <v>7</v>
      </c>
      <c r="B506" s="68" t="s">
        <v>49</v>
      </c>
      <c r="C506" s="68" t="s">
        <v>210</v>
      </c>
      <c r="D506" s="68" t="s">
        <v>48</v>
      </c>
      <c r="E506" s="68"/>
      <c r="F506" s="68" t="s">
        <v>82</v>
      </c>
      <c r="G506" s="68" t="s">
        <v>72</v>
      </c>
      <c r="H506" s="68" t="s">
        <v>74</v>
      </c>
      <c r="I506" s="68"/>
      <c r="J506" s="68"/>
      <c r="K506" s="68" t="s">
        <v>255</v>
      </c>
      <c r="L506" s="68" t="s">
        <v>254</v>
      </c>
      <c r="M506" s="68" t="s">
        <v>256</v>
      </c>
      <c r="N506" s="68" t="s">
        <v>257</v>
      </c>
      <c r="O506" s="68" t="s">
        <v>72</v>
      </c>
      <c r="P506" s="68" t="s">
        <v>49</v>
      </c>
      <c r="Q506" s="68" t="s">
        <v>29</v>
      </c>
      <c r="R506" s="5" t="s">
        <v>6</v>
      </c>
      <c r="S506" s="5" t="s">
        <v>184</v>
      </c>
      <c r="T506" s="5" t="s">
        <v>180</v>
      </c>
      <c r="U506" s="5" t="s">
        <v>17</v>
      </c>
      <c r="V506" s="5" t="s">
        <v>78</v>
      </c>
    </row>
    <row r="507" spans="1:22" ht="15" thickTop="1" x14ac:dyDescent="0.35">
      <c r="A507" s="30">
        <v>1</v>
      </c>
      <c r="B507" s="29">
        <f>$S507-SUM(C507:J507)</f>
        <v>8.25</v>
      </c>
      <c r="C507" s="28">
        <f>R507/50</f>
        <v>0.5</v>
      </c>
      <c r="D507" s="28">
        <f>R507/100</f>
        <v>0.25</v>
      </c>
      <c r="E507" s="28"/>
      <c r="F507" s="28">
        <v>2</v>
      </c>
      <c r="G507" s="28"/>
      <c r="H507" s="28">
        <v>2</v>
      </c>
      <c r="I507" s="28"/>
      <c r="J507" s="28"/>
      <c r="K507" s="28">
        <v>1</v>
      </c>
      <c r="O507" s="15">
        <v>10</v>
      </c>
      <c r="P507" s="29">
        <f>T507-SUM(K507:O507)-Q507</f>
        <v>2</v>
      </c>
      <c r="Q507" s="28"/>
      <c r="R507" s="57">
        <v>25</v>
      </c>
      <c r="S507" s="18">
        <v>13</v>
      </c>
      <c r="T507" s="18">
        <v>13</v>
      </c>
      <c r="U507" s="15" t="s">
        <v>18</v>
      </c>
      <c r="V507" s="25" t="s">
        <v>334</v>
      </c>
    </row>
    <row r="508" spans="1:22" x14ac:dyDescent="0.35">
      <c r="A508" s="30">
        <v>2</v>
      </c>
      <c r="B508" s="29">
        <f t="shared" ref="B508:B514" si="205">$S508-SUM(C508:J508)</f>
        <v>8.25</v>
      </c>
      <c r="C508" s="28">
        <f t="shared" ref="C508:C515" si="206">R508/50</f>
        <v>0.5</v>
      </c>
      <c r="D508" s="28">
        <f t="shared" ref="D508:D514" si="207">R508/100</f>
        <v>0.25</v>
      </c>
      <c r="E508" s="28"/>
      <c r="F508" s="28">
        <v>2</v>
      </c>
      <c r="G508" s="28"/>
      <c r="H508" s="28">
        <v>2</v>
      </c>
      <c r="I508" s="28"/>
      <c r="J508" s="28"/>
      <c r="K508" s="28">
        <v>1</v>
      </c>
      <c r="O508" s="15">
        <v>10</v>
      </c>
      <c r="P508" s="29">
        <f t="shared" ref="P508:P513" si="208">T508-SUM(K508:O508)-Q508</f>
        <v>2</v>
      </c>
      <c r="Q508" s="28"/>
      <c r="R508" s="57">
        <v>25</v>
      </c>
      <c r="S508" s="18">
        <v>13</v>
      </c>
      <c r="T508" s="18">
        <v>13</v>
      </c>
      <c r="U508" s="15" t="s">
        <v>18</v>
      </c>
      <c r="V508" s="25" t="s">
        <v>335</v>
      </c>
    </row>
    <row r="509" spans="1:22" x14ac:dyDescent="0.35">
      <c r="A509" s="30">
        <v>3</v>
      </c>
      <c r="B509" s="29">
        <f t="shared" si="205"/>
        <v>8.25</v>
      </c>
      <c r="C509" s="28">
        <f t="shared" si="206"/>
        <v>0.5</v>
      </c>
      <c r="D509" s="28">
        <f t="shared" si="207"/>
        <v>0.25</v>
      </c>
      <c r="E509" s="28"/>
      <c r="F509" s="28">
        <v>2</v>
      </c>
      <c r="G509" s="28"/>
      <c r="H509" s="28">
        <v>2</v>
      </c>
      <c r="I509" s="28"/>
      <c r="J509" s="28"/>
      <c r="K509" s="28">
        <v>1</v>
      </c>
      <c r="O509" s="15">
        <v>10</v>
      </c>
      <c r="P509" s="29">
        <f t="shared" si="208"/>
        <v>2</v>
      </c>
      <c r="Q509" s="28"/>
      <c r="R509" s="57">
        <v>25</v>
      </c>
      <c r="S509" s="18">
        <v>13</v>
      </c>
      <c r="T509" s="18">
        <v>13</v>
      </c>
      <c r="U509" s="15" t="s">
        <v>18</v>
      </c>
      <c r="V509" s="25" t="s">
        <v>336</v>
      </c>
    </row>
    <row r="510" spans="1:22" x14ac:dyDescent="0.35">
      <c r="A510" s="30">
        <v>4</v>
      </c>
      <c r="B510" s="29">
        <f t="shared" si="205"/>
        <v>8.25</v>
      </c>
      <c r="C510" s="28">
        <f t="shared" si="206"/>
        <v>0.5</v>
      </c>
      <c r="D510" s="28">
        <f t="shared" si="207"/>
        <v>0.25</v>
      </c>
      <c r="E510" s="28"/>
      <c r="F510" s="28">
        <v>2</v>
      </c>
      <c r="G510" s="28"/>
      <c r="H510" s="28">
        <v>2</v>
      </c>
      <c r="I510" s="28"/>
      <c r="J510" s="28"/>
      <c r="K510" s="28">
        <v>1</v>
      </c>
      <c r="O510" s="15">
        <v>10</v>
      </c>
      <c r="P510" s="29">
        <f t="shared" si="208"/>
        <v>2</v>
      </c>
      <c r="Q510" s="28"/>
      <c r="R510" s="57">
        <v>25</v>
      </c>
      <c r="S510" s="18">
        <v>13</v>
      </c>
      <c r="T510" s="18">
        <v>13</v>
      </c>
      <c r="U510" s="15" t="s">
        <v>18</v>
      </c>
      <c r="V510" s="25" t="s">
        <v>337</v>
      </c>
    </row>
    <row r="511" spans="1:22" x14ac:dyDescent="0.35">
      <c r="A511" s="30">
        <v>5</v>
      </c>
      <c r="B511" s="29">
        <f t="shared" si="205"/>
        <v>8.25</v>
      </c>
      <c r="C511" s="28">
        <f t="shared" si="206"/>
        <v>0.5</v>
      </c>
      <c r="D511" s="28">
        <f t="shared" si="207"/>
        <v>0.25</v>
      </c>
      <c r="E511" s="28"/>
      <c r="F511" s="28">
        <v>2</v>
      </c>
      <c r="G511" s="28"/>
      <c r="H511" s="28">
        <v>2</v>
      </c>
      <c r="I511" s="28"/>
      <c r="J511" s="28"/>
      <c r="K511" s="28">
        <v>1</v>
      </c>
      <c r="O511" s="15">
        <v>10</v>
      </c>
      <c r="P511" s="29">
        <f t="shared" si="208"/>
        <v>2</v>
      </c>
      <c r="Q511" s="28"/>
      <c r="R511" s="57">
        <v>25</v>
      </c>
      <c r="S511" s="18">
        <v>13</v>
      </c>
      <c r="T511" s="18">
        <v>13</v>
      </c>
      <c r="U511" s="15" t="s">
        <v>18</v>
      </c>
      <c r="V511" s="25" t="s">
        <v>338</v>
      </c>
    </row>
    <row r="512" spans="1:22" x14ac:dyDescent="0.35">
      <c r="A512" s="30">
        <v>6</v>
      </c>
      <c r="B512" s="29">
        <f t="shared" si="205"/>
        <v>8.25</v>
      </c>
      <c r="C512" s="28">
        <f t="shared" si="206"/>
        <v>0.5</v>
      </c>
      <c r="D512" s="28">
        <f t="shared" si="207"/>
        <v>0.25</v>
      </c>
      <c r="E512" s="28"/>
      <c r="F512" s="28">
        <v>2</v>
      </c>
      <c r="G512" s="28"/>
      <c r="H512" s="28">
        <v>2</v>
      </c>
      <c r="I512" s="28"/>
      <c r="J512" s="28"/>
      <c r="L512">
        <v>1</v>
      </c>
      <c r="O512" s="15">
        <v>10</v>
      </c>
      <c r="P512" s="29">
        <f t="shared" si="208"/>
        <v>2</v>
      </c>
      <c r="Q512" s="28"/>
      <c r="R512" s="57">
        <v>25</v>
      </c>
      <c r="S512" s="18">
        <v>13</v>
      </c>
      <c r="T512" s="18">
        <v>13</v>
      </c>
      <c r="U512" s="15" t="s">
        <v>27</v>
      </c>
      <c r="V512" s="38" t="s">
        <v>332</v>
      </c>
    </row>
    <row r="513" spans="1:23" x14ac:dyDescent="0.35">
      <c r="A513" s="30">
        <v>7</v>
      </c>
      <c r="B513" s="29">
        <f t="shared" si="205"/>
        <v>10.25</v>
      </c>
      <c r="C513" s="28">
        <f t="shared" si="206"/>
        <v>0.5</v>
      </c>
      <c r="D513" s="28">
        <f t="shared" si="207"/>
        <v>0.25</v>
      </c>
      <c r="E513" s="28"/>
      <c r="F513" s="28">
        <v>2</v>
      </c>
      <c r="G513" s="28"/>
      <c r="H513" s="28"/>
      <c r="I513" s="28"/>
      <c r="J513" s="28"/>
      <c r="K513" s="28">
        <v>1</v>
      </c>
      <c r="O513" s="15">
        <v>10</v>
      </c>
      <c r="P513" s="29">
        <f t="shared" si="208"/>
        <v>2</v>
      </c>
      <c r="Q513" s="28"/>
      <c r="R513" s="57">
        <v>25</v>
      </c>
      <c r="S513" s="18">
        <v>13</v>
      </c>
      <c r="T513" s="18">
        <v>13</v>
      </c>
      <c r="U513" s="15" t="s">
        <v>27</v>
      </c>
      <c r="V513" s="25" t="s">
        <v>334</v>
      </c>
      <c r="W513" s="25" t="s">
        <v>317</v>
      </c>
    </row>
    <row r="514" spans="1:23" x14ac:dyDescent="0.35">
      <c r="A514" s="30">
        <v>8</v>
      </c>
      <c r="B514" s="29">
        <f t="shared" si="205"/>
        <v>0.25</v>
      </c>
      <c r="C514" s="28">
        <f t="shared" si="206"/>
        <v>0.5</v>
      </c>
      <c r="D514" s="28">
        <f t="shared" si="207"/>
        <v>0.25</v>
      </c>
      <c r="E514" s="28"/>
      <c r="F514" s="28">
        <v>2</v>
      </c>
      <c r="G514" s="28">
        <v>10</v>
      </c>
      <c r="H514" s="28"/>
      <c r="I514" s="28"/>
      <c r="J514" s="28"/>
      <c r="O514" s="28"/>
      <c r="P514" s="29">
        <f>T514-SUM(K514:O514)-Q514</f>
        <v>12.5</v>
      </c>
      <c r="Q514" s="28">
        <v>0.5</v>
      </c>
      <c r="R514" s="57">
        <v>25</v>
      </c>
      <c r="S514" s="18">
        <v>13</v>
      </c>
      <c r="T514" s="18">
        <v>13</v>
      </c>
      <c r="U514" s="15" t="s">
        <v>18</v>
      </c>
      <c r="V514" s="38" t="s">
        <v>230</v>
      </c>
    </row>
    <row r="515" spans="1:23" x14ac:dyDescent="0.35">
      <c r="A515" s="30">
        <v>9</v>
      </c>
      <c r="B515" s="29"/>
      <c r="C515" s="28">
        <f t="shared" si="206"/>
        <v>0</v>
      </c>
      <c r="D515" s="28"/>
      <c r="E515" s="28"/>
      <c r="F515" s="28"/>
      <c r="G515" s="28"/>
      <c r="H515" s="28"/>
      <c r="I515" s="28"/>
      <c r="J515" s="28"/>
      <c r="O515" s="15"/>
      <c r="P515" s="29"/>
      <c r="Q515" s="28"/>
      <c r="R515" s="57"/>
      <c r="S515" s="18"/>
      <c r="T515" s="18"/>
      <c r="U515" s="28" t="s">
        <v>27</v>
      </c>
      <c r="V515" s="38" t="s">
        <v>5</v>
      </c>
    </row>
    <row r="517" spans="1:23" x14ac:dyDescent="0.35">
      <c r="A517" s="26" t="s">
        <v>93</v>
      </c>
      <c r="B517">
        <f>4*1.15</f>
        <v>4.5999999999999996</v>
      </c>
    </row>
    <row r="519" spans="1:23" x14ac:dyDescent="0.35">
      <c r="A519" s="80">
        <f>A507</f>
        <v>1</v>
      </c>
      <c r="B519" s="83">
        <f>IF(B507*$B$517&gt;0,B507*$B$517,"")</f>
        <v>37.949999999999996</v>
      </c>
      <c r="C519" s="83">
        <f>IF(C507*$B$517&gt;0,C507*$B$517,"")</f>
        <v>2.2999999999999998</v>
      </c>
      <c r="D519" s="83">
        <f>IF(D507*$B$517&gt;0,D507*$B$517,"")</f>
        <v>1.1499999999999999</v>
      </c>
      <c r="E519" s="83" t="str">
        <f>IF(E507*$B$517&gt;0,E507*$B$517,"")</f>
        <v/>
      </c>
      <c r="F519" s="83">
        <f>IF(F507*$B$517&gt;0,F507*$B$517,"")</f>
        <v>9.1999999999999993</v>
      </c>
      <c r="G519" s="83" t="str">
        <f>IF(G507*$B$517&gt;0,G507*$B$517,"")</f>
        <v/>
      </c>
      <c r="H519" s="83">
        <f>IF(H507*$B$517&gt;0,H507*$B$517,"")</f>
        <v>9.1999999999999993</v>
      </c>
      <c r="I519" s="83" t="str">
        <f>IF(I507*$B$517&gt;0,I507*$B$517,"")</f>
        <v/>
      </c>
      <c r="J519" s="83" t="str">
        <f>IF(J507*$B$517&gt;0,J507*$B$517,"")</f>
        <v/>
      </c>
      <c r="K519" s="83">
        <f>IF(K507*$B$517&gt;0,K507*$B$517,"")</f>
        <v>4.5999999999999996</v>
      </c>
      <c r="L519" s="83" t="str">
        <f>IF(L507*$B$517&gt;0,L507*$B$517,"")</f>
        <v/>
      </c>
      <c r="M519" s="83" t="str">
        <f>IF(M507*$B$517&gt;0,M507*$B$517,"")</f>
        <v/>
      </c>
      <c r="N519" s="83" t="str">
        <f>IF(N507*$B$517&gt;0,N507*$B$517,"")</f>
        <v/>
      </c>
      <c r="O519" s="83">
        <f>IF(O507*$B$517&gt;0,O507*$B$517,"")</f>
        <v>46</v>
      </c>
      <c r="P519" s="83">
        <f>IF(P507*$B$517&gt;0,P507*$B$517,"")</f>
        <v>9.1999999999999993</v>
      </c>
      <c r="Q519" s="83" t="str">
        <f>IF(Q507*$B$517&gt;0,Q507*$B$517,"")</f>
        <v/>
      </c>
      <c r="R519" s="83"/>
      <c r="S519" s="83"/>
      <c r="T519" s="83"/>
    </row>
    <row r="520" spans="1:23" x14ac:dyDescent="0.35">
      <c r="A520" s="80">
        <f>A508</f>
        <v>2</v>
      </c>
      <c r="B520" s="83">
        <f>IF(B508*$B$517&gt;0,B508*$B$517,"")</f>
        <v>37.949999999999996</v>
      </c>
      <c r="C520" s="83">
        <f>IF(C508*$B$517&gt;0,C508*$B$517,"")</f>
        <v>2.2999999999999998</v>
      </c>
      <c r="D520" s="83">
        <f>IF(D508*$B$517&gt;0,D508*$B$517,"")</f>
        <v>1.1499999999999999</v>
      </c>
      <c r="E520" s="83" t="str">
        <f>IF(E508*$B$517&gt;0,E508*$B$517,"")</f>
        <v/>
      </c>
      <c r="F520" s="83">
        <f>IF(F508*$B$517&gt;0,F508*$B$517,"")</f>
        <v>9.1999999999999993</v>
      </c>
      <c r="G520" s="83" t="str">
        <f>IF(G508*$B$517&gt;0,G508*$B$517,"")</f>
        <v/>
      </c>
      <c r="H520" s="83">
        <f>IF(H508*$B$517&gt;0,H508*$B$517,"")</f>
        <v>9.1999999999999993</v>
      </c>
      <c r="I520" s="83" t="str">
        <f>IF(I508*$B$517&gt;0,I508*$B$517,"")</f>
        <v/>
      </c>
      <c r="J520" s="83" t="str">
        <f>IF(J508*$B$517&gt;0,J508*$B$517,"")</f>
        <v/>
      </c>
      <c r="K520" s="83">
        <f>IF(K508*$B$517&gt;0,K508*$B$517,"")</f>
        <v>4.5999999999999996</v>
      </c>
      <c r="L520" s="83" t="str">
        <f>IF(L508*$B$517&gt;0,L508*$B$517,"")</f>
        <v/>
      </c>
      <c r="M520" s="83" t="str">
        <f>IF(M508*$B$517&gt;0,M508*$B$517,"")</f>
        <v/>
      </c>
      <c r="N520" s="83" t="str">
        <f>IF(N508*$B$517&gt;0,N508*$B$517,"")</f>
        <v/>
      </c>
      <c r="O520" s="83">
        <f>IF(O508*$B$517&gt;0,O508*$B$517,"")</f>
        <v>46</v>
      </c>
      <c r="P520" s="83">
        <f>IF(P508*$B$517&gt;0,P508*$B$517,"")</f>
        <v>9.1999999999999993</v>
      </c>
      <c r="Q520" s="83" t="str">
        <f>IF(Q508*$B$517&gt;0,Q508*$B$517,"")</f>
        <v/>
      </c>
      <c r="R520" s="83"/>
      <c r="S520" s="83"/>
      <c r="T520" s="83"/>
    </row>
    <row r="521" spans="1:23" x14ac:dyDescent="0.35">
      <c r="A521" s="80">
        <f>A509</f>
        <v>3</v>
      </c>
      <c r="B521" s="83">
        <f>IF(B509*$B$517&gt;0,B509*$B$517,"")</f>
        <v>37.949999999999996</v>
      </c>
      <c r="C521" s="83">
        <f>IF(C509*$B$517&gt;0,C509*$B$517,"")</f>
        <v>2.2999999999999998</v>
      </c>
      <c r="D521" s="83">
        <f>IF(D509*$B$517&gt;0,D509*$B$517,"")</f>
        <v>1.1499999999999999</v>
      </c>
      <c r="E521" s="83" t="str">
        <f>IF(E509*$B$517&gt;0,E509*$B$517,"")</f>
        <v/>
      </c>
      <c r="F521" s="83">
        <f>IF(F509*$B$517&gt;0,F509*$B$517,"")</f>
        <v>9.1999999999999993</v>
      </c>
      <c r="G521" s="83" t="str">
        <f>IF(G509*$B$517&gt;0,G509*$B$517,"")</f>
        <v/>
      </c>
      <c r="H521" s="83">
        <f>IF(H509*$B$517&gt;0,H509*$B$517,"")</f>
        <v>9.1999999999999993</v>
      </c>
      <c r="I521" s="83" t="str">
        <f>IF(I509*$B$517&gt;0,I509*$B$517,"")</f>
        <v/>
      </c>
      <c r="J521" s="83" t="str">
        <f>IF(J509*$B$517&gt;0,J509*$B$517,"")</f>
        <v/>
      </c>
      <c r="K521" s="83">
        <f>IF(K509*$B$517&gt;0,K509*$B$517,"")</f>
        <v>4.5999999999999996</v>
      </c>
      <c r="L521" s="83" t="str">
        <f>IF(L509*$B$517&gt;0,L509*$B$517,"")</f>
        <v/>
      </c>
      <c r="M521" s="83" t="str">
        <f>IF(M509*$B$517&gt;0,M509*$B$517,"")</f>
        <v/>
      </c>
      <c r="N521" s="83" t="str">
        <f>IF(N509*$B$517&gt;0,N509*$B$517,"")</f>
        <v/>
      </c>
      <c r="O521" s="83">
        <f>IF(O509*$B$517&gt;0,O509*$B$517,"")</f>
        <v>46</v>
      </c>
      <c r="P521" s="83">
        <f>IF(P509*$B$517&gt;0,P509*$B$517,"")</f>
        <v>9.1999999999999993</v>
      </c>
      <c r="Q521" s="83" t="str">
        <f>IF(Q509*$B$517&gt;0,Q509*$B$517,"")</f>
        <v/>
      </c>
      <c r="R521" s="83"/>
      <c r="S521" s="83"/>
      <c r="T521" s="83"/>
    </row>
    <row r="522" spans="1:23" x14ac:dyDescent="0.35">
      <c r="A522" s="80">
        <f>A510</f>
        <v>4</v>
      </c>
      <c r="B522" s="83">
        <f>IF(B510*$B$517&gt;0,B510*$B$517,"")</f>
        <v>37.949999999999996</v>
      </c>
      <c r="C522" s="83">
        <f>IF(C510*$B$517&gt;0,C510*$B$517,"")</f>
        <v>2.2999999999999998</v>
      </c>
      <c r="D522" s="83">
        <f>IF(D510*$B$517&gt;0,D510*$B$517,"")</f>
        <v>1.1499999999999999</v>
      </c>
      <c r="E522" s="83" t="str">
        <f>IF(E510*$B$517&gt;0,E510*$B$517,"")</f>
        <v/>
      </c>
      <c r="F522" s="83">
        <f>IF(F510*$B$517&gt;0,F510*$B$517,"")</f>
        <v>9.1999999999999993</v>
      </c>
      <c r="G522" s="83" t="str">
        <f>IF(G510*$B$517&gt;0,G510*$B$517,"")</f>
        <v/>
      </c>
      <c r="H522" s="83">
        <f>IF(H510*$B$517&gt;0,H510*$B$517,"")</f>
        <v>9.1999999999999993</v>
      </c>
      <c r="I522" s="83" t="str">
        <f>IF(I510*$B$517&gt;0,I510*$B$517,"")</f>
        <v/>
      </c>
      <c r="J522" s="83" t="str">
        <f>IF(J510*$B$517&gt;0,J510*$B$517,"")</f>
        <v/>
      </c>
      <c r="K522" s="83">
        <f>IF(K510*$B$517&gt;0,K510*$B$517,"")</f>
        <v>4.5999999999999996</v>
      </c>
      <c r="L522" s="83" t="str">
        <f>IF(L510*$B$517&gt;0,L510*$B$517,"")</f>
        <v/>
      </c>
      <c r="M522" s="83" t="str">
        <f>IF(M510*$B$517&gt;0,M510*$B$517,"")</f>
        <v/>
      </c>
      <c r="N522" s="83" t="str">
        <f>IF(N510*$B$517&gt;0,N510*$B$517,"")</f>
        <v/>
      </c>
      <c r="O522" s="83">
        <f>IF(O510*$B$517&gt;0,O510*$B$517,"")</f>
        <v>46</v>
      </c>
      <c r="P522" s="83">
        <f>IF(P510*$B$517&gt;0,P510*$B$517,"")</f>
        <v>9.1999999999999993</v>
      </c>
      <c r="Q522" s="83" t="str">
        <f>IF(Q510*$B$517&gt;0,Q510*$B$517,"")</f>
        <v/>
      </c>
      <c r="R522" s="83"/>
      <c r="S522" s="83"/>
      <c r="T522" s="83"/>
    </row>
    <row r="523" spans="1:23" x14ac:dyDescent="0.35">
      <c r="A523" s="80">
        <f>A511</f>
        <v>5</v>
      </c>
      <c r="B523" s="83">
        <f>IF(B511*$B$517&gt;0,B511*$B$517,"")</f>
        <v>37.949999999999996</v>
      </c>
      <c r="C523" s="83">
        <f>IF(C511*$B$517&gt;0,C511*$B$517,"")</f>
        <v>2.2999999999999998</v>
      </c>
      <c r="D523" s="83">
        <f>IF(D511*$B$517&gt;0,D511*$B$517,"")</f>
        <v>1.1499999999999999</v>
      </c>
      <c r="E523" s="83" t="str">
        <f>IF(E511*$B$517&gt;0,E511*$B$517,"")</f>
        <v/>
      </c>
      <c r="F523" s="83">
        <f>IF(F511*$B$517&gt;0,F511*$B$517,"")</f>
        <v>9.1999999999999993</v>
      </c>
      <c r="G523" s="83" t="str">
        <f>IF(G511*$B$517&gt;0,G511*$B$517,"")</f>
        <v/>
      </c>
      <c r="H523" s="83">
        <f>IF(H511*$B$517&gt;0,H511*$B$517,"")</f>
        <v>9.1999999999999993</v>
      </c>
      <c r="I523" s="83" t="str">
        <f>IF(I511*$B$517&gt;0,I511*$B$517,"")</f>
        <v/>
      </c>
      <c r="J523" s="83" t="str">
        <f>IF(J511*$B$517&gt;0,J511*$B$517,"")</f>
        <v/>
      </c>
      <c r="K523" s="83">
        <f>IF(K511*$B$517&gt;0,K511*$B$517,"")</f>
        <v>4.5999999999999996</v>
      </c>
      <c r="L523" s="83" t="str">
        <f>IF(L511*$B$517&gt;0,L511*$B$517,"")</f>
        <v/>
      </c>
      <c r="M523" s="83" t="str">
        <f>IF(M511*$B$517&gt;0,M511*$B$517,"")</f>
        <v/>
      </c>
      <c r="N523" s="83" t="str">
        <f>IF(N511*$B$517&gt;0,N511*$B$517,"")</f>
        <v/>
      </c>
      <c r="O523" s="83">
        <f>IF(O511*$B$517&gt;0,O511*$B$517,"")</f>
        <v>46</v>
      </c>
      <c r="P523" s="83">
        <f>IF(P511*$B$517&gt;0,P511*$B$517,"")</f>
        <v>9.1999999999999993</v>
      </c>
      <c r="Q523" s="83" t="str">
        <f>IF(Q511*$B$517&gt;0,Q511*$B$517,"")</f>
        <v/>
      </c>
      <c r="R523" s="83"/>
      <c r="S523" s="83"/>
      <c r="T523" s="83"/>
    </row>
    <row r="524" spans="1:23" x14ac:dyDescent="0.35">
      <c r="A524" s="80">
        <f>A512</f>
        <v>6</v>
      </c>
      <c r="B524" s="83">
        <f>IF(B512*$B$517&gt;0,B512*$B$517,"")</f>
        <v>37.949999999999996</v>
      </c>
      <c r="C524" s="83">
        <f>IF(C512*$B$517&gt;0,C512*$B$517,"")</f>
        <v>2.2999999999999998</v>
      </c>
      <c r="D524" s="83">
        <f>IF(D512*$B$517&gt;0,D512*$B$517,"")</f>
        <v>1.1499999999999999</v>
      </c>
      <c r="E524" s="83" t="str">
        <f>IF(E512*$B$517&gt;0,E512*$B$517,"")</f>
        <v/>
      </c>
      <c r="F524" s="83">
        <f>IF(F512*$B$517&gt;0,F512*$B$517,"")</f>
        <v>9.1999999999999993</v>
      </c>
      <c r="G524" s="83" t="str">
        <f>IF(G512*$B$517&gt;0,G512*$B$517,"")</f>
        <v/>
      </c>
      <c r="H524" s="83">
        <f>IF(H512*$B$517&gt;0,H512*$B$517,"")</f>
        <v>9.1999999999999993</v>
      </c>
      <c r="I524" s="83" t="str">
        <f>IF(I512*$B$517&gt;0,I512*$B$517,"")</f>
        <v/>
      </c>
      <c r="J524" s="83" t="str">
        <f>IF(J512*$B$517&gt;0,J512*$B$517,"")</f>
        <v/>
      </c>
      <c r="K524" s="83" t="str">
        <f>IF(K512*$B$517&gt;0,K512*$B$517,"")</f>
        <v/>
      </c>
      <c r="L524" s="83">
        <f>IF(L512*$B$517&gt;0,L512*$B$517,"")</f>
        <v>4.5999999999999996</v>
      </c>
      <c r="M524" s="83" t="str">
        <f>IF(M512*$B$517&gt;0,M512*$B$517,"")</f>
        <v/>
      </c>
      <c r="N524" s="83" t="str">
        <f>IF(N512*$B$517&gt;0,N512*$B$517,"")</f>
        <v/>
      </c>
      <c r="O524" s="83">
        <f>IF(O512*$B$517&gt;0,O512*$B$517,"")</f>
        <v>46</v>
      </c>
      <c r="P524" s="83">
        <f>IF(P512*$B$517&gt;0,P512*$B$517,"")</f>
        <v>9.1999999999999993</v>
      </c>
      <c r="Q524" s="83" t="str">
        <f>IF(Q512*$B$517&gt;0,Q512*$B$517,"")</f>
        <v/>
      </c>
      <c r="R524" s="83"/>
      <c r="S524" s="83"/>
      <c r="T524" s="83"/>
    </row>
    <row r="525" spans="1:23" x14ac:dyDescent="0.35">
      <c r="A525" s="80">
        <f t="shared" ref="A525:A527" si="209">A513</f>
        <v>7</v>
      </c>
      <c r="B525" s="83">
        <f>IF(B513*$B$517&gt;0,B513*$B$517,"")</f>
        <v>47.15</v>
      </c>
      <c r="C525" s="83">
        <f t="shared" ref="C525:Q525" si="210">IF(C513*$B$517&gt;0,C513*$B$517,"")</f>
        <v>2.2999999999999998</v>
      </c>
      <c r="D525" s="83">
        <f t="shared" si="210"/>
        <v>1.1499999999999999</v>
      </c>
      <c r="E525" s="83" t="str">
        <f t="shared" si="210"/>
        <v/>
      </c>
      <c r="F525" s="83">
        <f t="shared" si="210"/>
        <v>9.1999999999999993</v>
      </c>
      <c r="G525" s="83" t="str">
        <f t="shared" si="210"/>
        <v/>
      </c>
      <c r="H525" s="83" t="str">
        <f t="shared" si="210"/>
        <v/>
      </c>
      <c r="I525" s="83" t="str">
        <f t="shared" si="210"/>
        <v/>
      </c>
      <c r="J525" s="83" t="str">
        <f t="shared" si="210"/>
        <v/>
      </c>
      <c r="K525" s="83">
        <f t="shared" si="210"/>
        <v>4.5999999999999996</v>
      </c>
      <c r="L525" s="83" t="str">
        <f t="shared" si="210"/>
        <v/>
      </c>
      <c r="M525" s="83" t="str">
        <f t="shared" si="210"/>
        <v/>
      </c>
      <c r="N525" s="83" t="str">
        <f t="shared" si="210"/>
        <v/>
      </c>
      <c r="O525" s="83">
        <f t="shared" si="210"/>
        <v>46</v>
      </c>
      <c r="P525" s="83">
        <f t="shared" si="210"/>
        <v>9.1999999999999993</v>
      </c>
      <c r="Q525" s="83" t="str">
        <f t="shared" si="210"/>
        <v/>
      </c>
      <c r="R525" s="83"/>
      <c r="S525" s="83"/>
      <c r="T525" s="83"/>
    </row>
    <row r="526" spans="1:23" x14ac:dyDescent="0.35">
      <c r="A526" s="15">
        <f t="shared" si="209"/>
        <v>8</v>
      </c>
      <c r="B526" s="85">
        <f t="shared" ref="B526:Q527" si="211">IF(B514*$B$517&gt;0,B514*$B$517,"")</f>
        <v>1.1499999999999999</v>
      </c>
      <c r="C526" s="85">
        <f t="shared" si="211"/>
        <v>2.2999999999999998</v>
      </c>
      <c r="D526" s="85">
        <f t="shared" si="211"/>
        <v>1.1499999999999999</v>
      </c>
      <c r="E526" s="85" t="str">
        <f t="shared" si="211"/>
        <v/>
      </c>
      <c r="F526" s="85">
        <f t="shared" si="211"/>
        <v>9.1999999999999993</v>
      </c>
      <c r="G526" s="85">
        <f t="shared" si="211"/>
        <v>46</v>
      </c>
      <c r="H526" s="85" t="str">
        <f t="shared" si="211"/>
        <v/>
      </c>
      <c r="I526" s="85" t="str">
        <f t="shared" si="211"/>
        <v/>
      </c>
      <c r="J526" s="85" t="str">
        <f t="shared" si="211"/>
        <v/>
      </c>
      <c r="K526" s="85" t="str">
        <f t="shared" si="211"/>
        <v/>
      </c>
      <c r="L526" s="85" t="str">
        <f t="shared" si="211"/>
        <v/>
      </c>
      <c r="M526" s="85" t="str">
        <f t="shared" si="211"/>
        <v/>
      </c>
      <c r="N526" s="85" t="str">
        <f t="shared" si="211"/>
        <v/>
      </c>
      <c r="O526" s="85" t="str">
        <f t="shared" si="211"/>
        <v/>
      </c>
      <c r="P526" s="85">
        <f t="shared" si="211"/>
        <v>57.499999999999993</v>
      </c>
      <c r="Q526" s="85">
        <f t="shared" si="211"/>
        <v>2.2999999999999998</v>
      </c>
      <c r="R526" s="85"/>
      <c r="S526" s="85"/>
      <c r="T526" s="85"/>
    </row>
    <row r="527" spans="1:23" x14ac:dyDescent="0.35">
      <c r="A527" s="1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</row>
    <row r="528" spans="1:23" x14ac:dyDescent="0.35">
      <c r="A528" s="22" t="s">
        <v>340</v>
      </c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</row>
    <row r="529" spans="1:20" x14ac:dyDescent="0.35">
      <c r="A529" s="15" t="s">
        <v>341</v>
      </c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</row>
    <row r="530" spans="1:20" x14ac:dyDescent="0.35">
      <c r="A530" s="15" t="s">
        <v>342</v>
      </c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</row>
    <row r="531" spans="1:20" x14ac:dyDescent="0.35">
      <c r="A531" s="15" t="s">
        <v>343</v>
      </c>
    </row>
  </sheetData>
  <phoneticPr fontId="12" type="noConversion"/>
  <pageMargins left="0.25" right="0.25" top="0.75" bottom="0.75" header="0.3" footer="0.3"/>
  <pageSetup paperSize="9" scale="25" fitToHeight="0" orientation="landscape" r:id="rId1"/>
  <ignoredErrors>
    <ignoredError sqref="J4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D5FD-6775-400D-BAAB-A3103D458CA9}">
  <dimension ref="A2:E9"/>
  <sheetViews>
    <sheetView workbookViewId="0">
      <selection activeCell="D10" sqref="D10"/>
    </sheetView>
  </sheetViews>
  <sheetFormatPr defaultRowHeight="14.5" x14ac:dyDescent="0.35"/>
  <cols>
    <col min="2" max="2" width="11.81640625" bestFit="1" customWidth="1"/>
  </cols>
  <sheetData>
    <row r="2" spans="1:5" x14ac:dyDescent="0.35">
      <c r="A2" t="s">
        <v>87</v>
      </c>
      <c r="B2">
        <v>1.8</v>
      </c>
    </row>
    <row r="3" spans="1:5" x14ac:dyDescent="0.35">
      <c r="A3" t="s">
        <v>88</v>
      </c>
      <c r="B3">
        <v>51384</v>
      </c>
    </row>
    <row r="4" spans="1:5" x14ac:dyDescent="0.35">
      <c r="A4" t="s">
        <v>89</v>
      </c>
      <c r="B4">
        <f>B2/B3/1000000</f>
        <v>3.5030359645025691E-11</v>
      </c>
    </row>
    <row r="5" spans="1:5" x14ac:dyDescent="0.35">
      <c r="A5" t="s">
        <v>90</v>
      </c>
      <c r="B5">
        <f>B4*6E+23</f>
        <v>21018215787015.414</v>
      </c>
    </row>
    <row r="6" spans="1:5" x14ac:dyDescent="0.35">
      <c r="A6" t="s">
        <v>91</v>
      </c>
      <c r="B6" s="37">
        <v>100000000000</v>
      </c>
      <c r="C6" t="s">
        <v>92</v>
      </c>
      <c r="D6" s="37">
        <f>B5/B6</f>
        <v>210.18215787015413</v>
      </c>
      <c r="E6" t="s">
        <v>93</v>
      </c>
    </row>
    <row r="7" spans="1:5" x14ac:dyDescent="0.35">
      <c r="B7" s="37">
        <v>100000000</v>
      </c>
      <c r="D7" s="37">
        <f>B6/B7</f>
        <v>1000</v>
      </c>
    </row>
    <row r="8" spans="1:5" x14ac:dyDescent="0.35">
      <c r="B8" s="37">
        <v>1000000</v>
      </c>
      <c r="D8" s="37">
        <f t="shared" ref="D8" si="0">B7/B8</f>
        <v>100</v>
      </c>
    </row>
    <row r="9" spans="1:5" x14ac:dyDescent="0.35">
      <c r="D9" s="3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Sklenar (TSL)</dc:creator>
  <cp:lastModifiedBy>Jan Sklenar (TSL)</cp:lastModifiedBy>
  <cp:lastPrinted>2020-06-26T17:19:21Z</cp:lastPrinted>
  <dcterms:created xsi:type="dcterms:W3CDTF">2020-03-27T17:15:23Z</dcterms:created>
  <dcterms:modified xsi:type="dcterms:W3CDTF">2020-06-26T19:24:10Z</dcterms:modified>
</cp:coreProperties>
</file>