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D94126B-7F10-4949-A54C-85236BB605D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  <c r="E21" i="3"/>
  <c r="E20" i="3"/>
  <c r="E19" i="3"/>
  <c r="E18" i="3"/>
  <c r="E17" i="3"/>
  <c r="E16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I21" i="2" l="1"/>
  <c r="I20" i="2"/>
  <c r="I19" i="2"/>
  <c r="I18" i="2"/>
  <c r="I16" i="2"/>
  <c r="I15" i="2"/>
  <c r="I14" i="2"/>
  <c r="I13" i="2"/>
  <c r="I11" i="2"/>
  <c r="I10" i="2"/>
  <c r="I9" i="2"/>
  <c r="I8" i="2"/>
  <c r="I6" i="2"/>
  <c r="I5" i="2"/>
  <c r="I4" i="2"/>
  <c r="I3" i="2"/>
  <c r="I7" i="2"/>
  <c r="I12" i="2"/>
  <c r="I17" i="2"/>
  <c r="I2" i="2"/>
  <c r="H21" i="2"/>
  <c r="E21" i="2"/>
  <c r="H20" i="2"/>
  <c r="E20" i="2"/>
  <c r="H19" i="2"/>
  <c r="E19" i="2"/>
  <c r="H18" i="2"/>
  <c r="E18" i="2"/>
  <c r="H17" i="2"/>
  <c r="F17" i="2"/>
  <c r="E17" i="2"/>
  <c r="H16" i="2"/>
  <c r="E16" i="2"/>
  <c r="H15" i="2"/>
  <c r="E15" i="2"/>
  <c r="H14" i="2"/>
  <c r="E14" i="2"/>
  <c r="H13" i="2"/>
  <c r="E13" i="2"/>
  <c r="H12" i="2"/>
  <c r="E12" i="2"/>
  <c r="F12" i="2"/>
  <c r="H11" i="2"/>
  <c r="E11" i="2"/>
  <c r="H10" i="2"/>
  <c r="E10" i="2"/>
  <c r="H9" i="2"/>
  <c r="E9" i="2"/>
  <c r="H8" i="2"/>
  <c r="E8" i="2"/>
  <c r="H7" i="2"/>
  <c r="E7" i="2"/>
  <c r="F7" i="2"/>
  <c r="H6" i="2"/>
  <c r="E6" i="2"/>
  <c r="H5" i="2"/>
  <c r="E5" i="2"/>
  <c r="H4" i="2"/>
  <c r="E4" i="2"/>
  <c r="H3" i="2"/>
  <c r="E3" i="2"/>
  <c r="H2" i="2"/>
  <c r="E2" i="2"/>
  <c r="F2" i="2"/>
  <c r="E41" i="1" l="1"/>
  <c r="C41" i="1"/>
  <c r="E40" i="1"/>
  <c r="C40" i="1"/>
  <c r="E39" i="1"/>
  <c r="C39" i="1"/>
  <c r="P17" i="1" l="1"/>
  <c r="P18" i="1"/>
  <c r="P19" i="1"/>
  <c r="P20" i="1"/>
  <c r="P21" i="1"/>
  <c r="P22" i="1"/>
  <c r="P23" i="1"/>
  <c r="P24" i="1"/>
  <c r="P25" i="1"/>
  <c r="P26" i="1"/>
  <c r="P16" i="1"/>
  <c r="O16" i="1"/>
  <c r="O17" i="1"/>
  <c r="O18" i="1"/>
  <c r="O19" i="1"/>
  <c r="O20" i="1"/>
  <c r="O21" i="1"/>
  <c r="O22" i="1"/>
  <c r="O23" i="1"/>
  <c r="O24" i="1"/>
  <c r="O25" i="1"/>
  <c r="O26" i="1"/>
  <c r="N17" i="1" l="1"/>
  <c r="N18" i="1"/>
  <c r="N21" i="1"/>
  <c r="N22" i="1"/>
  <c r="N23" i="1"/>
  <c r="N24" i="1"/>
  <c r="N25" i="1"/>
  <c r="N26" i="1"/>
  <c r="N16" i="1"/>
  <c r="M17" i="1"/>
  <c r="M18" i="1"/>
  <c r="M22" i="1"/>
  <c r="M23" i="1"/>
  <c r="M24" i="1"/>
  <c r="M25" i="1"/>
  <c r="M26" i="1"/>
  <c r="M16" i="1"/>
</calcChain>
</file>

<file path=xl/sharedStrings.xml><?xml version="1.0" encoding="utf-8"?>
<sst xmlns="http://schemas.openxmlformats.org/spreadsheetml/2006/main" count="103" uniqueCount="60">
  <si>
    <t>图片</t>
    <phoneticPr fontId="1" type="noConversion"/>
  </si>
  <si>
    <t>pic_new1</t>
    <phoneticPr fontId="1" type="noConversion"/>
  </si>
  <si>
    <t>pic_new2</t>
    <phoneticPr fontId="1" type="noConversion"/>
  </si>
  <si>
    <t>pic_new3</t>
  </si>
  <si>
    <t>pic_new4</t>
  </si>
  <si>
    <t>pic_new5</t>
  </si>
  <si>
    <t>pic_new6</t>
  </si>
  <si>
    <t>pic_new7</t>
  </si>
  <si>
    <t>pic_new8</t>
  </si>
  <si>
    <t>pic_new9</t>
  </si>
  <si>
    <t>pic_new10</t>
  </si>
  <si>
    <t>pic_new11</t>
  </si>
  <si>
    <t>实际距离</t>
    <phoneticPr fontId="1" type="noConversion"/>
  </si>
  <si>
    <t>小孔1（平行）</t>
    <phoneticPr fontId="1" type="noConversion"/>
  </si>
  <si>
    <t>小孔2（垂直）</t>
    <phoneticPr fontId="1" type="noConversion"/>
  </si>
  <si>
    <t>最小周长</t>
    <phoneticPr fontId="1" type="noConversion"/>
  </si>
  <si>
    <t>最大周长</t>
    <phoneticPr fontId="1" type="noConversion"/>
  </si>
  <si>
    <t>最小面积</t>
    <phoneticPr fontId="1" type="noConversion"/>
  </si>
  <si>
    <t>最大面积</t>
    <phoneticPr fontId="1" type="noConversion"/>
  </si>
  <si>
    <t>二值化阈值</t>
    <phoneticPr fontId="1" type="noConversion"/>
  </si>
  <si>
    <t>未测出</t>
    <phoneticPr fontId="1" type="noConversion"/>
  </si>
  <si>
    <t>小孔1拟合度</t>
    <phoneticPr fontId="1" type="noConversion"/>
  </si>
  <si>
    <t>小孔2拟合度</t>
    <phoneticPr fontId="1" type="noConversion"/>
  </si>
  <si>
    <t>拟合椭圆</t>
    <phoneticPr fontId="1" type="noConversion"/>
  </si>
  <si>
    <t>RANSAC</t>
    <phoneticPr fontId="1" type="noConversion"/>
  </si>
  <si>
    <t>3像素以内认定是完美匹配</t>
    <phoneticPr fontId="1" type="noConversion"/>
  </si>
  <si>
    <t>4.8/4.8</t>
    <phoneticPr fontId="1" type="noConversion"/>
  </si>
  <si>
    <t xml:space="preserve">  </t>
    <phoneticPr fontId="1" type="noConversion"/>
  </si>
  <si>
    <t>小孔1像素数目</t>
    <phoneticPr fontId="1" type="noConversion"/>
  </si>
  <si>
    <t>小孔2像素数目</t>
    <phoneticPr fontId="1" type="noConversion"/>
  </si>
  <si>
    <t>小孔1新距离</t>
    <phoneticPr fontId="1" type="noConversion"/>
  </si>
  <si>
    <t>小孔2新距离</t>
    <phoneticPr fontId="1" type="noConversion"/>
  </si>
  <si>
    <t>亚像素</t>
    <phoneticPr fontId="1" type="noConversion"/>
  </si>
  <si>
    <t>p40</t>
    <phoneticPr fontId="1" type="noConversion"/>
  </si>
  <si>
    <t>标定</t>
    <phoneticPr fontId="1" type="noConversion"/>
  </si>
  <si>
    <t xml:space="preserve">         </t>
    <phoneticPr fontId="1" type="noConversion"/>
  </si>
  <si>
    <t>显微镜</t>
    <phoneticPr fontId="1" type="noConversion"/>
  </si>
  <si>
    <t>算法测量值</t>
    <phoneticPr fontId="1" type="noConversion"/>
  </si>
  <si>
    <t>显微镜测量值/拟合圆</t>
    <phoneticPr fontId="1" type="noConversion"/>
  </si>
  <si>
    <t>显微镜测量值/直线</t>
    <phoneticPr fontId="1" type="noConversion"/>
  </si>
  <si>
    <t>误差</t>
    <phoneticPr fontId="1" type="noConversion"/>
  </si>
  <si>
    <t>小孔</t>
    <phoneticPr fontId="1" type="noConversion"/>
  </si>
  <si>
    <t>算法测量像素数目</t>
    <phoneticPr fontId="1" type="noConversion"/>
  </si>
  <si>
    <t>标定结果mm/pixel</t>
    <phoneticPr fontId="1" type="noConversion"/>
  </si>
  <si>
    <t>显微镜测量值/直线/mm</t>
    <phoneticPr fontId="1" type="noConversion"/>
  </si>
  <si>
    <t>显微镜测量值/拟合圆/mm</t>
    <phoneticPr fontId="1" type="noConversion"/>
  </si>
  <si>
    <t>算法测量值/mm</t>
    <phoneticPr fontId="1" type="noConversion"/>
  </si>
  <si>
    <t>26垂直</t>
    <phoneticPr fontId="1" type="noConversion"/>
  </si>
  <si>
    <t>次数</t>
    <phoneticPr fontId="1" type="noConversion"/>
  </si>
  <si>
    <t>选取图片数量</t>
    <phoneticPr fontId="1" type="noConversion"/>
  </si>
  <si>
    <t>26平行</t>
    <phoneticPr fontId="1" type="noConversion"/>
  </si>
  <si>
    <t>89垂直</t>
    <phoneticPr fontId="1" type="noConversion"/>
  </si>
  <si>
    <t>32垂直</t>
    <phoneticPr fontId="1" type="noConversion"/>
  </si>
  <si>
    <t>误差毫米数</t>
    <phoneticPr fontId="1" type="noConversion"/>
  </si>
  <si>
    <t>软件人工测量值/mm</t>
    <phoneticPr fontId="1" type="noConversion"/>
  </si>
  <si>
    <t>26--1</t>
    <phoneticPr fontId="1" type="noConversion"/>
  </si>
  <si>
    <t>误差/mm</t>
    <phoneticPr fontId="1" type="noConversion"/>
  </si>
  <si>
    <t xml:space="preserve"> 26--2</t>
    <phoneticPr fontId="1" type="noConversion"/>
  </si>
  <si>
    <t>89--1</t>
    <phoneticPr fontId="1" type="noConversion"/>
  </si>
  <si>
    <t>92--1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</si>
</sst>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25" workbookViewId="0">
      <selection activeCell="B38" sqref="B38:E38"/>
    </sheetView>
  </sheetViews>
  <sheetFormatPr defaultRowHeight="14.25" x14ac:dyDescent="0.2"/>
  <cols>
    <col min="2" max="2" width="14.125" bestFit="1" customWidth="1"/>
    <col min="3" max="3" width="20.125" bestFit="1" customWidth="1"/>
    <col min="4" max="4" width="18" bestFit="1" customWidth="1"/>
    <col min="9" max="9" width="11" bestFit="1" customWidth="1"/>
    <col min="10" max="10" width="14.125" bestFit="1" customWidth="1"/>
    <col min="11" max="11" width="13" bestFit="1" customWidth="1"/>
    <col min="12" max="12" width="24.5" bestFit="1" customWidth="1"/>
    <col min="13" max="14" width="14.125" bestFit="1" customWidth="1"/>
    <col min="15" max="16" width="12.75" bestFit="1" customWidth="1"/>
  </cols>
  <sheetData>
    <row r="1" spans="1:16" x14ac:dyDescent="0.2">
      <c r="A1" t="s">
        <v>23</v>
      </c>
    </row>
    <row r="2" spans="1:16" x14ac:dyDescent="0.2">
      <c r="A2" t="s">
        <v>0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25</v>
      </c>
    </row>
    <row r="3" spans="1:16" x14ac:dyDescent="0.2">
      <c r="A3" t="s">
        <v>1</v>
      </c>
      <c r="B3">
        <v>5.1314099999999998</v>
      </c>
      <c r="C3">
        <v>5.08453</v>
      </c>
      <c r="D3" t="s">
        <v>26</v>
      </c>
      <c r="E3">
        <v>290</v>
      </c>
      <c r="F3">
        <v>650</v>
      </c>
      <c r="G3">
        <v>200</v>
      </c>
      <c r="H3">
        <v>29999</v>
      </c>
      <c r="I3">
        <v>140</v>
      </c>
      <c r="J3">
        <v>0.93181800000000004</v>
      </c>
      <c r="K3">
        <v>0.94791700000000001</v>
      </c>
    </row>
    <row r="4" spans="1:16" x14ac:dyDescent="0.2">
      <c r="A4" t="s">
        <v>2</v>
      </c>
      <c r="B4">
        <v>5.0709299999999997</v>
      </c>
      <c r="C4">
        <v>4.9435200000000004</v>
      </c>
      <c r="E4">
        <v>290</v>
      </c>
      <c r="F4">
        <v>650</v>
      </c>
      <c r="G4">
        <v>200</v>
      </c>
      <c r="H4">
        <v>29999</v>
      </c>
      <c r="I4">
        <v>140</v>
      </c>
      <c r="J4">
        <v>0.63333300000000003</v>
      </c>
      <c r="K4">
        <v>0.86538499999999996</v>
      </c>
    </row>
    <row r="5" spans="1:16" x14ac:dyDescent="0.2">
      <c r="A5" t="s">
        <v>3</v>
      </c>
      <c r="B5">
        <v>5.1158900000000003</v>
      </c>
      <c r="C5">
        <v>4.9075199999999999</v>
      </c>
      <c r="E5">
        <v>290</v>
      </c>
      <c r="F5">
        <v>650</v>
      </c>
      <c r="G5">
        <v>200</v>
      </c>
      <c r="H5">
        <v>29999</v>
      </c>
      <c r="I5">
        <v>135</v>
      </c>
      <c r="J5">
        <v>0.96694199999999997</v>
      </c>
      <c r="K5">
        <v>0.77173899999999995</v>
      </c>
    </row>
    <row r="6" spans="1:16" x14ac:dyDescent="0.2">
      <c r="A6" t="s">
        <v>4</v>
      </c>
      <c r="B6" s="6" t="s">
        <v>20</v>
      </c>
      <c r="C6" s="6"/>
      <c r="D6" s="6"/>
      <c r="E6" s="6"/>
      <c r="F6" s="6"/>
      <c r="G6" s="6"/>
      <c r="H6" s="6"/>
      <c r="I6" s="6"/>
      <c r="J6" s="6"/>
      <c r="K6" s="6"/>
    </row>
    <row r="7" spans="1:16" x14ac:dyDescent="0.2">
      <c r="A7" t="s">
        <v>5</v>
      </c>
      <c r="B7" s="6" t="s">
        <v>20</v>
      </c>
      <c r="C7" s="6"/>
      <c r="D7" s="6"/>
      <c r="E7" s="6"/>
      <c r="F7" s="6"/>
      <c r="G7" s="6"/>
      <c r="H7" s="6"/>
      <c r="I7" s="6"/>
      <c r="J7" s="6"/>
      <c r="K7" s="6"/>
    </row>
    <row r="8" spans="1:16" x14ac:dyDescent="0.2">
      <c r="A8" t="s">
        <v>6</v>
      </c>
      <c r="B8" t="s">
        <v>20</v>
      </c>
      <c r="C8">
        <v>4.9604400000000002</v>
      </c>
      <c r="E8">
        <v>290</v>
      </c>
      <c r="F8">
        <v>650</v>
      </c>
      <c r="G8">
        <v>200</v>
      </c>
      <c r="H8">
        <v>29999</v>
      </c>
      <c r="I8">
        <v>120</v>
      </c>
      <c r="K8">
        <v>0.91880300000000004</v>
      </c>
    </row>
    <row r="9" spans="1:16" x14ac:dyDescent="0.2">
      <c r="A9" t="s">
        <v>7</v>
      </c>
      <c r="B9">
        <v>5.0059100000000001</v>
      </c>
      <c r="C9">
        <v>4.9595500000000001</v>
      </c>
      <c r="E9">
        <v>290</v>
      </c>
      <c r="F9">
        <v>650</v>
      </c>
      <c r="G9">
        <v>200</v>
      </c>
      <c r="H9">
        <v>29999</v>
      </c>
      <c r="I9">
        <v>135</v>
      </c>
      <c r="J9">
        <v>0.875</v>
      </c>
      <c r="K9">
        <v>0.94230800000000003</v>
      </c>
    </row>
    <row r="10" spans="1:16" x14ac:dyDescent="0.2">
      <c r="A10" t="s">
        <v>8</v>
      </c>
      <c r="B10">
        <v>5.1519500000000003</v>
      </c>
      <c r="C10">
        <v>5.0010000000000003</v>
      </c>
      <c r="E10">
        <v>290</v>
      </c>
      <c r="F10">
        <v>650</v>
      </c>
      <c r="G10">
        <v>200</v>
      </c>
      <c r="H10">
        <v>29999</v>
      </c>
      <c r="I10">
        <v>135</v>
      </c>
      <c r="J10">
        <v>0.72107399999999999</v>
      </c>
      <c r="K10">
        <v>0.93644099999999997</v>
      </c>
    </row>
    <row r="11" spans="1:16" x14ac:dyDescent="0.2">
      <c r="A11" t="s">
        <v>9</v>
      </c>
      <c r="B11">
        <v>4.8900600000000001</v>
      </c>
      <c r="C11">
        <v>4.9416900000000004</v>
      </c>
      <c r="E11">
        <v>290</v>
      </c>
      <c r="F11">
        <v>650</v>
      </c>
      <c r="G11">
        <v>200</v>
      </c>
      <c r="H11">
        <v>29999</v>
      </c>
      <c r="I11">
        <v>165</v>
      </c>
      <c r="J11">
        <v>0.83913000000000004</v>
      </c>
      <c r="K11">
        <v>0.97222200000000003</v>
      </c>
    </row>
    <row r="12" spans="1:16" x14ac:dyDescent="0.2">
      <c r="A12" t="s">
        <v>10</v>
      </c>
      <c r="B12">
        <v>4.9599099999999998</v>
      </c>
      <c r="C12">
        <v>5.0050299999999996</v>
      </c>
      <c r="E12">
        <v>290</v>
      </c>
      <c r="F12">
        <v>650</v>
      </c>
      <c r="G12">
        <v>200</v>
      </c>
      <c r="H12">
        <v>29999</v>
      </c>
      <c r="I12">
        <v>145</v>
      </c>
      <c r="J12">
        <v>0.91025599999999995</v>
      </c>
      <c r="K12">
        <v>0.96398300000000003</v>
      </c>
    </row>
    <row r="13" spans="1:16" x14ac:dyDescent="0.2">
      <c r="A13" t="s">
        <v>11</v>
      </c>
      <c r="B13">
        <v>5.0463699999999996</v>
      </c>
      <c r="C13">
        <v>5.0638500000000004</v>
      </c>
      <c r="E13">
        <v>290</v>
      </c>
      <c r="F13">
        <v>650</v>
      </c>
      <c r="G13">
        <v>200</v>
      </c>
      <c r="H13">
        <v>29999</v>
      </c>
      <c r="I13">
        <v>138</v>
      </c>
      <c r="J13">
        <v>0.85805100000000001</v>
      </c>
      <c r="K13">
        <v>0.97780299999999998</v>
      </c>
    </row>
    <row r="14" spans="1:16" x14ac:dyDescent="0.2">
      <c r="A14" t="s">
        <v>24</v>
      </c>
    </row>
    <row r="15" spans="1:16" x14ac:dyDescent="0.2">
      <c r="A15" t="s">
        <v>0</v>
      </c>
      <c r="B15" t="s">
        <v>13</v>
      </c>
      <c r="C15" t="s">
        <v>14</v>
      </c>
      <c r="D15" t="s">
        <v>12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21</v>
      </c>
      <c r="K15" t="s">
        <v>22</v>
      </c>
      <c r="M15" t="s">
        <v>28</v>
      </c>
      <c r="N15" t="s">
        <v>29</v>
      </c>
      <c r="O15" t="s">
        <v>30</v>
      </c>
      <c r="P15" t="s">
        <v>31</v>
      </c>
    </row>
    <row r="16" spans="1:16" x14ac:dyDescent="0.2">
      <c r="A16" t="s">
        <v>1</v>
      </c>
      <c r="B16">
        <v>5.2192119999999997</v>
      </c>
      <c r="C16">
        <v>5.1639049999999997</v>
      </c>
      <c r="E16">
        <v>290</v>
      </c>
      <c r="F16">
        <v>650</v>
      </c>
      <c r="G16">
        <v>200</v>
      </c>
      <c r="H16">
        <v>29999</v>
      </c>
      <c r="I16">
        <v>140</v>
      </c>
      <c r="J16">
        <v>0.94834700000000005</v>
      </c>
      <c r="K16">
        <v>0.97082999999999997</v>
      </c>
      <c r="M16">
        <f>B16/0.0303331/2</f>
        <v>86.031628814727142</v>
      </c>
      <c r="N16">
        <f>C16/0.0303331/2</f>
        <v>85.119967955797449</v>
      </c>
      <c r="O16">
        <f>M16*0.0257072*2</f>
        <v>4.4232645765319072</v>
      </c>
      <c r="P16">
        <f>N16*0.0257072*2</f>
        <v>4.3763920804665526</v>
      </c>
    </row>
    <row r="17" spans="1:16" x14ac:dyDescent="0.2">
      <c r="A17" t="s">
        <v>2</v>
      </c>
      <c r="B17">
        <v>5.2934700000000001</v>
      </c>
      <c r="C17">
        <v>5.0517399999999997</v>
      </c>
      <c r="E17">
        <v>290</v>
      </c>
      <c r="F17">
        <v>650</v>
      </c>
      <c r="G17">
        <v>200</v>
      </c>
      <c r="H17">
        <v>29999</v>
      </c>
      <c r="I17">
        <v>140</v>
      </c>
      <c r="J17">
        <v>0.930894</v>
      </c>
      <c r="K17">
        <v>0.88888900000000004</v>
      </c>
      <c r="M17">
        <f t="shared" ref="M17:M26" si="0">B17/0.0303331/2</f>
        <v>87.255671197470747</v>
      </c>
      <c r="N17">
        <f t="shared" ref="N17:N26" si="1">C17/0.0303331/2</f>
        <v>83.271080107209599</v>
      </c>
      <c r="O17">
        <f t="shared" ref="O17:O26" si="2">M17*0.0257072*2</f>
        <v>4.4861979812152395</v>
      </c>
      <c r="P17">
        <f t="shared" ref="P17:P26" si="3">N17*0.0257072*2</f>
        <v>4.2813326210641174</v>
      </c>
    </row>
    <row r="18" spans="1:16" x14ac:dyDescent="0.2">
      <c r="A18" t="s">
        <v>3</v>
      </c>
      <c r="B18">
        <v>5.2205539999999999</v>
      </c>
      <c r="C18">
        <v>5.0269469999999998</v>
      </c>
      <c r="E18">
        <v>290</v>
      </c>
      <c r="F18">
        <v>650</v>
      </c>
      <c r="G18">
        <v>200</v>
      </c>
      <c r="H18">
        <v>29999</v>
      </c>
      <c r="I18">
        <v>135</v>
      </c>
      <c r="J18">
        <v>0.96281000000000005</v>
      </c>
      <c r="K18">
        <v>0.84565199999999996</v>
      </c>
      <c r="M18">
        <f t="shared" si="0"/>
        <v>86.05374986400993</v>
      </c>
      <c r="N18">
        <f t="shared" si="1"/>
        <v>82.862401139349416</v>
      </c>
      <c r="O18">
        <f t="shared" si="2"/>
        <v>4.4244019170081517</v>
      </c>
      <c r="P18">
        <f t="shared" si="3"/>
        <v>4.2603206371389666</v>
      </c>
    </row>
    <row r="19" spans="1:16" x14ac:dyDescent="0.2">
      <c r="A19" t="s">
        <v>4</v>
      </c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/>
      <c r="O19">
        <f t="shared" si="2"/>
        <v>0</v>
      </c>
      <c r="P19">
        <f t="shared" si="3"/>
        <v>0</v>
      </c>
    </row>
    <row r="20" spans="1:16" x14ac:dyDescent="0.2">
      <c r="A20" t="s">
        <v>5</v>
      </c>
      <c r="B20" s="6" t="s">
        <v>20</v>
      </c>
      <c r="C20" s="6"/>
      <c r="D20" s="6"/>
      <c r="E20" s="6"/>
      <c r="F20" s="6"/>
      <c r="G20" s="6"/>
      <c r="H20" s="6"/>
      <c r="I20" s="6"/>
      <c r="J20" s="6"/>
      <c r="K20" s="6"/>
      <c r="O20">
        <f t="shared" si="2"/>
        <v>0</v>
      </c>
      <c r="P20">
        <f t="shared" si="3"/>
        <v>0</v>
      </c>
    </row>
    <row r="21" spans="1:16" x14ac:dyDescent="0.2">
      <c r="A21" t="s">
        <v>6</v>
      </c>
      <c r="B21" t="s">
        <v>20</v>
      </c>
      <c r="C21">
        <v>5.1066700000000003</v>
      </c>
      <c r="E21">
        <v>290</v>
      </c>
      <c r="F21">
        <v>650</v>
      </c>
      <c r="G21">
        <v>200</v>
      </c>
      <c r="H21">
        <v>29999</v>
      </c>
      <c r="I21">
        <v>120</v>
      </c>
      <c r="K21">
        <v>0.96610200000000002</v>
      </c>
      <c r="N21">
        <f t="shared" si="1"/>
        <v>84.176526632622455</v>
      </c>
      <c r="O21">
        <f t="shared" si="2"/>
        <v>0</v>
      </c>
      <c r="P21">
        <f t="shared" si="3"/>
        <v>4.3278856109003039</v>
      </c>
    </row>
    <row r="22" spans="1:16" x14ac:dyDescent="0.2">
      <c r="A22" t="s">
        <v>7</v>
      </c>
      <c r="B22">
        <v>5.1195130000000004</v>
      </c>
      <c r="C22">
        <v>5.1146440000000002</v>
      </c>
      <c r="E22">
        <v>290</v>
      </c>
      <c r="F22">
        <v>650</v>
      </c>
      <c r="G22">
        <v>200</v>
      </c>
      <c r="H22">
        <v>29999</v>
      </c>
      <c r="I22">
        <v>135</v>
      </c>
      <c r="J22">
        <v>0.875</v>
      </c>
      <c r="K22">
        <v>0.96610200000000002</v>
      </c>
      <c r="M22">
        <f t="shared" si="0"/>
        <v>84.388226063277415</v>
      </c>
      <c r="N22">
        <f t="shared" si="1"/>
        <v>84.307967204143324</v>
      </c>
      <c r="O22">
        <f t="shared" si="2"/>
        <v>4.33877001010777</v>
      </c>
      <c r="P22">
        <f t="shared" si="3"/>
        <v>4.334643549020706</v>
      </c>
    </row>
    <row r="23" spans="1:16" x14ac:dyDescent="0.2">
      <c r="A23" t="s">
        <v>8</v>
      </c>
      <c r="B23">
        <v>5.1597569999999999</v>
      </c>
      <c r="C23">
        <v>5.1489200000000004</v>
      </c>
      <c r="E23">
        <v>290</v>
      </c>
      <c r="F23">
        <v>650</v>
      </c>
      <c r="G23">
        <v>200</v>
      </c>
      <c r="H23">
        <v>29999</v>
      </c>
      <c r="I23">
        <v>135</v>
      </c>
      <c r="J23">
        <v>0.875</v>
      </c>
      <c r="K23">
        <v>0.95338999999999996</v>
      </c>
      <c r="M23">
        <f t="shared" si="0"/>
        <v>85.051593803468805</v>
      </c>
      <c r="N23">
        <f t="shared" si="1"/>
        <v>84.872960561235089</v>
      </c>
      <c r="O23">
        <f t="shared" si="2"/>
        <v>4.3728766644490662</v>
      </c>
      <c r="P23">
        <f t="shared" si="3"/>
        <v>4.3636923434795651</v>
      </c>
    </row>
    <row r="24" spans="1:16" x14ac:dyDescent="0.2">
      <c r="A24" t="s">
        <v>9</v>
      </c>
      <c r="B24">
        <v>5.075825</v>
      </c>
      <c r="C24">
        <v>5.0452300000000001</v>
      </c>
      <c r="E24">
        <v>290</v>
      </c>
      <c r="F24">
        <v>650</v>
      </c>
      <c r="G24">
        <v>200</v>
      </c>
      <c r="H24">
        <v>29999</v>
      </c>
      <c r="I24">
        <v>165</v>
      </c>
      <c r="J24">
        <v>0.85683799999999999</v>
      </c>
      <c r="K24">
        <v>0.95940199999999998</v>
      </c>
      <c r="L24" t="s">
        <v>27</v>
      </c>
      <c r="M24">
        <f t="shared" si="0"/>
        <v>83.668088655627017</v>
      </c>
      <c r="N24">
        <f t="shared" si="1"/>
        <v>83.163771589451784</v>
      </c>
      <c r="O24">
        <f t="shared" si="2"/>
        <v>4.30174457737587</v>
      </c>
      <c r="P24">
        <f t="shared" si="3"/>
        <v>4.27581541800871</v>
      </c>
    </row>
    <row r="25" spans="1:16" x14ac:dyDescent="0.2">
      <c r="A25" t="s">
        <v>10</v>
      </c>
      <c r="B25">
        <v>5.1316199999999998</v>
      </c>
      <c r="C25">
        <v>5.1267269999999998</v>
      </c>
      <c r="E25">
        <v>290</v>
      </c>
      <c r="F25">
        <v>650</v>
      </c>
      <c r="G25">
        <v>200</v>
      </c>
      <c r="H25">
        <v>29999</v>
      </c>
      <c r="I25">
        <v>145</v>
      </c>
      <c r="J25">
        <v>0.93855900000000003</v>
      </c>
      <c r="K25">
        <v>0.96398300000000003</v>
      </c>
      <c r="M25">
        <f t="shared" si="0"/>
        <v>84.587793532477718</v>
      </c>
      <c r="N25">
        <f t="shared" si="1"/>
        <v>84.507139065904894</v>
      </c>
      <c r="O25">
        <f t="shared" si="2"/>
        <v>4.3490306517962223</v>
      </c>
      <c r="P25">
        <f t="shared" si="3"/>
        <v>4.3448838507900609</v>
      </c>
    </row>
    <row r="26" spans="1:16" x14ac:dyDescent="0.2">
      <c r="A26" t="s">
        <v>11</v>
      </c>
      <c r="B26">
        <v>5.1698389999999996</v>
      </c>
      <c r="C26">
        <v>5.1678009999999999</v>
      </c>
      <c r="E26">
        <v>290</v>
      </c>
      <c r="F26">
        <v>650</v>
      </c>
      <c r="G26">
        <v>200</v>
      </c>
      <c r="H26">
        <v>29999</v>
      </c>
      <c r="I26">
        <v>138</v>
      </c>
      <c r="J26">
        <v>0.93125000000000002</v>
      </c>
      <c r="K26">
        <v>0.95833299999999999</v>
      </c>
      <c r="M26">
        <f t="shared" si="0"/>
        <v>85.217781895025553</v>
      </c>
      <c r="N26">
        <f t="shared" si="1"/>
        <v>85.184188230019345</v>
      </c>
      <c r="O26">
        <f t="shared" si="2"/>
        <v>4.3814211254636017</v>
      </c>
      <c r="P26">
        <f t="shared" si="3"/>
        <v>4.3796939273335065</v>
      </c>
    </row>
    <row r="27" spans="1:16" x14ac:dyDescent="0.2">
      <c r="A27" t="s">
        <v>32</v>
      </c>
    </row>
    <row r="28" spans="1:16" x14ac:dyDescent="0.2">
      <c r="A28" t="s">
        <v>0</v>
      </c>
      <c r="B28" t="s">
        <v>13</v>
      </c>
      <c r="C28" t="s">
        <v>14</v>
      </c>
      <c r="D28" t="s">
        <v>12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28</v>
      </c>
      <c r="K28" t="s">
        <v>29</v>
      </c>
      <c r="L28" t="s">
        <v>34</v>
      </c>
    </row>
    <row r="29" spans="1:16" x14ac:dyDescent="0.2">
      <c r="A29" t="s">
        <v>33</v>
      </c>
      <c r="B29">
        <v>4.1720899999999999</v>
      </c>
      <c r="C29">
        <v>4.1851099999999999</v>
      </c>
      <c r="E29">
        <v>290</v>
      </c>
      <c r="F29">
        <v>650</v>
      </c>
      <c r="G29">
        <v>200</v>
      </c>
      <c r="H29">
        <v>29999</v>
      </c>
      <c r="I29">
        <v>115</v>
      </c>
      <c r="J29">
        <v>147.512</v>
      </c>
      <c r="K29">
        <v>147.97300000000001</v>
      </c>
      <c r="L29">
        <v>2.8282999999999999E-2</v>
      </c>
    </row>
    <row r="30" spans="1:16" x14ac:dyDescent="0.2">
      <c r="A30">
        <v>1</v>
      </c>
      <c r="B30">
        <v>4.1820279999999999</v>
      </c>
      <c r="C30">
        <v>4.2140510000000004</v>
      </c>
      <c r="E30">
        <v>290</v>
      </c>
      <c r="F30">
        <v>650</v>
      </c>
      <c r="G30">
        <v>200</v>
      </c>
      <c r="H30">
        <v>29999</v>
      </c>
      <c r="I30">
        <v>115</v>
      </c>
      <c r="J30">
        <v>147.846</v>
      </c>
      <c r="K30">
        <v>148.99600000000001</v>
      </c>
    </row>
    <row r="31" spans="1:16" x14ac:dyDescent="0.2">
      <c r="A31">
        <v>2</v>
      </c>
      <c r="B31">
        <v>4.2137399999999996</v>
      </c>
      <c r="C31">
        <v>4.1887100000000004</v>
      </c>
      <c r="E31">
        <v>290</v>
      </c>
      <c r="F31">
        <v>650</v>
      </c>
      <c r="G31">
        <v>200</v>
      </c>
      <c r="H31">
        <v>29999</v>
      </c>
      <c r="I31">
        <v>115</v>
      </c>
      <c r="J31">
        <v>148.98500000000001</v>
      </c>
      <c r="K31">
        <v>148.1</v>
      </c>
    </row>
    <row r="32" spans="1:16" x14ac:dyDescent="0.2">
      <c r="A32">
        <v>3</v>
      </c>
      <c r="B32" s="1"/>
      <c r="C32" s="1"/>
      <c r="D32" s="1"/>
      <c r="E32">
        <v>290</v>
      </c>
      <c r="F32">
        <v>650</v>
      </c>
      <c r="G32">
        <v>200</v>
      </c>
      <c r="H32">
        <v>29999</v>
      </c>
      <c r="I32">
        <v>115</v>
      </c>
      <c r="J32" s="1">
        <v>145.477</v>
      </c>
      <c r="K32" s="1">
        <v>139.97499999999999</v>
      </c>
    </row>
    <row r="33" spans="1:11" x14ac:dyDescent="0.2">
      <c r="A33">
        <v>4</v>
      </c>
      <c r="B33" s="1">
        <v>4.1162700000000001</v>
      </c>
      <c r="C33" s="1">
        <v>4.1917900000000001</v>
      </c>
      <c r="D33" s="1"/>
      <c r="E33" s="1"/>
      <c r="F33" s="1"/>
      <c r="G33" s="1"/>
      <c r="H33" s="1"/>
      <c r="I33" s="1"/>
      <c r="J33" s="1">
        <v>145.53899999999999</v>
      </c>
      <c r="K33" s="1">
        <v>148.209</v>
      </c>
    </row>
    <row r="34" spans="1:11" x14ac:dyDescent="0.2">
      <c r="A34">
        <v>5</v>
      </c>
      <c r="B34" s="1">
        <v>4.2236599999999997</v>
      </c>
      <c r="C34" s="1">
        <v>4.1654200000000001</v>
      </c>
      <c r="J34" s="1">
        <v>149.33500000000001</v>
      </c>
      <c r="K34" s="1">
        <v>147.27699999999999</v>
      </c>
    </row>
    <row r="35" spans="1:11" x14ac:dyDescent="0.2">
      <c r="A35">
        <v>6</v>
      </c>
      <c r="B35" t="s">
        <v>35</v>
      </c>
    </row>
    <row r="36" spans="1:11" x14ac:dyDescent="0.2">
      <c r="A36">
        <v>7</v>
      </c>
    </row>
    <row r="37" spans="1:11" x14ac:dyDescent="0.2">
      <c r="A37" t="s">
        <v>36</v>
      </c>
    </row>
    <row r="38" spans="1:11" x14ac:dyDescent="0.2">
      <c r="B38" t="s">
        <v>37</v>
      </c>
      <c r="C38" t="s">
        <v>38</v>
      </c>
      <c r="D38" t="s">
        <v>39</v>
      </c>
      <c r="E38" t="s">
        <v>40</v>
      </c>
    </row>
    <row r="39" spans="1:11" x14ac:dyDescent="0.2">
      <c r="A39">
        <v>1</v>
      </c>
      <c r="B39">
        <v>4.3009320000000004</v>
      </c>
      <c r="C39">
        <f>2.151*2</f>
        <v>4.3019999999999996</v>
      </c>
      <c r="D39">
        <v>4.2990000000000004</v>
      </c>
      <c r="E39" s="2">
        <f>ABS(B39-(C39+D39)/2)/((C39+D39)/2)</f>
        <v>1.0045343564722153E-4</v>
      </c>
    </row>
    <row r="40" spans="1:11" x14ac:dyDescent="0.2">
      <c r="A40">
        <v>2</v>
      </c>
      <c r="B40">
        <v>3.4835769999999999</v>
      </c>
      <c r="C40">
        <f>1.752*2</f>
        <v>3.504</v>
      </c>
      <c r="D40">
        <v>3.4889999999999999</v>
      </c>
      <c r="E40" s="2">
        <f>ABS(B40-(C40+D40)/2)/((C40+D40)/2)</f>
        <v>3.6959816959817645E-3</v>
      </c>
    </row>
    <row r="41" spans="1:11" x14ac:dyDescent="0.2">
      <c r="A41">
        <v>3</v>
      </c>
      <c r="B41">
        <v>3.5006539999999999</v>
      </c>
      <c r="C41">
        <f>1.751*2</f>
        <v>3.5019999999999998</v>
      </c>
      <c r="D41">
        <v>3.5049999999999999</v>
      </c>
      <c r="E41" s="2">
        <f>ABS(B41-(C41+D41)/2)/((C41+D41)/2)</f>
        <v>8.1233052661621363E-4</v>
      </c>
    </row>
  </sheetData>
  <mergeCells count="4">
    <mergeCell ref="B20:K20"/>
    <mergeCell ref="B6:K6"/>
    <mergeCell ref="B7:K7"/>
    <mergeCell ref="B19:K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E07-5EBB-4816-8069-D1B9D986B7B7}">
  <dimension ref="A1:K24"/>
  <sheetViews>
    <sheetView workbookViewId="0">
      <selection sqref="A1:D1"/>
    </sheetView>
  </sheetViews>
  <sheetFormatPr defaultRowHeight="14.25" x14ac:dyDescent="0.2"/>
  <cols>
    <col min="1" max="1" width="7.25" bestFit="1" customWidth="1"/>
    <col min="2" max="3" width="11" bestFit="1" customWidth="1"/>
    <col min="4" max="4" width="15.375" bestFit="1" customWidth="1"/>
    <col min="5" max="5" width="17.25" bestFit="1" customWidth="1"/>
    <col min="6" max="6" width="24.5" bestFit="1" customWidth="1"/>
    <col min="7" max="7" width="22.5" bestFit="1" customWidth="1"/>
    <col min="8" max="8" width="6.875" style="2" bestFit="1" customWidth="1"/>
    <col min="9" max="9" width="11" bestFit="1" customWidth="1"/>
    <col min="10" max="10" width="17.5" bestFit="1" customWidth="1"/>
    <col min="11" max="11" width="13" bestFit="1" customWidth="1"/>
  </cols>
  <sheetData>
    <row r="1" spans="1:11" x14ac:dyDescent="0.2">
      <c r="A1" s="3" t="s">
        <v>41</v>
      </c>
      <c r="B1" s="3" t="s">
        <v>48</v>
      </c>
      <c r="C1" s="3" t="s">
        <v>19</v>
      </c>
      <c r="D1" s="3" t="s">
        <v>46</v>
      </c>
      <c r="E1" s="3" t="s">
        <v>42</v>
      </c>
      <c r="F1" s="3" t="s">
        <v>45</v>
      </c>
      <c r="G1" s="3" t="s">
        <v>44</v>
      </c>
      <c r="H1" s="5" t="s">
        <v>40</v>
      </c>
      <c r="I1" s="3" t="s">
        <v>53</v>
      </c>
      <c r="J1" s="3" t="s">
        <v>43</v>
      </c>
      <c r="K1" s="3" t="s">
        <v>49</v>
      </c>
    </row>
    <row r="2" spans="1:11" x14ac:dyDescent="0.2">
      <c r="A2" s="7" t="s">
        <v>47</v>
      </c>
      <c r="B2" s="3">
        <v>1</v>
      </c>
      <c r="C2" s="3">
        <v>100</v>
      </c>
      <c r="D2" s="3">
        <v>3.4937100000000001</v>
      </c>
      <c r="E2" s="3">
        <f>362.177*2</f>
        <v>724.35400000000004</v>
      </c>
      <c r="F2" s="7">
        <f>1.751*2</f>
        <v>3.5019999999999998</v>
      </c>
      <c r="G2" s="7">
        <v>3.5049999999999999</v>
      </c>
      <c r="H2" s="5">
        <f>ABS(D2-((F2+G2)/2))/((F2+G2)/2)</f>
        <v>2.7943485086341499E-3</v>
      </c>
      <c r="I2" s="3">
        <f>H2*((F2+G2)/2)/2</f>
        <v>4.8949999999998717E-3</v>
      </c>
      <c r="J2" s="7">
        <v>4.8232099999999997E-3</v>
      </c>
      <c r="K2" s="3">
        <v>6</v>
      </c>
    </row>
    <row r="3" spans="1:11" x14ac:dyDescent="0.2">
      <c r="A3" s="7"/>
      <c r="B3" s="3">
        <v>2</v>
      </c>
      <c r="C3" s="3">
        <v>100</v>
      </c>
      <c r="D3" s="3">
        <v>3.4931399999999999</v>
      </c>
      <c r="E3" s="3">
        <f>362.118*2</f>
        <v>724.23599999999999</v>
      </c>
      <c r="F3" s="7"/>
      <c r="G3" s="7"/>
      <c r="H3" s="5">
        <f>ABS(D3-((F2+G2)/2))/((F2+G2)/2)</f>
        <v>2.9570429570429358E-3</v>
      </c>
      <c r="I3" s="3">
        <f>H3*((F2+G2)/2)/2</f>
        <v>5.1799999999999624E-3</v>
      </c>
      <c r="J3" s="7"/>
      <c r="K3" s="3">
        <v>6</v>
      </c>
    </row>
    <row r="4" spans="1:11" x14ac:dyDescent="0.2">
      <c r="A4" s="7"/>
      <c r="B4" s="3">
        <v>3</v>
      </c>
      <c r="C4" s="3">
        <v>100</v>
      </c>
      <c r="D4" s="3">
        <v>3.5057100000000001</v>
      </c>
      <c r="E4" s="3">
        <f>363.421*2</f>
        <v>726.84199999999998</v>
      </c>
      <c r="F4" s="7"/>
      <c r="G4" s="7"/>
      <c r="H4" s="5">
        <f>ABS(D4-((F2+G2)/2))/((F2+G2)/2)</f>
        <v>6.3079777365499282E-4</v>
      </c>
      <c r="I4" s="3">
        <f>H4*((F2+G2)/2)/2</f>
        <v>1.1050000000001337E-3</v>
      </c>
      <c r="J4" s="7"/>
      <c r="K4" s="3">
        <v>6</v>
      </c>
    </row>
    <row r="5" spans="1:11" x14ac:dyDescent="0.2">
      <c r="A5" s="7"/>
      <c r="B5" s="3">
        <v>4</v>
      </c>
      <c r="C5" s="3">
        <v>100</v>
      </c>
      <c r="D5" s="3">
        <v>3.4962800000000001</v>
      </c>
      <c r="E5" s="3">
        <f>362.443*2</f>
        <v>724.88599999999997</v>
      </c>
      <c r="F5" s="7"/>
      <c r="G5" s="7"/>
      <c r="H5" s="5">
        <f>ABS(D5-((F2+G2)/2))/((F2+G2)/2)</f>
        <v>2.06079634651057E-3</v>
      </c>
      <c r="I5" s="3">
        <f>H5*((F2+G2)/2)/2</f>
        <v>3.6099999999998906E-3</v>
      </c>
      <c r="J5" s="7"/>
      <c r="K5" s="3">
        <v>6</v>
      </c>
    </row>
    <row r="6" spans="1:11" x14ac:dyDescent="0.2">
      <c r="A6" s="7"/>
      <c r="B6" s="3">
        <v>5</v>
      </c>
      <c r="C6" s="3">
        <v>90</v>
      </c>
      <c r="D6" s="3">
        <v>3.50169</v>
      </c>
      <c r="E6" s="3">
        <f>363.004*2</f>
        <v>726.00800000000004</v>
      </c>
      <c r="F6" s="7"/>
      <c r="G6" s="7"/>
      <c r="H6" s="5">
        <f>ABS(D6-((F2+G2)/2))/((F2+G2)/2)</f>
        <v>5.1662623091190739E-4</v>
      </c>
      <c r="I6" s="3">
        <f>H6*((F2+G2)/2)/2</f>
        <v>9.0499999999993374E-4</v>
      </c>
      <c r="J6" s="7"/>
      <c r="K6" s="3">
        <v>6</v>
      </c>
    </row>
    <row r="7" spans="1:11" x14ac:dyDescent="0.2">
      <c r="A7" s="7" t="s">
        <v>50</v>
      </c>
      <c r="B7" s="3">
        <v>1</v>
      </c>
      <c r="C7" s="3">
        <v>90</v>
      </c>
      <c r="D7" s="3">
        <v>3.5087100000000002</v>
      </c>
      <c r="E7" s="3">
        <f>363.732*2</f>
        <v>727.46400000000006</v>
      </c>
      <c r="F7" s="7">
        <f>1.752*2</f>
        <v>3.504</v>
      </c>
      <c r="G7" s="7">
        <v>3.4889999999999999</v>
      </c>
      <c r="H7" s="5">
        <f>ABS(D7-((F7+G7)/2))/((F7+G7)/2)</f>
        <v>3.4920634920635072E-3</v>
      </c>
      <c r="I7" s="3">
        <f t="shared" ref="I7:I17" si="0">H7*((F7+G7)/2)/2</f>
        <v>6.1050000000000271E-3</v>
      </c>
      <c r="J7" s="7"/>
      <c r="K7" s="3">
        <v>6</v>
      </c>
    </row>
    <row r="8" spans="1:11" x14ac:dyDescent="0.2">
      <c r="A8" s="7"/>
      <c r="B8" s="3">
        <v>2</v>
      </c>
      <c r="C8" s="3">
        <v>90</v>
      </c>
      <c r="D8" s="3">
        <v>3.5020899999999999</v>
      </c>
      <c r="E8" s="3">
        <f>363.064*2</f>
        <v>726.12800000000004</v>
      </c>
      <c r="F8" s="7"/>
      <c r="G8" s="7"/>
      <c r="H8" s="5">
        <f>ABS(D8-((F7+G7)/2))/((F7+G7)/2)</f>
        <v>1.5987415987415306E-3</v>
      </c>
      <c r="I8" s="3">
        <f>H8*((F7+G7)/2)/2</f>
        <v>2.7949999999998809E-3</v>
      </c>
      <c r="J8" s="7"/>
      <c r="K8" s="3">
        <v>6</v>
      </c>
    </row>
    <row r="9" spans="1:11" x14ac:dyDescent="0.2">
      <c r="A9" s="7"/>
      <c r="B9" s="3">
        <v>3</v>
      </c>
      <c r="C9" s="3">
        <v>90</v>
      </c>
      <c r="D9" s="3">
        <v>3.5027900000000001</v>
      </c>
      <c r="E9" s="3">
        <f>363.118*2</f>
        <v>726.23599999999999</v>
      </c>
      <c r="F9" s="7"/>
      <c r="G9" s="7"/>
      <c r="H9" s="5">
        <f>ABS(D9-((F7+G7)/2))/((F7+G7)/2)</f>
        <v>1.7989417989417722E-3</v>
      </c>
      <c r="I9" s="3">
        <f>H9*((F7+G7)/2)/2</f>
        <v>3.1449999999999534E-3</v>
      </c>
      <c r="J9" s="7"/>
      <c r="K9" s="3">
        <v>6</v>
      </c>
    </row>
    <row r="10" spans="1:11" x14ac:dyDescent="0.2">
      <c r="A10" s="7"/>
      <c r="B10" s="3">
        <v>4</v>
      </c>
      <c r="C10" s="3">
        <v>90</v>
      </c>
      <c r="D10" s="3">
        <v>3.504</v>
      </c>
      <c r="E10" s="3">
        <f>363.243*2</f>
        <v>726.48599999999999</v>
      </c>
      <c r="F10" s="7"/>
      <c r="G10" s="7"/>
      <c r="H10" s="5">
        <f>ABS(D10-((F7+G7)/2))/((F7+G7)/2)</f>
        <v>2.1450021450020993E-3</v>
      </c>
      <c r="I10" s="3">
        <f>H10*((F7+G7)/2)/2</f>
        <v>3.7499999999999205E-3</v>
      </c>
      <c r="J10" s="7"/>
      <c r="K10" s="3">
        <v>6</v>
      </c>
    </row>
    <row r="11" spans="1:11" x14ac:dyDescent="0.2">
      <c r="A11" s="7"/>
      <c r="B11" s="3">
        <v>5</v>
      </c>
      <c r="C11" s="3">
        <v>90</v>
      </c>
      <c r="D11" s="3">
        <v>3.4996</v>
      </c>
      <c r="E11" s="3">
        <f>362.778*2</f>
        <v>725.55600000000004</v>
      </c>
      <c r="F11" s="7"/>
      <c r="G11" s="7"/>
      <c r="H11" s="5">
        <f>ABS(D11-((F7+G7)/2))/((F7+G7)/2)</f>
        <v>8.8660088660085239E-4</v>
      </c>
      <c r="I11" s="3">
        <f>H11*((F7+G7)/2)/2</f>
        <v>1.5499999999999403E-3</v>
      </c>
      <c r="J11" s="7"/>
      <c r="K11" s="3">
        <v>6</v>
      </c>
    </row>
    <row r="12" spans="1:11" x14ac:dyDescent="0.2">
      <c r="A12" s="7" t="s">
        <v>51</v>
      </c>
      <c r="B12" s="3">
        <v>1</v>
      </c>
      <c r="C12" s="3">
        <v>70</v>
      </c>
      <c r="D12" s="3">
        <v>4.3067299999999999</v>
      </c>
      <c r="E12" s="3">
        <f>446.459*2</f>
        <v>892.91800000000001</v>
      </c>
      <c r="F12" s="7">
        <f>2.154*2</f>
        <v>4.3079999999999998</v>
      </c>
      <c r="G12" s="7">
        <v>4.3010000000000002</v>
      </c>
      <c r="H12" s="5">
        <f>ABS(D12-((F12+G12)/2))/((F12+G12)/2)</f>
        <v>5.1806249274014503E-4</v>
      </c>
      <c r="I12" s="3">
        <f t="shared" si="0"/>
        <v>1.1149999999999771E-3</v>
      </c>
      <c r="J12" s="7"/>
      <c r="K12" s="3">
        <v>6</v>
      </c>
    </row>
    <row r="13" spans="1:11" x14ac:dyDescent="0.2">
      <c r="A13" s="7"/>
      <c r="B13" s="3">
        <v>2</v>
      </c>
      <c r="C13" s="3">
        <v>70</v>
      </c>
      <c r="D13" s="3">
        <v>4.3010599999999997</v>
      </c>
      <c r="E13" s="3">
        <f>445.871*2</f>
        <v>891.74199999999996</v>
      </c>
      <c r="F13" s="7"/>
      <c r="G13" s="7"/>
      <c r="H13" s="5">
        <f>ABS(D13-((F12+G12)/2))/((F12+G12)/2)</f>
        <v>7.9916366593107946E-4</v>
      </c>
      <c r="I13" s="3">
        <f>H13*((F12+G12)/2)/2</f>
        <v>1.7200000000001658E-3</v>
      </c>
      <c r="J13" s="7"/>
      <c r="K13" s="3">
        <v>6</v>
      </c>
    </row>
    <row r="14" spans="1:11" x14ac:dyDescent="0.2">
      <c r="A14" s="7"/>
      <c r="B14" s="3">
        <v>3</v>
      </c>
      <c r="C14" s="3">
        <v>70</v>
      </c>
      <c r="D14" s="3">
        <v>4.3117999999999999</v>
      </c>
      <c r="E14" s="3">
        <f>446.985*2</f>
        <v>893.97</v>
      </c>
      <c r="F14" s="7"/>
      <c r="G14" s="7"/>
      <c r="H14" s="5">
        <f>ABS(D14-((F12+G12)/2))/((F12+G12)/2)</f>
        <v>1.6958996399116884E-3</v>
      </c>
      <c r="I14" s="3">
        <f>H14*((F12+G12)/2)/2</f>
        <v>3.6499999999999311E-3</v>
      </c>
      <c r="J14" s="7"/>
      <c r="K14" s="3">
        <v>6</v>
      </c>
    </row>
    <row r="15" spans="1:11" x14ac:dyDescent="0.2">
      <c r="A15" s="7"/>
      <c r="B15" s="3">
        <v>4</v>
      </c>
      <c r="C15" s="3">
        <v>70</v>
      </c>
      <c r="D15" s="3">
        <v>4.3164899999999999</v>
      </c>
      <c r="E15" s="3">
        <f>447.471*2</f>
        <v>894.94200000000001</v>
      </c>
      <c r="F15" s="7"/>
      <c r="G15" s="7"/>
      <c r="H15" s="5">
        <f>ABS(D15-((F12+G12)/2))/((F12+G12)/2)</f>
        <v>2.7854570798001963E-3</v>
      </c>
      <c r="I15" s="3">
        <f>H15*((F12+G12)/2)/2</f>
        <v>5.9949999999999726E-3</v>
      </c>
      <c r="J15" s="7"/>
      <c r="K15" s="3">
        <v>6</v>
      </c>
    </row>
    <row r="16" spans="1:11" x14ac:dyDescent="0.2">
      <c r="A16" s="7"/>
      <c r="B16" s="3">
        <v>5</v>
      </c>
      <c r="C16" s="3">
        <v>70</v>
      </c>
      <c r="D16" s="3">
        <v>4.3146300000000002</v>
      </c>
      <c r="E16" s="3">
        <f>447.278*2</f>
        <v>894.55600000000004</v>
      </c>
      <c r="F16" s="7"/>
      <c r="G16" s="7"/>
      <c r="H16" s="5">
        <f>ABS(D16-((F12+G12)/2))/((F12+G12)/2)</f>
        <v>2.3533511441515146E-3</v>
      </c>
      <c r="I16" s="3">
        <f>H16*((F12+G12)/2)/2</f>
        <v>5.0650000000000972E-3</v>
      </c>
      <c r="J16" s="7"/>
      <c r="K16" s="3">
        <v>6</v>
      </c>
    </row>
    <row r="17" spans="1:11" x14ac:dyDescent="0.2">
      <c r="A17" s="7" t="s">
        <v>52</v>
      </c>
      <c r="B17" s="3">
        <v>1</v>
      </c>
      <c r="C17" s="3">
        <v>70</v>
      </c>
      <c r="D17" s="3">
        <v>4.6529999999999996</v>
      </c>
      <c r="E17" s="3">
        <f>482.335*2</f>
        <v>964.67</v>
      </c>
      <c r="F17" s="7">
        <f>2.326*2</f>
        <v>4.6520000000000001</v>
      </c>
      <c r="G17" s="7">
        <v>4.6749999999999998</v>
      </c>
      <c r="H17" s="5">
        <f>ABS(D17-((F17+G17)/2))/((F17+G17)/2)</f>
        <v>2.2515278224510341E-3</v>
      </c>
      <c r="I17" s="3">
        <f t="shared" si="0"/>
        <v>5.250000000000199E-3</v>
      </c>
      <c r="J17" s="7"/>
      <c r="K17" s="3">
        <v>6</v>
      </c>
    </row>
    <row r="18" spans="1:11" x14ac:dyDescent="0.2">
      <c r="A18" s="7"/>
      <c r="B18" s="3">
        <v>2</v>
      </c>
      <c r="C18" s="3">
        <v>70</v>
      </c>
      <c r="D18" s="3">
        <v>4.66751</v>
      </c>
      <c r="E18" s="3">
        <f>483.859*2</f>
        <v>967.71799999999996</v>
      </c>
      <c r="F18" s="7"/>
      <c r="G18" s="7"/>
      <c r="H18" s="5">
        <f>ABS(D18-((F17+G17)/2))/((F17+G17)/2)</f>
        <v>8.5986919695509143E-4</v>
      </c>
      <c r="I18" s="3">
        <f>H18*((F17+G17)/2)/2</f>
        <v>2.0050000000000345E-3</v>
      </c>
      <c r="J18" s="7"/>
      <c r="K18" s="3">
        <v>6</v>
      </c>
    </row>
    <row r="19" spans="1:11" x14ac:dyDescent="0.2">
      <c r="A19" s="7"/>
      <c r="B19" s="3">
        <v>3</v>
      </c>
      <c r="C19" s="3">
        <v>70</v>
      </c>
      <c r="D19" s="3">
        <v>4.6585599999999996</v>
      </c>
      <c r="E19" s="3">
        <f>482.932*2</f>
        <v>965.86400000000003</v>
      </c>
      <c r="F19" s="7"/>
      <c r="G19" s="7"/>
      <c r="H19" s="5">
        <f>ABS(D19-((F17+G17)/2))/((F17+G17)/2)</f>
        <v>1.0592902326579583E-3</v>
      </c>
      <c r="I19" s="3">
        <f>H19*((F17+G17)/2)/2</f>
        <v>2.4700000000001943E-3</v>
      </c>
      <c r="J19" s="7"/>
      <c r="K19" s="3">
        <v>6</v>
      </c>
    </row>
    <row r="20" spans="1:11" x14ac:dyDescent="0.2">
      <c r="A20" s="7"/>
      <c r="B20" s="3">
        <v>4</v>
      </c>
      <c r="C20" s="3">
        <v>70</v>
      </c>
      <c r="D20" s="3">
        <v>4.6465300000000003</v>
      </c>
      <c r="E20" s="3">
        <f>481.648*2</f>
        <v>963.29600000000005</v>
      </c>
      <c r="F20" s="7"/>
      <c r="G20" s="7"/>
      <c r="H20" s="5">
        <f>ABS(D20-((F17+G17)/2))/((F17+G17)/2)</f>
        <v>3.6388978235230422E-3</v>
      </c>
      <c r="I20" s="3">
        <f>H20*((F17+G17)/2)/2</f>
        <v>8.4849999999998538E-3</v>
      </c>
      <c r="J20" s="7"/>
      <c r="K20" s="3">
        <v>6</v>
      </c>
    </row>
    <row r="21" spans="1:11" x14ac:dyDescent="0.2">
      <c r="A21" s="7"/>
      <c r="B21" s="3">
        <v>5</v>
      </c>
      <c r="C21" s="3">
        <v>70</v>
      </c>
      <c r="D21" s="3">
        <v>4.6440599999999996</v>
      </c>
      <c r="E21" s="3">
        <f>481.428*2</f>
        <v>962.85599999999999</v>
      </c>
      <c r="F21" s="7"/>
      <c r="G21" s="7"/>
      <c r="H21" s="5">
        <f>ABS(D21-((F17+G17)/2))/((F17+G17)/2)</f>
        <v>4.168542939852117E-3</v>
      </c>
      <c r="I21" s="3">
        <f>H21*((F17+G17)/2)/2</f>
        <v>9.7200000000001747E-3</v>
      </c>
      <c r="J21" s="7"/>
      <c r="K21" s="3">
        <v>6</v>
      </c>
    </row>
    <row r="22" spans="1:11" x14ac:dyDescent="0.2">
      <c r="A22" s="3"/>
      <c r="B22" s="3"/>
      <c r="C22" s="3"/>
      <c r="D22" s="3"/>
      <c r="E22" s="3"/>
      <c r="F22" s="3"/>
      <c r="G22" s="3"/>
      <c r="H22" s="5"/>
      <c r="I22" s="3"/>
    </row>
    <row r="23" spans="1:11" x14ac:dyDescent="0.2">
      <c r="A23" s="3"/>
      <c r="B23" s="3"/>
      <c r="C23" s="3"/>
      <c r="D23" s="3"/>
      <c r="E23" s="3"/>
      <c r="F23" s="3"/>
      <c r="G23" s="3"/>
      <c r="H23" s="5"/>
    </row>
    <row r="24" spans="1:11" x14ac:dyDescent="0.2">
      <c r="A24" s="3"/>
      <c r="B24" s="3"/>
      <c r="C24" s="3"/>
      <c r="D24" s="3"/>
      <c r="E24" s="3"/>
      <c r="F24" s="3"/>
      <c r="G24" s="3"/>
      <c r="H24" s="5"/>
    </row>
  </sheetData>
  <mergeCells count="13">
    <mergeCell ref="F17:F21"/>
    <mergeCell ref="G17:G21"/>
    <mergeCell ref="J2:J21"/>
    <mergeCell ref="A17:A21"/>
    <mergeCell ref="F2:F6"/>
    <mergeCell ref="G2:G6"/>
    <mergeCell ref="A2:A6"/>
    <mergeCell ref="F7:F11"/>
    <mergeCell ref="G7:G11"/>
    <mergeCell ref="A7:A11"/>
    <mergeCell ref="F12:F16"/>
    <mergeCell ref="G12:G16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0515-86C6-4CB1-AAA0-9AB4C91F98BC}">
  <dimension ref="A1:E28"/>
  <sheetViews>
    <sheetView tabSelected="1" workbookViewId="0">
      <selection activeCell="H15" sqref="H15"/>
    </sheetView>
  </sheetViews>
  <sheetFormatPr defaultRowHeight="14.25" x14ac:dyDescent="0.2"/>
  <cols>
    <col min="3" max="3" width="15.375" bestFit="1" customWidth="1"/>
    <col min="4" max="4" width="19.5" bestFit="1" customWidth="1"/>
  </cols>
  <sheetData>
    <row r="1" spans="1:5" x14ac:dyDescent="0.2">
      <c r="A1" s="4" t="s">
        <v>41</v>
      </c>
      <c r="B1" s="4" t="s">
        <v>48</v>
      </c>
      <c r="C1" s="4" t="s">
        <v>46</v>
      </c>
      <c r="D1" s="4" t="s">
        <v>54</v>
      </c>
      <c r="E1" s="4" t="s">
        <v>56</v>
      </c>
    </row>
    <row r="2" spans="1:5" x14ac:dyDescent="0.2">
      <c r="A2" s="8" t="s">
        <v>55</v>
      </c>
      <c r="B2" s="4">
        <v>1</v>
      </c>
      <c r="C2" s="4">
        <v>3.5062500000000001</v>
      </c>
      <c r="D2" s="7">
        <v>3.4980000000000002</v>
      </c>
      <c r="E2" s="4">
        <f>ABS(C2-D2)</f>
        <v>8.2499999999998685E-3</v>
      </c>
    </row>
    <row r="3" spans="1:5" x14ac:dyDescent="0.2">
      <c r="A3" s="8"/>
      <c r="B3" s="4">
        <v>2</v>
      </c>
      <c r="C3" s="4">
        <v>3.5077600000000002</v>
      </c>
      <c r="D3" s="7"/>
      <c r="E3" s="4">
        <f>ABS(C3-D2)</f>
        <v>9.7599999999999909E-3</v>
      </c>
    </row>
    <row r="4" spans="1:5" x14ac:dyDescent="0.2">
      <c r="A4" s="8"/>
      <c r="B4" s="4">
        <v>3</v>
      </c>
      <c r="C4" s="4">
        <v>3.5032000000000001</v>
      </c>
      <c r="D4" s="7"/>
      <c r="E4" s="4">
        <f>ABS(C4-D2)</f>
        <v>5.1999999999998714E-3</v>
      </c>
    </row>
    <row r="5" spans="1:5" x14ac:dyDescent="0.2">
      <c r="A5" s="8"/>
      <c r="B5" s="4">
        <v>4</v>
      </c>
      <c r="C5" s="4">
        <v>3.5051299999999999</v>
      </c>
      <c r="D5" s="7"/>
      <c r="E5" s="4">
        <f>ABS(C5-D2)</f>
        <v>7.1299999999996366E-3</v>
      </c>
    </row>
    <row r="6" spans="1:5" x14ac:dyDescent="0.2">
      <c r="A6" s="8"/>
      <c r="B6" s="4">
        <v>5</v>
      </c>
      <c r="C6" s="4">
        <v>3.5046200000000001</v>
      </c>
      <c r="D6" s="7"/>
      <c r="E6" s="4">
        <f>ABS(C6-D2)</f>
        <v>6.6199999999998482E-3</v>
      </c>
    </row>
    <row r="7" spans="1:5" x14ac:dyDescent="0.2">
      <c r="A7" s="7" t="s">
        <v>57</v>
      </c>
      <c r="B7" s="4">
        <v>1</v>
      </c>
      <c r="C7" s="4">
        <v>3.50623</v>
      </c>
      <c r="D7" s="7">
        <v>3.5059999999999998</v>
      </c>
      <c r="E7" s="4">
        <f>ABS(C7-D7)</f>
        <v>2.3000000000017451E-4</v>
      </c>
    </row>
    <row r="8" spans="1:5" x14ac:dyDescent="0.2">
      <c r="A8" s="7"/>
      <c r="B8" s="4">
        <v>2</v>
      </c>
      <c r="C8" s="4">
        <v>3.5104099999999998</v>
      </c>
      <c r="D8" s="7"/>
      <c r="E8" s="4">
        <f>ABS(C8-D7)</f>
        <v>4.410000000000025E-3</v>
      </c>
    </row>
    <row r="9" spans="1:5" x14ac:dyDescent="0.2">
      <c r="A9" s="7"/>
      <c r="B9" s="4">
        <v>3</v>
      </c>
      <c r="C9" s="4">
        <v>3.5125099999999998</v>
      </c>
      <c r="D9" s="7"/>
      <c r="E9" s="4">
        <f>ABS(C9-D7)</f>
        <v>6.5100000000000158E-3</v>
      </c>
    </row>
    <row r="10" spans="1:5" x14ac:dyDescent="0.2">
      <c r="A10" s="7"/>
      <c r="B10" s="4">
        <v>4</v>
      </c>
      <c r="C10" s="4">
        <v>3.5115400000000001</v>
      </c>
      <c r="D10" s="7"/>
      <c r="E10" s="4">
        <f>ABS(C10-D7)</f>
        <v>5.5400000000003224E-3</v>
      </c>
    </row>
    <row r="11" spans="1:5" x14ac:dyDescent="0.2">
      <c r="A11" s="7"/>
      <c r="B11" s="4">
        <v>5</v>
      </c>
      <c r="C11" s="4">
        <v>3.5092099999999999</v>
      </c>
      <c r="D11" s="7"/>
      <c r="E11" s="4">
        <f>ABS(C11-D7)</f>
        <v>3.2100000000001572E-3</v>
      </c>
    </row>
    <row r="12" spans="1:5" x14ac:dyDescent="0.2">
      <c r="A12" s="7" t="s">
        <v>58</v>
      </c>
      <c r="B12" s="4">
        <v>1</v>
      </c>
      <c r="C12" s="4">
        <v>4.3120099999999999</v>
      </c>
      <c r="D12" s="7">
        <v>4.3</v>
      </c>
      <c r="E12" s="4">
        <f>ABS(C12-D12)</f>
        <v>1.2010000000000076E-2</v>
      </c>
    </row>
    <row r="13" spans="1:5" x14ac:dyDescent="0.2">
      <c r="A13" s="7"/>
      <c r="B13" s="4">
        <v>2</v>
      </c>
      <c r="C13" s="4">
        <v>4.3159299999999998</v>
      </c>
      <c r="D13" s="7"/>
      <c r="E13" s="4">
        <f>ABS(C13-D12)</f>
        <v>1.593E-2</v>
      </c>
    </row>
    <row r="14" spans="1:5" x14ac:dyDescent="0.2">
      <c r="A14" s="7"/>
      <c r="B14" s="4">
        <v>3</v>
      </c>
      <c r="C14" s="4">
        <v>4.3179400000000001</v>
      </c>
      <c r="D14" s="7"/>
      <c r="E14" s="4">
        <f>ABS(C14-D12)</f>
        <v>1.7940000000000289E-2</v>
      </c>
    </row>
    <row r="15" spans="1:5" x14ac:dyDescent="0.2">
      <c r="A15" s="7"/>
      <c r="B15" s="4">
        <v>4</v>
      </c>
      <c r="C15" s="4">
        <v>4.3250900000000003</v>
      </c>
      <c r="D15" s="7"/>
      <c r="E15" s="4">
        <f>ABS(C15-D12)</f>
        <v>2.5090000000000501E-2</v>
      </c>
    </row>
    <row r="16" spans="1:5" x14ac:dyDescent="0.2">
      <c r="A16" s="7"/>
      <c r="B16" s="4">
        <v>5</v>
      </c>
      <c r="C16" s="4">
        <v>4.3128299999999999</v>
      </c>
      <c r="D16" s="7"/>
      <c r="E16" s="4">
        <f>ABS(C16-D12)</f>
        <v>1.2830000000000119E-2</v>
      </c>
    </row>
    <row r="17" spans="1:5" x14ac:dyDescent="0.2">
      <c r="A17" s="7" t="s">
        <v>59</v>
      </c>
      <c r="B17" s="4">
        <v>1</v>
      </c>
      <c r="C17" s="4">
        <v>4.6650299999999998</v>
      </c>
      <c r="D17" s="7">
        <v>4.6520000000000001</v>
      </c>
      <c r="E17" s="4">
        <f>ABS(C17-D17)</f>
        <v>1.3029999999999653E-2</v>
      </c>
    </row>
    <row r="18" spans="1:5" x14ac:dyDescent="0.2">
      <c r="A18" s="7"/>
      <c r="B18" s="4">
        <v>2</v>
      </c>
      <c r="C18" s="4">
        <v>4.6663100000000002</v>
      </c>
      <c r="D18" s="7"/>
      <c r="E18" s="4">
        <f>ABS(C18-D17)</f>
        <v>1.4310000000000045E-2</v>
      </c>
    </row>
    <row r="19" spans="1:5" x14ac:dyDescent="0.2">
      <c r="A19" s="7"/>
      <c r="B19" s="4">
        <v>3</v>
      </c>
      <c r="C19" s="4">
        <v>4.6663800000000002</v>
      </c>
      <c r="D19" s="7"/>
      <c r="E19" s="4">
        <f>ABS(C19-D17)</f>
        <v>1.4380000000000059E-2</v>
      </c>
    </row>
    <row r="20" spans="1:5" x14ac:dyDescent="0.2">
      <c r="A20" s="7"/>
      <c r="B20" s="4">
        <v>4</v>
      </c>
      <c r="C20" s="4">
        <v>4.6575300000000004</v>
      </c>
      <c r="D20" s="7"/>
      <c r="E20" s="4">
        <f>ABS(C20-D17)</f>
        <v>5.5300000000002569E-3</v>
      </c>
    </row>
    <row r="21" spans="1:5" x14ac:dyDescent="0.2">
      <c r="A21" s="7"/>
      <c r="B21" s="4">
        <v>5</v>
      </c>
      <c r="C21" s="4">
        <v>4.6561899999999996</v>
      </c>
      <c r="D21" s="7"/>
      <c r="E21" s="4">
        <f>ABS(C21-D17)</f>
        <v>4.1899999999994719E-3</v>
      </c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</sheetData>
  <mergeCells count="8">
    <mergeCell ref="A17:A21"/>
    <mergeCell ref="D17:D21"/>
    <mergeCell ref="D2:D6"/>
    <mergeCell ref="A2:A6"/>
    <mergeCell ref="A7:A11"/>
    <mergeCell ref="D7:D11"/>
    <mergeCell ref="D12:D16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2020-08-24T02:32:02Z</dcterms:modified>
</cp:coreProperties>
</file>