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Excel\"/>
    </mc:Choice>
  </mc:AlternateContent>
  <bookViews>
    <workbookView xWindow="0" yWindow="0" windowWidth="20490" windowHeight="8820"/>
  </bookViews>
  <sheets>
    <sheet name="Paygrade two" sheetId="3" r:id="rId1"/>
    <sheet name="year_one" sheetId="1" r:id="rId2"/>
    <sheet name="Odd Jobs" sheetId="2" r:id="rId3"/>
  </sheets>
  <definedNames>
    <definedName name="hist_cashtotal" localSheetId="0">OFFSET('Paygrade two'!$D$2,0,0,COUNTIF('Paygrade two'!$D:$D,"&gt;0")-1,1)</definedName>
    <definedName name="hist_cashtotal">OFFSET(year_one!$D$2,0,0,COUNTIF(year_one!$D:$D,"&gt;0")-1,1)</definedName>
    <definedName name="hist_cashtotalprime" localSheetId="0">OFFSET('Paygrade two'!$D$2,0,0,COUNTIF('Paygrade two'!$D:$D,"&gt;0")-2,1)</definedName>
    <definedName name="hist_cashtotalprime">OFFSET(year_one!$D$2,0,0,COUNTIF(year_one!$D:$D,"&gt;0")-2,1)</definedName>
    <definedName name="hist_percent" localSheetId="0">OFFSET('Paygrade two'!$H$2,0,0,COUNTIF('Paygrade two'!$H:$H,"&gt;0")-1,1)</definedName>
    <definedName name="hist_percent">OFFSET(year_one!$H$2,0,0,COUNTIF(year_one!$H:$H,"&gt;0")-1,1)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G2" i="3" s="1"/>
  <c r="H2" i="3" s="1"/>
  <c r="I2" i="3" s="1"/>
  <c r="J2" i="3"/>
  <c r="K2" i="3" s="1"/>
  <c r="L2" i="3"/>
  <c r="D3" i="3"/>
  <c r="G3" i="3" s="1"/>
  <c r="H3" i="3" s="1"/>
  <c r="I3" i="3" s="1"/>
  <c r="J3" i="3"/>
  <c r="K3" i="3" s="1"/>
  <c r="L3" i="3"/>
  <c r="D4" i="3"/>
  <c r="G4" i="3" s="1"/>
  <c r="H4" i="3" s="1"/>
  <c r="I4" i="3" s="1"/>
  <c r="J4" i="3"/>
  <c r="K4" i="3" s="1"/>
  <c r="L4" i="3"/>
  <c r="D5" i="3"/>
  <c r="G5" i="3"/>
  <c r="H5" i="3"/>
  <c r="I5" i="3" s="1"/>
  <c r="J5" i="3"/>
  <c r="K5" i="3" s="1"/>
  <c r="L5" i="3"/>
  <c r="D6" i="3"/>
  <c r="G6" i="3"/>
  <c r="H6" i="3"/>
  <c r="I6" i="3" s="1"/>
  <c r="J6" i="3"/>
  <c r="K6" i="3" s="1"/>
  <c r="L6" i="3"/>
  <c r="D7" i="3"/>
  <c r="G7" i="3"/>
  <c r="H7" i="3"/>
  <c r="I7" i="3" s="1"/>
  <c r="J7" i="3"/>
  <c r="K7" i="3" s="1"/>
  <c r="L7" i="3"/>
  <c r="D8" i="3"/>
  <c r="G8" i="3"/>
  <c r="H8" i="3"/>
  <c r="I8" i="3" s="1"/>
  <c r="J8" i="3"/>
  <c r="K8" i="3" s="1"/>
  <c r="L8" i="3"/>
  <c r="D9" i="3"/>
  <c r="G9" i="3"/>
  <c r="H9" i="3"/>
  <c r="I9" i="3" s="1"/>
  <c r="J9" i="3"/>
  <c r="K9" i="3" s="1"/>
  <c r="L9" i="3"/>
  <c r="D10" i="3"/>
  <c r="G10" i="3"/>
  <c r="H10" i="3"/>
  <c r="I10" i="3" s="1"/>
  <c r="J10" i="3"/>
  <c r="K10" i="3" s="1"/>
  <c r="L10" i="3"/>
  <c r="D11" i="3"/>
  <c r="G11" i="3"/>
  <c r="H11" i="3"/>
  <c r="I11" i="3" s="1"/>
  <c r="J11" i="3"/>
  <c r="K11" i="3" s="1"/>
  <c r="L11" i="3"/>
  <c r="L16" i="3"/>
  <c r="J16" i="3"/>
  <c r="K16" i="3" s="1"/>
  <c r="H16" i="3"/>
  <c r="I16" i="3" s="1"/>
  <c r="G16" i="3"/>
  <c r="D16" i="3"/>
  <c r="L15" i="3"/>
  <c r="J15" i="3"/>
  <c r="K15" i="3" s="1"/>
  <c r="H15" i="3"/>
  <c r="I15" i="3" s="1"/>
  <c r="G15" i="3"/>
  <c r="D15" i="3"/>
  <c r="L14" i="3"/>
  <c r="J14" i="3"/>
  <c r="K14" i="3" s="1"/>
  <c r="D14" i="3"/>
  <c r="G14" i="3" s="1"/>
  <c r="H14" i="3" s="1"/>
  <c r="I14" i="3" s="1"/>
  <c r="L13" i="3"/>
  <c r="J13" i="3"/>
  <c r="K13" i="3" s="1"/>
  <c r="D13" i="3"/>
  <c r="G13" i="3" s="1"/>
  <c r="H13" i="3" s="1"/>
  <c r="I13" i="3" s="1"/>
  <c r="L12" i="3"/>
  <c r="J12" i="3"/>
  <c r="K12" i="3" s="1"/>
  <c r="D12" i="3"/>
  <c r="G12" i="3" s="1"/>
  <c r="H12" i="3" s="1"/>
  <c r="I12" i="3" s="1"/>
  <c r="P2" i="3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18" i="2" l="1"/>
  <c r="H15" i="1" l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K24" i="1" s="1"/>
  <c r="J25" i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G13" i="1"/>
  <c r="H13" i="1" s="1"/>
  <c r="I13" i="1" s="1"/>
  <c r="G14" i="1"/>
  <c r="H14" i="1" s="1"/>
  <c r="I14" i="1" s="1"/>
  <c r="G15" i="1"/>
  <c r="G16" i="1"/>
  <c r="G17" i="1"/>
  <c r="G18" i="1"/>
  <c r="G19" i="1"/>
  <c r="G20" i="1"/>
  <c r="G21" i="1"/>
  <c r="G22" i="1"/>
  <c r="G23" i="1"/>
  <c r="G24" i="1"/>
  <c r="G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P2" i="1"/>
  <c r="I12" i="1" l="1"/>
  <c r="K19" i="1"/>
  <c r="K23" i="1"/>
  <c r="K21" i="1"/>
  <c r="K25" i="1"/>
  <c r="K20" i="1"/>
  <c r="K17" i="1"/>
  <c r="K13" i="1"/>
  <c r="K16" i="1"/>
  <c r="K12" i="1"/>
  <c r="K15" i="1"/>
  <c r="K22" i="1"/>
  <c r="K18" i="1"/>
  <c r="K14" i="1"/>
  <c r="K3" i="1" l="1"/>
  <c r="G3" i="1"/>
  <c r="H3" i="1" s="1"/>
  <c r="I3" i="1" s="1"/>
  <c r="F26" i="1"/>
  <c r="G5" i="1"/>
  <c r="H5" i="1" s="1"/>
  <c r="I5" i="1" s="1"/>
  <c r="K7" i="1"/>
  <c r="K8" i="1"/>
  <c r="K9" i="1"/>
  <c r="K10" i="1"/>
  <c r="K11" i="1"/>
  <c r="G2" i="1"/>
  <c r="H2" i="1" s="1"/>
  <c r="C26" i="1"/>
  <c r="I2" i="1" l="1"/>
  <c r="K4" i="1"/>
  <c r="G4" i="1"/>
  <c r="H4" i="1" s="1"/>
  <c r="I4" i="1" s="1"/>
  <c r="K6" i="1"/>
  <c r="G6" i="1"/>
  <c r="H6" i="1" s="1"/>
  <c r="I6" i="1" s="1"/>
  <c r="K5" i="1"/>
  <c r="D26" i="1"/>
  <c r="J26" i="1" l="1"/>
  <c r="N5" i="1" s="1"/>
  <c r="N11" i="1" s="1"/>
  <c r="K2" i="1"/>
  <c r="G26" i="1"/>
  <c r="I26" i="1"/>
  <c r="K26" i="1" l="1"/>
  <c r="H26" i="1" l="1"/>
  <c r="P8" i="1" l="1"/>
  <c r="Q8" i="1"/>
  <c r="T14" i="1" l="1"/>
  <c r="T10" i="1"/>
  <c r="T6" i="1"/>
  <c r="T9" i="1"/>
  <c r="T8" i="1"/>
  <c r="T13" i="1"/>
  <c r="T11" i="1"/>
  <c r="T7" i="1"/>
  <c r="T5" i="1"/>
  <c r="T12" i="1"/>
  <c r="E5" i="1"/>
  <c r="E6" i="1"/>
  <c r="E21" i="1"/>
  <c r="E3" i="1"/>
  <c r="E19" i="1"/>
  <c r="E7" i="1"/>
  <c r="E22" i="1"/>
  <c r="E11" i="1"/>
  <c r="E12" i="1"/>
  <c r="E20" i="1"/>
  <c r="E23" i="1"/>
  <c r="E14" i="1"/>
  <c r="E8" i="1"/>
  <c r="E17" i="1"/>
  <c r="E24" i="1"/>
  <c r="E2" i="1"/>
  <c r="E16" i="1"/>
  <c r="E25" i="1"/>
  <c r="E13" i="1"/>
  <c r="E9" i="1"/>
  <c r="E4" i="1"/>
  <c r="E10" i="1"/>
  <c r="E18" i="1"/>
  <c r="E15" i="1"/>
  <c r="T15" i="1" l="1"/>
  <c r="U15" i="1" s="1"/>
  <c r="E26" i="1"/>
  <c r="J17" i="3" l="1"/>
  <c r="K17" i="3" s="1"/>
  <c r="C17" i="3"/>
  <c r="D17" i="3"/>
  <c r="G17" i="3"/>
  <c r="F17" i="3"/>
  <c r="I17" i="3"/>
  <c r="H17" i="3" s="1"/>
  <c r="N5" i="3" l="1"/>
  <c r="N11" i="3" s="1"/>
  <c r="Q8" i="3"/>
  <c r="P8" i="3"/>
  <c r="E6" i="3" l="1"/>
  <c r="E9" i="3"/>
  <c r="E4" i="3"/>
  <c r="E7" i="3"/>
  <c r="E10" i="3"/>
  <c r="E2" i="3"/>
  <c r="E5" i="3"/>
  <c r="E8" i="3"/>
  <c r="E11" i="3"/>
  <c r="E3" i="3"/>
  <c r="E15" i="3"/>
  <c r="E14" i="3"/>
  <c r="E13" i="3"/>
  <c r="E16" i="3"/>
  <c r="E12" i="3"/>
  <c r="E17" i="3" l="1"/>
</calcChain>
</file>

<file path=xl/sharedStrings.xml><?xml version="1.0" encoding="utf-8"?>
<sst xmlns="http://schemas.openxmlformats.org/spreadsheetml/2006/main" count="52" uniqueCount="30">
  <si>
    <t>Hrs</t>
  </si>
  <si>
    <t>Current Pay</t>
  </si>
  <si>
    <t xml:space="preserve">Cash Received </t>
  </si>
  <si>
    <t>Tax</t>
  </si>
  <si>
    <t>Tax %</t>
  </si>
  <si>
    <t>percent</t>
  </si>
  <si>
    <t>Cash Total</t>
  </si>
  <si>
    <t>average</t>
  </si>
  <si>
    <t>Average Income</t>
  </si>
  <si>
    <t>weekly</t>
  </si>
  <si>
    <t>Period</t>
  </si>
  <si>
    <t>Goal</t>
  </si>
  <si>
    <t>Date Projected</t>
  </si>
  <si>
    <t>pay date</t>
  </si>
  <si>
    <t>Start Date</t>
  </si>
  <si>
    <t>End Date</t>
  </si>
  <si>
    <t>Cash Projected</t>
  </si>
  <si>
    <t>Total:</t>
  </si>
  <si>
    <t>Date</t>
  </si>
  <si>
    <t>Cash</t>
  </si>
  <si>
    <t>Total</t>
  </si>
  <si>
    <t>Job</t>
  </si>
  <si>
    <t>dog sit</t>
  </si>
  <si>
    <t>our lawn</t>
  </si>
  <si>
    <t>neighboors lawn</t>
  </si>
  <si>
    <t>powerwash danial way</t>
  </si>
  <si>
    <t>Dtae:</t>
  </si>
  <si>
    <t>Raise</t>
  </si>
  <si>
    <t>slope</t>
  </si>
  <si>
    <t>interceapt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</si>
</sst>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###&quot; days&quot;"/>
    <numFmt numFmtId="165" formatCode="mmm\-dd\-yy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</cellStyleXfs>
  <cellXfs count="40">
    <xf numFmtId="0" fontId="0" fillId="0" borderId="0" xfId="0"/>
    <xf numFmtId="44" fontId="0" fillId="0" borderId="0" xfId="0" applyNumberFormat="1" applyFont="1"/>
    <xf numFmtId="9" fontId="0" fillId="0" borderId="0" xfId="0" applyNumberFormat="1" applyFont="1"/>
    <xf numFmtId="0" fontId="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4" borderId="0" xfId="4" applyFont="1"/>
    <xf numFmtId="0" fontId="3" fillId="0" borderId="0" xfId="0" applyNumberFormat="1" applyFont="1"/>
    <xf numFmtId="0" fontId="4" fillId="2" borderId="0" xfId="3" applyFont="1"/>
    <xf numFmtId="16" fontId="3" fillId="0" borderId="0" xfId="0" applyNumberFormat="1" applyFont="1"/>
    <xf numFmtId="44" fontId="3" fillId="0" borderId="0" xfId="1" applyFont="1"/>
    <xf numFmtId="44" fontId="3" fillId="0" borderId="0" xfId="1" applyNumberFormat="1" applyFont="1"/>
    <xf numFmtId="9" fontId="3" fillId="0" borderId="0" xfId="2" applyFont="1"/>
    <xf numFmtId="0" fontId="3" fillId="0" borderId="0" xfId="1" applyNumberFormat="1" applyFont="1"/>
    <xf numFmtId="44" fontId="3" fillId="3" borderId="0" xfId="1" applyFont="1" applyFill="1"/>
    <xf numFmtId="164" fontId="3" fillId="3" borderId="0" xfId="1" applyNumberFormat="1" applyFont="1" applyFill="1"/>
    <xf numFmtId="165" fontId="3" fillId="3" borderId="0" xfId="1" applyNumberFormat="1" applyFont="1" applyFill="1"/>
    <xf numFmtId="9" fontId="3" fillId="0" borderId="0" xfId="2" applyNumberFormat="1" applyFont="1"/>
    <xf numFmtId="0" fontId="0" fillId="0" borderId="0" xfId="0" applyFont="1"/>
    <xf numFmtId="16" fontId="0" fillId="0" borderId="0" xfId="0" applyNumberFormat="1" applyFont="1"/>
    <xf numFmtId="14" fontId="3" fillId="0" borderId="0" xfId="0" applyNumberFormat="1" applyFont="1"/>
    <xf numFmtId="44" fontId="0" fillId="5" borderId="1" xfId="1" applyNumberFormat="1" applyFont="1" applyFill="1" applyBorder="1"/>
    <xf numFmtId="44" fontId="0" fillId="6" borderId="1" xfId="1" applyNumberFormat="1" applyFont="1" applyFill="1" applyBorder="1"/>
    <xf numFmtId="44" fontId="3" fillId="0" borderId="0" xfId="0" applyNumberFormat="1" applyFont="1"/>
    <xf numFmtId="16" fontId="0" fillId="0" borderId="0" xfId="0" applyNumberFormat="1"/>
    <xf numFmtId="166" fontId="0" fillId="0" borderId="0" xfId="0" applyNumberFormat="1"/>
    <xf numFmtId="0" fontId="0" fillId="5" borderId="1" xfId="0" applyFont="1" applyFill="1" applyBorder="1"/>
    <xf numFmtId="9" fontId="0" fillId="5" borderId="1" xfId="2" applyNumberFormat="1" applyFont="1" applyFill="1" applyBorder="1"/>
    <xf numFmtId="0" fontId="0" fillId="6" borderId="1" xfId="0" applyFont="1" applyFill="1" applyBorder="1"/>
    <xf numFmtId="9" fontId="0" fillId="6" borderId="1" xfId="2" applyNumberFormat="1" applyFont="1" applyFill="1" applyBorder="1"/>
    <xf numFmtId="16" fontId="0" fillId="6" borderId="2" xfId="0" applyNumberFormat="1" applyFont="1" applyFill="1" applyBorder="1"/>
    <xf numFmtId="0" fontId="2" fillId="2" borderId="0" xfId="3" applyFont="1"/>
    <xf numFmtId="0" fontId="3" fillId="0" borderId="0" xfId="2" applyNumberFormat="1" applyFont="1"/>
    <xf numFmtId="0" fontId="3" fillId="3" borderId="0" xfId="1" applyNumberFormat="1" applyFont="1" applyFill="1"/>
    <xf numFmtId="44" fontId="0" fillId="6" borderId="3" xfId="1" applyNumberFormat="1" applyFont="1" applyFill="1" applyBorder="1"/>
    <xf numFmtId="0" fontId="5" fillId="0" borderId="0" xfId="0" applyFont="1"/>
    <xf numFmtId="0" fontId="5" fillId="0" borderId="0" xfId="0" applyNumberFormat="1" applyFont="1"/>
    <xf numFmtId="44" fontId="5" fillId="0" borderId="0" xfId="0" applyNumberFormat="1" applyFont="1"/>
    <xf numFmtId="9" fontId="5" fillId="0" borderId="0" xfId="0" applyNumberFormat="1" applyFont="1"/>
    <xf numFmtId="16" fontId="5" fillId="0" borderId="0" xfId="0" applyNumberFormat="1" applyFont="1"/>
  </cellXfs>
  <cellStyles count="5">
    <cellStyle name="Accent1" xfId="3" builtinId="29"/>
    <cellStyle name="Accent5" xfId="4" builtinId="45"/>
    <cellStyle name="Currency" xfId="1" builtinId="4"/>
    <cellStyle name="Normal" xfId="0" builtinId="0"/>
    <cellStyle name="Percent" xfId="2" builtinId="5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6" formatCode="&quot;$&quot;#,##0.00"/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1" formatCode="d\-mmm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67" formatCode="&quot;&quot;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67" formatCode="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1" formatCode="d\-mmm"/>
    </dxf>
    <dxf>
      <numFmt numFmtId="21" formatCode="d\-mmm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67" formatCode="&quot;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[0]!hist_cashtotal</c:f>
              <c:numCache>
                <c:formatCode>_("$"* #,##0.00_);_("$"* \(#,##0.00\);_("$"* "-"??_);_(@_)</c:formatCode>
                <c:ptCount val="13"/>
                <c:pt idx="0">
                  <c:v>122.235</c:v>
                </c:pt>
                <c:pt idx="1">
                  <c:v>36.467500000000001</c:v>
                </c:pt>
                <c:pt idx="2">
                  <c:v>222.35750000000002</c:v>
                </c:pt>
                <c:pt idx="3">
                  <c:v>166.0975</c:v>
                </c:pt>
                <c:pt idx="4">
                  <c:v>162.39999999999998</c:v>
                </c:pt>
                <c:pt idx="5">
                  <c:v>196.47500000000002</c:v>
                </c:pt>
                <c:pt idx="6">
                  <c:v>120.05999999999999</c:v>
                </c:pt>
                <c:pt idx="7">
                  <c:v>132.095</c:v>
                </c:pt>
                <c:pt idx="8">
                  <c:v>281.01</c:v>
                </c:pt>
                <c:pt idx="9">
                  <c:v>74.747500000000002</c:v>
                </c:pt>
                <c:pt idx="10">
                  <c:v>428.92499999999995</c:v>
                </c:pt>
                <c:pt idx="11">
                  <c:v>447.15</c:v>
                </c:pt>
                <c:pt idx="12">
                  <c:v>498.67499999999995</c:v>
                </c:pt>
              </c:numCache>
            </c:numRef>
          </c:xVal>
          <c:yVal>
            <c:numRef>
              <c:f>[0]!hist_percent</c:f>
              <c:numCache>
                <c:formatCode>0%</c:formatCode>
                <c:ptCount val="13"/>
                <c:pt idx="0">
                  <c:v>0.12537325643228212</c:v>
                </c:pt>
                <c:pt idx="1">
                  <c:v>9.3439363817097387E-2</c:v>
                </c:pt>
                <c:pt idx="2">
                  <c:v>0.16454358409318329</c:v>
                </c:pt>
                <c:pt idx="3">
                  <c:v>0.1467662065955237</c:v>
                </c:pt>
                <c:pt idx="4">
                  <c:v>0.14544334975369447</c:v>
                </c:pt>
                <c:pt idx="5">
                  <c:v>0.15765364550197236</c:v>
                </c:pt>
                <c:pt idx="6">
                  <c:v>0.1238547392970181</c:v>
                </c:pt>
                <c:pt idx="7">
                  <c:v>0.13130701389151747</c:v>
                </c:pt>
                <c:pt idx="8">
                  <c:v>0.1766129319241308</c:v>
                </c:pt>
                <c:pt idx="9">
                  <c:v>9.3481387337369104E-2</c:v>
                </c:pt>
                <c:pt idx="10">
                  <c:v>0.19650288511977612</c:v>
                </c:pt>
                <c:pt idx="11">
                  <c:v>0.22061947892206191</c:v>
                </c:pt>
                <c:pt idx="12">
                  <c:v>0.29892214368075393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7-45BB-A349-63CF75BA3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61472"/>
        <c:axId val="377155240"/>
      </c:scatterChart>
      <c:valAx>
        <c:axId val="37716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55240"/>
        <c:crosses val="autoZero"/>
        <c:crossBetween val="midCat"/>
      </c:valAx>
      <c:valAx>
        <c:axId val="3771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6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[0]!hist_cashtotal</c:f>
              <c:numCache>
                <c:formatCode>_("$"* #,##0.00_);_("$"* \(#,##0.00\);_("$"* "-"??_);_(@_)</c:formatCode>
                <c:ptCount val="13"/>
                <c:pt idx="0">
                  <c:v>122.235</c:v>
                </c:pt>
                <c:pt idx="1">
                  <c:v>36.467500000000001</c:v>
                </c:pt>
                <c:pt idx="2">
                  <c:v>222.35750000000002</c:v>
                </c:pt>
                <c:pt idx="3">
                  <c:v>166.0975</c:v>
                </c:pt>
                <c:pt idx="4">
                  <c:v>162.39999999999998</c:v>
                </c:pt>
                <c:pt idx="5">
                  <c:v>196.47500000000002</c:v>
                </c:pt>
                <c:pt idx="6">
                  <c:v>120.05999999999999</c:v>
                </c:pt>
                <c:pt idx="7">
                  <c:v>132.095</c:v>
                </c:pt>
                <c:pt idx="8">
                  <c:v>281.01</c:v>
                </c:pt>
                <c:pt idx="9">
                  <c:v>74.747500000000002</c:v>
                </c:pt>
                <c:pt idx="10">
                  <c:v>428.92499999999995</c:v>
                </c:pt>
                <c:pt idx="11">
                  <c:v>447.15</c:v>
                </c:pt>
                <c:pt idx="12">
                  <c:v>498.67499999999995</c:v>
                </c:pt>
              </c:numCache>
            </c:numRef>
          </c:xVal>
          <c:yVal>
            <c:numRef>
              <c:f>[0]!hist_percent</c:f>
              <c:numCache>
                <c:formatCode>0%</c:formatCode>
                <c:ptCount val="13"/>
                <c:pt idx="0">
                  <c:v>0.12537325643228212</c:v>
                </c:pt>
                <c:pt idx="1">
                  <c:v>9.3439363817097387E-2</c:v>
                </c:pt>
                <c:pt idx="2">
                  <c:v>0.16454358409318329</c:v>
                </c:pt>
                <c:pt idx="3">
                  <c:v>0.1467662065955237</c:v>
                </c:pt>
                <c:pt idx="4">
                  <c:v>0.14544334975369447</c:v>
                </c:pt>
                <c:pt idx="5">
                  <c:v>0.15765364550197236</c:v>
                </c:pt>
                <c:pt idx="6">
                  <c:v>0.1238547392970181</c:v>
                </c:pt>
                <c:pt idx="7">
                  <c:v>0.13130701389151747</c:v>
                </c:pt>
                <c:pt idx="8">
                  <c:v>0.1766129319241308</c:v>
                </c:pt>
                <c:pt idx="9">
                  <c:v>9.3481387337369104E-2</c:v>
                </c:pt>
                <c:pt idx="10">
                  <c:v>0.19650288511977612</c:v>
                </c:pt>
                <c:pt idx="11">
                  <c:v>0.22061947892206191</c:v>
                </c:pt>
                <c:pt idx="12">
                  <c:v>0.29892214368075393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7-48A0-868C-19EFE272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61472"/>
        <c:axId val="377155240"/>
      </c:scatterChart>
      <c:valAx>
        <c:axId val="37716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55240"/>
        <c:crosses val="autoZero"/>
        <c:crossBetween val="midCat"/>
      </c:valAx>
      <c:valAx>
        <c:axId val="3771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6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0</xdr:row>
      <xdr:rowOff>0</xdr:rowOff>
    </xdr:from>
    <xdr:to>
      <xdr:col>25</xdr:col>
      <xdr:colOff>209550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D482B-2AC9-49DF-B611-0BF66C77C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12</xdr:row>
      <xdr:rowOff>57150</xdr:rowOff>
    </xdr:from>
    <xdr:to>
      <xdr:col>18</xdr:col>
      <xdr:colOff>447675</xdr:colOff>
      <xdr:row>26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33D482B-2AC9-49DF-B611-0BF66C77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Payroll4" displayName="Payroll4" ref="A1:L17" totalsRowCount="1">
  <autoFilter ref="A1:L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Start Date" totalsRowLabel="Total:" dataDxfId="53" totalsRowDxfId="11"/>
    <tableColumn id="2" name="End Date" dataDxfId="52" totalsRowDxfId="10"/>
    <tableColumn id="3" name="Hrs" totalsRowFunction="sum" totalsRowDxfId="9"/>
    <tableColumn id="4" name="Cash Total" totalsRowFunction="sum" dataDxfId="51" totalsRowDxfId="8" dataCellStyle="Currency">
      <calculatedColumnFormula>Payroll4[[#This Row],[Hrs]]*IF(Payroll4[[#This Row],[Start Date]]&gt;$Q$5,$P$5,$N$2)</calculatedColumnFormula>
    </tableColumn>
    <tableColumn id="14" name="Cash Projected" totalsRowFunction="sum" dataDxfId="50" totalsRowDxfId="7" dataCellStyle="Currency">
      <calculatedColumnFormula>Payroll4[[#This Row],[Cash Total]]-((((Payroll4[[#This Row],[Cash Total]]*$P$8)+7)*0.01)*Payroll4[[#This Row],[Cash Total]])</calculatedColumnFormula>
    </tableColumn>
    <tableColumn id="5" name="Cash Received " totalsRowFunction="sum" dataDxfId="49" totalsRowDxfId="6" dataCellStyle="Currency"/>
    <tableColumn id="6" name="Tax" totalsRowFunction="sum" dataDxfId="48" totalsRowDxfId="5" dataCellStyle="Currency">
      <calculatedColumnFormula>IF(Payroll4[[#This Row],[Cash Received ]]&gt;0,Payroll4[[#This Row],[Cash Total]]-Payroll4[[#This Row],[Cash Received ]],"")</calculatedColumnFormula>
    </tableColumn>
    <tableColumn id="7" name="Tax %" totalsRowFunction="custom" dataDxfId="47" totalsRowDxfId="4" dataCellStyle="Percent">
      <calculatedColumnFormula>IF(Payroll4[[#This Row],[Cash Received ]]&gt;0,(Payroll4[[#This Row],[Tax]]/Payroll4[[#This Row],[Cash Total]]),"")</calculatedColumnFormula>
      <totalsRowFormula>(SUM(Payroll4[Tax %]))/Payroll4[[#Totals],[percent]]</totalsRowFormula>
    </tableColumn>
    <tableColumn id="8" name="percent" totalsRowFunction="sum" dataDxfId="46" totalsRowDxfId="3" dataCellStyle="Currency">
      <calculatedColumnFormula>IF(Payroll4[[#This Row],[Tax %]]="",0, 1)</calculatedColumnFormula>
    </tableColumn>
    <tableColumn id="9" name="average" totalsRowFunction="custom" dataDxfId="45" totalsRowDxfId="2" dataCellStyle="Currency">
      <calculatedColumnFormula>IF(Payroll4[[#This Row],[Cash Received ]]&gt;60,1,0)</calculatedColumnFormula>
      <totalsRowFormula>SUM(Payroll4[average])</totalsRowFormula>
    </tableColumn>
    <tableColumn id="10" name="weekly" totalsRowFunction="custom" dataDxfId="44" totalsRowDxfId="1" dataCellStyle="Currency">
      <calculatedColumnFormula>IF(Payroll4[[#This Row],[average]]=1,Payroll4[[#This Row],[Cash Received ]],0)</calculatedColumnFormula>
      <totalsRowFormula>SUM(Payroll4[weekly])/Payroll4[[#Totals],[average]]</totalsRowFormula>
    </tableColumn>
    <tableColumn id="11" name="pay date" dataDxfId="43" totalsRowDxfId="0" dataCellStyle="Currency">
      <calculatedColumnFormula>Payroll4[[#This Row],[End Date]]+5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Payroll" displayName="Payroll" ref="A1:L26" totalsRowCount="1">
  <autoFilter ref="A1:L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Start Date" totalsRowLabel="Total:" dataDxfId="36" totalsRowDxfId="35"/>
    <tableColumn id="2" name="End Date" dataDxfId="34" totalsRowDxfId="33"/>
    <tableColumn id="3" name="Hrs" totalsRowFunction="sum" totalsRowDxfId="32"/>
    <tableColumn id="4" name="Cash Total" totalsRowFunction="sum" dataDxfId="31" totalsRowDxfId="30" dataCellStyle="Currency">
      <calculatedColumnFormula>Payroll[[#This Row],[Hrs]]*IF(Payroll[[#This Row],[Start Date]]&gt;$Q$5,$P$5,$N$2)</calculatedColumnFormula>
    </tableColumn>
    <tableColumn id="14" name="Cash Projected" totalsRowFunction="sum" dataDxfId="29" totalsRowDxfId="28" dataCellStyle="Currency">
      <calculatedColumnFormula>Payroll[[#This Row],[Cash Total]]-((((Payroll[[#This Row],[Cash Total]]*$P$8)+7)*0.01)*Payroll[[#This Row],[Cash Total]])</calculatedColumnFormula>
    </tableColumn>
    <tableColumn id="5" name="Cash Received " totalsRowFunction="sum" dataDxfId="27" totalsRowDxfId="26" dataCellStyle="Currency"/>
    <tableColumn id="6" name="Tax" totalsRowFunction="sum" dataDxfId="25" totalsRowDxfId="24" dataCellStyle="Currency">
      <calculatedColumnFormula>IF(Payroll[[#This Row],[Cash Received ]]&gt;0,Payroll[[#This Row],[Cash Total]]-Payroll[[#This Row],[Cash Received ]],"")</calculatedColumnFormula>
    </tableColumn>
    <tableColumn id="7" name="Tax %" totalsRowFunction="custom" dataDxfId="23" totalsRowDxfId="22" dataCellStyle="Percent">
      <calculatedColumnFormula>IF(Payroll[[#This Row],[Cash Received ]]&gt;0,(Payroll[[#This Row],[Tax]]/Payroll[[#This Row],[Cash Total]]),"")</calculatedColumnFormula>
      <totalsRowFormula>(SUM(Payroll[Tax %]))/Payroll[[#Totals],[percent]]</totalsRowFormula>
    </tableColumn>
    <tableColumn id="8" name="percent" totalsRowFunction="sum" dataDxfId="21" totalsRowDxfId="20" dataCellStyle="Currency">
      <calculatedColumnFormula>IF(Payroll[[#This Row],[Tax %]]="",0, 1)</calculatedColumnFormula>
    </tableColumn>
    <tableColumn id="9" name="average" totalsRowFunction="custom" dataDxfId="19" totalsRowDxfId="18" dataCellStyle="Currency">
      <calculatedColumnFormula>IF(Payroll[[#This Row],[Cash Received ]]&gt;60,1,0)</calculatedColumnFormula>
      <totalsRowFormula>SUM(Payroll[average])</totalsRowFormula>
    </tableColumn>
    <tableColumn id="10" name="weekly" totalsRowFunction="custom" dataDxfId="17" totalsRowDxfId="16" dataCellStyle="Currency">
      <calculatedColumnFormula>IF(Payroll[[#This Row],[average]]=1,Payroll[[#This Row],[Cash Received ]],0)</calculatedColumnFormula>
      <totalsRowFormula>SUM(Payroll[weekly])/Payroll[[#Totals],[average]]</totalsRowFormula>
    </tableColumn>
    <tableColumn id="11" name="pay date" dataDxfId="15" totalsRowDxfId="14" dataCellStyle="Currency">
      <calculatedColumnFormula>Payroll[[#This Row],[End Date]]+5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odd_jobs" displayName="odd_jobs" ref="A1:C18" totalsRowCount="1">
  <autoFilter ref="A1:C17"/>
  <sortState ref="A2:C17">
    <sortCondition ref="A2"/>
  </sortState>
  <tableColumns count="3">
    <tableColumn id="1" name="Date" totalsRowLabel="Total"/>
    <tableColumn id="4" name="Job"/>
    <tableColumn id="2" name="Cash" totalsRowFunction="sum" dataDxfId="13" totalsRowDxfId="1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workbookViewId="0">
      <selection activeCell="E6" sqref="E6"/>
    </sheetView>
  </sheetViews>
  <sheetFormatPr defaultColWidth="9.140625" defaultRowHeight="15" x14ac:dyDescent="0.25"/>
  <cols>
    <col min="1" max="1" width="9.140625" style="5"/>
    <col min="2" max="2" width="11" style="5" customWidth="1"/>
    <col min="3" max="3" width="9.140625" style="5"/>
    <col min="4" max="5" width="15.140625" style="5" customWidth="1"/>
    <col min="6" max="6" width="14.140625" style="5" customWidth="1"/>
    <col min="7" max="7" width="9.140625" style="5"/>
    <col min="8" max="8" width="11" style="5" customWidth="1"/>
    <col min="9" max="9" width="13.5703125" style="5" hidden="1" customWidth="1"/>
    <col min="10" max="10" width="9.7109375" style="7" hidden="1" customWidth="1"/>
    <col min="11" max="11" width="10.5703125" style="7" hidden="1" customWidth="1"/>
    <col min="12" max="12" width="10.5703125" style="7" customWidth="1"/>
    <col min="13" max="13" width="12.140625" style="5" customWidth="1"/>
    <col min="14" max="14" width="15.5703125" style="5" customWidth="1"/>
    <col min="15" max="15" width="12.140625" style="5" customWidth="1"/>
    <col min="16" max="16" width="9.7109375" style="5" bestFit="1" customWidth="1"/>
    <col min="17" max="17" width="11" style="5" customWidth="1"/>
    <col min="18" max="19" width="9.140625" style="5"/>
    <col min="20" max="20" width="10.140625" style="5" bestFit="1" customWidth="1"/>
    <col min="21" max="16384" width="9.140625" style="5"/>
  </cols>
  <sheetData>
    <row r="1" spans="1:23" x14ac:dyDescent="0.25">
      <c r="A1" s="4" t="s">
        <v>14</v>
      </c>
      <c r="B1" s="4" t="s">
        <v>15</v>
      </c>
      <c r="C1" s="5" t="s">
        <v>0</v>
      </c>
      <c r="D1" s="6" t="s">
        <v>6</v>
      </c>
      <c r="E1" s="5" t="s">
        <v>16</v>
      </c>
      <c r="F1" s="6" t="s">
        <v>2</v>
      </c>
      <c r="G1" s="5" t="s">
        <v>3</v>
      </c>
      <c r="H1" s="5" t="s">
        <v>4</v>
      </c>
      <c r="I1" s="5" t="s">
        <v>5</v>
      </c>
      <c r="J1" s="7" t="s">
        <v>7</v>
      </c>
      <c r="K1" s="7" t="s">
        <v>9</v>
      </c>
      <c r="L1" s="7" t="s">
        <v>13</v>
      </c>
      <c r="N1" s="8" t="s">
        <v>1</v>
      </c>
      <c r="P1" s="8" t="s">
        <v>10</v>
      </c>
    </row>
    <row r="2" spans="1:23" x14ac:dyDescent="0.25">
      <c r="A2" s="9">
        <v>42968</v>
      </c>
      <c r="B2" s="9">
        <v>42981</v>
      </c>
      <c r="C2" s="26">
        <v>57.19</v>
      </c>
      <c r="D2" s="10">
        <f>Payroll4[[#This Row],[Hrs]]*IF(Payroll4[[#This Row],[Start Date]]&gt;$Q$5,$P$5,$N$2)</f>
        <v>428.92499999999995</v>
      </c>
      <c r="E2" s="10">
        <f ca="1">Payroll4[[#This Row],[Cash Total]]-((((Payroll4[[#This Row],[Cash Total]]*$P$8)+7)*0.01)*Payroll4[[#This Row],[Cash Total]])</f>
        <v>126.68987878196663</v>
      </c>
      <c r="F2" s="21">
        <v>344.64</v>
      </c>
      <c r="G2" s="11">
        <f>IF(Payroll4[[#This Row],[Cash Received ]]&gt;0,Payroll4[[#This Row],[Cash Total]]-Payroll4[[#This Row],[Cash Received ]],"")</f>
        <v>84.284999999999968</v>
      </c>
      <c r="H2" s="12">
        <f>IF(Payroll4[[#This Row],[Cash Received ]]&gt;0,(Payroll4[[#This Row],[Tax]]/Payroll4[[#This Row],[Cash Total]]),"")</f>
        <v>0.19650288511977612</v>
      </c>
      <c r="I2" s="5">
        <f>IF(Payroll4[[#This Row],[Tax %]]="",0, 1)</f>
        <v>1</v>
      </c>
      <c r="J2" s="13">
        <f>IF(Payroll4[[#This Row],[Cash Received ]]&gt;60,1,0)</f>
        <v>1</v>
      </c>
      <c r="K2" s="13">
        <f>IF(Payroll4[[#This Row],[average]]=1,Payroll4[[#This Row],[Cash Received ]],0)</f>
        <v>344.64</v>
      </c>
      <c r="L2" s="9">
        <f>Payroll4[[#This Row],[End Date]]+5</f>
        <v>42986</v>
      </c>
      <c r="N2" s="14">
        <v>7.5</v>
      </c>
      <c r="P2" s="15">
        <f>Payroll4[[#This Row],[End Date]]-Payroll4[[#This Row],[Start Date]]</f>
        <v>13</v>
      </c>
      <c r="S2"/>
      <c r="T2"/>
      <c r="U2"/>
    </row>
    <row r="3" spans="1:23" x14ac:dyDescent="0.25">
      <c r="A3" s="9">
        <v>42982</v>
      </c>
      <c r="B3" s="9">
        <v>42995</v>
      </c>
      <c r="C3" s="28">
        <v>59.62</v>
      </c>
      <c r="D3" s="10">
        <f>Payroll4[[#This Row],[Hrs]]*IF(Payroll4[[#This Row],[Start Date]]&gt;$Q$5,$P$5,$N$2)</f>
        <v>447.15</v>
      </c>
      <c r="E3" s="10">
        <f ca="1">Payroll4[[#This Row],[Cash Total]]-((((Payroll4[[#This Row],[Cash Total]]*$P$8)+7)*0.01)*Payroll4[[#This Row],[Cash Total]])</f>
        <v>120.01527356881871</v>
      </c>
      <c r="F3" s="22">
        <v>348.5</v>
      </c>
      <c r="G3" s="11">
        <f>IF(Payroll4[[#This Row],[Cash Received ]]&gt;0,Payroll4[[#This Row],[Cash Total]]-Payroll4[[#This Row],[Cash Received ]],"")</f>
        <v>98.649999999999977</v>
      </c>
      <c r="H3" s="12">
        <f>IF(Payroll4[[#This Row],[Cash Received ]]&gt;0,(Payroll4[[#This Row],[Tax]]/Payroll4[[#This Row],[Cash Total]]),"")</f>
        <v>0.22061947892206191</v>
      </c>
      <c r="I3" s="13">
        <f>IF(Payroll4[[#This Row],[Tax %]]="",0, 1)</f>
        <v>1</v>
      </c>
      <c r="J3" s="13">
        <f>IF(Payroll4[[#This Row],[Cash Received ]]&gt;60,1,0)</f>
        <v>1</v>
      </c>
      <c r="K3" s="13">
        <f>IF(Payroll4[[#This Row],[average]]=1,Payroll4[[#This Row],[Cash Received ]],0)</f>
        <v>348.5</v>
      </c>
      <c r="L3" s="9">
        <f>Payroll4[[#This Row],[End Date]]+5</f>
        <v>43000</v>
      </c>
      <c r="S3"/>
      <c r="T3"/>
      <c r="U3"/>
      <c r="V3"/>
      <c r="W3"/>
    </row>
    <row r="4" spans="1:23" x14ac:dyDescent="0.25">
      <c r="A4" s="9">
        <v>42996</v>
      </c>
      <c r="B4" s="9">
        <v>43009</v>
      </c>
      <c r="C4" s="26">
        <v>66.489999999999995</v>
      </c>
      <c r="D4" s="10">
        <f>Payroll4[[#This Row],[Hrs]]*IF(Payroll4[[#This Row],[Start Date]]&gt;$Q$5,$P$5,$N$2)</f>
        <v>498.67499999999995</v>
      </c>
      <c r="E4" s="10">
        <f ca="1">Payroll4[[#This Row],[Cash Total]]-((((Payroll4[[#This Row],[Cash Total]]*$P$8)+7)*0.01)*Payroll4[[#This Row],[Cash Total]])</f>
        <v>95.827634271649288</v>
      </c>
      <c r="F4" s="21">
        <v>349.61</v>
      </c>
      <c r="G4" s="11">
        <f>IF(Payroll4[[#This Row],[Cash Received ]]&gt;0,Payroll4[[#This Row],[Cash Total]]-Payroll4[[#This Row],[Cash Received ]],"")</f>
        <v>149.06499999999994</v>
      </c>
      <c r="H4" s="12">
        <f>IF(Payroll4[[#This Row],[Cash Received ]]&gt;0,(Payroll4[[#This Row],[Tax]]/Payroll4[[#This Row],[Cash Total]]),"")</f>
        <v>0.29892214368075393</v>
      </c>
      <c r="I4" s="13">
        <f>IF(Payroll4[[#This Row],[Tax %]]="",0, 1)</f>
        <v>1</v>
      </c>
      <c r="J4" s="13">
        <f>IF(Payroll4[[#This Row],[Cash Received ]]&gt;60,1,0)</f>
        <v>1</v>
      </c>
      <c r="K4" s="13">
        <f>IF(Payroll4[[#This Row],[average]]=1,Payroll4[[#This Row],[Cash Received ]],0)</f>
        <v>349.61</v>
      </c>
      <c r="L4" s="9">
        <f>Payroll4[[#This Row],[End Date]]+5</f>
        <v>43014</v>
      </c>
      <c r="N4" s="8" t="s">
        <v>8</v>
      </c>
      <c r="P4" s="31" t="s">
        <v>27</v>
      </c>
      <c r="Q4" s="31" t="s">
        <v>26</v>
      </c>
      <c r="S4"/>
      <c r="T4"/>
      <c r="U4"/>
      <c r="V4"/>
      <c r="W4"/>
    </row>
    <row r="5" spans="1:23" x14ac:dyDescent="0.25">
      <c r="A5" s="9">
        <v>43010</v>
      </c>
      <c r="B5" s="9">
        <v>43023</v>
      </c>
      <c r="D5" s="10">
        <f>Payroll4[[#This Row],[Hrs]]*IF(Payroll4[[#This Row],[Start Date]]&gt;$Q$5,$P$5,$N$2)</f>
        <v>0</v>
      </c>
      <c r="E5" s="10">
        <f ca="1">Payroll4[[#This Row],[Cash Total]]-((((Payroll4[[#This Row],[Cash Total]]*$P$8)+7)*0.01)*Payroll4[[#This Row],[Cash Total]])</f>
        <v>0</v>
      </c>
      <c r="F5" s="10"/>
      <c r="G5" s="11" t="str">
        <f>IF(Payroll4[[#This Row],[Cash Received ]]&gt;0,Payroll4[[#This Row],[Cash Total]]-Payroll4[[#This Row],[Cash Received ]],"")</f>
        <v/>
      </c>
      <c r="H5" s="12" t="str">
        <f>IF(Payroll4[[#This Row],[Cash Received ]]&gt;0,(Payroll4[[#This Row],[Tax]]/Payroll4[[#This Row],[Cash Total]]),"")</f>
        <v/>
      </c>
      <c r="I5" s="13">
        <f>IF(Payroll4[[#This Row],[Tax %]]="",0, 1)</f>
        <v>0</v>
      </c>
      <c r="J5" s="13">
        <f>IF(Payroll4[[#This Row],[Cash Received ]]&gt;60,1,0)</f>
        <v>0</v>
      </c>
      <c r="K5" s="13">
        <f>IF(Payroll4[[#This Row],[average]]=1,Payroll4[[#This Row],[Cash Received ]],0)</f>
        <v>0</v>
      </c>
      <c r="L5" s="9">
        <f>Payroll4[[#This Row],[End Date]]+5</f>
        <v>43028</v>
      </c>
      <c r="N5" s="14">
        <f>Payroll4[[#Totals],[Cash Received ]]/Payroll4[[#Totals],[average]]</f>
        <v>347.58333333333331</v>
      </c>
      <c r="P5" s="14">
        <v>8.25</v>
      </c>
      <c r="Q5" s="30">
        <v>43009</v>
      </c>
      <c r="S5"/>
      <c r="T5"/>
      <c r="U5"/>
      <c r="V5"/>
      <c r="W5"/>
    </row>
    <row r="6" spans="1:23" x14ac:dyDescent="0.25">
      <c r="A6" s="9">
        <v>43024</v>
      </c>
      <c r="B6" s="9">
        <v>43037</v>
      </c>
      <c r="C6" s="5">
        <v>36</v>
      </c>
      <c r="D6" s="10">
        <f>Payroll4[[#This Row],[Hrs]]*IF(Payroll4[[#This Row],[Start Date]]&gt;$Q$5,$P$5,$N$2)</f>
        <v>297</v>
      </c>
      <c r="E6" s="10">
        <f ca="1">Payroll4[[#This Row],[Cash Total]]-((((Payroll4[[#This Row],[Cash Total]]*$P$8)+7)*0.01)*Payroll4[[#This Row],[Cash Total]])</f>
        <v>145.69667724608496</v>
      </c>
      <c r="F6" s="10"/>
      <c r="G6" s="11" t="str">
        <f>IF(Payroll4[[#This Row],[Cash Received ]]&gt;0,Payroll4[[#This Row],[Cash Total]]-Payroll4[[#This Row],[Cash Received ]],"")</f>
        <v/>
      </c>
      <c r="H6" s="12" t="str">
        <f>IF(Payroll4[[#This Row],[Cash Received ]]&gt;0,(Payroll4[[#This Row],[Tax]]/Payroll4[[#This Row],[Cash Total]]),"")</f>
        <v/>
      </c>
      <c r="I6" s="13">
        <f>IF(Payroll4[[#This Row],[Tax %]]="",0, 1)</f>
        <v>0</v>
      </c>
      <c r="J6" s="13">
        <f>IF(Payroll4[[#This Row],[Cash Received ]]&gt;60,1,0)</f>
        <v>0</v>
      </c>
      <c r="K6" s="13">
        <f>IF(Payroll4[[#This Row],[average]]=1,Payroll4[[#This Row],[Cash Received ]],0)</f>
        <v>0</v>
      </c>
      <c r="L6" s="9">
        <f>Payroll4[[#This Row],[End Date]]+5</f>
        <v>43042</v>
      </c>
      <c r="S6"/>
      <c r="T6"/>
      <c r="U6"/>
      <c r="V6"/>
      <c r="W6"/>
    </row>
    <row r="7" spans="1:23" x14ac:dyDescent="0.25">
      <c r="A7" s="9">
        <v>43038</v>
      </c>
      <c r="B7" s="9">
        <v>43051</v>
      </c>
      <c r="D7" s="10">
        <f>Payroll4[[#This Row],[Hrs]]*IF(Payroll4[[#This Row],[Start Date]]&gt;$Q$5,$P$5,$N$2)</f>
        <v>0</v>
      </c>
      <c r="E7" s="10">
        <f ca="1">Payroll4[[#This Row],[Cash Total]]-((((Payroll4[[#This Row],[Cash Total]]*$P$8)+7)*0.01)*Payroll4[[#This Row],[Cash Total]])</f>
        <v>0</v>
      </c>
      <c r="F7" s="10"/>
      <c r="G7" s="11" t="str">
        <f>IF(Payroll4[[#This Row],[Cash Received ]]&gt;0,Payroll4[[#This Row],[Cash Total]]-Payroll4[[#This Row],[Cash Received ]],"")</f>
        <v/>
      </c>
      <c r="H7" s="12" t="str">
        <f>IF(Payroll4[[#This Row],[Cash Received ]]&gt;0,(Payroll4[[#This Row],[Tax]]/Payroll4[[#This Row],[Cash Total]]),"")</f>
        <v/>
      </c>
      <c r="I7" s="13">
        <f>IF(Payroll4[[#This Row],[Tax %]]="",0, 1)</f>
        <v>0</v>
      </c>
      <c r="J7" s="13">
        <f>IF(Payroll4[[#This Row],[Cash Received ]]&gt;60,1,0)</f>
        <v>0</v>
      </c>
      <c r="K7" s="13">
        <f>IF(Payroll4[[#This Row],[average]]=1,Payroll4[[#This Row],[Cash Received ]],0)</f>
        <v>0</v>
      </c>
      <c r="L7" s="9">
        <f>Payroll4[[#This Row],[End Date]]+5</f>
        <v>43056</v>
      </c>
      <c r="N7" s="8" t="s">
        <v>11</v>
      </c>
      <c r="P7" s="8" t="s">
        <v>28</v>
      </c>
      <c r="Q7" s="8" t="s">
        <v>29</v>
      </c>
      <c r="S7"/>
      <c r="T7"/>
      <c r="U7"/>
      <c r="V7"/>
      <c r="W7"/>
    </row>
    <row r="8" spans="1:23" x14ac:dyDescent="0.25">
      <c r="A8" s="9">
        <v>43052</v>
      </c>
      <c r="B8" s="9">
        <v>43065</v>
      </c>
      <c r="D8" s="10">
        <f>Payroll4[[#This Row],[Hrs]]*IF(Payroll4[[#This Row],[Start Date]]&gt;$Q$5,$P$5,$N$2)</f>
        <v>0</v>
      </c>
      <c r="E8" s="10">
        <f ca="1">Payroll4[[#This Row],[Cash Total]]-((((Payroll4[[#This Row],[Cash Total]]*$P$8)+7)*0.01)*Payroll4[[#This Row],[Cash Total]])</f>
        <v>0</v>
      </c>
      <c r="F8" s="10"/>
      <c r="G8" s="11" t="str">
        <f>IF(Payroll4[[#This Row],[Cash Received ]]&gt;0,Payroll4[[#This Row],[Cash Total]]-Payroll4[[#This Row],[Cash Received ]],"")</f>
        <v/>
      </c>
      <c r="H8" s="12" t="str">
        <f>IF(Payroll4[[#This Row],[Cash Received ]]&gt;0,(Payroll4[[#This Row],[Tax]]/Payroll4[[#This Row],[Cash Total]]),"")</f>
        <v/>
      </c>
      <c r="I8" s="13">
        <f>IF(Payroll4[[#This Row],[Tax %]]="",0, 1)</f>
        <v>0</v>
      </c>
      <c r="J8" s="13">
        <f>IF(Payroll4[[#This Row],[Cash Received ]]&gt;60,1,0)</f>
        <v>0</v>
      </c>
      <c r="K8" s="13">
        <f>IF(Payroll4[[#This Row],[average]]=1,Payroll4[[#This Row],[Cash Received ]],0)</f>
        <v>0</v>
      </c>
      <c r="L8" s="9">
        <f>Payroll4[[#This Row],[End Date]]+5</f>
        <v>43070</v>
      </c>
      <c r="N8" s="14">
        <v>1500</v>
      </c>
      <c r="P8" s="33">
        <f ca="1">IF(COUNT(hist_cashtotal) &lt;&gt; COUNT(hist_percent), SLOPE(hist_percent, hist_cashtotalprime), SLOPE(hist_percent, hist_cashtotal))*100</f>
        <v>0.14795919096000981</v>
      </c>
      <c r="Q8" s="33">
        <f ca="1">IF(COUNT(hist_cashtotal) &lt;&gt; COUNT(hist_percent), INTERCEPT(hist_percent, hist_cashtotalprime), INTERCEPT(hist_percent, hist_cashtotal)) *100</f>
        <v>-43.934149000004766</v>
      </c>
      <c r="S8"/>
      <c r="T8"/>
      <c r="U8"/>
      <c r="V8"/>
      <c r="W8"/>
    </row>
    <row r="9" spans="1:23" x14ac:dyDescent="0.25">
      <c r="A9" s="9">
        <v>43066</v>
      </c>
      <c r="B9" s="9">
        <v>43079</v>
      </c>
      <c r="C9" s="28"/>
      <c r="D9" s="22">
        <f>Payroll4[[#This Row],[Hrs]]*IF(Payroll4[[#This Row],[Start Date]]&gt;$Q$5,$P$5,$N$2)</f>
        <v>0</v>
      </c>
      <c r="E9" s="22">
        <f ca="1">Payroll4[[#This Row],[Cash Total]]-((((Payroll4[[#This Row],[Cash Total]]*$P$8)+7)*0.01)*Payroll4[[#This Row],[Cash Total]])</f>
        <v>0</v>
      </c>
      <c r="F9" s="22"/>
      <c r="G9" s="22" t="str">
        <f>IF(Payroll4[[#This Row],[Cash Received ]]&gt;0,Payroll4[[#This Row],[Cash Total]]-Payroll4[[#This Row],[Cash Received ]],"")</f>
        <v/>
      </c>
      <c r="H9" s="29" t="str">
        <f>IF(Payroll4[[#This Row],[Cash Received ]]&gt;0,(Payroll4[[#This Row],[Tax]]/Payroll4[[#This Row],[Cash Total]]),"")</f>
        <v/>
      </c>
      <c r="I9" s="13">
        <f>IF(Payroll4[[#This Row],[Tax %]]="",0, 1)</f>
        <v>0</v>
      </c>
      <c r="J9" s="13">
        <f>IF(Payroll4[[#This Row],[Cash Received ]]&gt;60,1,0)</f>
        <v>0</v>
      </c>
      <c r="K9" s="13">
        <f>IF(Payroll4[[#This Row],[average]]=1,Payroll4[[#This Row],[Cash Received ]],0)</f>
        <v>0</v>
      </c>
      <c r="L9" s="9">
        <f>Payroll4[[#This Row],[End Date]]+5</f>
        <v>43084</v>
      </c>
      <c r="S9"/>
      <c r="T9"/>
      <c r="U9"/>
      <c r="V9"/>
      <c r="W9"/>
    </row>
    <row r="10" spans="1:23" x14ac:dyDescent="0.25">
      <c r="A10" s="9">
        <v>43080</v>
      </c>
      <c r="B10" s="9">
        <v>43093</v>
      </c>
      <c r="C10" s="26"/>
      <c r="D10" s="21">
        <f>Payroll4[[#This Row],[Hrs]]*IF(Payroll4[[#This Row],[Start Date]]&gt;$Q$5,$P$5,$N$2)</f>
        <v>0</v>
      </c>
      <c r="E10" s="21">
        <f ca="1">Payroll4[[#This Row],[Cash Total]]-((((Payroll4[[#This Row],[Cash Total]]*$P$8)+7)*0.01)*Payroll4[[#This Row],[Cash Total]])</f>
        <v>0</v>
      </c>
      <c r="F10" s="21"/>
      <c r="G10" s="21" t="str">
        <f>IF(Payroll4[[#This Row],[Cash Received ]]&gt;0,Payroll4[[#This Row],[Cash Total]]-Payroll4[[#This Row],[Cash Received ]],"")</f>
        <v/>
      </c>
      <c r="H10" s="27" t="str">
        <f>IF(Payroll4[[#This Row],[Cash Received ]]&gt;0,(Payroll4[[#This Row],[Tax]]/Payroll4[[#This Row],[Cash Total]]),"")</f>
        <v/>
      </c>
      <c r="I10" s="13">
        <f>IF(Payroll4[[#This Row],[Tax %]]="",0, 1)</f>
        <v>0</v>
      </c>
      <c r="J10" s="13">
        <f>IF(Payroll4[[#This Row],[Cash Received ]]&gt;60,1,0)</f>
        <v>0</v>
      </c>
      <c r="K10" s="13">
        <f>IF(Payroll4[[#This Row],[average]]=1,Payroll4[[#This Row],[Cash Received ]],0)</f>
        <v>0</v>
      </c>
      <c r="L10" s="9">
        <f>Payroll4[[#This Row],[End Date]]+5</f>
        <v>43098</v>
      </c>
      <c r="N10" s="8" t="s">
        <v>12</v>
      </c>
      <c r="S10"/>
      <c r="T10"/>
      <c r="U10"/>
      <c r="V10"/>
      <c r="W10"/>
    </row>
    <row r="11" spans="1:23" x14ac:dyDescent="0.25">
      <c r="A11" s="9">
        <v>43094</v>
      </c>
      <c r="B11" s="9">
        <v>43107</v>
      </c>
      <c r="D11" s="10">
        <f>Payroll4[[#This Row],[Hrs]]*IF(Payroll4[[#This Row],[Start Date]]&gt;$Q$5,$P$5,$N$2)</f>
        <v>0</v>
      </c>
      <c r="E11" s="10">
        <f ca="1">Payroll4[[#This Row],[Cash Total]]-((((Payroll4[[#This Row],[Cash Total]]*$P$8)+7)*0.01)*Payroll4[[#This Row],[Cash Total]])</f>
        <v>0</v>
      </c>
      <c r="F11" s="10"/>
      <c r="G11" s="11" t="str">
        <f>IF(Payroll4[[#This Row],[Cash Received ]]&gt;0,Payroll4[[#This Row],[Cash Total]]-Payroll4[[#This Row],[Cash Received ]],"")</f>
        <v/>
      </c>
      <c r="H11" s="12" t="str">
        <f>IF(Payroll4[[#This Row],[Cash Received ]]&gt;0,(Payroll4[[#This Row],[Tax]]/Payroll4[[#This Row],[Cash Total]]),"")</f>
        <v/>
      </c>
      <c r="I11" s="13">
        <f>IF(Payroll4[[#This Row],[Tax %]]="",0, 1)</f>
        <v>0</v>
      </c>
      <c r="J11" s="13">
        <f>IF(Payroll4[[#This Row],[Cash Received ]]&gt;60,1,0)</f>
        <v>0</v>
      </c>
      <c r="K11" s="13">
        <f>IF(Payroll4[[#This Row],[average]]=1,Payroll4[[#This Row],[Cash Received ]],0)</f>
        <v>0</v>
      </c>
      <c r="L11" s="9">
        <f>Payroll4[[#This Row],[End Date]]+5</f>
        <v>43112</v>
      </c>
      <c r="N11" s="16">
        <f>ROUND((INDEX(A:A,MATCH(TRUE, INDEX(ISBLANK(C:C), 0, 0), 0)))+(N8-Payroll4[[#Totals],[Cash Received ]])/N5*P2,0)</f>
        <v>43027</v>
      </c>
      <c r="S11"/>
      <c r="T11"/>
      <c r="U11"/>
      <c r="V11"/>
      <c r="W11"/>
    </row>
    <row r="12" spans="1:23" x14ac:dyDescent="0.25">
      <c r="A12" s="9">
        <v>43108</v>
      </c>
      <c r="B12" s="9">
        <v>43121</v>
      </c>
      <c r="D12" s="10">
        <f>Payroll4[[#This Row],[Hrs]]*IF(Payroll4[[#This Row],[Start Date]]&gt;$Q$5,$P$5,$N$2)</f>
        <v>0</v>
      </c>
      <c r="E12" s="11">
        <f ca="1">Payroll4[[#This Row],[Cash Total]]-((((Payroll4[[#This Row],[Cash Total]]*$P$8)+7)*0.01)*Payroll4[[#This Row],[Cash Total]])</f>
        <v>0</v>
      </c>
      <c r="F12" s="11"/>
      <c r="G12" s="11" t="str">
        <f>IF(Payroll4[[#This Row],[Cash Received ]]&gt;0,Payroll4[[#This Row],[Cash Total]]-Payroll4[[#This Row],[Cash Received ]],"")</f>
        <v/>
      </c>
      <c r="H12" s="12" t="str">
        <f>IF(Payroll4[[#This Row],[Cash Received ]]&gt;0,(Payroll4[[#This Row],[Tax]]/Payroll4[[#This Row],[Cash Total]]),"")</f>
        <v/>
      </c>
      <c r="I12" s="13">
        <f>IF(Payroll4[[#This Row],[Tax %]]="",0, 1)</f>
        <v>0</v>
      </c>
      <c r="J12" s="13">
        <f>IF(Payroll4[[#This Row],[Cash Received ]]&gt;60,1,0)</f>
        <v>0</v>
      </c>
      <c r="K12" s="13">
        <f>IF(Payroll4[[#This Row],[average]]=1,Payroll4[[#This Row],[Cash Received ]],0)</f>
        <v>0</v>
      </c>
      <c r="L12" s="9">
        <f>Payroll4[[#This Row],[End Date]]+5</f>
        <v>43126</v>
      </c>
      <c r="S12" s="23"/>
      <c r="T12"/>
      <c r="U12"/>
      <c r="V12"/>
      <c r="W12"/>
    </row>
    <row r="13" spans="1:23" x14ac:dyDescent="0.25">
      <c r="A13" s="9">
        <v>43122</v>
      </c>
      <c r="B13" s="9">
        <v>43135</v>
      </c>
      <c r="D13" s="10">
        <f>Payroll4[[#This Row],[Hrs]]*IF(Payroll4[[#This Row],[Start Date]]&gt;$Q$5,$P$5,$N$2)</f>
        <v>0</v>
      </c>
      <c r="E13" s="11">
        <f ca="1">Payroll4[[#This Row],[Cash Total]]-((((Payroll4[[#This Row],[Cash Total]]*$P$8)+7)*0.01)*Payroll4[[#This Row],[Cash Total]])</f>
        <v>0</v>
      </c>
      <c r="F13" s="11"/>
      <c r="G13" s="11" t="str">
        <f>IF(Payroll4[[#This Row],[Cash Received ]]&gt;0,Payroll4[[#This Row],[Cash Total]]-Payroll4[[#This Row],[Cash Received ]],"")</f>
        <v/>
      </c>
      <c r="H13" s="12" t="str">
        <f>IF(Payroll4[[#This Row],[Cash Received ]]&gt;0,(Payroll4[[#This Row],[Tax]]/Payroll4[[#This Row],[Cash Total]]),"")</f>
        <v/>
      </c>
      <c r="I13" s="13">
        <f>IF(Payroll4[[#This Row],[Tax %]]="",0, 1)</f>
        <v>0</v>
      </c>
      <c r="J13" s="13">
        <f>IF(Payroll4[[#This Row],[Cash Received ]]&gt;60,1,0)</f>
        <v>0</v>
      </c>
      <c r="K13" s="13">
        <f>IF(Payroll4[[#This Row],[average]]=1,Payroll4[[#This Row],[Cash Received ]],0)</f>
        <v>0</v>
      </c>
      <c r="L13" s="9">
        <f>Payroll4[[#This Row],[End Date]]+5</f>
        <v>43140</v>
      </c>
      <c r="N13" s="9"/>
      <c r="S13" s="23"/>
      <c r="T13"/>
      <c r="U13"/>
      <c r="V13"/>
      <c r="W13"/>
    </row>
    <row r="14" spans="1:23" x14ac:dyDescent="0.25">
      <c r="A14" s="9">
        <v>43136</v>
      </c>
      <c r="B14" s="9">
        <v>43149</v>
      </c>
      <c r="D14" s="10">
        <f>Payroll4[[#This Row],[Hrs]]*IF(Payroll4[[#This Row],[Start Date]]&gt;$Q$5,$P$5,$N$2)</f>
        <v>0</v>
      </c>
      <c r="E14" s="11">
        <f ca="1">Payroll4[[#This Row],[Cash Total]]-((((Payroll4[[#This Row],[Cash Total]]*$P$8)+7)*0.01)*Payroll4[[#This Row],[Cash Total]])</f>
        <v>0</v>
      </c>
      <c r="F14" s="11"/>
      <c r="G14" s="11" t="str">
        <f>IF(Payroll4[[#This Row],[Cash Received ]]&gt;0,Payroll4[[#This Row],[Cash Total]]-Payroll4[[#This Row],[Cash Received ]],"")</f>
        <v/>
      </c>
      <c r="H14" s="12" t="str">
        <f>IF(Payroll4[[#This Row],[Cash Received ]]&gt;0,(Payroll4[[#This Row],[Tax]]/Payroll4[[#This Row],[Cash Total]]),"")</f>
        <v/>
      </c>
      <c r="I14" s="13">
        <f>IF(Payroll4[[#This Row],[Tax %]]="",0, 1)</f>
        <v>0</v>
      </c>
      <c r="J14" s="13">
        <f>IF(Payroll4[[#This Row],[Cash Received ]]&gt;60,1,0)</f>
        <v>0</v>
      </c>
      <c r="K14" s="13">
        <f>IF(Payroll4[[#This Row],[average]]=1,Payroll4[[#This Row],[Cash Received ]],0)</f>
        <v>0</v>
      </c>
      <c r="L14" s="9">
        <f>Payroll4[[#This Row],[End Date]]+5</f>
        <v>43154</v>
      </c>
      <c r="P14" s="20"/>
      <c r="T14"/>
      <c r="U14"/>
      <c r="V14"/>
      <c r="W14"/>
    </row>
    <row r="15" spans="1:23" x14ac:dyDescent="0.25">
      <c r="A15" s="9">
        <v>43150</v>
      </c>
      <c r="B15" s="9">
        <v>43163</v>
      </c>
      <c r="D15" s="10">
        <f>Payroll4[[#This Row],[Hrs]]*IF(Payroll4[[#This Row],[Start Date]]&gt;$Q$5,$P$5,$N$2)</f>
        <v>0</v>
      </c>
      <c r="E15" s="11">
        <f ca="1">Payroll4[[#This Row],[Cash Total]]-((((Payroll4[[#This Row],[Cash Total]]*$P$8)+7)*0.01)*Payroll4[[#This Row],[Cash Total]])</f>
        <v>0</v>
      </c>
      <c r="F15" s="11"/>
      <c r="G15" s="11" t="str">
        <f>IF(Payroll4[[#This Row],[Cash Received ]]&gt;0,Payroll4[[#This Row],[Cash Total]]-Payroll4[[#This Row],[Cash Received ]],"")</f>
        <v/>
      </c>
      <c r="H15" s="12" t="str">
        <f>IF(Payroll4[[#This Row],[Cash Received ]]&gt;0,(Payroll4[[#This Row],[Tax]]/Payroll4[[#This Row],[Cash Total]]),"")</f>
        <v/>
      </c>
      <c r="I15" s="13">
        <f>IF(Payroll4[[#This Row],[Tax %]]="",0, 1)</f>
        <v>0</v>
      </c>
      <c r="J15" s="13">
        <f>IF(Payroll4[[#This Row],[Cash Received ]]&gt;60,1,0)</f>
        <v>0</v>
      </c>
      <c r="K15" s="13">
        <f>IF(Payroll4[[#This Row],[average]]=1,Payroll4[[#This Row],[Cash Received ]],0)</f>
        <v>0</v>
      </c>
      <c r="L15" s="9">
        <f>Payroll4[[#This Row],[End Date]]+5</f>
        <v>43168</v>
      </c>
      <c r="N15" s="32"/>
      <c r="T15"/>
      <c r="U15"/>
      <c r="V15"/>
      <c r="W15"/>
    </row>
    <row r="16" spans="1:23" x14ac:dyDescent="0.25">
      <c r="A16" s="9">
        <v>43164</v>
      </c>
      <c r="B16" s="9">
        <v>43177</v>
      </c>
      <c r="D16" s="10">
        <f>Payroll4[[#This Row],[Hrs]]*IF(Payroll4[[#This Row],[Start Date]]&gt;$Q$5,$P$5,$N$2)</f>
        <v>0</v>
      </c>
      <c r="E16" s="11">
        <f ca="1">Payroll4[[#This Row],[Cash Total]]-((((Payroll4[[#This Row],[Cash Total]]*$P$8)+7)*0.01)*Payroll4[[#This Row],[Cash Total]])</f>
        <v>0</v>
      </c>
      <c r="F16" s="11"/>
      <c r="G16" s="11" t="str">
        <f>IF(Payroll4[[#This Row],[Cash Received ]]&gt;0,Payroll4[[#This Row],[Cash Total]]-Payroll4[[#This Row],[Cash Received ]],"")</f>
        <v/>
      </c>
      <c r="H16" s="12" t="str">
        <f>IF(Payroll4[[#This Row],[Cash Received ]]&gt;0,(Payroll4[[#This Row],[Tax]]/Payroll4[[#This Row],[Cash Total]]),"")</f>
        <v/>
      </c>
      <c r="I16" s="13">
        <f>IF(Payroll4[[#This Row],[Tax %]]="",0, 1)</f>
        <v>0</v>
      </c>
      <c r="J16" s="13">
        <f>IF(Payroll4[[#This Row],[Cash Received ]]&gt;60,1,0)</f>
        <v>0</v>
      </c>
      <c r="K16" s="13">
        <f>IF(Payroll4[[#This Row],[average]]=1,Payroll4[[#This Row],[Cash Received ]],0)</f>
        <v>0</v>
      </c>
      <c r="L16" s="9">
        <f>Payroll4[[#This Row],[End Date]]+5</f>
        <v>43182</v>
      </c>
      <c r="N16" s="12"/>
      <c r="T16"/>
      <c r="U16"/>
      <c r="V16"/>
      <c r="W16"/>
    </row>
    <row r="17" spans="1:23" x14ac:dyDescent="0.25">
      <c r="A17" s="35" t="s">
        <v>17</v>
      </c>
      <c r="B17" s="35"/>
      <c r="C17" s="35">
        <f>SUBTOTAL(109,Payroll4[Hrs])</f>
        <v>219.3</v>
      </c>
      <c r="D17" s="37">
        <f>SUBTOTAL(109,Payroll4[Cash Total])</f>
        <v>1671.75</v>
      </c>
      <c r="E17" s="37">
        <f ca="1">SUBTOTAL(109,Payroll4[Cash Projected])</f>
        <v>488.22946386851959</v>
      </c>
      <c r="F17" s="37">
        <f>SUBTOTAL(109,Payroll4[[Cash Received ]])</f>
        <v>1042.75</v>
      </c>
      <c r="G17" s="37">
        <f>SUBTOTAL(109,Payroll4[Tax])</f>
        <v>331.99999999999989</v>
      </c>
      <c r="H17" s="38">
        <f>(SUM(Payroll4[Tax %]))/Payroll4[[#Totals],[percent]]</f>
        <v>0.23868150257419729</v>
      </c>
      <c r="I17" s="35">
        <f>SUBTOTAL(109,Payroll4[percent])</f>
        <v>3</v>
      </c>
      <c r="J17" s="36">
        <f>SUM(Payroll4[average])</f>
        <v>3</v>
      </c>
      <c r="K17" s="35">
        <f>SUM(Payroll4[weekly])/Payroll4[[#Totals],[average]]</f>
        <v>347.58333333333331</v>
      </c>
      <c r="L17" s="39"/>
      <c r="M17"/>
      <c r="N17"/>
      <c r="O17"/>
      <c r="P17"/>
      <c r="Q17"/>
      <c r="R17"/>
      <c r="T17"/>
      <c r="U17"/>
      <c r="V17"/>
      <c r="W17"/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T18"/>
      <c r="U18"/>
      <c r="V18"/>
      <c r="W18"/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T19"/>
      <c r="U19"/>
      <c r="V19"/>
      <c r="W19"/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T20"/>
      <c r="U20"/>
      <c r="V20"/>
      <c r="W20"/>
    </row>
    <row r="21" spans="1:23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23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23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23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23" x14ac:dyDescent="0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23" x14ac:dyDescent="0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23" x14ac:dyDescent="0.25">
      <c r="A27" s="9"/>
      <c r="M27"/>
    </row>
    <row r="28" spans="1:23" x14ac:dyDescent="0.25">
      <c r="A28" s="9"/>
      <c r="C28" s="23"/>
      <c r="D28" s="18"/>
      <c r="M28"/>
    </row>
    <row r="29" spans="1:23" x14ac:dyDescent="0.25">
      <c r="A29" s="9"/>
    </row>
    <row r="30" spans="1:23" x14ac:dyDescent="0.25">
      <c r="A30" s="9"/>
    </row>
    <row r="31" spans="1:23" x14ac:dyDescent="0.25">
      <c r="A31" s="9"/>
    </row>
    <row r="32" spans="1:23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</sheetData>
  <conditionalFormatting sqref="D2:E16">
    <cfRule type="cellIs" dxfId="56" priority="4" operator="equal">
      <formula>0</formula>
    </cfRule>
    <cfRule type="cellIs" dxfId="55" priority="5" operator="equal">
      <formula>0</formula>
    </cfRule>
    <cfRule type="cellIs" dxfId="54" priority="6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C13" sqref="C13"/>
    </sheetView>
  </sheetViews>
  <sheetFormatPr defaultColWidth="9.140625" defaultRowHeight="15" x14ac:dyDescent="0.25"/>
  <cols>
    <col min="1" max="1" width="9.140625" style="5"/>
    <col min="2" max="2" width="11" style="5" customWidth="1"/>
    <col min="3" max="3" width="9.140625" style="5"/>
    <col min="4" max="5" width="15.140625" style="5" customWidth="1"/>
    <col min="6" max="6" width="14.140625" style="5" customWidth="1"/>
    <col min="7" max="7" width="9.140625" style="5"/>
    <col min="8" max="8" width="11" style="5" customWidth="1"/>
    <col min="9" max="9" width="13.5703125" style="5" hidden="1" customWidth="1"/>
    <col min="10" max="10" width="9.7109375" style="7" hidden="1" customWidth="1"/>
    <col min="11" max="11" width="10.5703125" style="7" hidden="1" customWidth="1"/>
    <col min="12" max="12" width="10.5703125" style="7" customWidth="1"/>
    <col min="13" max="13" width="12.140625" style="5" customWidth="1"/>
    <col min="14" max="14" width="15.5703125" style="5" customWidth="1"/>
    <col min="15" max="15" width="12.140625" style="5" customWidth="1"/>
    <col min="16" max="16" width="9.7109375" style="5" bestFit="1" customWidth="1"/>
    <col min="17" max="17" width="11" style="5" customWidth="1"/>
    <col min="18" max="19" width="9.140625" style="5"/>
    <col min="20" max="20" width="10.140625" style="5" bestFit="1" customWidth="1"/>
    <col min="21" max="16384" width="9.140625" style="5"/>
  </cols>
  <sheetData>
    <row r="1" spans="1:21" x14ac:dyDescent="0.25">
      <c r="A1" s="4" t="s">
        <v>14</v>
      </c>
      <c r="B1" s="4" t="s">
        <v>15</v>
      </c>
      <c r="C1" s="5" t="s">
        <v>0</v>
      </c>
      <c r="D1" s="6" t="s">
        <v>6</v>
      </c>
      <c r="E1" s="5" t="s">
        <v>16</v>
      </c>
      <c r="F1" s="6" t="s">
        <v>2</v>
      </c>
      <c r="G1" s="5" t="s">
        <v>3</v>
      </c>
      <c r="H1" s="5" t="s">
        <v>4</v>
      </c>
      <c r="I1" s="5" t="s">
        <v>5</v>
      </c>
      <c r="J1" s="7" t="s">
        <v>7</v>
      </c>
      <c r="K1" s="7" t="s">
        <v>9</v>
      </c>
      <c r="L1" s="7" t="s">
        <v>13</v>
      </c>
      <c r="N1" s="8" t="s">
        <v>1</v>
      </c>
      <c r="P1" s="8" t="s">
        <v>10</v>
      </c>
    </row>
    <row r="2" spans="1:21" x14ac:dyDescent="0.25">
      <c r="A2" s="9">
        <v>42814</v>
      </c>
      <c r="B2" s="9">
        <v>42827</v>
      </c>
      <c r="C2" s="5">
        <v>16.86</v>
      </c>
      <c r="D2" s="10">
        <f>Payroll[[#This Row],[Hrs]]*IF(Payroll[[#This Row],[Start Date]]&gt;$Q$5,$P$5,$N$2)</f>
        <v>122.235</v>
      </c>
      <c r="E2" s="10">
        <f ca="1">Payroll[[#This Row],[Cash Total]]-((((Payroll[[#This Row],[Cash Total]]*$P$8)+7)*0.01)*Payroll[[#This Row],[Cash Total]])</f>
        <v>108.37811001142863</v>
      </c>
      <c r="F2" s="10">
        <v>106.91</v>
      </c>
      <c r="G2" s="11">
        <f>IF(Payroll[[#This Row],[Cash Received ]]&gt;0,Payroll[[#This Row],[Cash Total]]-Payroll[[#This Row],[Cash Received ]],"")</f>
        <v>15.325000000000003</v>
      </c>
      <c r="H2" s="12">
        <f>IF(Payroll[[#This Row],[Cash Received ]]&gt;0,(Payroll[[#This Row],[Tax]]/Payroll[[#This Row],[Cash Total]]),"")</f>
        <v>0.12537325643228212</v>
      </c>
      <c r="I2" s="5">
        <f>IF(Payroll[[#This Row],[Tax %]]="",0, 1)</f>
        <v>1</v>
      </c>
      <c r="J2" s="13">
        <f>IF(Payroll[[#This Row],[Cash Received ]]&gt;60,1,0)</f>
        <v>1</v>
      </c>
      <c r="K2" s="13">
        <f>IF(Payroll[[#This Row],[average]]=1,Payroll[[#This Row],[Cash Received ]],0)</f>
        <v>106.91</v>
      </c>
      <c r="L2" s="9">
        <f>Payroll[[#This Row],[End Date]]+5</f>
        <v>42832</v>
      </c>
      <c r="N2" s="14">
        <v>7.25</v>
      </c>
      <c r="P2" s="15">
        <f>Payroll[[#This Row],[End Date]]-Payroll[[#This Row],[Start Date]]</f>
        <v>13</v>
      </c>
      <c r="S2"/>
      <c r="T2"/>
      <c r="U2"/>
    </row>
    <row r="3" spans="1:21" x14ac:dyDescent="0.25">
      <c r="A3" s="9">
        <v>42828</v>
      </c>
      <c r="B3" s="9">
        <v>42841</v>
      </c>
      <c r="C3" s="5">
        <v>5.03</v>
      </c>
      <c r="D3" s="10">
        <f>Payroll[[#This Row],[Hrs]]*IF(Payroll[[#This Row],[Start Date]]&gt;$Q$5,$P$5,$N$2)</f>
        <v>36.467500000000001</v>
      </c>
      <c r="E3" s="10">
        <f ca="1">Payroll[[#This Row],[Cash Total]]-((((Payroll[[#This Row],[Cash Total]]*$P$8)+7)*0.01)*Payroll[[#This Row],[Cash Total]])</f>
        <v>33.443002359403707</v>
      </c>
      <c r="F3" s="10">
        <v>33.06</v>
      </c>
      <c r="G3" s="11">
        <f>IF(Payroll[[#This Row],[Cash Received ]]&gt;0,Payroll[[#This Row],[Cash Total]]-Payroll[[#This Row],[Cash Received ]],"")</f>
        <v>3.4074999999999989</v>
      </c>
      <c r="H3" s="12">
        <f>IF(Payroll[[#This Row],[Cash Received ]]&gt;0,(Payroll[[#This Row],[Tax]]/Payroll[[#This Row],[Cash Total]]),"")</f>
        <v>9.3439363817097387E-2</v>
      </c>
      <c r="I3" s="13">
        <f>IF(Payroll[[#This Row],[Tax %]]="",0, 1)</f>
        <v>1</v>
      </c>
      <c r="J3" s="13">
        <f>IF(Payroll[[#This Row],[Cash Received ]]&gt;60,1,0)</f>
        <v>0</v>
      </c>
      <c r="K3" s="13">
        <f>IF(Payroll[[#This Row],[average]]=1,Payroll[[#This Row],[Cash Received ]],0)</f>
        <v>0</v>
      </c>
      <c r="L3" s="9">
        <f>Payroll[[#This Row],[End Date]]+5</f>
        <v>42846</v>
      </c>
      <c r="S3"/>
      <c r="T3"/>
      <c r="U3"/>
    </row>
    <row r="4" spans="1:21" x14ac:dyDescent="0.25">
      <c r="A4" s="9">
        <v>42842</v>
      </c>
      <c r="B4" s="9">
        <v>42855</v>
      </c>
      <c r="C4" s="5">
        <v>30.67</v>
      </c>
      <c r="D4" s="10">
        <f>Payroll[[#This Row],[Hrs]]*IF(Payroll[[#This Row],[Start Date]]&gt;$Q$5,$P$5,$N$2)</f>
        <v>222.35750000000002</v>
      </c>
      <c r="E4" s="10">
        <f ca="1">Payroll[[#This Row],[Cash Total]]-((((Payroll[[#This Row],[Cash Total]]*$P$8)+7)*0.01)*Payroll[[#This Row],[Cash Total]])</f>
        <v>189.25268726806175</v>
      </c>
      <c r="F4" s="10">
        <v>185.77</v>
      </c>
      <c r="G4" s="11">
        <f>IF(Payroll[[#This Row],[Cash Received ]]&gt;0,Payroll[[#This Row],[Cash Total]]-Payroll[[#This Row],[Cash Received ]],"")</f>
        <v>36.587500000000006</v>
      </c>
      <c r="H4" s="12">
        <f>IF(Payroll[[#This Row],[Cash Received ]]&gt;0,(Payroll[[#This Row],[Tax]]/Payroll[[#This Row],[Cash Total]]),"")</f>
        <v>0.16454358409318329</v>
      </c>
      <c r="I4" s="13">
        <f>IF(Payroll[[#This Row],[Tax %]]="",0, 1)</f>
        <v>1</v>
      </c>
      <c r="J4" s="13">
        <f>IF(Payroll[[#This Row],[Cash Received ]]&gt;60,1,0)</f>
        <v>1</v>
      </c>
      <c r="K4" s="13">
        <f>IF(Payroll[[#This Row],[average]]=1,Payroll[[#This Row],[Cash Received ]],0)</f>
        <v>185.77</v>
      </c>
      <c r="L4" s="9">
        <f>Payroll[[#This Row],[End Date]]+5</f>
        <v>42860</v>
      </c>
      <c r="N4" s="8" t="s">
        <v>8</v>
      </c>
      <c r="P4" s="31" t="s">
        <v>27</v>
      </c>
      <c r="Q4" s="31" t="s">
        <v>26</v>
      </c>
      <c r="S4"/>
      <c r="T4"/>
      <c r="U4"/>
    </row>
    <row r="5" spans="1:21" x14ac:dyDescent="0.25">
      <c r="A5" s="9">
        <v>42856</v>
      </c>
      <c r="B5" s="9">
        <v>42869</v>
      </c>
      <c r="C5" s="5">
        <v>22.91</v>
      </c>
      <c r="D5" s="10">
        <f>Payroll[[#This Row],[Hrs]]*IF(Payroll[[#This Row],[Start Date]]&gt;$Q$5,$P$5,$N$2)</f>
        <v>166.0975</v>
      </c>
      <c r="E5" s="10">
        <f ca="1">Payroll[[#This Row],[Cash Total]]-((((Payroll[[#This Row],[Cash Total]]*$P$8)+7)*0.01)*Payroll[[#This Row],[Cash Total]])</f>
        <v>144.6837342389299</v>
      </c>
      <c r="F5" s="10">
        <v>141.72</v>
      </c>
      <c r="G5" s="11">
        <f>IF(Payroll[[#This Row],[Cash Received ]]&gt;0,Payroll[[#This Row],[Cash Total]]-Payroll[[#This Row],[Cash Received ]],"")</f>
        <v>24.377499999999998</v>
      </c>
      <c r="H5" s="12">
        <f>IF(Payroll[[#This Row],[Cash Received ]]&gt;0,(Payroll[[#This Row],[Tax]]/Payroll[[#This Row],[Cash Total]]),"")</f>
        <v>0.1467662065955237</v>
      </c>
      <c r="I5" s="13">
        <f>IF(Payroll[[#This Row],[Tax %]]="",0, 1)</f>
        <v>1</v>
      </c>
      <c r="J5" s="13">
        <f>IF(Payroll[[#This Row],[Cash Received ]]&gt;60,1,0)</f>
        <v>1</v>
      </c>
      <c r="K5" s="13">
        <f>IF(Payroll[[#This Row],[average]]=1,Payroll[[#This Row],[Cash Received ]],0)</f>
        <v>141.72</v>
      </c>
      <c r="L5" s="9">
        <f>Payroll[[#This Row],[End Date]]+5</f>
        <v>42874</v>
      </c>
      <c r="N5" s="14">
        <f>Payroll[[#Totals],[Cash Received ]]/Payroll[[#Totals],[average]]</f>
        <v>194.46416666666667</v>
      </c>
      <c r="P5" s="14">
        <v>7.5</v>
      </c>
      <c r="Q5" s="30">
        <v>42967</v>
      </c>
      <c r="S5"/>
      <c r="T5" s="22">
        <f ca="1">Payroll[[#This Row],[Cash Total]]-((((Payroll[[#This Row],[Cash Total]]*$P$8)+7)*0.01)*Payroll[[#This Row],[Cash Total]])</f>
        <v>144.6837342389299</v>
      </c>
      <c r="U5"/>
    </row>
    <row r="6" spans="1:21" x14ac:dyDescent="0.25">
      <c r="A6" s="9">
        <v>42870</v>
      </c>
      <c r="B6" s="9">
        <v>42883</v>
      </c>
      <c r="C6" s="5">
        <v>22.4</v>
      </c>
      <c r="D6" s="10">
        <f>Payroll[[#This Row],[Hrs]]*IF(Payroll[[#This Row],[Start Date]]&gt;$Q$5,$P$5,$N$2)</f>
        <v>162.39999999999998</v>
      </c>
      <c r="E6" s="10">
        <f ca="1">Payroll[[#This Row],[Cash Total]]-((((Payroll[[#This Row],[Cash Total]]*$P$8)+7)*0.01)*Payroll[[#This Row],[Cash Total]])</f>
        <v>141.67594388556947</v>
      </c>
      <c r="F6" s="10">
        <v>138.78</v>
      </c>
      <c r="G6" s="11">
        <f>IF(Payroll[[#This Row],[Cash Received ]]&gt;0,Payroll[[#This Row],[Cash Total]]-Payroll[[#This Row],[Cash Received ]],"")</f>
        <v>23.619999999999976</v>
      </c>
      <c r="H6" s="12">
        <f>IF(Payroll[[#This Row],[Cash Received ]]&gt;0,(Payroll[[#This Row],[Tax]]/Payroll[[#This Row],[Cash Total]]),"")</f>
        <v>0.14544334975369447</v>
      </c>
      <c r="I6" s="13">
        <f>IF(Payroll[[#This Row],[Tax %]]="",0, 1)</f>
        <v>1</v>
      </c>
      <c r="J6" s="13">
        <f>IF(Payroll[[#This Row],[Cash Received ]]&gt;60,1,0)</f>
        <v>1</v>
      </c>
      <c r="K6" s="13">
        <f>IF(Payroll[[#This Row],[average]]=1,Payroll[[#This Row],[Cash Received ]],0)</f>
        <v>138.78</v>
      </c>
      <c r="L6" s="9">
        <f>Payroll[[#This Row],[End Date]]+5</f>
        <v>42888</v>
      </c>
      <c r="S6"/>
      <c r="T6" s="21">
        <f ca="1">Payroll[[#This Row],[Cash Total]]-((((Payroll[[#This Row],[Cash Total]]*$P$8)+7)*0.01)*Payroll[[#This Row],[Cash Total]])</f>
        <v>141.67594388556947</v>
      </c>
      <c r="U6"/>
    </row>
    <row r="7" spans="1:21" x14ac:dyDescent="0.25">
      <c r="A7" s="9">
        <v>42884</v>
      </c>
      <c r="B7" s="9">
        <v>42897</v>
      </c>
      <c r="C7" s="5">
        <v>27.1</v>
      </c>
      <c r="D7" s="10">
        <f>Payroll[[#This Row],[Hrs]]*IF(Payroll[[#This Row],[Start Date]]&gt;$Q$5,$P$5,$N$2)</f>
        <v>196.47500000000002</v>
      </c>
      <c r="E7" s="10">
        <f ca="1">Payroll[[#This Row],[Cash Total]]-((((Payroll[[#This Row],[Cash Total]]*$P$8)+7)*0.01)*Payroll[[#This Row],[Cash Total]])</f>
        <v>169.02759109733955</v>
      </c>
      <c r="F7" s="10">
        <v>165.5</v>
      </c>
      <c r="G7" s="11">
        <f>IF(Payroll[[#This Row],[Cash Received ]]&gt;0,Payroll[[#This Row],[Cash Total]]-Payroll[[#This Row],[Cash Received ]],"")</f>
        <v>30.975000000000023</v>
      </c>
      <c r="H7" s="12">
        <f>IF(Payroll[[#This Row],[Cash Received ]]&gt;0,(Payroll[[#This Row],[Tax]]/Payroll[[#This Row],[Cash Total]]),"")</f>
        <v>0.15765364550197236</v>
      </c>
      <c r="I7" s="13">
        <f>IF(Payroll[[#This Row],[Tax %]]="",0, 1)</f>
        <v>1</v>
      </c>
      <c r="J7" s="13">
        <f>IF(Payroll[[#This Row],[Cash Received ]]&gt;60,1,0)</f>
        <v>1</v>
      </c>
      <c r="K7" s="13">
        <f>IF(Payroll[[#This Row],[average]]=1,Payroll[[#This Row],[Cash Received ]],0)</f>
        <v>165.5</v>
      </c>
      <c r="L7" s="9">
        <f>Payroll[[#This Row],[End Date]]+5</f>
        <v>42902</v>
      </c>
      <c r="N7" s="8" t="s">
        <v>11</v>
      </c>
      <c r="P7" s="8" t="s">
        <v>28</v>
      </c>
      <c r="Q7" s="8" t="s">
        <v>29</v>
      </c>
      <c r="S7"/>
      <c r="T7" s="22">
        <f ca="1">Payroll[[#This Row],[Cash Total]]-((((Payroll[[#This Row],[Cash Total]]*$P$8)+7)*0.01)*Payroll[[#This Row],[Cash Total]])</f>
        <v>169.02759109733955</v>
      </c>
    </row>
    <row r="8" spans="1:21" x14ac:dyDescent="0.25">
      <c r="A8" s="9">
        <v>42912</v>
      </c>
      <c r="B8" s="9">
        <v>42925</v>
      </c>
      <c r="C8" s="5">
        <v>16.559999999999999</v>
      </c>
      <c r="D8" s="10">
        <f>Payroll[[#This Row],[Hrs]]*IF(Payroll[[#This Row],[Start Date]]&gt;$Q$5,$P$5,$N$2)</f>
        <v>120.05999999999999</v>
      </c>
      <c r="E8" s="10">
        <f ca="1">Payroll[[#This Row],[Cash Total]]-((((Payroll[[#This Row],[Cash Total]]*$P$8)+7)*0.01)*Payroll[[#This Row],[Cash Total]])</f>
        <v>106.54230958613222</v>
      </c>
      <c r="F8" s="10">
        <v>105.19</v>
      </c>
      <c r="G8" s="11">
        <f>IF(Payroll[[#This Row],[Cash Received ]]&gt;0,Payroll[[#This Row],[Cash Total]]-Payroll[[#This Row],[Cash Received ]],"")</f>
        <v>14.86999999999999</v>
      </c>
      <c r="H8" s="12">
        <f>IF(Payroll[[#This Row],[Cash Received ]]&gt;0,(Payroll[[#This Row],[Tax]]/Payroll[[#This Row],[Cash Total]]),"")</f>
        <v>0.1238547392970181</v>
      </c>
      <c r="I8" s="13">
        <f>IF(Payroll[[#This Row],[Tax %]]="",0, 1)</f>
        <v>1</v>
      </c>
      <c r="J8" s="13">
        <f>IF(Payroll[[#This Row],[Cash Received ]]&gt;60,1,0)</f>
        <v>1</v>
      </c>
      <c r="K8" s="13">
        <f>IF(Payroll[[#This Row],[average]]=1,Payroll[[#This Row],[Cash Received ]],0)</f>
        <v>105.19</v>
      </c>
      <c r="L8" s="9">
        <f>Payroll[[#This Row],[End Date]]+5</f>
        <v>42930</v>
      </c>
      <c r="N8" s="14">
        <v>1500</v>
      </c>
      <c r="P8" s="33">
        <f ca="1">IF(COUNT(hist_cashtotal) &lt;&gt; COUNT(hist_percent), SLOPE(hist_percent, hist_cashtotalprime), SLOPE(hist_percent, hist_cashtotal))*100</f>
        <v>3.547486636122614E-2</v>
      </c>
      <c r="Q8" s="33">
        <f ca="1">IF(COUNT(hist_cashtotal) &lt;&gt; COUNT(hist_percent), INTERCEPT(hist_percent, hist_cashtotalprime), INTERCEPT(hist_percent, hist_cashtotal)) *100</f>
        <v>8.0750715040996859</v>
      </c>
      <c r="S8"/>
      <c r="T8" s="21">
        <f ca="1">Payroll[[#This Row],[Cash Total]]-((((Payroll[[#This Row],[Cash Total]]*$P$8)+7)*0.01)*Payroll[[#This Row],[Cash Total]])</f>
        <v>106.54230958613222</v>
      </c>
    </row>
    <row r="9" spans="1:21" x14ac:dyDescent="0.25">
      <c r="A9" s="9">
        <v>42926</v>
      </c>
      <c r="B9" s="9">
        <v>42939</v>
      </c>
      <c r="C9" s="28">
        <v>18.22</v>
      </c>
      <c r="D9" s="22">
        <f>Payroll[[#This Row],[Hrs]]*IF(Payroll[[#This Row],[Start Date]]&gt;$Q$5,$P$5,$N$2)</f>
        <v>132.095</v>
      </c>
      <c r="E9" s="22">
        <f ca="1">Payroll[[#This Row],[Cash Total]]-((((Payroll[[#This Row],[Cash Total]]*$P$8)+7)*0.01)*Payroll[[#This Row],[Cash Total]])</f>
        <v>116.65830898712987</v>
      </c>
      <c r="F9" s="22">
        <v>114.75</v>
      </c>
      <c r="G9" s="22">
        <f>IF(Payroll[[#This Row],[Cash Received ]]&gt;0,Payroll[[#This Row],[Cash Total]]-Payroll[[#This Row],[Cash Received ]],"")</f>
        <v>17.344999999999999</v>
      </c>
      <c r="H9" s="29">
        <f>IF(Payroll[[#This Row],[Cash Received ]]&gt;0,(Payroll[[#This Row],[Tax]]/Payroll[[#This Row],[Cash Total]]),"")</f>
        <v>0.13130701389151747</v>
      </c>
      <c r="I9" s="13">
        <f>IF(Payroll[[#This Row],[Tax %]]="",0, 1)</f>
        <v>1</v>
      </c>
      <c r="J9" s="13">
        <f>IF(Payroll[[#This Row],[Cash Received ]]&gt;60,1,0)</f>
        <v>1</v>
      </c>
      <c r="K9" s="13">
        <f>IF(Payroll[[#This Row],[average]]=1,Payroll[[#This Row],[Cash Received ]],0)</f>
        <v>114.75</v>
      </c>
      <c r="L9" s="9">
        <f>Payroll[[#This Row],[End Date]]+5</f>
        <v>42944</v>
      </c>
      <c r="S9"/>
      <c r="T9" s="22">
        <f ca="1">Payroll[[#This Row],[Cash Total]]-((((Payroll[[#This Row],[Cash Total]]*$P$8)+7)*0.01)*Payroll[[#This Row],[Cash Total]])</f>
        <v>116.65830898712987</v>
      </c>
    </row>
    <row r="10" spans="1:21" x14ac:dyDescent="0.25">
      <c r="A10" s="9">
        <v>42940</v>
      </c>
      <c r="B10" s="9">
        <v>42953</v>
      </c>
      <c r="C10" s="26">
        <v>38.76</v>
      </c>
      <c r="D10" s="21">
        <f>Payroll[[#This Row],[Hrs]]*IF(Payroll[[#This Row],[Start Date]]&gt;$Q$5,$P$5,$N$2)</f>
        <v>281.01</v>
      </c>
      <c r="E10" s="21">
        <f ca="1">Payroll[[#This Row],[Cash Total]]-((((Payroll[[#This Row],[Cash Total]]*$P$8)+7)*0.01)*Payroll[[#This Row],[Cash Total]])</f>
        <v>233.32599704954785</v>
      </c>
      <c r="F10" s="21">
        <v>231.38</v>
      </c>
      <c r="G10" s="21">
        <f>IF(Payroll[[#This Row],[Cash Received ]]&gt;0,Payroll[[#This Row],[Cash Total]]-Payroll[[#This Row],[Cash Received ]],"")</f>
        <v>49.629999999999995</v>
      </c>
      <c r="H10" s="27">
        <f>IF(Payroll[[#This Row],[Cash Received ]]&gt;0,(Payroll[[#This Row],[Tax]]/Payroll[[#This Row],[Cash Total]]),"")</f>
        <v>0.1766129319241308</v>
      </c>
      <c r="I10" s="13">
        <f>IF(Payroll[[#This Row],[Tax %]]="",0, 1)</f>
        <v>1</v>
      </c>
      <c r="J10" s="13">
        <f>IF(Payroll[[#This Row],[Cash Received ]]&gt;60,1,0)</f>
        <v>1</v>
      </c>
      <c r="K10" s="13">
        <f>IF(Payroll[[#This Row],[average]]=1,Payroll[[#This Row],[Cash Received ]],0)</f>
        <v>231.38</v>
      </c>
      <c r="L10" s="9">
        <f>Payroll[[#This Row],[End Date]]+5</f>
        <v>42958</v>
      </c>
      <c r="N10" s="8" t="s">
        <v>12</v>
      </c>
      <c r="S10"/>
      <c r="T10" s="21">
        <f ca="1">Payroll[[#This Row],[Cash Total]]-((((Payroll[[#This Row],[Cash Total]]*$P$8)+7)*0.01)*Payroll[[#This Row],[Cash Total]])</f>
        <v>233.32599704954785</v>
      </c>
    </row>
    <row r="11" spans="1:21" x14ac:dyDescent="0.25">
      <c r="A11" s="9">
        <v>42954</v>
      </c>
      <c r="B11" s="9">
        <v>42967</v>
      </c>
      <c r="C11" s="5">
        <v>10.31</v>
      </c>
      <c r="D11" s="10">
        <f>Payroll[[#This Row],[Hrs]]*IF(Payroll[[#This Row],[Start Date]]&gt;$Q$5,$P$5,$N$2)</f>
        <v>74.747500000000002</v>
      </c>
      <c r="E11" s="10">
        <f ca="1">Payroll[[#This Row],[Cash Total]]-((((Payroll[[#This Row],[Cash Total]]*$P$8)+7)*0.01)*Payroll[[#This Row],[Cash Total]])</f>
        <v>67.533127255370857</v>
      </c>
      <c r="F11" s="10">
        <v>67.760000000000005</v>
      </c>
      <c r="G11" s="11">
        <f>IF(Payroll[[#This Row],[Cash Received ]]&gt;0,Payroll[[#This Row],[Cash Total]]-Payroll[[#This Row],[Cash Received ]],"")</f>
        <v>6.9874999999999972</v>
      </c>
      <c r="H11" s="12">
        <f>IF(Payroll[[#This Row],[Cash Received ]]&gt;0,(Payroll[[#This Row],[Tax]]/Payroll[[#This Row],[Cash Total]]),"")</f>
        <v>9.3481387337369104E-2</v>
      </c>
      <c r="I11" s="13">
        <f>IF(Payroll[[#This Row],[Tax %]]="",0, 1)</f>
        <v>1</v>
      </c>
      <c r="J11" s="13">
        <f>IF(Payroll[[#This Row],[Cash Received ]]&gt;60,1,0)</f>
        <v>1</v>
      </c>
      <c r="K11" s="13">
        <f>IF(Payroll[[#This Row],[average]]=1,Payroll[[#This Row],[Cash Received ]],0)</f>
        <v>67.760000000000005</v>
      </c>
      <c r="L11" s="9">
        <f>Payroll[[#This Row],[End Date]]+5</f>
        <v>42972</v>
      </c>
      <c r="N11" s="16">
        <f>ROUND((INDEX(A:A,MATCH(TRUE, INDEX(ISBLANK(C:C), 0, 0), 0)))+(N8-Payroll[[#Totals],[Cash Received ]])/N5*P2,0)</f>
        <v>42954</v>
      </c>
      <c r="S11"/>
      <c r="T11" s="22">
        <f ca="1">Payroll[[#This Row],[Cash Total]]-((((Payroll[[#This Row],[Cash Total]]*$P$8)+7)*0.01)*Payroll[[#This Row],[Cash Total]])</f>
        <v>67.533127255370857</v>
      </c>
    </row>
    <row r="12" spans="1:21" x14ac:dyDescent="0.25">
      <c r="A12" s="9">
        <v>42968</v>
      </c>
      <c r="B12" s="9">
        <v>42981</v>
      </c>
      <c r="C12" s="5">
        <v>57.19</v>
      </c>
      <c r="D12" s="10">
        <f>Payroll[[#This Row],[Hrs]]*IF(Payroll[[#This Row],[Start Date]]&gt;$Q$5,$P$5,$N$2)</f>
        <v>428.92499999999995</v>
      </c>
      <c r="E12" s="11">
        <f ca="1">Payroll[[#This Row],[Cash Total]]-((((Payroll[[#This Row],[Cash Total]]*$P$8)+7)*0.01)*Payroll[[#This Row],[Cash Total]])</f>
        <v>333.634777281178</v>
      </c>
      <c r="F12" s="11">
        <v>344.64</v>
      </c>
      <c r="G12" s="11">
        <f>IF(Payroll[[#This Row],[Cash Received ]]&gt;0,Payroll[[#This Row],[Cash Total]]-Payroll[[#This Row],[Cash Received ]],"")</f>
        <v>84.284999999999968</v>
      </c>
      <c r="H12" s="12">
        <f>IF(Payroll[[#This Row],[Cash Received ]]&gt;0,(Payroll[[#This Row],[Tax]]/Payroll[[#This Row],[Cash Total]]),"")</f>
        <v>0.19650288511977612</v>
      </c>
      <c r="I12" s="13">
        <f>IF(Payroll[[#This Row],[Tax %]]="",0, 1)</f>
        <v>1</v>
      </c>
      <c r="J12" s="13">
        <f>IF(Payroll[[#This Row],[Cash Received ]]&gt;60,1,0)</f>
        <v>1</v>
      </c>
      <c r="K12" s="13">
        <f>IF(Payroll[[#This Row],[average]]=1,Payroll[[#This Row],[Cash Received ]],0)</f>
        <v>344.64</v>
      </c>
      <c r="L12" s="9">
        <f>Payroll[[#This Row],[End Date]]+5</f>
        <v>42986</v>
      </c>
      <c r="S12" s="23"/>
      <c r="T12" s="21">
        <f ca="1">Payroll[[#This Row],[Cash Total]]-((((Payroll[[#This Row],[Cash Total]]*$P$8)+7)*0.01)*Payroll[[#This Row],[Cash Total]])</f>
        <v>333.634777281178</v>
      </c>
    </row>
    <row r="13" spans="1:21" x14ac:dyDescent="0.25">
      <c r="A13" s="9">
        <v>42982</v>
      </c>
      <c r="B13" s="9">
        <v>42995</v>
      </c>
      <c r="C13" s="5">
        <v>59.62</v>
      </c>
      <c r="D13" s="10">
        <f>Payroll[[#This Row],[Hrs]]*IF(Payroll[[#This Row],[Start Date]]&gt;$Q$5,$P$5,$N$2)</f>
        <v>447.15</v>
      </c>
      <c r="E13" s="11">
        <f ca="1">Payroll[[#This Row],[Cash Total]]-((((Payroll[[#This Row],[Cash Total]]*$P$8)+7)*0.01)*Payroll[[#This Row],[Cash Total]])</f>
        <v>344.91994449466233</v>
      </c>
      <c r="F13" s="11">
        <v>348.5</v>
      </c>
      <c r="G13" s="11">
        <f>IF(Payroll[[#This Row],[Cash Received ]]&gt;0,Payroll[[#This Row],[Cash Total]]-Payroll[[#This Row],[Cash Received ]],"")</f>
        <v>98.649999999999977</v>
      </c>
      <c r="H13" s="12">
        <f>IF(Payroll[[#This Row],[Cash Received ]]&gt;0,(Payroll[[#This Row],[Tax]]/Payroll[[#This Row],[Cash Total]]),"")</f>
        <v>0.22061947892206191</v>
      </c>
      <c r="I13" s="13">
        <f>IF(Payroll[[#This Row],[Tax %]]="",0, 1)</f>
        <v>1</v>
      </c>
      <c r="J13" s="13">
        <f>IF(Payroll[[#This Row],[Cash Received ]]&gt;60,1,0)</f>
        <v>1</v>
      </c>
      <c r="K13" s="13">
        <f>IF(Payroll[[#This Row],[average]]=1,Payroll[[#This Row],[Cash Received ]],0)</f>
        <v>348.5</v>
      </c>
      <c r="L13" s="9">
        <f>Payroll[[#This Row],[End Date]]+5</f>
        <v>43000</v>
      </c>
      <c r="N13" s="9"/>
      <c r="S13" s="23"/>
      <c r="T13" s="22">
        <f ca="1">Payroll[[#This Row],[Cash Total]]-((((Payroll[[#This Row],[Cash Total]]*$P$8)+7)*0.01)*Payroll[[#This Row],[Cash Total]])</f>
        <v>344.91994449466233</v>
      </c>
    </row>
    <row r="14" spans="1:21" x14ac:dyDescent="0.25">
      <c r="A14" s="9">
        <v>42996</v>
      </c>
      <c r="B14" s="9">
        <v>43009</v>
      </c>
      <c r="C14" s="5">
        <v>66.489999999999995</v>
      </c>
      <c r="D14" s="10">
        <f>Payroll[[#This Row],[Hrs]]*IF(Payroll[[#This Row],[Start Date]]&gt;$Q$5,$P$5,$N$2)</f>
        <v>498.67499999999995</v>
      </c>
      <c r="E14" s="11">
        <f ca="1">Payroll[[#This Row],[Cash Total]]-((((Payroll[[#This Row],[Cash Total]]*$P$8)+7)*0.01)*Payroll[[#This Row],[Cash Total]])</f>
        <v>375.55000327059832</v>
      </c>
      <c r="F14" s="11">
        <v>349.61</v>
      </c>
      <c r="G14" s="11">
        <f>IF(Payroll[[#This Row],[Cash Received ]]&gt;0,Payroll[[#This Row],[Cash Total]]-Payroll[[#This Row],[Cash Received ]],"")</f>
        <v>149.06499999999994</v>
      </c>
      <c r="H14" s="12">
        <f>IF(Payroll[[#This Row],[Cash Received ]]&gt;0,(Payroll[[#This Row],[Tax]]/Payroll[[#This Row],[Cash Total]]),"")</f>
        <v>0.29892214368075393</v>
      </c>
      <c r="I14" s="13">
        <f>IF(Payroll[[#This Row],[Tax %]]="",0, 1)</f>
        <v>1</v>
      </c>
      <c r="J14" s="13">
        <f>IF(Payroll[[#This Row],[Cash Received ]]&gt;60,1,0)</f>
        <v>1</v>
      </c>
      <c r="K14" s="13">
        <f>IF(Payroll[[#This Row],[average]]=1,Payroll[[#This Row],[Cash Received ]],0)</f>
        <v>349.61</v>
      </c>
      <c r="L14" s="9">
        <f>Payroll[[#This Row],[End Date]]+5</f>
        <v>43014</v>
      </c>
      <c r="P14" s="20"/>
      <c r="T14" s="21">
        <f ca="1">Payroll[[#This Row],[Cash Total]]-((((Payroll[[#This Row],[Cash Total]]*$P$8)+7)*0.01)*Payroll[[#This Row],[Cash Total]])</f>
        <v>375.55000327059832</v>
      </c>
    </row>
    <row r="15" spans="1:21" x14ac:dyDescent="0.25">
      <c r="A15" s="9">
        <v>43010</v>
      </c>
      <c r="B15" s="9">
        <v>43023</v>
      </c>
      <c r="D15" s="10">
        <f>Payroll[[#This Row],[Hrs]]*IF(Payroll[[#This Row],[Start Date]]&gt;$Q$5,$P$5,$N$2)</f>
        <v>0</v>
      </c>
      <c r="E15" s="11">
        <f ca="1">Payroll[[#This Row],[Cash Total]]-((((Payroll[[#This Row],[Cash Total]]*$P$8)+7)*0.01)*Payroll[[#This Row],[Cash Total]])</f>
        <v>0</v>
      </c>
      <c r="F15" s="11"/>
      <c r="G15" s="11" t="str">
        <f>IF(Payroll[[#This Row],[Cash Received ]]&gt;0,Payroll[[#This Row],[Cash Total]]-Payroll[[#This Row],[Cash Received ]],"")</f>
        <v/>
      </c>
      <c r="H15" s="12" t="str">
        <f>IF(Payroll[[#This Row],[Cash Received ]]&gt;0,(Payroll[[#This Row],[Tax]]/Payroll[[#This Row],[Cash Total]]),"")</f>
        <v/>
      </c>
      <c r="I15" s="13">
        <f>IF(Payroll[[#This Row],[Tax %]]="",0, 1)</f>
        <v>0</v>
      </c>
      <c r="J15" s="13">
        <f>IF(Payroll[[#This Row],[Cash Received ]]&gt;60,1,0)</f>
        <v>0</v>
      </c>
      <c r="K15" s="13">
        <f>IF(Payroll[[#This Row],[average]]=1,Payroll[[#This Row],[Cash Received ]],0)</f>
        <v>0</v>
      </c>
      <c r="L15" s="9">
        <f>Payroll[[#This Row],[End Date]]+5</f>
        <v>43028</v>
      </c>
      <c r="N15" s="32"/>
      <c r="T15" s="34">
        <f ca="1">SUM(T5:T14)</f>
        <v>2033.5517371464584</v>
      </c>
      <c r="U15" s="23">
        <f ca="1">T15/10</f>
        <v>203.35517371464584</v>
      </c>
    </row>
    <row r="16" spans="1:21" x14ac:dyDescent="0.25">
      <c r="A16" s="9">
        <v>43024</v>
      </c>
      <c r="B16" s="9">
        <v>43037</v>
      </c>
      <c r="D16" s="10">
        <f>Payroll[[#This Row],[Hrs]]*IF(Payroll[[#This Row],[Start Date]]&gt;$Q$5,$P$5,$N$2)</f>
        <v>0</v>
      </c>
      <c r="E16" s="11">
        <f ca="1">Payroll[[#This Row],[Cash Total]]-((((Payroll[[#This Row],[Cash Total]]*$P$8)+7)*0.01)*Payroll[[#This Row],[Cash Total]])</f>
        <v>0</v>
      </c>
      <c r="F16" s="11"/>
      <c r="G16" s="11" t="str">
        <f>IF(Payroll[[#This Row],[Cash Received ]]&gt;0,Payroll[[#This Row],[Cash Total]]-Payroll[[#This Row],[Cash Received ]],"")</f>
        <v/>
      </c>
      <c r="H16" s="12" t="str">
        <f>IF(Payroll[[#This Row],[Cash Received ]]&gt;0,(Payroll[[#This Row],[Tax]]/Payroll[[#This Row],[Cash Total]]),"")</f>
        <v/>
      </c>
      <c r="I16" s="13">
        <f>IF(Payroll[[#This Row],[Tax %]]="",0, 1)</f>
        <v>0</v>
      </c>
      <c r="J16" s="13">
        <f>IF(Payroll[[#This Row],[Cash Received ]]&gt;60,1,0)</f>
        <v>0</v>
      </c>
      <c r="K16" s="13">
        <f>IF(Payroll[[#This Row],[average]]=1,Payroll[[#This Row],[Cash Received ]],0)</f>
        <v>0</v>
      </c>
      <c r="L16" s="9">
        <f>Payroll[[#This Row],[End Date]]+5</f>
        <v>43042</v>
      </c>
      <c r="N16" s="12"/>
    </row>
    <row r="17" spans="1:18" x14ac:dyDescent="0.25">
      <c r="A17" s="9">
        <v>43038</v>
      </c>
      <c r="B17" s="9">
        <v>43051</v>
      </c>
      <c r="D17" s="10">
        <f>Payroll[[#This Row],[Hrs]]*IF(Payroll[[#This Row],[Start Date]]&gt;$Q$5,$P$5,$N$2)</f>
        <v>0</v>
      </c>
      <c r="E17" s="11">
        <f ca="1">Payroll[[#This Row],[Cash Total]]-((((Payroll[[#This Row],[Cash Total]]*$P$8)+7)*0.01)*Payroll[[#This Row],[Cash Total]])</f>
        <v>0</v>
      </c>
      <c r="F17" s="11"/>
      <c r="G17" s="11" t="str">
        <f>IF(Payroll[[#This Row],[Cash Received ]]&gt;0,Payroll[[#This Row],[Cash Total]]-Payroll[[#This Row],[Cash Received ]],"")</f>
        <v/>
      </c>
      <c r="H17" s="12" t="str">
        <f>IF(Payroll[[#This Row],[Cash Received ]]&gt;0,(Payroll[[#This Row],[Tax]]/Payroll[[#This Row],[Cash Total]]),"")</f>
        <v/>
      </c>
      <c r="I17" s="13">
        <f>IF(Payroll[[#This Row],[Tax %]]="",0, 1)</f>
        <v>0</v>
      </c>
      <c r="J17" s="13">
        <f>IF(Payroll[[#This Row],[Cash Received ]]&gt;60,1,0)</f>
        <v>0</v>
      </c>
      <c r="K17" s="13">
        <f>IF(Payroll[[#This Row],[average]]=1,Payroll[[#This Row],[Cash Received ]],0)</f>
        <v>0</v>
      </c>
      <c r="L17" s="9">
        <f>Payroll[[#This Row],[End Date]]+5</f>
        <v>43056</v>
      </c>
      <c r="M17"/>
      <c r="N17"/>
      <c r="O17"/>
      <c r="P17"/>
      <c r="Q17"/>
      <c r="R17"/>
    </row>
    <row r="18" spans="1:18" x14ac:dyDescent="0.25">
      <c r="A18" s="9">
        <v>43052</v>
      </c>
      <c r="B18" s="9">
        <v>43065</v>
      </c>
      <c r="D18" s="10">
        <f>Payroll[[#This Row],[Hrs]]*IF(Payroll[[#This Row],[Start Date]]&gt;$Q$5,$P$5,$N$2)</f>
        <v>0</v>
      </c>
      <c r="E18" s="11">
        <f ca="1">Payroll[[#This Row],[Cash Total]]-((((Payroll[[#This Row],[Cash Total]]*$P$8)+7)*0.01)*Payroll[[#This Row],[Cash Total]])</f>
        <v>0</v>
      </c>
      <c r="F18" s="11"/>
      <c r="G18" s="11" t="str">
        <f>IF(Payroll[[#This Row],[Cash Received ]]&gt;0,Payroll[[#This Row],[Cash Total]]-Payroll[[#This Row],[Cash Received ]],"")</f>
        <v/>
      </c>
      <c r="H18" s="12" t="str">
        <f>IF(Payroll[[#This Row],[Cash Received ]]&gt;0,(Payroll[[#This Row],[Tax]]/Payroll[[#This Row],[Cash Total]]),"")</f>
        <v/>
      </c>
      <c r="I18" s="13">
        <f>IF(Payroll[[#This Row],[Tax %]]="",0, 1)</f>
        <v>0</v>
      </c>
      <c r="J18" s="13">
        <f>IF(Payroll[[#This Row],[Cash Received ]]&gt;60,1,0)</f>
        <v>0</v>
      </c>
      <c r="K18" s="13">
        <f>IF(Payroll[[#This Row],[average]]=1,Payroll[[#This Row],[Cash Received ]],0)</f>
        <v>0</v>
      </c>
      <c r="L18" s="9">
        <f>Payroll[[#This Row],[End Date]]+5</f>
        <v>43070</v>
      </c>
      <c r="M18"/>
      <c r="N18"/>
      <c r="O18"/>
      <c r="P18"/>
      <c r="Q18"/>
      <c r="R18"/>
    </row>
    <row r="19" spans="1:18" x14ac:dyDescent="0.25">
      <c r="A19" s="9">
        <v>43066</v>
      </c>
      <c r="B19" s="9">
        <v>43079</v>
      </c>
      <c r="D19" s="10">
        <f>Payroll[[#This Row],[Hrs]]*IF(Payroll[[#This Row],[Start Date]]&gt;$Q$5,$P$5,$N$2)</f>
        <v>0</v>
      </c>
      <c r="E19" s="11">
        <f ca="1">Payroll[[#This Row],[Cash Total]]-((((Payroll[[#This Row],[Cash Total]]*$P$8)+7)*0.01)*Payroll[[#This Row],[Cash Total]])</f>
        <v>0</v>
      </c>
      <c r="F19" s="11"/>
      <c r="G19" s="11" t="str">
        <f>IF(Payroll[[#This Row],[Cash Received ]]&gt;0,Payroll[[#This Row],[Cash Total]]-Payroll[[#This Row],[Cash Received ]],"")</f>
        <v/>
      </c>
      <c r="H19" s="17" t="str">
        <f>IF(Payroll[[#This Row],[Cash Received ]]&gt;0,(Payroll[[#This Row],[Tax]]/Payroll[[#This Row],[Cash Total]]),"")</f>
        <v/>
      </c>
      <c r="I19" s="13">
        <f>IF(Payroll[[#This Row],[Tax %]]="",0, 1)</f>
        <v>0</v>
      </c>
      <c r="J19" s="13">
        <f>IF(Payroll[[#This Row],[Cash Received ]]&gt;60,1,0)</f>
        <v>0</v>
      </c>
      <c r="K19" s="13">
        <f>IF(Payroll[[#This Row],[average]]=1,Payroll[[#This Row],[Cash Received ]],0)</f>
        <v>0</v>
      </c>
      <c r="L19" s="9">
        <f>Payroll[[#This Row],[End Date]]+5</f>
        <v>43084</v>
      </c>
      <c r="M19"/>
      <c r="N19"/>
      <c r="O19"/>
      <c r="P19"/>
      <c r="Q19"/>
      <c r="R19"/>
    </row>
    <row r="20" spans="1:18" x14ac:dyDescent="0.25">
      <c r="A20" s="9">
        <v>43080</v>
      </c>
      <c r="B20" s="9">
        <v>43093</v>
      </c>
      <c r="D20" s="10">
        <f>Payroll[[#This Row],[Hrs]]*IF(Payroll[[#This Row],[Start Date]]&gt;$Q$5,$P$5,$N$2)</f>
        <v>0</v>
      </c>
      <c r="E20" s="11">
        <f ca="1">Payroll[[#This Row],[Cash Total]]-((((Payroll[[#This Row],[Cash Total]]*$P$8)+7)*0.01)*Payroll[[#This Row],[Cash Total]])</f>
        <v>0</v>
      </c>
      <c r="F20" s="11"/>
      <c r="G20" s="11" t="str">
        <f>IF(Payroll[[#This Row],[Cash Received ]]&gt;0,Payroll[[#This Row],[Cash Total]]-Payroll[[#This Row],[Cash Received ]],"")</f>
        <v/>
      </c>
      <c r="H20" s="17" t="str">
        <f>IF(Payroll[[#This Row],[Cash Received ]]&gt;0,(Payroll[[#This Row],[Tax]]/Payroll[[#This Row],[Cash Total]]),"")</f>
        <v/>
      </c>
      <c r="I20" s="13">
        <f>IF(Payroll[[#This Row],[Tax %]]="",0, 1)</f>
        <v>0</v>
      </c>
      <c r="J20" s="13">
        <f>IF(Payroll[[#This Row],[Cash Received ]]&gt;60,1,0)</f>
        <v>0</v>
      </c>
      <c r="K20" s="13">
        <f>IF(Payroll[[#This Row],[average]]=1,Payroll[[#This Row],[Cash Received ]],0)</f>
        <v>0</v>
      </c>
      <c r="L20" s="9">
        <f>Payroll[[#This Row],[End Date]]+5</f>
        <v>43098</v>
      </c>
      <c r="M20"/>
      <c r="N20"/>
      <c r="O20"/>
      <c r="P20"/>
      <c r="Q20"/>
      <c r="R20"/>
    </row>
    <row r="21" spans="1:18" x14ac:dyDescent="0.25">
      <c r="A21" s="9">
        <v>43094</v>
      </c>
      <c r="B21" s="9">
        <v>43107</v>
      </c>
      <c r="D21" s="10">
        <f>Payroll[[#This Row],[Hrs]]*IF(Payroll[[#This Row],[Start Date]]&gt;$Q$5,$P$5,$N$2)</f>
        <v>0</v>
      </c>
      <c r="E21" s="11">
        <f ca="1">Payroll[[#This Row],[Cash Total]]-((((Payroll[[#This Row],[Cash Total]]*$P$8)+7)*0.01)*Payroll[[#This Row],[Cash Total]])</f>
        <v>0</v>
      </c>
      <c r="F21" s="11"/>
      <c r="G21" s="11" t="str">
        <f>IF(Payroll[[#This Row],[Cash Received ]]&gt;0,Payroll[[#This Row],[Cash Total]]-Payroll[[#This Row],[Cash Received ]],"")</f>
        <v/>
      </c>
      <c r="H21" s="17" t="str">
        <f>IF(Payroll[[#This Row],[Cash Received ]]&gt;0,(Payroll[[#This Row],[Tax]]/Payroll[[#This Row],[Cash Total]]),"")</f>
        <v/>
      </c>
      <c r="I21" s="13">
        <f>IF(Payroll[[#This Row],[Tax %]]="",0, 1)</f>
        <v>0</v>
      </c>
      <c r="J21" s="13">
        <f>IF(Payroll[[#This Row],[Cash Received ]]&gt;60,1,0)</f>
        <v>0</v>
      </c>
      <c r="K21" s="13">
        <f>IF(Payroll[[#This Row],[average]]=1,Payroll[[#This Row],[Cash Received ]],0)</f>
        <v>0</v>
      </c>
      <c r="L21" s="9">
        <f>Payroll[[#This Row],[End Date]]+5</f>
        <v>43112</v>
      </c>
      <c r="M21"/>
      <c r="N21"/>
      <c r="O21"/>
      <c r="P21"/>
      <c r="Q21"/>
      <c r="R21"/>
    </row>
    <row r="22" spans="1:18" x14ac:dyDescent="0.25">
      <c r="A22" s="9">
        <v>43108</v>
      </c>
      <c r="B22" s="9">
        <v>43121</v>
      </c>
      <c r="D22" s="10">
        <f>Payroll[[#This Row],[Hrs]]*IF(Payroll[[#This Row],[Start Date]]&gt;$Q$5,$P$5,$N$2)</f>
        <v>0</v>
      </c>
      <c r="E22" s="11">
        <f ca="1">Payroll[[#This Row],[Cash Total]]-((((Payroll[[#This Row],[Cash Total]]*$P$8)+7)*0.01)*Payroll[[#This Row],[Cash Total]])</f>
        <v>0</v>
      </c>
      <c r="F22" s="11"/>
      <c r="G22" s="11" t="str">
        <f>IF(Payroll[[#This Row],[Cash Received ]]&gt;0,Payroll[[#This Row],[Cash Total]]-Payroll[[#This Row],[Cash Received ]],"")</f>
        <v/>
      </c>
      <c r="H22" s="17" t="str">
        <f>IF(Payroll[[#This Row],[Cash Received ]]&gt;0,(Payroll[[#This Row],[Tax]]/Payroll[[#This Row],[Cash Total]]),"")</f>
        <v/>
      </c>
      <c r="I22" s="13">
        <f>IF(Payroll[[#This Row],[Tax %]]="",0, 1)</f>
        <v>0</v>
      </c>
      <c r="J22" s="13">
        <f>IF(Payroll[[#This Row],[Cash Received ]]&gt;60,1,0)</f>
        <v>0</v>
      </c>
      <c r="K22" s="13">
        <f>IF(Payroll[[#This Row],[average]]=1,Payroll[[#This Row],[Cash Received ]],0)</f>
        <v>0</v>
      </c>
      <c r="L22" s="9">
        <f>Payroll[[#This Row],[End Date]]+5</f>
        <v>43126</v>
      </c>
      <c r="M22"/>
      <c r="N22"/>
      <c r="O22"/>
      <c r="P22"/>
      <c r="Q22"/>
      <c r="R22"/>
    </row>
    <row r="23" spans="1:18" x14ac:dyDescent="0.25">
      <c r="A23" s="9">
        <v>43122</v>
      </c>
      <c r="B23" s="9">
        <v>43135</v>
      </c>
      <c r="D23" s="10">
        <f>Payroll[[#This Row],[Hrs]]*IF(Payroll[[#This Row],[Start Date]]&gt;$Q$5,$P$5,$N$2)</f>
        <v>0</v>
      </c>
      <c r="E23" s="11">
        <f ca="1">Payroll[[#This Row],[Cash Total]]-((((Payroll[[#This Row],[Cash Total]]*$P$8)+7)*0.01)*Payroll[[#This Row],[Cash Total]])</f>
        <v>0</v>
      </c>
      <c r="F23" s="11"/>
      <c r="G23" s="11" t="str">
        <f>IF(Payroll[[#This Row],[Cash Received ]]&gt;0,Payroll[[#This Row],[Cash Total]]-Payroll[[#This Row],[Cash Received ]],"")</f>
        <v/>
      </c>
      <c r="H23" s="17" t="str">
        <f>IF(Payroll[[#This Row],[Cash Received ]]&gt;0,(Payroll[[#This Row],[Tax]]/Payroll[[#This Row],[Cash Total]]),"")</f>
        <v/>
      </c>
      <c r="I23" s="13">
        <f>IF(Payroll[[#This Row],[Tax %]]="",0, 1)</f>
        <v>0</v>
      </c>
      <c r="J23" s="13">
        <f>IF(Payroll[[#This Row],[Cash Received ]]&gt;60,1,0)</f>
        <v>0</v>
      </c>
      <c r="K23" s="13">
        <f>IF(Payroll[[#This Row],[average]]=1,Payroll[[#This Row],[Cash Received ]],0)</f>
        <v>0</v>
      </c>
      <c r="L23" s="9">
        <f>Payroll[[#This Row],[End Date]]+5</f>
        <v>43140</v>
      </c>
      <c r="M23"/>
      <c r="N23"/>
      <c r="O23"/>
      <c r="P23"/>
      <c r="Q23"/>
      <c r="R23"/>
    </row>
    <row r="24" spans="1:18" x14ac:dyDescent="0.25">
      <c r="A24" s="9">
        <v>43136</v>
      </c>
      <c r="B24" s="9">
        <v>43149</v>
      </c>
      <c r="D24" s="10">
        <f>Payroll[[#This Row],[Hrs]]*IF(Payroll[[#This Row],[Start Date]]&gt;$Q$5,$P$5,$N$2)</f>
        <v>0</v>
      </c>
      <c r="E24" s="11">
        <f ca="1">Payroll[[#This Row],[Cash Total]]-((((Payroll[[#This Row],[Cash Total]]*$P$8)+7)*0.01)*Payroll[[#This Row],[Cash Total]])</f>
        <v>0</v>
      </c>
      <c r="F24" s="11"/>
      <c r="G24" s="11" t="str">
        <f>IF(Payroll[[#This Row],[Cash Received ]]&gt;0,Payroll[[#This Row],[Cash Total]]-Payroll[[#This Row],[Cash Received ]],"")</f>
        <v/>
      </c>
      <c r="H24" s="17" t="str">
        <f>IF(Payroll[[#This Row],[Cash Received ]]&gt;0,(Payroll[[#This Row],[Tax]]/Payroll[[#This Row],[Cash Total]]),"")</f>
        <v/>
      </c>
      <c r="I24" s="13">
        <f>IF(Payroll[[#This Row],[Tax %]]="",0, 1)</f>
        <v>0</v>
      </c>
      <c r="J24" s="13">
        <f>IF(Payroll[[#This Row],[Cash Received ]]&gt;60,1,0)</f>
        <v>0</v>
      </c>
      <c r="K24" s="13">
        <f>IF(Payroll[[#This Row],[average]]=1,Payroll[[#This Row],[Cash Received ]],0)</f>
        <v>0</v>
      </c>
      <c r="L24" s="9">
        <f>Payroll[[#This Row],[End Date]]+5</f>
        <v>43154</v>
      </c>
      <c r="M24"/>
      <c r="N24"/>
      <c r="O24"/>
      <c r="P24"/>
      <c r="Q24"/>
      <c r="R24"/>
    </row>
    <row r="25" spans="1:18" x14ac:dyDescent="0.25">
      <c r="A25" s="9">
        <v>43150</v>
      </c>
      <c r="B25" s="9">
        <v>43163</v>
      </c>
      <c r="D25" s="10">
        <f>Payroll[[#This Row],[Hrs]]*IF(Payroll[[#This Row],[Start Date]]&gt;$Q$5,$P$5,$N$2)</f>
        <v>0</v>
      </c>
      <c r="E25" s="11">
        <f ca="1">Payroll[[#This Row],[Cash Total]]-((((Payroll[[#This Row],[Cash Total]]*$P$8)+7)*0.01)*Payroll[[#This Row],[Cash Total]])</f>
        <v>0</v>
      </c>
      <c r="F25" s="11"/>
      <c r="G25" s="11" t="str">
        <f>IF(Payroll[[#This Row],[Cash Received ]]&gt;0,Payroll[[#This Row],[Cash Total]]-Payroll[[#This Row],[Cash Received ]],"")</f>
        <v/>
      </c>
      <c r="H25" s="12" t="str">
        <f>IF(Payroll[[#This Row],[Cash Received ]]&gt;0,(Payroll[[#This Row],[Tax]]/Payroll[[#This Row],[Cash Total]]),"")</f>
        <v/>
      </c>
      <c r="I25" s="13">
        <f>IF(Payroll[[#This Row],[Tax %]]="",0, 1)</f>
        <v>0</v>
      </c>
      <c r="J25" s="13">
        <f>IF(Payroll[[#This Row],[Cash Received ]]&gt;60,1,0)</f>
        <v>0</v>
      </c>
      <c r="K25" s="13">
        <f>IF(Payroll[[#This Row],[average]]=1,Payroll[[#This Row],[Cash Received ]],0)</f>
        <v>0</v>
      </c>
      <c r="L25" s="9">
        <f>Payroll[[#This Row],[End Date]]+5</f>
        <v>43168</v>
      </c>
      <c r="M25"/>
      <c r="N25"/>
      <c r="O25"/>
      <c r="P25"/>
      <c r="Q25"/>
      <c r="R25"/>
    </row>
    <row r="26" spans="1:18" x14ac:dyDescent="0.25">
      <c r="A26" s="18" t="s">
        <v>17</v>
      </c>
      <c r="B26" s="18"/>
      <c r="C26" s="18">
        <f>SUBTOTAL(109,Payroll[Hrs])</f>
        <v>392.12</v>
      </c>
      <c r="D26" s="1">
        <f>SUBTOTAL(109,Payroll[Cash Total])</f>
        <v>2888.6949999999997</v>
      </c>
      <c r="E26" s="1">
        <f ca="1">SUBTOTAL(109,Payroll[Cash Projected])</f>
        <v>2364.6255367853523</v>
      </c>
      <c r="F26" s="1">
        <f>SUBTOTAL(109,Payroll[[Cash Received ]])</f>
        <v>2333.5700000000002</v>
      </c>
      <c r="G26" s="1">
        <f>SUBTOTAL(109,Payroll[Tax])</f>
        <v>555.12499999999989</v>
      </c>
      <c r="H26" s="2">
        <f>(SUM(Payroll[Tax %]))/Payroll[[#Totals],[percent]]</f>
        <v>0.15957846048972157</v>
      </c>
      <c r="I26" s="18">
        <f>SUBTOTAL(109,Payroll[percent])</f>
        <v>13</v>
      </c>
      <c r="J26" s="3">
        <f>SUM(Payroll[average])</f>
        <v>12</v>
      </c>
      <c r="K26" s="18">
        <f>SUM(Payroll[weekly])/Payroll[[#Totals],[average]]</f>
        <v>191.70916666666668</v>
      </c>
      <c r="L26" s="19"/>
      <c r="M26"/>
      <c r="N26"/>
      <c r="O26"/>
      <c r="P26"/>
      <c r="Q26"/>
      <c r="R26"/>
    </row>
    <row r="27" spans="1:18" x14ac:dyDescent="0.25">
      <c r="A27" s="9"/>
      <c r="M27"/>
      <c r="N27"/>
      <c r="O27"/>
      <c r="P27"/>
      <c r="Q27"/>
      <c r="R27"/>
    </row>
    <row r="28" spans="1:18" x14ac:dyDescent="0.25">
      <c r="A28" s="9"/>
      <c r="C28" s="23"/>
      <c r="D28" s="18"/>
      <c r="M28"/>
      <c r="N28"/>
      <c r="O28"/>
      <c r="P28"/>
      <c r="Q28"/>
      <c r="R28"/>
    </row>
    <row r="29" spans="1:18" x14ac:dyDescent="0.25">
      <c r="A29" s="9"/>
    </row>
    <row r="30" spans="1:18" x14ac:dyDescent="0.25">
      <c r="A30" s="9"/>
    </row>
    <row r="31" spans="1:18" x14ac:dyDescent="0.25">
      <c r="A31" s="9"/>
    </row>
    <row r="32" spans="1:18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</sheetData>
  <conditionalFormatting sqref="D2:E25">
    <cfRule type="cellIs" dxfId="42" priority="4" operator="equal">
      <formula>0</formula>
    </cfRule>
    <cfRule type="cellIs" dxfId="41" priority="5" operator="equal">
      <formula>0</formula>
    </cfRule>
    <cfRule type="cellIs" dxfId="40" priority="6" operator="greaterThan">
      <formula>0</formula>
    </cfRule>
  </conditionalFormatting>
  <conditionalFormatting sqref="T5:T15">
    <cfRule type="cellIs" dxfId="39" priority="1" operator="equal">
      <formula>0</formula>
    </cfRule>
    <cfRule type="cellIs" dxfId="38" priority="2" operator="equal">
      <formula>0</formula>
    </cfRule>
    <cfRule type="cellIs" dxfId="37" priority="3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6" sqref="A6"/>
    </sheetView>
  </sheetViews>
  <sheetFormatPr defaultRowHeight="15" x14ac:dyDescent="0.25"/>
  <cols>
    <col min="2" max="2" width="21.140625" customWidth="1"/>
    <col min="3" max="3" width="9.140625" style="25"/>
  </cols>
  <sheetData>
    <row r="1" spans="1:3" x14ac:dyDescent="0.25">
      <c r="A1" t="s">
        <v>18</v>
      </c>
      <c r="B1" t="s">
        <v>21</v>
      </c>
      <c r="C1" s="25" t="s">
        <v>19</v>
      </c>
    </row>
    <row r="2" spans="1:3" x14ac:dyDescent="0.25">
      <c r="A2" s="24">
        <v>42928</v>
      </c>
      <c r="B2" t="s">
        <v>25</v>
      </c>
      <c r="C2" s="25">
        <v>40</v>
      </c>
    </row>
    <row r="3" spans="1:3" x14ac:dyDescent="0.25">
      <c r="A3" s="24">
        <v>42929</v>
      </c>
      <c r="B3" s="24" t="s">
        <v>22</v>
      </c>
      <c r="C3" s="25">
        <v>25</v>
      </c>
    </row>
    <row r="4" spans="1:3" x14ac:dyDescent="0.25">
      <c r="A4" s="24">
        <v>42930</v>
      </c>
      <c r="B4" t="s">
        <v>23</v>
      </c>
      <c r="C4" s="25">
        <v>15</v>
      </c>
    </row>
    <row r="5" spans="1:3" x14ac:dyDescent="0.25">
      <c r="A5" s="24">
        <v>42930</v>
      </c>
      <c r="B5" t="s">
        <v>24</v>
      </c>
      <c r="C5" s="25">
        <v>20</v>
      </c>
    </row>
    <row r="18" spans="1:3" x14ac:dyDescent="0.25">
      <c r="A18" t="s">
        <v>20</v>
      </c>
      <c r="C18" s="25">
        <f>SUBTOTAL(109,odd_jobs[Cash])</f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Paygrade two</vt:lpstr>
      <vt:lpstr>year_one</vt:lpstr>
      <vt:lpstr>Odd Jobs</vt:lpstr>
    </vt:vector>
  </TitlesOfParts>
  <Company>Fort Mill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fmhs r105 b3</dc:creator>
  <cp:lastModifiedBy>Fmhs g108</cp:lastModifiedBy>
  <dcterms:created xsi:type="dcterms:W3CDTF">2017-03-27T17:05:59Z</dcterms:created>
  <dcterms:modified xsi:type="dcterms:W3CDTF">2018-03-22T16:49:38Z</dcterms:modified>
</cp:coreProperties>
</file>