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sander_vonk_student_uva_nl/Documents/Scriptie/"/>
    </mc:Choice>
  </mc:AlternateContent>
  <xr:revisionPtr revIDLastSave="27" documentId="8_{27B93635-A09D-4E7C-AF7D-74B7BD0C13B8}" xr6:coauthVersionLast="45" xr6:coauthVersionMax="45" xr10:uidLastSave="{FFF67703-AA25-4BEE-8CCB-343EFC1AEDA2}"/>
  <bookViews>
    <workbookView xWindow="-108" yWindow="-108" windowWidth="23256" windowHeight="12576" xr2:uid="{1284C7D3-3625-4BC1-9D3A-46FE22EF5C76}"/>
  </bookViews>
  <sheets>
    <sheet name="Blad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64" i="1" l="1"/>
  <c r="J90" i="1"/>
  <c r="J89" i="1"/>
  <c r="J88" i="1"/>
  <c r="J87" i="1"/>
  <c r="J83" i="1"/>
  <c r="J82" i="1"/>
  <c r="J81" i="1"/>
  <c r="J80" i="1"/>
  <c r="D90" i="1"/>
  <c r="D89" i="1"/>
  <c r="D88" i="1"/>
  <c r="D87" i="1"/>
  <c r="D86" i="1"/>
  <c r="C83" i="1"/>
  <c r="C82" i="1"/>
  <c r="C81" i="1"/>
  <c r="C80" i="1"/>
  <c r="Q75" i="1"/>
  <c r="P75" i="1"/>
  <c r="O75" i="1"/>
  <c r="M75" i="1"/>
  <c r="R75" i="1" s="1"/>
  <c r="J75" i="1"/>
  <c r="F75" i="1"/>
  <c r="E75" i="1"/>
  <c r="R74" i="1"/>
  <c r="Q74" i="1"/>
  <c r="P74" i="1"/>
  <c r="O74" i="1"/>
  <c r="M74" i="1"/>
  <c r="J74" i="1"/>
  <c r="F74" i="1"/>
  <c r="E74" i="1"/>
  <c r="Q73" i="1"/>
  <c r="P73" i="1"/>
  <c r="O73" i="1"/>
  <c r="M73" i="1"/>
  <c r="R73" i="1" s="1"/>
  <c r="J73" i="1"/>
  <c r="F73" i="1"/>
  <c r="E73" i="1"/>
  <c r="R72" i="1"/>
  <c r="Q72" i="1"/>
  <c r="P72" i="1"/>
  <c r="O72" i="1"/>
  <c r="J72" i="1"/>
  <c r="F72" i="1"/>
  <c r="E72" i="1"/>
  <c r="F71" i="1"/>
  <c r="E71" i="1"/>
  <c r="O63" i="1"/>
  <c r="T63" i="1" s="1"/>
  <c r="N63" i="1"/>
  <c r="S63" i="1" s="1"/>
  <c r="T62" i="1"/>
  <c r="S62" i="1"/>
  <c r="O62" i="1"/>
  <c r="N62" i="1"/>
  <c r="S61" i="1"/>
  <c r="R61" i="1"/>
  <c r="Q61" i="1"/>
  <c r="O61" i="1"/>
  <c r="T61" i="1" s="1"/>
  <c r="L61" i="1"/>
  <c r="T60" i="1"/>
  <c r="S60" i="1"/>
  <c r="R60" i="1"/>
  <c r="Q60" i="1"/>
  <c r="O60" i="1"/>
  <c r="L60" i="1"/>
  <c r="E62" i="1"/>
  <c r="E61" i="1"/>
  <c r="E60" i="1"/>
  <c r="E59" i="1"/>
  <c r="E58" i="1"/>
  <c r="J49" i="1"/>
  <c r="I49" i="1"/>
  <c r="H49" i="1"/>
  <c r="C49" i="1"/>
  <c r="J48" i="1"/>
  <c r="I48" i="1"/>
  <c r="H48" i="1"/>
  <c r="C48" i="1"/>
  <c r="J45" i="1"/>
  <c r="I45" i="1"/>
  <c r="H45" i="1"/>
  <c r="F45" i="1"/>
  <c r="K45" i="1" s="1"/>
  <c r="C45" i="1"/>
  <c r="K44" i="1"/>
  <c r="J44" i="1"/>
  <c r="I44" i="1"/>
  <c r="H44" i="1"/>
  <c r="F44" i="1"/>
  <c r="C44" i="1"/>
  <c r="J40" i="1"/>
  <c r="I40" i="1"/>
  <c r="H40" i="1"/>
  <c r="F40" i="1"/>
  <c r="K40" i="1" s="1"/>
  <c r="C40" i="1"/>
  <c r="J39" i="1"/>
  <c r="I39" i="1"/>
  <c r="H39" i="1"/>
  <c r="F39" i="1"/>
  <c r="K39" i="1" s="1"/>
  <c r="C39" i="1"/>
  <c r="J38" i="1"/>
  <c r="I38" i="1"/>
  <c r="H38" i="1"/>
  <c r="F38" i="1"/>
  <c r="K38" i="1" s="1"/>
  <c r="C38" i="1"/>
  <c r="J37" i="1"/>
  <c r="I37" i="1"/>
  <c r="H37" i="1"/>
  <c r="F37" i="1"/>
  <c r="K37" i="1" s="1"/>
  <c r="C37" i="1"/>
  <c r="J36" i="1"/>
  <c r="I36" i="1"/>
  <c r="H36" i="1"/>
  <c r="F36" i="1"/>
  <c r="K36" i="1" s="1"/>
  <c r="C36" i="1"/>
  <c r="K35" i="1"/>
  <c r="J35" i="1"/>
  <c r="I35" i="1"/>
  <c r="H35" i="1"/>
  <c r="F35" i="1"/>
  <c r="C35" i="1"/>
  <c r="J34" i="1"/>
  <c r="I34" i="1"/>
  <c r="H34" i="1"/>
  <c r="F34" i="1"/>
  <c r="K34" i="1" s="1"/>
  <c r="C34" i="1"/>
  <c r="J33" i="1"/>
  <c r="I33" i="1"/>
  <c r="H33" i="1"/>
  <c r="F33" i="1"/>
  <c r="K33" i="1" s="1"/>
  <c r="C33" i="1"/>
  <c r="K32" i="1"/>
  <c r="J32" i="1"/>
  <c r="I32" i="1"/>
  <c r="H32" i="1"/>
  <c r="C32" i="1"/>
  <c r="K31" i="1"/>
  <c r="J31" i="1"/>
  <c r="I31" i="1"/>
  <c r="H31" i="1"/>
  <c r="C31" i="1"/>
  <c r="K30" i="1"/>
  <c r="J30" i="1"/>
  <c r="I30" i="1"/>
  <c r="H30" i="1"/>
  <c r="C30" i="1"/>
  <c r="K29" i="1"/>
  <c r="J29" i="1"/>
  <c r="I29" i="1"/>
  <c r="H29" i="1"/>
  <c r="C29" i="1"/>
  <c r="J25" i="1"/>
  <c r="I25" i="1"/>
  <c r="H25" i="1"/>
  <c r="F25" i="1"/>
  <c r="K25" i="1" s="1"/>
  <c r="C25" i="1"/>
  <c r="J24" i="1"/>
  <c r="I24" i="1"/>
  <c r="H24" i="1"/>
  <c r="F24" i="1"/>
  <c r="K24" i="1" s="1"/>
  <c r="C24" i="1"/>
  <c r="J23" i="1"/>
  <c r="I23" i="1"/>
  <c r="F23" i="1"/>
  <c r="K23" i="1" s="1"/>
  <c r="C23" i="1"/>
  <c r="K22" i="1"/>
  <c r="J22" i="1"/>
  <c r="I22" i="1"/>
  <c r="C22" i="1"/>
  <c r="J21" i="1"/>
  <c r="I21" i="1"/>
  <c r="H21" i="1"/>
  <c r="F21" i="1"/>
  <c r="K21" i="1" s="1"/>
  <c r="C21" i="1"/>
  <c r="J20" i="1"/>
  <c r="I20" i="1"/>
  <c r="H20" i="1"/>
  <c r="F20" i="1"/>
  <c r="K20" i="1" s="1"/>
  <c r="C20" i="1"/>
  <c r="J19" i="1"/>
  <c r="I19" i="1"/>
  <c r="F19" i="1"/>
  <c r="K19" i="1" s="1"/>
  <c r="C19" i="1"/>
  <c r="J18" i="1"/>
  <c r="I18" i="1"/>
  <c r="F18" i="1"/>
  <c r="K18" i="1" s="1"/>
  <c r="C18" i="1"/>
  <c r="J17" i="1"/>
  <c r="I17" i="1"/>
  <c r="H17" i="1"/>
  <c r="F17" i="1"/>
  <c r="K17" i="1" s="1"/>
  <c r="C17" i="1"/>
  <c r="J16" i="1"/>
  <c r="I16" i="1"/>
  <c r="H16" i="1"/>
  <c r="F16" i="1"/>
  <c r="K16" i="1" s="1"/>
  <c r="C16" i="1"/>
  <c r="K15" i="1"/>
  <c r="J15" i="1"/>
  <c r="I15" i="1"/>
  <c r="F15" i="1"/>
  <c r="C15" i="1"/>
  <c r="K14" i="1"/>
  <c r="J14" i="1"/>
  <c r="I14" i="1"/>
  <c r="C14" i="1"/>
  <c r="J13" i="1"/>
  <c r="I13" i="1"/>
  <c r="H13" i="1"/>
  <c r="F13" i="1"/>
  <c r="K13" i="1" s="1"/>
  <c r="C13" i="1"/>
  <c r="J12" i="1"/>
  <c r="I12" i="1"/>
  <c r="H12" i="1"/>
  <c r="F12" i="1"/>
  <c r="K12" i="1" s="1"/>
  <c r="C12" i="1"/>
  <c r="J11" i="1"/>
  <c r="I11" i="1"/>
  <c r="F11" i="1"/>
  <c r="K11" i="1" s="1"/>
  <c r="C11" i="1"/>
  <c r="J10" i="1"/>
  <c r="I10" i="1"/>
  <c r="F10" i="1"/>
  <c r="K10" i="1" s="1"/>
  <c r="C10" i="1"/>
  <c r="F6" i="1"/>
  <c r="D6" i="1"/>
  <c r="F5" i="1"/>
  <c r="D5" i="1"/>
  <c r="F4" i="1"/>
  <c r="D4" i="1"/>
  <c r="F3" i="1"/>
  <c r="D3" i="1"/>
  <c r="F2" i="1"/>
  <c r="D2" i="1"/>
  <c r="L358" i="1"/>
  <c r="K358" i="1"/>
  <c r="L357" i="1"/>
  <c r="K357" i="1"/>
  <c r="L356" i="1"/>
  <c r="K356" i="1"/>
  <c r="L355" i="1"/>
  <c r="K355" i="1"/>
  <c r="L354" i="1"/>
  <c r="K354" i="1"/>
  <c r="L351" i="1"/>
  <c r="K351" i="1"/>
  <c r="E351" i="1"/>
  <c r="D351" i="1"/>
  <c r="L350" i="1"/>
  <c r="K350" i="1"/>
  <c r="E350" i="1"/>
  <c r="D350" i="1"/>
  <c r="L349" i="1"/>
  <c r="K349" i="1"/>
  <c r="E349" i="1"/>
  <c r="D349" i="1"/>
  <c r="L348" i="1"/>
  <c r="K348" i="1"/>
  <c r="E348" i="1"/>
  <c r="D348" i="1"/>
  <c r="L347" i="1"/>
  <c r="K347" i="1"/>
  <c r="E347" i="1"/>
  <c r="D347" i="1"/>
  <c r="F339" i="1"/>
  <c r="E339" i="1"/>
  <c r="D339" i="1"/>
  <c r="C339" i="1"/>
  <c r="B339" i="1"/>
  <c r="F332" i="1"/>
  <c r="E332" i="1"/>
  <c r="D332" i="1"/>
  <c r="C332" i="1"/>
  <c r="B332" i="1"/>
  <c r="AB188" i="1"/>
  <c r="AB186" i="1"/>
  <c r="AB184" i="1"/>
  <c r="U220" i="1"/>
  <c r="U219" i="1"/>
  <c r="U216" i="1"/>
  <c r="U215" i="1"/>
  <c r="U214" i="1"/>
  <c r="AB199" i="1"/>
  <c r="AA199" i="1"/>
  <c r="X199" i="1"/>
  <c r="W199" i="1"/>
  <c r="X198" i="1"/>
  <c r="W198" i="1"/>
  <c r="X197" i="1"/>
  <c r="W197" i="1"/>
  <c r="X196" i="1"/>
  <c r="W196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F183" i="1"/>
  <c r="E183" i="1"/>
  <c r="D183" i="1"/>
  <c r="C183" i="1"/>
  <c r="B183" i="1"/>
  <c r="U178" i="1"/>
  <c r="P178" i="1"/>
  <c r="K178" i="1"/>
  <c r="F178" i="1"/>
  <c r="U177" i="1"/>
  <c r="P177" i="1"/>
  <c r="K177" i="1"/>
  <c r="F177" i="1"/>
  <c r="U176" i="1"/>
  <c r="P176" i="1"/>
  <c r="K176" i="1"/>
  <c r="F176" i="1"/>
  <c r="U175" i="1"/>
  <c r="P175" i="1"/>
  <c r="K175" i="1"/>
  <c r="F175" i="1"/>
  <c r="U174" i="1"/>
  <c r="P174" i="1"/>
  <c r="K174" i="1"/>
  <c r="F174" i="1"/>
  <c r="U173" i="1"/>
  <c r="P173" i="1"/>
  <c r="K173" i="1"/>
  <c r="F173" i="1"/>
  <c r="U172" i="1"/>
  <c r="P172" i="1"/>
  <c r="U171" i="1"/>
  <c r="P171" i="1"/>
  <c r="U170" i="1"/>
  <c r="P170" i="1"/>
  <c r="U169" i="1"/>
  <c r="P169" i="1"/>
  <c r="K169" i="1"/>
  <c r="F169" i="1"/>
</calcChain>
</file>

<file path=xl/sharedStrings.xml><?xml version="1.0" encoding="utf-8"?>
<sst xmlns="http://schemas.openxmlformats.org/spreadsheetml/2006/main" count="648" uniqueCount="219">
  <si>
    <t>Data2.2</t>
  </si>
  <si>
    <t>40/60</t>
  </si>
  <si>
    <t>Score</t>
  </si>
  <si>
    <t>Ratio</t>
  </si>
  <si>
    <t>Time</t>
  </si>
  <si>
    <t>x60</t>
  </si>
  <si>
    <t>30/70</t>
  </si>
  <si>
    <t>x70</t>
  </si>
  <si>
    <t>20/80</t>
  </si>
  <si>
    <t>x80</t>
  </si>
  <si>
    <t>10/90</t>
  </si>
  <si>
    <t>x90</t>
  </si>
  <si>
    <t>100/0</t>
  </si>
  <si>
    <t>22,1,0</t>
  </si>
  <si>
    <t>1,2</t>
  </si>
  <si>
    <t>x</t>
  </si>
  <si>
    <t>xxx</t>
  </si>
  <si>
    <t>110,1,0</t>
  </si>
  <si>
    <t>7,3</t>
  </si>
  <si>
    <t>128,5,0</t>
  </si>
  <si>
    <t>19,9</t>
  </si>
  <si>
    <t>145,10,0</t>
  </si>
  <si>
    <t>30,5</t>
  </si>
  <si>
    <t>340,5</t>
  </si>
  <si>
    <t>39,6</t>
  </si>
  <si>
    <t>3,5</t>
  </si>
  <si>
    <t>160,17,0</t>
  </si>
  <si>
    <t>67,3</t>
  </si>
  <si>
    <t>332,2</t>
  </si>
  <si>
    <t>10,2</t>
  </si>
  <si>
    <t>0,7</t>
  </si>
  <si>
    <t>172,27,0</t>
  </si>
  <si>
    <t>36,9</t>
  </si>
  <si>
    <t>129,8</t>
  </si>
  <si>
    <t>5,2</t>
  </si>
  <si>
    <t>0,2</t>
  </si>
  <si>
    <t>182,38,0</t>
  </si>
  <si>
    <t>62,2</t>
  </si>
  <si>
    <t>1,1</t>
  </si>
  <si>
    <t>0,1</t>
  </si>
  <si>
    <t>File</t>
  </si>
  <si>
    <t>Rev</t>
  </si>
  <si>
    <t>Sub</t>
  </si>
  <si>
    <t>Rev/Sub</t>
  </si>
  <si>
    <t>File: 2.1</t>
  </si>
  <si>
    <t>S/R</t>
  </si>
  <si>
    <t>Time (sec.)</t>
  </si>
  <si>
    <t>Social welfare</t>
  </si>
  <si>
    <t>y/m/n</t>
  </si>
  <si>
    <t>score/n</t>
  </si>
  <si>
    <t>time/n</t>
  </si>
  <si>
    <t>90/10</t>
  </si>
  <si>
    <t>60,2,0</t>
  </si>
  <si>
    <t>86,7,0</t>
  </si>
  <si>
    <t>109,14,0</t>
  </si>
  <si>
    <t>128,25,0</t>
  </si>
  <si>
    <t>90/9/1</t>
  </si>
  <si>
    <t>109,14,1</t>
  </si>
  <si>
    <t>128,25,2</t>
  </si>
  <si>
    <t>95/4/1</t>
  </si>
  <si>
    <t>85/14/1</t>
  </si>
  <si>
    <t>File: 2.2</t>
  </si>
  <si>
    <t>44,1,0</t>
  </si>
  <si>
    <t>66,1,0</t>
  </si>
  <si>
    <t>88,1,0</t>
  </si>
  <si>
    <t>44,1,1</t>
  </si>
  <si>
    <t>66,1,2</t>
  </si>
  <si>
    <t>88,1,3</t>
  </si>
  <si>
    <t>110,1,4</t>
  </si>
  <si>
    <t>5,10</t>
  </si>
  <si>
    <t>110,1</t>
  </si>
  <si>
    <t>9,3</t>
  </si>
  <si>
    <t>3,10</t>
  </si>
  <si>
    <t>0,9</t>
  </si>
  <si>
    <t>Data2.1</t>
  </si>
  <si>
    <t>6,10</t>
  </si>
  <si>
    <t>140,42,0</t>
  </si>
  <si>
    <t>10,4</t>
  </si>
  <si>
    <t>5,9</t>
  </si>
  <si>
    <t>1,8</t>
  </si>
  <si>
    <t>3,8</t>
  </si>
  <si>
    <t>1,7</t>
  </si>
  <si>
    <t>2,7</t>
  </si>
  <si>
    <t>2,0</t>
  </si>
  <si>
    <t>4,10</t>
  </si>
  <si>
    <t>4,6</t>
  </si>
  <si>
    <t>2,4</t>
  </si>
  <si>
    <t>2.1 70/30/0</t>
  </si>
  <si>
    <t>2.2 70/30/0</t>
  </si>
  <si>
    <t>2.3 70/30/0</t>
  </si>
  <si>
    <t>389,39,0</t>
  </si>
  <si>
    <t>49,8</t>
  </si>
  <si>
    <t>1,4</t>
  </si>
  <si>
    <t>86,7</t>
  </si>
  <si>
    <t>6,8</t>
  </si>
  <si>
    <t>66,1</t>
  </si>
  <si>
    <t>1120,8</t>
  </si>
  <si>
    <t>389,39</t>
  </si>
  <si>
    <t>2,10</t>
  </si>
  <si>
    <t>n</t>
  </si>
  <si>
    <t>4,8</t>
  </si>
  <si>
    <t>8351)]</t>
  </si>
  <si>
    <t>95/4/1 data2.1</t>
  </si>
  <si>
    <t>total: 110, yes:87, maybe:21, no: 2</t>
  </si>
  <si>
    <t>90/10/0 3,8</t>
  </si>
  <si>
    <t>matches</t>
  </si>
  <si>
    <t>score per match</t>
  </si>
  <si>
    <t>90/10/0 5,8</t>
  </si>
  <si>
    <t>Matches</t>
  </si>
  <si>
    <t>Score per match</t>
  </si>
  <si>
    <t>2,2</t>
  </si>
  <si>
    <t>128,25</t>
  </si>
  <si>
    <t>1,9</t>
  </si>
  <si>
    <t>t</t>
  </si>
  <si>
    <t>1463,75</t>
  </si>
  <si>
    <t>Extra</t>
  </si>
  <si>
    <t>Bid ratio</t>
  </si>
  <si>
    <t>n,m</t>
  </si>
  <si>
    <t>Ratio (y,m,n)</t>
  </si>
  <si>
    <t>70/30/0</t>
  </si>
  <si>
    <t>4.1 70/30</t>
  </si>
  <si>
    <t>512,87,0,599</t>
  </si>
  <si>
    <t>4.2 70/30</t>
  </si>
  <si>
    <t>394,89,0,483</t>
  </si>
  <si>
    <t>file</t>
  </si>
  <si>
    <t>reviewers</t>
  </si>
  <si>
    <t>submissions</t>
  </si>
  <si>
    <t>ratio</t>
  </si>
  <si>
    <t>r x s</t>
  </si>
  <si>
    <t>r / s</t>
  </si>
  <si>
    <t>score</t>
  </si>
  <si>
    <t>time (sec)</t>
  </si>
  <si>
    <t>4.1 70/30/0</t>
  </si>
  <si>
    <t>4.1 70/30/0 3,10</t>
  </si>
  <si>
    <t>4.2 70/30/0</t>
  </si>
  <si>
    <t>4.2 70/30/0 3,10</t>
  </si>
  <si>
    <t>0,6</t>
  </si>
  <si>
    <t>2.2 70/30/0 3,10</t>
  </si>
  <si>
    <t>1,0</t>
  </si>
  <si>
    <t>2.1 70/30/0 3,10</t>
  </si>
  <si>
    <t>2.3 70/30/0 3,10</t>
  </si>
  <si>
    <t>Reviewers</t>
  </si>
  <si>
    <t>Submissions</t>
  </si>
  <si>
    <t>rev/sub</t>
  </si>
  <si>
    <t>rev*sub</t>
  </si>
  <si>
    <t>File bid ratio n,m</t>
  </si>
  <si>
    <t>Rev:Sub</t>
  </si>
  <si>
    <t>Rev*Sub</t>
  </si>
  <si>
    <t xml:space="preserve">1:1.74 </t>
  </si>
  <si>
    <t>1:2.17</t>
  </si>
  <si>
    <t xml:space="preserve"> 1:1.21 </t>
  </si>
  <si>
    <t xml:space="preserve">1:3.05 </t>
  </si>
  <si>
    <t>1:2.73</t>
  </si>
  <si>
    <t>Cardinality</t>
  </si>
  <si>
    <t>Avg rev. per sub.</t>
  </si>
  <si>
    <t xml:space="preserve">Time </t>
  </si>
  <si>
    <t xml:space="preserve">Social welfare </t>
  </si>
  <si>
    <t>Equity</t>
  </si>
  <si>
    <t>Max. matches</t>
  </si>
  <si>
    <t>Time per sub.</t>
  </si>
  <si>
    <t>Score per sub.</t>
  </si>
  <si>
    <t>Equity per sub.</t>
  </si>
  <si>
    <t>n: (rev/sub)</t>
  </si>
  <si>
    <t>(matches/sub)</t>
  </si>
  <si>
    <t>(sec.)</t>
  </si>
  <si>
    <t>(total score)</t>
  </si>
  <si>
    <t>(total difference)</t>
  </si>
  <si>
    <t>(yes,maybe,no,tot.)</t>
  </si>
  <si>
    <t>(n*rev)</t>
  </si>
  <si>
    <t>(time/n)</t>
  </si>
  <si>
    <t>(score/n)</t>
  </si>
  <si>
    <t>(equity/n)</t>
  </si>
  <si>
    <t>60,2,0,62</t>
  </si>
  <si>
    <t>86,7,0,93</t>
  </si>
  <si>
    <t>109,14,0,123</t>
  </si>
  <si>
    <t>128,25,0,153</t>
  </si>
  <si>
    <t>109,14,1,124</t>
  </si>
  <si>
    <t>128,25,2,155</t>
  </si>
  <si>
    <t>90/10/0</t>
  </si>
  <si>
    <t>44,1,0,45</t>
  </si>
  <si>
    <t>66,1,0,67</t>
  </si>
  <si>
    <t>88,1,0,89</t>
  </si>
  <si>
    <t>110,1,0,111</t>
  </si>
  <si>
    <t>44,1,1,46</t>
  </si>
  <si>
    <t>66,1,2,69</t>
  </si>
  <si>
    <t>88,1,3,92</t>
  </si>
  <si>
    <t>110,1,4,115</t>
  </si>
  <si>
    <t>File: 2.3</t>
  </si>
  <si>
    <t>270,18,0,288</t>
  </si>
  <si>
    <t>389,39,0,428</t>
  </si>
  <si>
    <t>100/0/0</t>
  </si>
  <si>
    <t>270,0,0,270</t>
  </si>
  <si>
    <t>389,0,0,389</t>
  </si>
  <si>
    <t>yes</t>
  </si>
  <si>
    <t>maybe</t>
  </si>
  <si>
    <t>no</t>
  </si>
  <si>
    <t>2.1 95/4/1</t>
  </si>
  <si>
    <t>2.1 60/30/10</t>
  </si>
  <si>
    <t>5370, 917.2s</t>
  </si>
  <si>
    <t>2.2 95/4/1</t>
  </si>
  <si>
    <t>2.2 60/30/10</t>
  </si>
  <si>
    <t>4010, 1613.9s</t>
  </si>
  <si>
    <t>Rows</t>
  </si>
  <si>
    <t>Yes bids</t>
  </si>
  <si>
    <t>% yes bids</t>
  </si>
  <si>
    <t>Score ratio</t>
  </si>
  <si>
    <t>calc</t>
  </si>
  <si>
    <t>Rev.</t>
  </si>
  <si>
    <t>Sub.</t>
  </si>
  <si>
    <t>(tot. difference)</t>
  </si>
  <si>
    <t>matches/sub</t>
  </si>
  <si>
    <t>a</t>
  </si>
  <si>
    <t>b</t>
  </si>
  <si>
    <t>time</t>
  </si>
  <si>
    <t>yes matches /possible matches</t>
  </si>
  <si>
    <t>% yes matches</t>
  </si>
  <si>
    <t>% yes dataset</t>
  </si>
  <si>
    <t>avg score</t>
  </si>
  <si>
    <t>avg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</si>
</sst>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000000"/>
      <name val="Courier New"/>
      <family val="3"/>
    </font>
    <font>
      <sz val="8"/>
      <color rgb="FF000000"/>
      <name val="Courier New"/>
      <family val="3"/>
    </font>
    <font>
      <sz val="10"/>
      <color rgb="FF000000"/>
      <name val="Courier New"/>
      <family val="3"/>
    </font>
  </fonts>
  <fills count="2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C14A4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4472C4"/>
      </top>
      <bottom/>
      <diagonal/>
    </border>
    <border>
      <left/>
      <right/>
      <top style="medium">
        <color rgb="FF4472C4"/>
      </top>
      <bottom style="medium">
        <color rgb="FF4472C4"/>
      </bottom>
      <diagonal/>
    </border>
  </borders>
  <cellStyleXfs count="20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3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" fillId="22" borderId="0">
      <alignment horizontal="center"/>
    </xf>
  </cellStyleXfs>
  <cellXfs count="93">
    <xf numFmtId="0" fontId="0" fillId="0" borderId="0" xfId="0"/>
    <xf numFmtId="0" fontId="0" fillId="2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0" fontId="6" fillId="21" borderId="1" xfId="0" applyFont="1" applyFill="1" applyBorder="1" applyAlignment="1">
      <alignment wrapText="1"/>
    </xf>
    <xf numFmtId="0" fontId="7" fillId="0" borderId="0" xfId="0" applyFont="1" applyAlignment="1">
      <alignment horizontal="left" vertical="center"/>
    </xf>
    <xf numFmtId="0" fontId="0" fillId="21" borderId="1" xfId="0" applyFill="1" applyBorder="1" applyAlignment="1">
      <alignment wrapText="1"/>
    </xf>
    <xf numFmtId="2" fontId="0" fillId="0" borderId="0" xfId="0" applyNumberFormat="1"/>
    <xf numFmtId="0" fontId="3" fillId="2" borderId="0" xfId="1"/>
    <xf numFmtId="0" fontId="3" fillId="2" borderId="0" xfId="1" applyAlignment="1">
      <alignment vertical="center"/>
    </xf>
    <xf numFmtId="0" fontId="1" fillId="5" borderId="0" xfId="4"/>
    <xf numFmtId="2" fontId="1" fillId="5" borderId="0" xfId="4" applyNumberFormat="1"/>
    <xf numFmtId="0" fontId="1" fillId="4" borderId="0" xfId="3"/>
    <xf numFmtId="2" fontId="1" fillId="4" borderId="0" xfId="3" applyNumberFormat="1"/>
    <xf numFmtId="0" fontId="1" fillId="3" borderId="0" xfId="2"/>
    <xf numFmtId="2" fontId="1" fillId="3" borderId="0" xfId="2" applyNumberFormat="1"/>
    <xf numFmtId="0" fontId="1" fillId="3" borderId="0" xfId="2" applyNumberFormat="1"/>
    <xf numFmtId="0" fontId="3" fillId="16" borderId="0" xfId="15"/>
    <xf numFmtId="0" fontId="3" fillId="16" borderId="0" xfId="15" applyAlignment="1">
      <alignment vertical="center"/>
    </xf>
    <xf numFmtId="0" fontId="1" fillId="19" borderId="0" xfId="18"/>
    <xf numFmtId="0" fontId="1" fillId="18" borderId="0" xfId="17"/>
    <xf numFmtId="0" fontId="1" fillId="17" borderId="0" xfId="16"/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2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3" fillId="2" borderId="0" xfId="1" applyAlignment="1">
      <alignment horizontal="center"/>
    </xf>
    <xf numFmtId="0" fontId="1" fillId="5" borderId="0" xfId="4" applyAlignment="1">
      <alignment horizontal="center"/>
    </xf>
    <xf numFmtId="2" fontId="1" fillId="5" borderId="0" xfId="4" applyNumberFormat="1" applyAlignment="1">
      <alignment horizontal="center"/>
    </xf>
    <xf numFmtId="164" fontId="1" fillId="5" borderId="0" xfId="4" applyNumberFormat="1" applyAlignment="1">
      <alignment horizontal="center"/>
    </xf>
    <xf numFmtId="0" fontId="1" fillId="4" borderId="0" xfId="3" applyAlignment="1">
      <alignment horizontal="center"/>
    </xf>
    <xf numFmtId="2" fontId="1" fillId="4" borderId="0" xfId="3" applyNumberFormat="1" applyAlignment="1">
      <alignment horizontal="center"/>
    </xf>
    <xf numFmtId="164" fontId="1" fillId="4" borderId="0" xfId="3" applyNumberFormat="1" applyAlignment="1">
      <alignment horizontal="center"/>
    </xf>
    <xf numFmtId="0" fontId="1" fillId="3" borderId="0" xfId="2" applyAlignment="1">
      <alignment horizontal="center"/>
    </xf>
    <xf numFmtId="2" fontId="1" fillId="3" borderId="0" xfId="2" applyNumberFormat="1" applyAlignment="1">
      <alignment horizontal="center"/>
    </xf>
    <xf numFmtId="164" fontId="1" fillId="3" borderId="0" xfId="2" applyNumberFormat="1" applyAlignment="1">
      <alignment horizontal="center"/>
    </xf>
    <xf numFmtId="0" fontId="3" fillId="16" borderId="0" xfId="15" applyNumberFormat="1" applyAlignment="1">
      <alignment horizontal="center"/>
    </xf>
    <xf numFmtId="0" fontId="3" fillId="16" borderId="0" xfId="15" applyAlignment="1">
      <alignment horizontal="center"/>
    </xf>
    <xf numFmtId="0" fontId="3" fillId="16" borderId="0" xfId="15" applyAlignment="1">
      <alignment horizontal="center" vertical="center"/>
    </xf>
    <xf numFmtId="0" fontId="1" fillId="19" borderId="0" xfId="18" applyAlignment="1">
      <alignment horizontal="center"/>
    </xf>
    <xf numFmtId="2" fontId="1" fillId="19" borderId="0" xfId="18" applyNumberFormat="1" applyAlignment="1">
      <alignment horizontal="center"/>
    </xf>
    <xf numFmtId="0" fontId="1" fillId="19" borderId="0" xfId="18" applyNumberFormat="1" applyAlignment="1">
      <alignment horizontal="center"/>
    </xf>
    <xf numFmtId="164" fontId="1" fillId="19" borderId="0" xfId="18" applyNumberFormat="1" applyAlignment="1">
      <alignment horizontal="center"/>
    </xf>
    <xf numFmtId="0" fontId="1" fillId="18" borderId="0" xfId="17" applyAlignment="1">
      <alignment horizontal="center"/>
    </xf>
    <xf numFmtId="2" fontId="1" fillId="18" borderId="0" xfId="17" applyNumberFormat="1" applyAlignment="1">
      <alignment horizontal="center"/>
    </xf>
    <xf numFmtId="0" fontId="1" fillId="18" borderId="0" xfId="17" applyNumberFormat="1" applyAlignment="1">
      <alignment horizontal="center"/>
    </xf>
    <xf numFmtId="164" fontId="1" fillId="18" borderId="0" xfId="17" applyNumberFormat="1" applyAlignment="1">
      <alignment horizontal="center"/>
    </xf>
    <xf numFmtId="0" fontId="1" fillId="17" borderId="0" xfId="16" applyAlignment="1">
      <alignment horizontal="center"/>
    </xf>
    <xf numFmtId="2" fontId="1" fillId="17" borderId="0" xfId="16" applyNumberFormat="1" applyAlignment="1">
      <alignment horizontal="center"/>
    </xf>
    <xf numFmtId="0" fontId="1" fillId="17" borderId="0" xfId="16" applyNumberFormat="1" applyAlignment="1">
      <alignment horizontal="center"/>
    </xf>
    <xf numFmtId="164" fontId="1" fillId="17" borderId="0" xfId="16" applyNumberFormat="1" applyAlignment="1">
      <alignment horizontal="center"/>
    </xf>
    <xf numFmtId="0" fontId="3" fillId="6" borderId="0" xfId="5" applyNumberFormat="1" applyAlignment="1">
      <alignment horizontal="center"/>
    </xf>
    <xf numFmtId="0" fontId="3" fillId="6" borderId="0" xfId="5" applyAlignment="1">
      <alignment horizontal="center"/>
    </xf>
    <xf numFmtId="0" fontId="3" fillId="6" borderId="0" xfId="5" applyAlignment="1">
      <alignment horizontal="center" vertical="center"/>
    </xf>
    <xf numFmtId="0" fontId="1" fillId="8" borderId="0" xfId="7" applyAlignment="1">
      <alignment horizontal="center"/>
    </xf>
    <xf numFmtId="2" fontId="1" fillId="8" borderId="0" xfId="7" applyNumberFormat="1" applyAlignment="1">
      <alignment horizontal="center"/>
    </xf>
    <xf numFmtId="0" fontId="1" fillId="7" borderId="0" xfId="6" applyAlignment="1">
      <alignment horizontal="center"/>
    </xf>
    <xf numFmtId="2" fontId="1" fillId="7" borderId="0" xfId="6" applyNumberFormat="1" applyAlignment="1">
      <alignment horizontal="center"/>
    </xf>
    <xf numFmtId="0" fontId="3" fillId="9" borderId="0" xfId="8" applyAlignment="1">
      <alignment horizontal="center"/>
    </xf>
    <xf numFmtId="0" fontId="1" fillId="12" borderId="0" xfId="11" applyAlignment="1">
      <alignment horizontal="center"/>
    </xf>
    <xf numFmtId="0" fontId="1" fillId="12" borderId="0" xfId="11" applyAlignment="1">
      <alignment horizontal="center" vertical="center"/>
    </xf>
    <xf numFmtId="2" fontId="1" fillId="12" borderId="0" xfId="11" applyNumberFormat="1" applyAlignment="1">
      <alignment horizontal="center"/>
    </xf>
    <xf numFmtId="0" fontId="3" fillId="9" borderId="0" xfId="8"/>
    <xf numFmtId="0" fontId="3" fillId="22" borderId="0" xfId="19">
      <alignment horizontal="center"/>
    </xf>
    <xf numFmtId="0" fontId="1" fillId="12" borderId="0" xfId="11"/>
    <xf numFmtId="2" fontId="1" fillId="12" borderId="0" xfId="11" applyNumberFormat="1"/>
    <xf numFmtId="0" fontId="1" fillId="15" borderId="0" xfId="14" applyAlignment="1">
      <alignment horizontal="center"/>
    </xf>
    <xf numFmtId="2" fontId="1" fillId="15" borderId="0" xfId="14" applyNumberFormat="1" applyAlignment="1">
      <alignment horizontal="center"/>
    </xf>
    <xf numFmtId="164" fontId="1" fillId="15" borderId="0" xfId="14" applyNumberFormat="1" applyAlignment="1">
      <alignment horizontal="center"/>
    </xf>
    <xf numFmtId="0" fontId="1" fillId="11" borderId="0" xfId="10"/>
    <xf numFmtId="2" fontId="1" fillId="11" borderId="0" xfId="10" applyNumberFormat="1"/>
    <xf numFmtId="0" fontId="1" fillId="10" borderId="0" xfId="9"/>
    <xf numFmtId="0" fontId="1" fillId="10" borderId="0" xfId="9" applyNumberFormat="1"/>
    <xf numFmtId="2" fontId="1" fillId="10" borderId="0" xfId="9" applyNumberFormat="1"/>
    <xf numFmtId="164" fontId="1" fillId="8" borderId="0" xfId="7" applyNumberFormat="1" applyAlignment="1">
      <alignment horizontal="center"/>
    </xf>
    <xf numFmtId="0" fontId="1" fillId="14" borderId="0" xfId="13" applyAlignment="1">
      <alignment horizontal="center"/>
    </xf>
    <xf numFmtId="2" fontId="1" fillId="14" borderId="0" xfId="13" applyNumberFormat="1" applyAlignment="1">
      <alignment horizontal="center"/>
    </xf>
    <xf numFmtId="164" fontId="1" fillId="14" borderId="0" xfId="13" applyNumberFormat="1" applyAlignment="1">
      <alignment horizontal="center"/>
    </xf>
    <xf numFmtId="0" fontId="1" fillId="13" borderId="0" xfId="12" applyAlignment="1">
      <alignment horizontal="center"/>
    </xf>
    <xf numFmtId="2" fontId="1" fillId="13" borderId="0" xfId="12" applyNumberFormat="1" applyAlignment="1">
      <alignment horizontal="center"/>
    </xf>
    <xf numFmtId="164" fontId="1" fillId="13" borderId="0" xfId="12" applyNumberFormat="1" applyAlignment="1">
      <alignment horizontal="center"/>
    </xf>
    <xf numFmtId="0" fontId="4" fillId="0" borderId="0" xfId="0" applyFont="1"/>
  </cellXfs>
  <cellStyles count="20">
    <cellStyle name="20% - Accent1" xfId="2" builtinId="30"/>
    <cellStyle name="20% - Accent3" xfId="9" builtinId="38"/>
    <cellStyle name="20% - Accent4" xfId="12" builtinId="42"/>
    <cellStyle name="20% - Accent6" xfId="16" builtinId="50"/>
    <cellStyle name="40% - Accent1" xfId="3" builtinId="31"/>
    <cellStyle name="40% - Accent2" xfId="6" builtinId="35"/>
    <cellStyle name="40% - Accent3" xfId="10" builtinId="39"/>
    <cellStyle name="40% - Accent6" xfId="17" builtinId="51"/>
    <cellStyle name="60% - Accent1" xfId="4" builtinId="32"/>
    <cellStyle name="60% - Accent2" xfId="7" builtinId="36"/>
    <cellStyle name="60% - Accent3" xfId="11" builtinId="40"/>
    <cellStyle name="60% - Accent4" xfId="13" builtinId="44"/>
    <cellStyle name="60% - Accent5" xfId="14" builtinId="48"/>
    <cellStyle name="60% - Accent6" xfId="18" builtinId="52"/>
    <cellStyle name="Accent1" xfId="1" builtinId="29"/>
    <cellStyle name="Accent2" xfId="5" builtinId="33"/>
    <cellStyle name="Accent3" xfId="8" builtinId="37"/>
    <cellStyle name="Accent6" xfId="15" builtinId="49"/>
    <cellStyle name="Standaard" xfId="0" builtinId="0"/>
    <cellStyle name="Stijl 1" xfId="19" xr:uid="{88D6B2FC-A98F-4ECB-B347-8FAF94235E25}"/>
  </cellStyles>
  <dxfs count="23">
    <dxf>
      <numFmt numFmtId="0" formatCode="General"/>
    </dxf>
    <dxf>
      <numFmt numFmtId="0" formatCode="General"/>
    </dxf>
    <dxf>
      <numFmt numFmtId="0" formatCode="General"/>
    </dxf>
    <dxf>
      <font>
        <color rgb="FF000000"/>
      </font>
      <numFmt numFmtId="0" formatCode="General"/>
      <alignment horizontal="right" vertical="center" textRotation="0" wrapText="0" indent="0" justifyLastLine="0" shrinkToFit="0" readingOrder="0"/>
      <border diagonalUp="0" diagonalDown="0">
        <left/>
        <right/>
        <top style="medium">
          <color rgb="FF4472C4"/>
        </top>
        <bottom/>
        <vertical/>
        <horizontal/>
      </border>
    </dxf>
    <dxf>
      <font>
        <color rgb="FF000000"/>
      </font>
      <numFmt numFmtId="2" formatCode="0.00"/>
      <alignment horizontal="right" vertical="center" textRotation="0" wrapText="0" indent="0" justifyLastLine="0" shrinkToFit="0" readingOrder="0"/>
      <border diagonalUp="0" diagonalDown="0">
        <left/>
        <right/>
        <top style="medium">
          <color rgb="FF4472C4"/>
        </top>
        <bottom/>
        <vertical/>
        <horizontal/>
      </border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Data2.2 Normalised</a:t>
            </a:r>
            <a:r>
              <a:rPr lang="en-GB" baseline="0"/>
              <a:t> scores for each ratio with different cardinality's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[1]Blad1!$F$4:$F$13</c:f>
              <c:numCache>
                <c:formatCode>General</c:formatCode>
                <c:ptCount val="10"/>
                <c:pt idx="0">
                  <c:v>1360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1328</c:v>
                </c:pt>
                <c:pt idx="5">
                  <c:v>1313.3333333333333</c:v>
                </c:pt>
                <c:pt idx="6">
                  <c:v>1300</c:v>
                </c:pt>
                <c:pt idx="7">
                  <c:v>1285</c:v>
                </c:pt>
                <c:pt idx="8">
                  <c:v>1266.6666666666667</c:v>
                </c:pt>
                <c:pt idx="9">
                  <c:v>1244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FC4-4468-AED7-46880BDF2FB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[1]Blad1!$K$4:$K$13</c:f>
              <c:numCache>
                <c:formatCode>General</c:formatCode>
                <c:ptCount val="10"/>
                <c:pt idx="0">
                  <c:v>1570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1546</c:v>
                </c:pt>
                <c:pt idx="5">
                  <c:v>1518.3333333333333</c:v>
                </c:pt>
                <c:pt idx="6">
                  <c:v>1492.8571428571429</c:v>
                </c:pt>
                <c:pt idx="7">
                  <c:v>1463.75</c:v>
                </c:pt>
                <c:pt idx="8">
                  <c:v>1427.7777777777778</c:v>
                </c:pt>
                <c:pt idx="9">
                  <c:v>1388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FC4-4468-AED7-46880BDF2FB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[1]Blad1!$P$4:$P$13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1766.6666666666667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1685.7142857142858</c:v>
                </c:pt>
                <c:pt idx="7">
                  <c:v>1642.5</c:v>
                </c:pt>
                <c:pt idx="8">
                  <c:v>1588.8888888888889</c:v>
                </c:pt>
                <c:pt idx="9">
                  <c:v>1532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FC4-4468-AED7-46880BDF2FB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[1]Blad1!$U$4:$U$13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1878.5714285714287</c:v>
                </c:pt>
                <c:pt idx="7">
                  <c:v>1821.25</c:v>
                </c:pt>
                <c:pt idx="8">
                  <c:v>1750</c:v>
                </c:pt>
                <c:pt idx="9">
                  <c:v>1676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4FC4-4468-AED7-46880BDF2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087327"/>
        <c:axId val="999140015"/>
      </c:lineChart>
      <c:catAx>
        <c:axId val="85208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Cardinality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140015"/>
        <c:crosses val="autoZero"/>
        <c:auto val="1"/>
        <c:lblAlgn val="ctr"/>
        <c:lblOffset val="100"/>
        <c:noMultiLvlLbl val="0"/>
      </c:catAx>
      <c:valAx>
        <c:axId val="99914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8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2.1 and 2.2; 95/4/1 vs. 60/30/10 bid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[2]Blad1!$M$11</c:f>
              <c:strCache>
                <c:ptCount val="1"/>
                <c:pt idx="0">
                  <c:v>2.1 95/4/1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strRef>
              <c:f>[2]Blad1!$N$10:$P$10</c:f>
              <c:strCache>
                <c:ptCount val="3"/>
                <c:pt idx="0">
                  <c:v>yes</c:v>
                </c:pt>
                <c:pt idx="1">
                  <c:v>maybe</c:v>
                </c:pt>
                <c:pt idx="2">
                  <c:v>no</c:v>
                </c:pt>
              </c:strCache>
            </c:strRef>
          </c:cat>
          <c:val>
            <c:numRef>
              <c:f>[2]Blad1!$N$11:$P$11</c:f>
              <c:numCache>
                <c:formatCode>General</c:formatCode>
                <c:ptCount val="3"/>
                <c:pt idx="0">
                  <c:v>86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4-4337-9187-0F4761494E41}"/>
            </c:ext>
          </c:extLst>
        </c:ser>
        <c:ser>
          <c:idx val="1"/>
          <c:order val="1"/>
          <c:tx>
            <c:strRef>
              <c:f>[2]Blad1!$M$12</c:f>
              <c:strCache>
                <c:ptCount val="1"/>
                <c:pt idx="0">
                  <c:v>2.1 60/30/10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[2]Blad1!$N$10:$P$10</c:f>
              <c:strCache>
                <c:ptCount val="3"/>
                <c:pt idx="0">
                  <c:v>yes</c:v>
                </c:pt>
                <c:pt idx="1">
                  <c:v>maybe</c:v>
                </c:pt>
                <c:pt idx="2">
                  <c:v>no</c:v>
                </c:pt>
              </c:strCache>
            </c:strRef>
          </c:cat>
          <c:val>
            <c:numRef>
              <c:f>[2]Blad1!$N$12:$P$12</c:f>
              <c:numCache>
                <c:formatCode>General</c:formatCode>
                <c:ptCount val="3"/>
                <c:pt idx="0">
                  <c:v>86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64-4337-9187-0F4761494E41}"/>
            </c:ext>
          </c:extLst>
        </c:ser>
        <c:ser>
          <c:idx val="2"/>
          <c:order val="2"/>
          <c:tx>
            <c:strRef>
              <c:f>[2]Blad1!$M$13</c:f>
              <c:strCache>
                <c:ptCount val="1"/>
                <c:pt idx="0">
                  <c:v>2.2 95/4/1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[2]Blad1!$N$10:$P$10</c:f>
              <c:strCache>
                <c:ptCount val="3"/>
                <c:pt idx="0">
                  <c:v>yes</c:v>
                </c:pt>
                <c:pt idx="1">
                  <c:v>maybe</c:v>
                </c:pt>
                <c:pt idx="2">
                  <c:v>no</c:v>
                </c:pt>
              </c:strCache>
            </c:strRef>
          </c:cat>
          <c:val>
            <c:numRef>
              <c:f>[2]Blad1!$N$13:$P$13</c:f>
              <c:numCache>
                <c:formatCode>General</c:formatCode>
                <c:ptCount val="3"/>
                <c:pt idx="0">
                  <c:v>66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64-4337-9187-0F4761494E41}"/>
            </c:ext>
          </c:extLst>
        </c:ser>
        <c:ser>
          <c:idx val="3"/>
          <c:order val="3"/>
          <c:tx>
            <c:strRef>
              <c:f>[2]Blad1!$M$14</c:f>
              <c:strCache>
                <c:ptCount val="1"/>
                <c:pt idx="0">
                  <c:v>2.2 60/30/10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[2]Blad1!$N$10:$P$10</c:f>
              <c:strCache>
                <c:ptCount val="3"/>
                <c:pt idx="0">
                  <c:v>yes</c:v>
                </c:pt>
                <c:pt idx="1">
                  <c:v>maybe</c:v>
                </c:pt>
                <c:pt idx="2">
                  <c:v>no</c:v>
                </c:pt>
              </c:strCache>
            </c:strRef>
          </c:cat>
          <c:val>
            <c:numRef>
              <c:f>[2]Blad1!$N$14:$P$14</c:f>
              <c:numCache>
                <c:formatCode>General</c:formatCode>
                <c:ptCount val="3"/>
                <c:pt idx="0">
                  <c:v>66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64-4337-9187-0F4761494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8109232"/>
        <c:axId val="1697981952"/>
      </c:barChart>
      <c:catAx>
        <c:axId val="170810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981952"/>
        <c:crosses val="autoZero"/>
        <c:auto val="1"/>
        <c:lblAlgn val="ctr"/>
        <c:lblOffset val="100"/>
        <c:noMultiLvlLbl val="0"/>
      </c:catAx>
      <c:valAx>
        <c:axId val="16979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matches with bid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10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Rev/Sub ratio and</a:t>
            </a:r>
            <a:r>
              <a:rPr lang="en-GB" baseline="0"/>
              <a:t> matches/sub ratio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[2]Blad1!$J$87:$J$91</c:f>
              <c:numCache>
                <c:formatCode>General</c:formatCode>
                <c:ptCount val="5"/>
                <c:pt idx="0">
                  <c:v>0.57407407407407407</c:v>
                </c:pt>
                <c:pt idx="1">
                  <c:v>0.46153846153846156</c:v>
                </c:pt>
                <c:pt idx="2">
                  <c:v>0.82954545454545459</c:v>
                </c:pt>
                <c:pt idx="3">
                  <c:v>0.32789559543230018</c:v>
                </c:pt>
                <c:pt idx="4">
                  <c:v>0.36425339366515835</c:v>
                </c:pt>
              </c:numCache>
            </c:numRef>
          </c:xVal>
          <c:yVal>
            <c:numRef>
              <c:f>[2]Blad1!$K$87:$K$91</c:f>
              <c:numCache>
                <c:formatCode>0.00</c:formatCode>
                <c:ptCount val="5"/>
                <c:pt idx="0">
                  <c:v>1.7222222222222223</c:v>
                </c:pt>
                <c:pt idx="1">
                  <c:v>1.2884615384615385</c:v>
                </c:pt>
                <c:pt idx="2">
                  <c:v>2.4318181818181817</c:v>
                </c:pt>
                <c:pt idx="3">
                  <c:v>0.97716150081566067</c:v>
                </c:pt>
                <c:pt idx="4">
                  <c:v>1.092760180995475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D-41FF-8603-55641F575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692032"/>
        <c:axId val="2104357840"/>
      </c:scatterChart>
      <c:valAx>
        <c:axId val="210769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matches/sub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57840"/>
        <c:crosses val="autoZero"/>
        <c:crossBetween val="midCat"/>
      </c:valAx>
      <c:valAx>
        <c:axId val="21043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Rev/Sub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69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rows and</a:t>
            </a:r>
            <a:r>
              <a:rPr lang="en-GB" baseline="0"/>
              <a:t> running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[2]Blad1!$J$94:$J$98</c:f>
              <c:numCache>
                <c:formatCode>General</c:formatCode>
                <c:ptCount val="5"/>
                <c:pt idx="0">
                  <c:v>1674</c:v>
                </c:pt>
                <c:pt idx="1">
                  <c:v>1248</c:v>
                </c:pt>
                <c:pt idx="2">
                  <c:v>25696</c:v>
                </c:pt>
                <c:pt idx="3">
                  <c:v>123213</c:v>
                </c:pt>
                <c:pt idx="4">
                  <c:v>71162</c:v>
                </c:pt>
              </c:numCache>
            </c:numRef>
          </c:xVal>
          <c:yVal>
            <c:numRef>
              <c:f>[2]Blad1!$K$94:$K$98</c:f>
              <c:numCache>
                <c:formatCode>General</c:formatCode>
                <c:ptCount val="5"/>
                <c:pt idx="0">
                  <c:v>1.5</c:v>
                </c:pt>
                <c:pt idx="1">
                  <c:v>2.6</c:v>
                </c:pt>
                <c:pt idx="2">
                  <c:v>157.6</c:v>
                </c:pt>
                <c:pt idx="3">
                  <c:v>88148.1</c:v>
                </c:pt>
                <c:pt idx="4">
                  <c:v>2880.3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0-4D7D-93B2-3246EE9DA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151904"/>
        <c:axId val="2104375312"/>
      </c:scatterChart>
      <c:valAx>
        <c:axId val="203315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rows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75312"/>
        <c:crosses val="autoZero"/>
        <c:crossBetween val="midCat"/>
      </c:valAx>
      <c:valAx>
        <c:axId val="21043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running time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[2]Blad1!$K$93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[2]Blad1!$J$94:$J$98</c:f>
              <c:numCache>
                <c:formatCode>General</c:formatCode>
                <c:ptCount val="5"/>
                <c:pt idx="0">
                  <c:v>1674</c:v>
                </c:pt>
                <c:pt idx="1">
                  <c:v>1248</c:v>
                </c:pt>
                <c:pt idx="2">
                  <c:v>25696</c:v>
                </c:pt>
                <c:pt idx="3">
                  <c:v>123213</c:v>
                </c:pt>
                <c:pt idx="4">
                  <c:v>71162</c:v>
                </c:pt>
              </c:numCache>
            </c:numRef>
          </c:xVal>
          <c:yVal>
            <c:numRef>
              <c:f>[2]Blad1!$K$94:$K$98</c:f>
              <c:numCache>
                <c:formatCode>General</c:formatCode>
                <c:ptCount val="5"/>
                <c:pt idx="0">
                  <c:v>1.5</c:v>
                </c:pt>
                <c:pt idx="1">
                  <c:v>2.6</c:v>
                </c:pt>
                <c:pt idx="2">
                  <c:v>157.6</c:v>
                </c:pt>
                <c:pt idx="3">
                  <c:v>88148.1</c:v>
                </c:pt>
                <c:pt idx="4">
                  <c:v>2880.3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66-43A9-B472-E11ED0EBC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164096"/>
        <c:axId val="1926101696"/>
      </c:scatterChart>
      <c:valAx>
        <c:axId val="17681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01696"/>
        <c:crosses val="autoZero"/>
        <c:crossBetween val="midCat"/>
      </c:valAx>
      <c:valAx>
        <c:axId val="19261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6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Rev/sub</a:t>
            </a:r>
            <a:r>
              <a:rPr lang="en-US" baseline="0"/>
              <a:t> ratio and average social welfare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[2]Blad1!$K$123</c:f>
              <c:strCache>
                <c:ptCount val="1"/>
                <c:pt idx="0">
                  <c:v>avg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[2]Blad1!$J$124:$J$128</c:f>
              <c:numCache>
                <c:formatCode>0.00</c:formatCode>
                <c:ptCount val="5"/>
                <c:pt idx="0">
                  <c:v>0.57407407407407407</c:v>
                </c:pt>
                <c:pt idx="1">
                  <c:v>0.46153846153846156</c:v>
                </c:pt>
                <c:pt idx="2">
                  <c:v>0.82954545454545459</c:v>
                </c:pt>
                <c:pt idx="3">
                  <c:v>0.32789559543230018</c:v>
                </c:pt>
                <c:pt idx="4">
                  <c:v>0.36425339366515835</c:v>
                </c:pt>
              </c:numCache>
            </c:numRef>
          </c:xVal>
          <c:yVal>
            <c:numRef>
              <c:f>[2]Blad1!$K$124:$K$128</c:f>
              <c:numCache>
                <c:formatCode>General</c:formatCode>
                <c:ptCount val="5"/>
                <c:pt idx="0">
                  <c:v>2603.3333333333335</c:v>
                </c:pt>
                <c:pt idx="1">
                  <c:v>1983.3333333333333</c:v>
                </c:pt>
                <c:pt idx="2">
                  <c:v>11800</c:v>
                </c:pt>
                <c:pt idx="3">
                  <c:v>12816.666666666666</c:v>
                </c:pt>
                <c:pt idx="4">
                  <c:v>10083.333333333334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EF-46C4-9647-45A86959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990880"/>
        <c:axId val="1496285536"/>
      </c:scatterChart>
      <c:valAx>
        <c:axId val="149899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Rev/sub</a:t>
                </a:r>
                <a:r>
                  <a:rPr lang="en-GB" baseline="0"/>
                  <a:t> ratio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285536"/>
        <c:crosses val="autoZero"/>
        <c:crossBetween val="midCat"/>
      </c:valAx>
      <c:valAx>
        <c:axId val="14962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</a:t>
                </a:r>
                <a:r>
                  <a:rPr lang="en-GB" baseline="0"/>
                  <a:t> social welfare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99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Rev/sub ratio and average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[2]Blad1!$K$130</c:f>
              <c:strCache>
                <c:ptCount val="1"/>
                <c:pt idx="0">
                  <c:v>avg equity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[2]Blad1!$J$131:$J$135</c:f>
              <c:numCache>
                <c:formatCode>0.00</c:formatCode>
                <c:ptCount val="5"/>
                <c:pt idx="0">
                  <c:v>0.57407407407407407</c:v>
                </c:pt>
                <c:pt idx="1">
                  <c:v>0.46153846153846156</c:v>
                </c:pt>
                <c:pt idx="2">
                  <c:v>0.82954545454545459</c:v>
                </c:pt>
                <c:pt idx="3">
                  <c:v>0.32789559543230018</c:v>
                </c:pt>
                <c:pt idx="4">
                  <c:v>0.36425339366515835</c:v>
                </c:pt>
              </c:numCache>
            </c:numRef>
          </c:xVal>
          <c:yVal>
            <c:numRef>
              <c:f>[2]Blad1!$K$131:$K$135</c:f>
              <c:numCache>
                <c:formatCode>General</c:formatCode>
                <c:ptCount val="5"/>
                <c:pt idx="0">
                  <c:v>186.66666666666666</c:v>
                </c:pt>
                <c:pt idx="1">
                  <c:v>26.666666666666668</c:v>
                </c:pt>
                <c:pt idx="2">
                  <c:v>1040</c:v>
                </c:pt>
                <c:pt idx="3">
                  <c:v>1160</c:v>
                </c:pt>
                <c:pt idx="4">
                  <c:v>1186.6666666666667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B-4802-9EB8-2C5FDDB12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443312"/>
        <c:axId val="2103294128"/>
      </c:scatterChart>
      <c:valAx>
        <c:axId val="17704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Rev/sub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94128"/>
        <c:crosses val="autoZero"/>
        <c:crossBetween val="midCat"/>
      </c:valAx>
      <c:valAx>
        <c:axId val="210329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equity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44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matches made and 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[2]Blad1!$V$82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[2]Blad1!$U$83:$U$87</c:f>
              <c:numCache>
                <c:formatCode>General</c:formatCode>
                <c:ptCount val="5"/>
                <c:pt idx="0">
                  <c:v>93</c:v>
                </c:pt>
                <c:pt idx="1">
                  <c:v>67</c:v>
                </c:pt>
                <c:pt idx="2">
                  <c:v>428</c:v>
                </c:pt>
                <c:pt idx="3">
                  <c:v>599</c:v>
                </c:pt>
                <c:pt idx="4">
                  <c:v>483</c:v>
                </c:pt>
              </c:numCache>
            </c:numRef>
          </c:xVal>
          <c:yVal>
            <c:numRef>
              <c:f>[2]Blad1!$V$83:$V$87</c:f>
              <c:numCache>
                <c:formatCode>General</c:formatCode>
                <c:ptCount val="5"/>
                <c:pt idx="0">
                  <c:v>1.5</c:v>
                </c:pt>
                <c:pt idx="1">
                  <c:v>2.6</c:v>
                </c:pt>
                <c:pt idx="2">
                  <c:v>157.6</c:v>
                </c:pt>
                <c:pt idx="3">
                  <c:v>88148.1</c:v>
                </c:pt>
                <c:pt idx="4">
                  <c:v>2880.3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A-4121-BFE1-903A4F670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161104"/>
        <c:axId val="2104357008"/>
      </c:scatterChart>
      <c:valAx>
        <c:axId val="203316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matches</a:t>
                </a:r>
                <a:r>
                  <a:rPr lang="en-GB" baseline="0"/>
                  <a:t> made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57008"/>
        <c:crosses val="autoZero"/>
        <c:crossBetween val="midCat"/>
      </c:valAx>
      <c:valAx>
        <c:axId val="21043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Running time (sec.)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6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[2]Blad1!$X$121:$X$125</c:f>
              <c:numCache>
                <c:formatCode>0.00</c:formatCode>
                <c:ptCount val="5"/>
                <c:pt idx="0">
                  <c:v>1.7222222222222223</c:v>
                </c:pt>
                <c:pt idx="1">
                  <c:v>1.2884615384615385</c:v>
                </c:pt>
                <c:pt idx="2">
                  <c:v>2.4318181818181817</c:v>
                </c:pt>
                <c:pt idx="3">
                  <c:v>0.97716150081566067</c:v>
                </c:pt>
                <c:pt idx="4">
                  <c:v>1.092760180995475</c:v>
                </c:pt>
              </c:numCache>
            </c:numRef>
          </c:xVal>
          <c:yVal>
            <c:numRef>
              <c:f>[2]Blad1!$Y$121:$Y$125</c:f>
              <c:numCache>
                <c:formatCode>General</c:formatCode>
                <c:ptCount val="5"/>
                <c:pt idx="0">
                  <c:v>0.92473117999999999</c:v>
                </c:pt>
                <c:pt idx="1">
                  <c:v>0.91666667000000002</c:v>
                </c:pt>
                <c:pt idx="2">
                  <c:v>0.88812785000000005</c:v>
                </c:pt>
                <c:pt idx="3">
                  <c:v>0.84908788999999996</c:v>
                </c:pt>
                <c:pt idx="4">
                  <c:v>0.81573499000000005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2-4396-9AAB-203A61411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358464"/>
        <c:axId val="1499102736"/>
      </c:scatterChart>
      <c:valAx>
        <c:axId val="192935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102736"/>
        <c:crosses val="autoZero"/>
        <c:crossBetween val="midCat"/>
      </c:valAx>
      <c:valAx>
        <c:axId val="14991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5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% of bids</a:t>
            </a:r>
            <a:r>
              <a:rPr lang="en-GB" baseline="0"/>
              <a:t> with yes in matches and in data set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[2]Blad1!$X$129:$X$133</c:f>
              <c:numCache>
                <c:formatCode>General</c:formatCode>
                <c:ptCount val="5"/>
                <c:pt idx="0">
                  <c:v>92.473117999999999</c:v>
                </c:pt>
                <c:pt idx="1">
                  <c:v>91.666667000000004</c:v>
                </c:pt>
                <c:pt idx="2">
                  <c:v>88.812785000000005</c:v>
                </c:pt>
                <c:pt idx="3">
                  <c:v>84.908788999999999</c:v>
                </c:pt>
                <c:pt idx="4">
                  <c:v>81.573498999999998</c:v>
                </c:pt>
              </c:numCache>
            </c:numRef>
          </c:xVal>
          <c:yVal>
            <c:numRef>
              <c:f>[2]Blad1!$Y$129:$Y$133</c:f>
              <c:numCache>
                <c:formatCode>General</c:formatCode>
                <c:ptCount val="5"/>
                <c:pt idx="0">
                  <c:v>10.006138735420503</c:v>
                </c:pt>
                <c:pt idx="1">
                  <c:v>17.826086956521738</c:v>
                </c:pt>
                <c:pt idx="2">
                  <c:v>3.2234088330790596</c:v>
                </c:pt>
                <c:pt idx="3">
                  <c:v>1.0255364281634984</c:v>
                </c:pt>
                <c:pt idx="4">
                  <c:v>1.1264115344541128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8-4E2E-8D7E-CC511EB28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974368"/>
        <c:axId val="2026368960"/>
      </c:scatterChart>
      <c:valAx>
        <c:axId val="46497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yes bids in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368960"/>
        <c:crosses val="autoZero"/>
        <c:crossBetween val="midCat"/>
      </c:valAx>
      <c:valAx>
        <c:axId val="20263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of yes bids in 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97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[1]Blad1!$J$41</c:f>
              <c:numCache>
                <c:formatCode>General</c:formatCode>
                <c:ptCount val="1"/>
                <c:pt idx="0">
                  <c:v>14.4</c:v>
                </c:pt>
              </c:numCache>
            </c:numRef>
          </c:xVal>
          <c:yVal>
            <c:numRef>
              <c:f>[1]Blad1!$I$41</c:f>
              <c:numCache>
                <c:formatCode>General</c:formatCode>
                <c:ptCount val="1"/>
                <c:pt idx="0">
                  <c:v>2709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C-4554-BEAF-709C06F85CA7}"/>
            </c:ext>
          </c:extLst>
        </c:ser>
        <c:ser>
          <c:idx val="1"/>
          <c:order val="1"/>
          <c:tx>
            <c:v>n=3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[1]Blad1!$J$42</c:f>
              <c:numCache>
                <c:formatCode>General</c:formatCode>
                <c:ptCount val="1"/>
                <c:pt idx="0">
                  <c:v>12.166666666666666</c:v>
                </c:pt>
              </c:numCache>
            </c:numRef>
          </c:xVal>
          <c:yVal>
            <c:numRef>
              <c:f>[1]Blad1!$I$42</c:f>
              <c:numCache>
                <c:formatCode>General</c:formatCode>
                <c:ptCount val="1"/>
                <c:pt idx="0">
                  <c:v>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8C-4554-BEAF-709C06F85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631312"/>
        <c:axId val="1626681824"/>
      </c:scatterChart>
      <c:valAx>
        <c:axId val="170363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681824"/>
        <c:crosses val="autoZero"/>
        <c:crossBetween val="midCat"/>
      </c:valAx>
      <c:valAx>
        <c:axId val="16266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3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90/9/1, score/n with m=10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2.1, n=2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[1]Blad1!$H$41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[1]Blad1!$I$41</c:f>
              <c:numCache>
                <c:formatCode>General</c:formatCode>
                <c:ptCount val="1"/>
                <c:pt idx="0">
                  <c:v>2709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A-4987-B8F3-326837C8F7F8}"/>
            </c:ext>
          </c:extLst>
        </c:ser>
        <c:ser>
          <c:idx val="1"/>
          <c:order val="1"/>
          <c:tx>
            <c:v>2.1, n=3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[1]Blad1!$H$42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[1]Blad1!$I$42</c:f>
              <c:numCache>
                <c:formatCode>General</c:formatCode>
                <c:ptCount val="1"/>
                <c:pt idx="0">
                  <c:v>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AA-4987-B8F3-326837C8F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113360"/>
        <c:axId val="1625053904"/>
      </c:scatterChart>
      <c:valAx>
        <c:axId val="1709113360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053904"/>
        <c:crosses val="autoZero"/>
        <c:crossBetween val="midCat"/>
        <c:majorUnit val="1"/>
      </c:valAx>
      <c:valAx>
        <c:axId val="16250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1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[1]Blad1!$J$41</c:f>
              <c:numCache>
                <c:formatCode>General</c:formatCode>
                <c:ptCount val="1"/>
                <c:pt idx="0">
                  <c:v>14.4</c:v>
                </c:pt>
              </c:numCache>
            </c:numRef>
          </c:xVal>
          <c:yVal>
            <c:numRef>
              <c:f>[1]Blad1!$I$41</c:f>
              <c:numCache>
                <c:formatCode>General</c:formatCode>
                <c:ptCount val="1"/>
                <c:pt idx="0">
                  <c:v>2709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F-4129-9F12-0CC79589094F}"/>
            </c:ext>
          </c:extLst>
        </c:ser>
        <c:ser>
          <c:idx val="1"/>
          <c:order val="1"/>
          <c:tx>
            <c:v>n=3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[1]Blad1!$J$42</c:f>
              <c:numCache>
                <c:formatCode>General</c:formatCode>
                <c:ptCount val="1"/>
                <c:pt idx="0">
                  <c:v>12.166666666666666</c:v>
                </c:pt>
              </c:numCache>
            </c:numRef>
          </c:xVal>
          <c:yVal>
            <c:numRef>
              <c:f>[1]Blad1!$I$42</c:f>
              <c:numCache>
                <c:formatCode>General</c:formatCode>
                <c:ptCount val="1"/>
                <c:pt idx="0">
                  <c:v>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FF-4129-9F12-0CC79589094F}"/>
            </c:ext>
          </c:extLst>
        </c:ser>
        <c:ser>
          <c:idx val="2"/>
          <c:order val="2"/>
          <c:tx>
            <c:v>n=4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[1]Blad1!$J$43</c:f>
              <c:numCache>
                <c:formatCode>General</c:formatCode>
                <c:ptCount val="1"/>
                <c:pt idx="0">
                  <c:v>13.775</c:v>
                </c:pt>
              </c:numCache>
            </c:numRef>
          </c:xVal>
          <c:yVal>
            <c:numRef>
              <c:f>[1]Blad1!$I$43</c:f>
              <c:numCache>
                <c:formatCode>General</c:formatCode>
                <c:ptCount val="1"/>
                <c:pt idx="0">
                  <c:v>2484.25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FF-4129-9F12-0CC79589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631312"/>
        <c:axId val="1626681824"/>
      </c:scatterChart>
      <c:valAx>
        <c:axId val="170363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681824"/>
        <c:crosses val="autoZero"/>
        <c:crossBetween val="midCat"/>
      </c:valAx>
      <c:valAx>
        <c:axId val="16266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3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90/9/1, time/n with m=10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2.1, n=2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6">
                    <a:shade val="45000"/>
                  </a:schemeClr>
                </a:solidFill>
              </a:ln>
              <a:effectLst/>
            </c:spPr>
          </c:marker>
          <c:xVal>
            <c:numRef>
              <c:f>[1]Blad1!$H$41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[1]Blad1!$J$41</c:f>
              <c:numCache>
                <c:formatCode>General</c:formatCode>
                <c:ptCount val="1"/>
                <c:pt idx="0">
                  <c:v>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3-4836-9580-3FFEDF097763}"/>
            </c:ext>
          </c:extLst>
        </c:ser>
        <c:ser>
          <c:idx val="1"/>
          <c:order val="1"/>
          <c:tx>
            <c:v>2.1, n=3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6">
                    <a:shade val="61000"/>
                  </a:schemeClr>
                </a:solidFill>
              </a:ln>
              <a:effectLst/>
            </c:spPr>
          </c:marker>
          <c:xVal>
            <c:numRef>
              <c:f>[1]Blad1!$H$42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[1]Blad1!$J$42</c:f>
              <c:numCache>
                <c:formatCode>General</c:formatCode>
                <c:ptCount val="1"/>
                <c:pt idx="0">
                  <c:v>12.166666666666666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33-4836-9580-3FFEDF097763}"/>
            </c:ext>
          </c:extLst>
        </c:ser>
        <c:ser>
          <c:idx val="2"/>
          <c:order val="2"/>
          <c:tx>
            <c:v>2.1, n=4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xVal>
            <c:numRef>
              <c:f>[1]Blad1!$H$43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[1]Blad1!$J$43</c:f>
              <c:numCache>
                <c:formatCode>General</c:formatCode>
                <c:ptCount val="1"/>
                <c:pt idx="0">
                  <c:v>13.775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33-4836-9580-3FFEDF097763}"/>
            </c:ext>
          </c:extLst>
        </c:ser>
        <c:ser>
          <c:idx val="3"/>
          <c:order val="3"/>
          <c:tx>
            <c:v>2.2, n=2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shade val="92000"/>
                  </a:schemeClr>
                </a:solidFill>
              </a:ln>
              <a:effectLst/>
            </c:spPr>
          </c:marker>
          <c:xVal>
            <c:numRef>
              <c:f>[1]Blad1!$L$41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[1]Blad1!$N$41</c:f>
              <c:numCache>
                <c:formatCode>General</c:formatCode>
                <c:ptCount val="1"/>
                <c:pt idx="0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3-4836-9580-3FFEDF097763}"/>
            </c:ext>
          </c:extLst>
        </c:ser>
        <c:ser>
          <c:idx val="4"/>
          <c:order val="4"/>
          <c:tx>
            <c:v>2.2, n=3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tint val="93000"/>
                  </a:schemeClr>
                </a:solidFill>
              </a:ln>
              <a:effectLst/>
            </c:spPr>
          </c:marker>
          <c:xVal>
            <c:numRef>
              <c:f>[1]Blad1!$L$42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[1]Blad1!$N$42</c:f>
              <c:numCache>
                <c:formatCode>General</c:formatCode>
                <c:ptCount val="1"/>
                <c:pt idx="0">
                  <c:v>16.333333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33-4836-9580-3FFEDF097763}"/>
            </c:ext>
          </c:extLst>
        </c:ser>
        <c:ser>
          <c:idx val="5"/>
          <c:order val="5"/>
          <c:tx>
            <c:v>2.2, n=4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xVal>
            <c:numRef>
              <c:f>[1]Blad1!$L$43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[1]Blad1!$N$43</c:f>
              <c:numCache>
                <c:formatCode>General</c:formatCode>
                <c:ptCount val="1"/>
                <c:pt idx="0">
                  <c:v>33.325000000000003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33-4836-9580-3FFEDF097763}"/>
            </c:ext>
          </c:extLst>
        </c:ser>
        <c:ser>
          <c:idx val="6"/>
          <c:order val="6"/>
          <c:tx>
            <c:v>2.1 n=5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6">
                    <a:tint val="62000"/>
                  </a:schemeClr>
                </a:solidFill>
              </a:ln>
              <a:effectLst/>
            </c:spPr>
          </c:marker>
          <c:xVal>
            <c:numRef>
              <c:f>[1]Blad1!$H$44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[1]Blad1!$J$44</c:f>
              <c:numCache>
                <c:formatCode>General</c:formatCode>
                <c:ptCount val="1"/>
                <c:pt idx="0">
                  <c:v>7.6400000000000006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33-4836-9580-3FFEDF097763}"/>
            </c:ext>
          </c:extLst>
        </c:ser>
        <c:ser>
          <c:idx val="7"/>
          <c:order val="7"/>
          <c:tx>
            <c:v>2.2, n=5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tint val="46000"/>
                  </a:schemeClr>
                </a:solidFill>
              </a:ln>
              <a:effectLst/>
            </c:spPr>
          </c:marker>
          <c:xVal>
            <c:numRef>
              <c:f>[1]Blad1!$L$44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[1]Blad1!$N$44</c:f>
              <c:numCache>
                <c:formatCode>General</c:formatCode>
                <c:ptCount val="1"/>
                <c:pt idx="0">
                  <c:v>20.64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33-4836-9580-3FFEDF09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113360"/>
        <c:axId val="1625053904"/>
      </c:scatterChart>
      <c:valAx>
        <c:axId val="1709113360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053904"/>
        <c:crosses val="autoZero"/>
        <c:crossBetween val="midCat"/>
        <c:majorUnit val="1"/>
      </c:valAx>
      <c:valAx>
        <c:axId val="16250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13360"/>
        <c:crosses val="autoZero"/>
        <c:crossBetween val="midCat"/>
      </c:valAx>
      <c:spPr>
        <a:noFill/>
        <a:ln>
          <a:gradFill>
            <a:gsLst>
              <a:gs pos="500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[1]Blad1!$A$22</c:f>
              <c:strCache>
                <c:ptCount val="1"/>
                <c:pt idx="0">
                  <c:v>90/10</c:v>
                </c:pt>
              </c:strCache>
            </c:strRef>
          </c:tx>
          <c:spPr>
            <a:ln w="19050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[1]Blad1!$B$22:$B$25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[1]Blad1!$D$22:$D$25</c:f>
              <c:numCache>
                <c:formatCode>General</c:formatCode>
                <c:ptCount val="4"/>
                <c:pt idx="0">
                  <c:v>5420</c:v>
                </c:pt>
                <c:pt idx="1">
                  <c:v>7810</c:v>
                </c:pt>
                <c:pt idx="2">
                  <c:v>9950</c:v>
                </c:pt>
                <c:pt idx="3">
                  <c:v>11770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5-4A0A-9070-CEFF96619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279248"/>
        <c:axId val="1929874368"/>
      </c:scatterChart>
      <c:valAx>
        <c:axId val="1933279248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74368"/>
        <c:crosses val="autoZero"/>
        <c:crossBetween val="midCat"/>
        <c:majorUnit val="1"/>
      </c:valAx>
      <c:valAx>
        <c:axId val="19298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27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[1]Blad1!$A$22</c:f>
              <c:strCache>
                <c:ptCount val="1"/>
                <c:pt idx="0">
                  <c:v>90/10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[1]Blad1!$L$22:$L$25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[1]Blad1!$N$22:$N$25</c:f>
              <c:numCache>
                <c:formatCode>General</c:formatCode>
                <c:ptCount val="4"/>
                <c:pt idx="0">
                  <c:v>3970</c:v>
                </c:pt>
                <c:pt idx="1">
                  <c:v>5950</c:v>
                </c:pt>
                <c:pt idx="2">
                  <c:v>7930</c:v>
                </c:pt>
                <c:pt idx="3">
                  <c:v>9910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D-424D-9FF7-BC82E7B61728}"/>
            </c:ext>
          </c:extLst>
        </c:ser>
        <c:ser>
          <c:idx val="1"/>
          <c:order val="1"/>
          <c:tx>
            <c:strRef>
              <c:f>[1]Blad1!$A$26</c:f>
              <c:strCache>
                <c:ptCount val="1"/>
                <c:pt idx="0">
                  <c:v>90/9/1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[1]Blad1!$L$22:$L$25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[1]Blad1!$N$26:$N$29</c:f>
              <c:numCache>
                <c:formatCode>General</c:formatCode>
                <c:ptCount val="4"/>
                <c:pt idx="0">
                  <c:v>3970</c:v>
                </c:pt>
                <c:pt idx="1">
                  <c:v>5951</c:v>
                </c:pt>
                <c:pt idx="2">
                  <c:v>7932</c:v>
                </c:pt>
                <c:pt idx="3">
                  <c:v>9913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BD-424D-9FF7-BC82E7B61728}"/>
            </c:ext>
          </c:extLst>
        </c:ser>
        <c:ser>
          <c:idx val="2"/>
          <c:order val="2"/>
          <c:tx>
            <c:strRef>
              <c:f>[1]Blad1!$A$30</c:f>
              <c:strCache>
                <c:ptCount val="1"/>
                <c:pt idx="0">
                  <c:v>95/4/1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[1]Blad1!$L$22:$L$25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[1]Blad1!$N$30:$N$33</c:f>
              <c:numCache>
                <c:formatCode>General</c:formatCode>
                <c:ptCount val="4"/>
                <c:pt idx="0">
                  <c:v>4185</c:v>
                </c:pt>
                <c:pt idx="1">
                  <c:v>6276</c:v>
                </c:pt>
                <c:pt idx="2">
                  <c:v>8367</c:v>
                </c:pt>
                <c:pt idx="3">
                  <c:v>10458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BD-424D-9FF7-BC82E7B61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279248"/>
        <c:axId val="1929874368"/>
      </c:scatterChart>
      <c:valAx>
        <c:axId val="1933279248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874368"/>
        <c:crosses val="autoZero"/>
        <c:crossBetween val="midCat"/>
        <c:majorUnit val="1"/>
      </c:valAx>
      <c:valAx>
        <c:axId val="192987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27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90/9/1, score/n with m=10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2.1, n=2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[1]Blad1!$H$41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[1]Blad1!$I$41</c:f>
              <c:numCache>
                <c:formatCode>General</c:formatCode>
                <c:ptCount val="1"/>
                <c:pt idx="0">
                  <c:v>2709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D-4F56-A040-44C5149AB645}"/>
            </c:ext>
          </c:extLst>
        </c:ser>
        <c:ser>
          <c:idx val="1"/>
          <c:order val="1"/>
          <c:tx>
            <c:v>2.1, n=3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[1]Blad1!$H$42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[1]Blad1!$I$42</c:f>
              <c:numCache>
                <c:formatCode>General</c:formatCode>
                <c:ptCount val="1"/>
                <c:pt idx="0">
                  <c:v>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1D-4F56-A040-44C5149AB645}"/>
            </c:ext>
          </c:extLst>
        </c:ser>
        <c:ser>
          <c:idx val="2"/>
          <c:order val="2"/>
          <c:tx>
            <c:v>2.1, n=4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[1]Blad1!$H$43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[1]Blad1!$I$43</c:f>
              <c:numCache>
                <c:formatCode>General</c:formatCode>
                <c:ptCount val="1"/>
                <c:pt idx="0">
                  <c:v>2484.25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1D-4F56-A040-44C5149AB645}"/>
            </c:ext>
          </c:extLst>
        </c:ser>
        <c:ser>
          <c:idx val="6"/>
          <c:order val="3"/>
          <c:tx>
            <c:v>2.1, n=5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[1]Blad1!$H$44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[1]Blad1!$I$44</c:f>
              <c:numCache>
                <c:formatCode>General</c:formatCode>
                <c:ptCount val="1"/>
                <c:pt idx="0">
                  <c:v>2349.4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1D-4F56-A040-44C5149AB645}"/>
            </c:ext>
          </c:extLst>
        </c:ser>
        <c:ser>
          <c:idx val="3"/>
          <c:order val="4"/>
          <c:tx>
            <c:v>2.2, n=2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[1]Blad1!$L$41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[1]Blad1!$M$41</c:f>
              <c:numCache>
                <c:formatCode>General</c:formatCode>
                <c:ptCount val="1"/>
                <c:pt idx="0">
                  <c:v>1985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1D-4F56-A040-44C5149AB645}"/>
            </c:ext>
          </c:extLst>
        </c:ser>
        <c:ser>
          <c:idx val="4"/>
          <c:order val="5"/>
          <c:tx>
            <c:v>2.2, n=3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[1]Blad1!$L$42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[1]Blad1!$M$42</c:f>
              <c:numCache>
                <c:formatCode>General</c:formatCode>
                <c:ptCount val="1"/>
                <c:pt idx="0">
                  <c:v>1983.6669999999999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1D-4F56-A040-44C5149AB645}"/>
            </c:ext>
          </c:extLst>
        </c:ser>
        <c:ser>
          <c:idx val="5"/>
          <c:order val="6"/>
          <c:tx>
            <c:v>2.2, n=4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[1]Blad1!$L$43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[1]Blad1!$M$43</c:f>
              <c:numCache>
                <c:formatCode>General</c:formatCode>
                <c:ptCount val="1"/>
                <c:pt idx="0">
                  <c:v>1983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1D-4F56-A040-44C5149AB645}"/>
            </c:ext>
          </c:extLst>
        </c:ser>
        <c:ser>
          <c:idx val="7"/>
          <c:order val="7"/>
          <c:tx>
            <c:v>2.2, n=5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[1]Blad1!$L$44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[1]Blad1!$M$44</c:f>
              <c:numCache>
                <c:formatCode>General</c:formatCode>
                <c:ptCount val="1"/>
                <c:pt idx="0">
                  <c:v>1982.6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1D-4F56-A040-44C5149AB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113360"/>
        <c:axId val="1625053904"/>
      </c:scatterChart>
      <c:valAx>
        <c:axId val="1709113360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053904"/>
        <c:crosses val="autoZero"/>
        <c:crossBetween val="midCat"/>
        <c:majorUnit val="1"/>
      </c:valAx>
      <c:valAx>
        <c:axId val="16250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Score/n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1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/>
              <a:t>File 2.1 (n,m = 2,10) social</a:t>
            </a:r>
            <a:r>
              <a:rPr lang="en-GB" sz="1100" baseline="0"/>
              <a:t> welfare with different bid ratio's</a:t>
            </a:r>
            <a:endParaRPr lang="en-GB" sz="1100"/>
          </a:p>
        </c:rich>
      </c:tx>
      <c:layout>
        <c:manualLayout>
          <c:xMode val="edge"/>
          <c:yMode val="edge"/>
          <c:x val="0.17366659911318208"/>
          <c:y val="4.11562475650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[1]Blad1!$I$94:$I$104</c:f>
              <c:numCache>
                <c:formatCode>General</c:formatCode>
                <c:ptCount val="11"/>
                <c:pt idx="0">
                  <c:v>97</c:v>
                </c:pt>
                <c:pt idx="1">
                  <c:v>96</c:v>
                </c:pt>
                <c:pt idx="2">
                  <c:v>95</c:v>
                </c:pt>
                <c:pt idx="3">
                  <c:v>94</c:v>
                </c:pt>
                <c:pt idx="4">
                  <c:v>93</c:v>
                </c:pt>
                <c:pt idx="5">
                  <c:v>92</c:v>
                </c:pt>
                <c:pt idx="6">
                  <c:v>91</c:v>
                </c:pt>
                <c:pt idx="7">
                  <c:v>90</c:v>
                </c:pt>
                <c:pt idx="8">
                  <c:v>89</c:v>
                </c:pt>
                <c:pt idx="9">
                  <c:v>88</c:v>
                </c:pt>
                <c:pt idx="10">
                  <c:v>87</c:v>
                </c:pt>
              </c:numCache>
            </c:numRef>
          </c:xVal>
          <c:yVal>
            <c:numRef>
              <c:f>[1]Blad1!$J$94:$J$104</c:f>
              <c:numCache>
                <c:formatCode>General</c:formatCode>
                <c:ptCount val="11"/>
                <c:pt idx="0">
                  <c:v>5824</c:v>
                </c:pt>
                <c:pt idx="1">
                  <c:v>5766</c:v>
                </c:pt>
                <c:pt idx="2">
                  <c:v>5708</c:v>
                </c:pt>
                <c:pt idx="3">
                  <c:v>5650</c:v>
                </c:pt>
                <c:pt idx="4">
                  <c:v>5592</c:v>
                </c:pt>
                <c:pt idx="5">
                  <c:v>5534</c:v>
                </c:pt>
                <c:pt idx="6">
                  <c:v>5476</c:v>
                </c:pt>
                <c:pt idx="7">
                  <c:v>5418</c:v>
                </c:pt>
                <c:pt idx="8">
                  <c:v>5360</c:v>
                </c:pt>
                <c:pt idx="9">
                  <c:v>5302</c:v>
                </c:pt>
                <c:pt idx="10">
                  <c:v>5244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8-4F86-9ADC-DD2217AF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133152"/>
        <c:axId val="2032799488"/>
      </c:scatterChart>
      <c:valAx>
        <c:axId val="171313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Yes-bid</a:t>
                </a:r>
                <a:r>
                  <a:rPr lang="en-GB" baseline="0"/>
                  <a:t> </a:t>
                </a: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799488"/>
        <c:crosses val="autoZero"/>
        <c:crossBetween val="midCat"/>
      </c:valAx>
      <c:valAx>
        <c:axId val="20327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Social 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13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502609</xdr:colOff>
      <xdr:row>231</xdr:row>
      <xdr:rowOff>48547</xdr:rowOff>
    </xdr:from>
    <xdr:to>
      <xdr:col>14</xdr:col>
      <xdr:colOff>533400</xdr:colOff>
      <xdr:row>262</xdr:row>
      <xdr:rowOff>76200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86BDE90-B1F2-4517-8F98-4FE8D85D4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257287</xdr:colOff>
      <xdr:row>230</xdr:row>
      <xdr:rowOff>0</xdr:rowOff>
    </xdr:from>
    <xdr:to>
      <xdr:col>23</xdr:col>
      <xdr:colOff>266451</xdr:colOff>
      <xdr:row>246</xdr:row>
      <xdr:rowOff>66483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252ACD3-0868-42F8-84CB-44449E51C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270</xdr:row>
      <xdr:rowOff>8964</xdr:rowOff>
    </xdr:from>
    <xdr:to>
      <xdr:col>11</xdr:col>
      <xdr:colOff>140385</xdr:colOff>
      <xdr:row>292</xdr:row>
      <xdr:rowOff>43865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7F8D3826-4BE5-43CC-930E-E9B2AAA35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133061</xdr:colOff>
      <xdr:row>295</xdr:row>
      <xdr:rowOff>13704</xdr:rowOff>
    </xdr:from>
    <xdr:to>
      <xdr:col>7</xdr:col>
      <xdr:colOff>398893</xdr:colOff>
      <xdr:row>311</xdr:row>
      <xdr:rowOff>73758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7FDA11BD-9A87-4993-9977-47B553F58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203884</xdr:colOff>
      <xdr:row>252</xdr:row>
      <xdr:rowOff>255</xdr:rowOff>
    </xdr:from>
    <xdr:to>
      <xdr:col>26</xdr:col>
      <xdr:colOff>52686</xdr:colOff>
      <xdr:row>273</xdr:row>
      <xdr:rowOff>55776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AE095E61-B205-4981-A314-C42B25DB0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202755</xdr:colOff>
      <xdr:row>303</xdr:row>
      <xdr:rowOff>21529</xdr:rowOff>
    </xdr:from>
    <xdr:to>
      <xdr:col>14</xdr:col>
      <xdr:colOff>393073</xdr:colOff>
      <xdr:row>317</xdr:row>
      <xdr:rowOff>32829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DE0D4B1B-972B-41A1-BDA5-1BC62C03A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458097</xdr:colOff>
      <xdr:row>306</xdr:row>
      <xdr:rowOff>68259</xdr:rowOff>
    </xdr:from>
    <xdr:to>
      <xdr:col>22</xdr:col>
      <xdr:colOff>11869</xdr:colOff>
      <xdr:row>320</xdr:row>
      <xdr:rowOff>84825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F91B0AA7-AD25-454C-8008-F697CA442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104032</xdr:colOff>
      <xdr:row>279</xdr:row>
      <xdr:rowOff>137591</xdr:rowOff>
    </xdr:from>
    <xdr:to>
      <xdr:col>22</xdr:col>
      <xdr:colOff>587280</xdr:colOff>
      <xdr:row>302</xdr:row>
      <xdr:rowOff>81371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C18E3E03-A140-45A2-91D0-6EC5AA2AD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463929</xdr:colOff>
      <xdr:row>95</xdr:row>
      <xdr:rowOff>0</xdr:rowOff>
    </xdr:from>
    <xdr:to>
      <xdr:col>23</xdr:col>
      <xdr:colOff>180146</xdr:colOff>
      <xdr:row>113</xdr:row>
      <xdr:rowOff>93113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559749E5-0B69-4AC7-9B06-006D5F6D7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76200</xdr:colOff>
      <xdr:row>97</xdr:row>
      <xdr:rowOff>0</xdr:rowOff>
    </xdr:from>
    <xdr:to>
      <xdr:col>11</xdr:col>
      <xdr:colOff>418004</xdr:colOff>
      <xdr:row>114</xdr:row>
      <xdr:rowOff>43611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DED2413C-A109-4D99-ACD2-2B8A6BD45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162056</xdr:colOff>
      <xdr:row>118</xdr:row>
      <xdr:rowOff>105952</xdr:rowOff>
    </xdr:from>
    <xdr:to>
      <xdr:col>8</xdr:col>
      <xdr:colOff>470538</xdr:colOff>
      <xdr:row>136</xdr:row>
      <xdr:rowOff>90186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38A1F489-BDA1-4B06-BA47-3E38DE97B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603844</xdr:colOff>
      <xdr:row>55</xdr:row>
      <xdr:rowOff>119417</xdr:rowOff>
    </xdr:from>
    <xdr:to>
      <xdr:col>29</xdr:col>
      <xdr:colOff>290623</xdr:colOff>
      <xdr:row>73</xdr:row>
      <xdr:rowOff>116561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D65635D4-E9CE-44AF-A071-E35BB85BE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533400</xdr:colOff>
      <xdr:row>118</xdr:row>
      <xdr:rowOff>65908</xdr:rowOff>
    </xdr:from>
    <xdr:to>
      <xdr:col>18</xdr:col>
      <xdr:colOff>182880</xdr:colOff>
      <xdr:row>136</xdr:row>
      <xdr:rowOff>35428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407EBFC5-3506-4679-A994-6D4FE1FAD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187960</xdr:colOff>
      <xdr:row>75</xdr:row>
      <xdr:rowOff>79697</xdr:rowOff>
    </xdr:from>
    <xdr:to>
      <xdr:col>28</xdr:col>
      <xdr:colOff>492760</xdr:colOff>
      <xdr:row>93</xdr:row>
      <xdr:rowOff>79697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1B93F1FD-BD04-46C9-B13D-20C73F66E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198120</xdr:colOff>
      <xdr:row>118</xdr:row>
      <xdr:rowOff>89857</xdr:rowOff>
    </xdr:from>
    <xdr:to>
      <xdr:col>26</xdr:col>
      <xdr:colOff>502920</xdr:colOff>
      <xdr:row>136</xdr:row>
      <xdr:rowOff>89857</xdr:rowOff>
    </xdr:to>
    <xdr:graphicFrame macro="">
      <xdr:nvGraphicFramePr>
        <xdr:cNvPr id="16" name="Grafiek 15">
          <a:extLst>
            <a:ext uri="{FF2B5EF4-FFF2-40B4-BE49-F238E27FC236}">
              <a16:creationId xmlns:a16="http://schemas.microsoft.com/office/drawing/2014/main" id="{BA9DD065-7F03-4668-96FF-E34C37058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152813</xdr:colOff>
      <xdr:row>142</xdr:row>
      <xdr:rowOff>109628</xdr:rowOff>
    </xdr:from>
    <xdr:to>
      <xdr:col>27</xdr:col>
      <xdr:colOff>479855</xdr:colOff>
      <xdr:row>160</xdr:row>
      <xdr:rowOff>34457</xdr:rowOff>
    </xdr:to>
    <xdr:graphicFrame macro="">
      <xdr:nvGraphicFramePr>
        <xdr:cNvPr id="17" name="Grafiek 16">
          <a:extLst>
            <a:ext uri="{FF2B5EF4-FFF2-40B4-BE49-F238E27FC236}">
              <a16:creationId xmlns:a16="http://schemas.microsoft.com/office/drawing/2014/main" id="{4193CF35-20CE-42FD-A683-6C5282B81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78377</xdr:colOff>
      <xdr:row>139</xdr:row>
      <xdr:rowOff>102920</xdr:rowOff>
    </xdr:from>
    <xdr:to>
      <xdr:col>10</xdr:col>
      <xdr:colOff>-1</xdr:colOff>
      <xdr:row>162</xdr:row>
      <xdr:rowOff>50668</xdr:rowOff>
    </xdr:to>
    <xdr:graphicFrame macro="">
      <xdr:nvGraphicFramePr>
        <xdr:cNvPr id="18" name="Grafiek 17">
          <a:extLst>
            <a:ext uri="{FF2B5EF4-FFF2-40B4-BE49-F238E27FC236}">
              <a16:creationId xmlns:a16="http://schemas.microsoft.com/office/drawing/2014/main" id="{FA84FB8A-6FB2-482E-BA8D-B7C8F4751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165463</xdr:colOff>
      <xdr:row>141</xdr:row>
      <xdr:rowOff>111628</xdr:rowOff>
    </xdr:from>
    <xdr:to>
      <xdr:col>18</xdr:col>
      <xdr:colOff>478971</xdr:colOff>
      <xdr:row>159</xdr:row>
      <xdr:rowOff>81148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BEC7EA76-17C4-4CEC-AE69-53DD406A2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jvon\Downloads\Resultaten%20scripti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%20cl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4">
          <cell r="F4">
            <v>1360</v>
          </cell>
          <cell r="K4">
            <v>1570</v>
          </cell>
          <cell r="P4">
            <v>0</v>
          </cell>
          <cell r="U4">
            <v>0</v>
          </cell>
        </row>
        <row r="5">
          <cell r="F5">
            <v>0</v>
          </cell>
          <cell r="K5">
            <v>0</v>
          </cell>
          <cell r="P5">
            <v>0</v>
          </cell>
          <cell r="U5">
            <v>0</v>
          </cell>
        </row>
        <row r="6">
          <cell r="F6">
            <v>0</v>
          </cell>
          <cell r="K6">
            <v>0</v>
          </cell>
          <cell r="P6">
            <v>1766.6666666666667</v>
          </cell>
          <cell r="U6">
            <v>0</v>
          </cell>
        </row>
        <row r="7">
          <cell r="F7">
            <v>0</v>
          </cell>
          <cell r="K7">
            <v>0</v>
          </cell>
          <cell r="P7">
            <v>0</v>
          </cell>
          <cell r="U7">
            <v>0</v>
          </cell>
        </row>
        <row r="8">
          <cell r="F8">
            <v>1328</v>
          </cell>
          <cell r="K8">
            <v>1546</v>
          </cell>
          <cell r="P8">
            <v>0</v>
          </cell>
          <cell r="U8">
            <v>0</v>
          </cell>
        </row>
        <row r="9">
          <cell r="F9">
            <v>1313.3333333333333</v>
          </cell>
          <cell r="K9">
            <v>1518.3333333333333</v>
          </cell>
          <cell r="P9">
            <v>0</v>
          </cell>
          <cell r="U9">
            <v>0</v>
          </cell>
        </row>
        <row r="10">
          <cell r="F10">
            <v>1300</v>
          </cell>
          <cell r="K10">
            <v>1492.8571428571429</v>
          </cell>
          <cell r="P10">
            <v>1685.7142857142858</v>
          </cell>
          <cell r="U10">
            <v>1878.5714285714287</v>
          </cell>
        </row>
        <row r="11">
          <cell r="F11">
            <v>1285</v>
          </cell>
          <cell r="K11">
            <v>1463.75</v>
          </cell>
          <cell r="P11">
            <v>1642.5</v>
          </cell>
          <cell r="U11">
            <v>1821.25</v>
          </cell>
        </row>
        <row r="12">
          <cell r="F12">
            <v>1266.6666666666667</v>
          </cell>
          <cell r="K12">
            <v>1427.7777777777778</v>
          </cell>
          <cell r="P12">
            <v>1588.8888888888889</v>
          </cell>
          <cell r="U12">
            <v>1750</v>
          </cell>
        </row>
        <row r="13">
          <cell r="F13">
            <v>1244</v>
          </cell>
          <cell r="K13">
            <v>1388</v>
          </cell>
          <cell r="P13">
            <v>1532</v>
          </cell>
          <cell r="U13">
            <v>1676</v>
          </cell>
        </row>
        <row r="22">
          <cell r="A22" t="str">
            <v>90/10</v>
          </cell>
          <cell r="B22">
            <v>2</v>
          </cell>
          <cell r="D22">
            <v>5420</v>
          </cell>
          <cell r="L22">
            <v>2</v>
          </cell>
          <cell r="N22">
            <v>3970</v>
          </cell>
        </row>
        <row r="23">
          <cell r="B23">
            <v>3</v>
          </cell>
          <cell r="D23">
            <v>7810</v>
          </cell>
          <cell r="L23">
            <v>3</v>
          </cell>
          <cell r="N23">
            <v>5950</v>
          </cell>
        </row>
        <row r="24">
          <cell r="B24">
            <v>4</v>
          </cell>
          <cell r="D24">
            <v>9950</v>
          </cell>
          <cell r="L24">
            <v>4</v>
          </cell>
          <cell r="N24">
            <v>7930</v>
          </cell>
        </row>
        <row r="25">
          <cell r="B25">
            <v>5</v>
          </cell>
          <cell r="D25">
            <v>11770</v>
          </cell>
          <cell r="L25">
            <v>5</v>
          </cell>
          <cell r="N25">
            <v>9910</v>
          </cell>
        </row>
        <row r="26">
          <cell r="A26" t="str">
            <v>90/9/1</v>
          </cell>
          <cell r="N26">
            <v>3970</v>
          </cell>
        </row>
        <row r="27">
          <cell r="N27">
            <v>5951</v>
          </cell>
        </row>
        <row r="28">
          <cell r="N28">
            <v>7932</v>
          </cell>
        </row>
        <row r="29">
          <cell r="N29">
            <v>9913</v>
          </cell>
        </row>
        <row r="30">
          <cell r="A30" t="str">
            <v>95/4/1</v>
          </cell>
          <cell r="N30">
            <v>4185</v>
          </cell>
        </row>
        <row r="31">
          <cell r="N31">
            <v>6276</v>
          </cell>
        </row>
        <row r="32">
          <cell r="N32">
            <v>8367</v>
          </cell>
        </row>
        <row r="33">
          <cell r="N33">
            <v>10458</v>
          </cell>
        </row>
        <row r="41">
          <cell r="H41">
            <v>2</v>
          </cell>
          <cell r="I41">
            <v>2709</v>
          </cell>
          <cell r="J41">
            <v>14.4</v>
          </cell>
          <cell r="L41">
            <v>2</v>
          </cell>
          <cell r="M41">
            <v>1985</v>
          </cell>
          <cell r="N41">
            <v>6.9</v>
          </cell>
        </row>
        <row r="42">
          <cell r="H42">
            <v>3</v>
          </cell>
          <cell r="I42">
            <v>2601</v>
          </cell>
          <cell r="J42">
            <v>12.166666666666666</v>
          </cell>
          <cell r="L42">
            <v>3</v>
          </cell>
          <cell r="M42">
            <v>1983.6669999999999</v>
          </cell>
          <cell r="N42">
            <v>16.333333</v>
          </cell>
        </row>
        <row r="43">
          <cell r="H43">
            <v>4</v>
          </cell>
          <cell r="I43">
            <v>2484.25</v>
          </cell>
          <cell r="J43">
            <v>13.775</v>
          </cell>
          <cell r="L43">
            <v>4</v>
          </cell>
          <cell r="M43">
            <v>1983</v>
          </cell>
          <cell r="N43">
            <v>33.325000000000003</v>
          </cell>
        </row>
        <row r="44">
          <cell r="H44">
            <v>5</v>
          </cell>
          <cell r="I44">
            <v>2349.4</v>
          </cell>
          <cell r="J44">
            <v>7.6400000000000006</v>
          </cell>
          <cell r="L44">
            <v>5</v>
          </cell>
          <cell r="M44">
            <v>1982.6</v>
          </cell>
          <cell r="N44">
            <v>20.64</v>
          </cell>
        </row>
        <row r="94">
          <cell r="I94">
            <v>97</v>
          </cell>
          <cell r="J94">
            <v>5824</v>
          </cell>
        </row>
        <row r="95">
          <cell r="I95">
            <v>96</v>
          </cell>
          <cell r="J95">
            <v>5766</v>
          </cell>
        </row>
        <row r="96">
          <cell r="I96">
            <v>95</v>
          </cell>
          <cell r="J96">
            <v>5708</v>
          </cell>
        </row>
        <row r="97">
          <cell r="I97">
            <v>94</v>
          </cell>
          <cell r="J97">
            <v>5650</v>
          </cell>
        </row>
        <row r="98">
          <cell r="I98">
            <v>93</v>
          </cell>
          <cell r="J98">
            <v>5592</v>
          </cell>
        </row>
        <row r="99">
          <cell r="I99">
            <v>92</v>
          </cell>
          <cell r="J99">
            <v>5534</v>
          </cell>
        </row>
        <row r="100">
          <cell r="I100">
            <v>91</v>
          </cell>
          <cell r="J100">
            <v>5476</v>
          </cell>
        </row>
        <row r="101">
          <cell r="I101">
            <v>90</v>
          </cell>
          <cell r="J101">
            <v>5418</v>
          </cell>
        </row>
        <row r="102">
          <cell r="I102">
            <v>89</v>
          </cell>
          <cell r="J102">
            <v>5360</v>
          </cell>
        </row>
        <row r="103">
          <cell r="I103">
            <v>88</v>
          </cell>
          <cell r="J103">
            <v>5302</v>
          </cell>
        </row>
        <row r="104">
          <cell r="I104">
            <v>87</v>
          </cell>
          <cell r="J104">
            <v>5244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10">
          <cell r="N10" t="str">
            <v>yes</v>
          </cell>
          <cell r="O10" t="str">
            <v>maybe</v>
          </cell>
          <cell r="P10" t="str">
            <v>no</v>
          </cell>
        </row>
        <row r="11">
          <cell r="M11" t="str">
            <v>2.1 95/4/1</v>
          </cell>
          <cell r="N11">
            <v>86</v>
          </cell>
          <cell r="O11">
            <v>7</v>
          </cell>
          <cell r="P11">
            <v>0</v>
          </cell>
        </row>
        <row r="12">
          <cell r="M12" t="str">
            <v>2.1 60/30/10</v>
          </cell>
          <cell r="N12">
            <v>86</v>
          </cell>
          <cell r="O12">
            <v>7</v>
          </cell>
          <cell r="P12">
            <v>0</v>
          </cell>
        </row>
        <row r="13">
          <cell r="M13" t="str">
            <v>2.2 95/4/1</v>
          </cell>
          <cell r="N13">
            <v>66</v>
          </cell>
          <cell r="O13">
            <v>2</v>
          </cell>
          <cell r="P13">
            <v>1</v>
          </cell>
        </row>
        <row r="14">
          <cell r="M14" t="str">
            <v>2.2 60/30/10</v>
          </cell>
          <cell r="N14">
            <v>66</v>
          </cell>
          <cell r="O14">
            <v>2</v>
          </cell>
          <cell r="P14">
            <v>1</v>
          </cell>
        </row>
        <row r="82">
          <cell r="V82" t="str">
            <v>time</v>
          </cell>
        </row>
        <row r="83">
          <cell r="U83">
            <v>93</v>
          </cell>
          <cell r="V83">
            <v>1.5</v>
          </cell>
        </row>
        <row r="84">
          <cell r="U84">
            <v>67</v>
          </cell>
          <cell r="V84">
            <v>2.6</v>
          </cell>
        </row>
        <row r="85">
          <cell r="U85">
            <v>428</v>
          </cell>
          <cell r="V85">
            <v>157.6</v>
          </cell>
        </row>
        <row r="86">
          <cell r="U86">
            <v>599</v>
          </cell>
          <cell r="V86">
            <v>88148.1</v>
          </cell>
        </row>
        <row r="87">
          <cell r="J87">
            <v>0.57407407407407407</v>
          </cell>
          <cell r="K87">
            <v>1.7222222222222223</v>
          </cell>
          <cell r="U87">
            <v>483</v>
          </cell>
          <cell r="V87">
            <v>2880.3</v>
          </cell>
        </row>
        <row r="88">
          <cell r="J88">
            <v>0.46153846153846156</v>
          </cell>
          <cell r="K88">
            <v>1.2884615384615385</v>
          </cell>
        </row>
        <row r="89">
          <cell r="J89">
            <v>0.82954545454545459</v>
          </cell>
          <cell r="K89">
            <v>2.4318181818181817</v>
          </cell>
        </row>
        <row r="90">
          <cell r="J90">
            <v>0.32789559543230018</v>
          </cell>
          <cell r="K90">
            <v>0.97716150081566067</v>
          </cell>
        </row>
        <row r="91">
          <cell r="J91">
            <v>0.36425339366515835</v>
          </cell>
          <cell r="K91">
            <v>1.092760180995475</v>
          </cell>
        </row>
        <row r="93">
          <cell r="K93" t="str">
            <v>b</v>
          </cell>
        </row>
        <row r="94">
          <cell r="J94">
            <v>1674</v>
          </cell>
          <cell r="K94">
            <v>1.5</v>
          </cell>
        </row>
        <row r="95">
          <cell r="J95">
            <v>1248</v>
          </cell>
          <cell r="K95">
            <v>2.6</v>
          </cell>
        </row>
        <row r="96">
          <cell r="J96">
            <v>25696</v>
          </cell>
          <cell r="K96">
            <v>157.6</v>
          </cell>
        </row>
        <row r="97">
          <cell r="J97">
            <v>123213</v>
          </cell>
          <cell r="K97">
            <v>88148.1</v>
          </cell>
        </row>
        <row r="98">
          <cell r="J98">
            <v>71162</v>
          </cell>
          <cell r="K98">
            <v>2880.3</v>
          </cell>
        </row>
        <row r="121">
          <cell r="X121">
            <v>1.7222222222222223</v>
          </cell>
          <cell r="Y121">
            <v>0.92473117999999999</v>
          </cell>
        </row>
        <row r="122">
          <cell r="X122">
            <v>1.2884615384615385</v>
          </cell>
          <cell r="Y122">
            <v>0.91666667000000002</v>
          </cell>
        </row>
        <row r="123">
          <cell r="K123" t="str">
            <v>avg score</v>
          </cell>
          <cell r="X123">
            <v>2.4318181818181817</v>
          </cell>
          <cell r="Y123">
            <v>0.88812785000000005</v>
          </cell>
        </row>
        <row r="124">
          <cell r="J124">
            <v>0.57407407407407407</v>
          </cell>
          <cell r="K124">
            <v>2603.3333333333335</v>
          </cell>
          <cell r="X124">
            <v>0.97716150081566067</v>
          </cell>
          <cell r="Y124">
            <v>0.84908788999999996</v>
          </cell>
        </row>
        <row r="125">
          <cell r="J125">
            <v>0.46153846153846156</v>
          </cell>
          <cell r="K125">
            <v>1983.3333333333333</v>
          </cell>
          <cell r="X125">
            <v>1.092760180995475</v>
          </cell>
          <cell r="Y125">
            <v>0.81573499000000005</v>
          </cell>
        </row>
        <row r="126">
          <cell r="J126">
            <v>0.82954545454545459</v>
          </cell>
          <cell r="K126">
            <v>11800</v>
          </cell>
        </row>
        <row r="127">
          <cell r="J127">
            <v>0.32789559543230018</v>
          </cell>
          <cell r="K127">
            <v>12816.666666666666</v>
          </cell>
        </row>
        <row r="128">
          <cell r="J128">
            <v>0.36425339366515835</v>
          </cell>
          <cell r="K128">
            <v>10083.333333333334</v>
          </cell>
        </row>
        <row r="129">
          <cell r="X129">
            <v>92.473117999999999</v>
          </cell>
          <cell r="Y129">
            <v>10.006138735420503</v>
          </cell>
        </row>
        <row r="130">
          <cell r="K130" t="str">
            <v>avg equity</v>
          </cell>
          <cell r="X130">
            <v>91.666667000000004</v>
          </cell>
          <cell r="Y130">
            <v>17.826086956521738</v>
          </cell>
        </row>
        <row r="131">
          <cell r="J131">
            <v>0.57407407407407407</v>
          </cell>
          <cell r="K131">
            <v>186.66666666666666</v>
          </cell>
          <cell r="X131">
            <v>88.812785000000005</v>
          </cell>
          <cell r="Y131">
            <v>3.2234088330790596</v>
          </cell>
        </row>
        <row r="132">
          <cell r="J132">
            <v>0.46153846153846156</v>
          </cell>
          <cell r="K132">
            <v>26.666666666666668</v>
          </cell>
          <cell r="X132">
            <v>84.908788999999999</v>
          </cell>
          <cell r="Y132">
            <v>1.0255364281634984</v>
          </cell>
        </row>
        <row r="133">
          <cell r="J133">
            <v>0.82954545454545459</v>
          </cell>
          <cell r="K133">
            <v>1040</v>
          </cell>
          <cell r="X133">
            <v>81.573498999999998</v>
          </cell>
          <cell r="Y133">
            <v>1.1264115344541128</v>
          </cell>
        </row>
        <row r="134">
          <cell r="J134">
            <v>0.32789559543230018</v>
          </cell>
          <cell r="K134">
            <v>1160</v>
          </cell>
        </row>
        <row r="135">
          <cell r="J135">
            <v>0.36425339366515835</v>
          </cell>
          <cell r="K135">
            <v>1186.6666666666667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6FA826-EFB9-44CB-BB8E-D533CC2EC157}" name="Tabel4" displayName="Tabel4" ref="P213:U216" totalsRowShown="0">
  <autoFilter ref="P213:U216" xr:uid="{3D8FB08C-ECC1-4290-AEFC-1C6407FF4ED6}"/>
  <tableColumns count="6">
    <tableColumn id="1" xr3:uid="{1B21FC09-0CCB-41E6-A36B-3A14B640E759}" name="90/10/0 3,8"/>
    <tableColumn id="2" xr3:uid="{3CF68A6A-23E4-4E5D-A004-5CB79F518A55}" name="Time (sec.)"/>
    <tableColumn id="3" xr3:uid="{02F5BFBD-F83F-4EB6-A533-E3B518AC2310}" name="Score"/>
    <tableColumn id="4" xr3:uid="{3C6BE0B2-C4F1-4832-94B1-499683BFB3DB}" name="Ratio"/>
    <tableColumn id="5" xr3:uid="{90D34585-A957-43F6-8EE3-4C6498F87FDC}" name="matches"/>
    <tableColumn id="6" xr3:uid="{29D091C9-0E5F-43D4-86E8-AF61DDD39A5C}" name="score per match" dataDxfId="22">
      <calculatedColumnFormula>Tabel4[[#This Row],[Score]]/Tabel4[[#This Row],[matches]]</calculatedColumnFormula>
    </tableColumn>
  </tableColumns>
  <tableStyleInfo name="TableStyleLight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68BE48-51AC-4AF0-AFB5-707B46F5EBBF}" name="Tabel42" displayName="Tabel42" ref="P218:U221" totalsRowShown="0">
  <autoFilter ref="P218:U221" xr:uid="{9A6FB120-3DBF-4E9D-A217-D8593A017A52}"/>
  <tableColumns count="6">
    <tableColumn id="1" xr3:uid="{4727CA64-8B39-45A0-ABEE-AEEBE7A11500}" name="90/10/0 5,8"/>
    <tableColumn id="2" xr3:uid="{38088144-5712-46CA-87AF-44D7CB5A1696}" name="Time (sec.)"/>
    <tableColumn id="3" xr3:uid="{E37E66A4-C086-4BBA-8BAC-DC2FDB42268E}" name="Score"/>
    <tableColumn id="4" xr3:uid="{AFE27507-706B-4C45-A812-4C5BE7199216}" name="Ratio"/>
    <tableColumn id="5" xr3:uid="{A7F9D972-891C-48E1-8EE5-AE17C810B039}" name="Matches"/>
    <tableColumn id="6" xr3:uid="{FBA8E74A-0D3F-49C0-9CD9-91E50E3866EB}" name="Score per match" dataDxfId="21">
      <calculatedColumnFormula>Tabel42[[#This Row],[Score]]/Tabel42[[#This Row],[Matches]]</calculatedColumnFormula>
    </tableColumn>
  </tableColumns>
  <tableStyleInfo name="TableStyleLight9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28E3A52-C8C4-4F3E-9AB9-F42671B03435}" name="Tabel3" displayName="Tabel3" ref="A346:F351" totalsRowShown="0">
  <autoFilter ref="A346:F351" xr:uid="{875CB158-16B4-46DF-BF08-F478162C2E1E}"/>
  <tableColumns count="6">
    <tableColumn id="1" xr3:uid="{94550DB4-24EA-4707-856C-2B4590ACF931}" name="file"/>
    <tableColumn id="2" xr3:uid="{8B5AAEA9-5597-46F5-A35F-EAFDA5615E14}" name="reviewers" dataDxfId="20"/>
    <tableColumn id="3" xr3:uid="{5BA2CB07-43E8-4A28-A944-ABC2043AA3A9}" name="submissions" dataDxfId="19"/>
    <tableColumn id="4" xr3:uid="{E2AAA880-F307-4D6E-AB27-AF299CA0C4EB}" name="ratio" dataDxfId="18">
      <calculatedColumnFormula>B347/C347</calculatedColumnFormula>
    </tableColumn>
    <tableColumn id="5" xr3:uid="{8A4A0214-6BA4-4C88-97C5-3A3CE17E6FC7}" name="r x s" dataDxfId="17">
      <calculatedColumnFormula>Tabel35[[#This Row],[reviewers]]*Tabel35[[#This Row],[submissions]]</calculatedColumnFormula>
    </tableColumn>
    <tableColumn id="6" xr3:uid="{B505FFEB-D1CF-4A3D-BBFF-7B1AC483605D}" name="3,8" dataDxfId="1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0B78BE6-7BC3-4B3C-BE2B-5BFCC58EEC95}" name="Tabel35" displayName="Tabel35" ref="H346:O351" totalsRowShown="0">
  <autoFilter ref="H346:O351" xr:uid="{69302886-D3E7-4D5E-B51A-DF809BAC0309}"/>
  <sortState xmlns:xlrd2="http://schemas.microsoft.com/office/spreadsheetml/2017/richdata2" ref="H347:K351">
    <sortCondition ref="K183:K188"/>
  </sortState>
  <tableColumns count="8">
    <tableColumn id="1" xr3:uid="{3E92B05A-8BA9-422F-97B2-FCF7F248A13D}" name="file"/>
    <tableColumn id="2" xr3:uid="{9198F5C5-2FB6-4B3F-902A-276AD1B64AE9}" name="reviewers" dataDxfId="15"/>
    <tableColumn id="3" xr3:uid="{11FCC83C-0918-4C8E-9347-00D774861713}" name="submissions" dataDxfId="14"/>
    <tableColumn id="4" xr3:uid="{59DAEA20-D602-4E8B-9874-724A2B964799}" name="r / s" dataDxfId="13">
      <calculatedColumnFormula>I347/J347</calculatedColumnFormula>
    </tableColumn>
    <tableColumn id="5" xr3:uid="{32CFF952-8196-4D3E-AA45-595B4E8E32F3}" name="r x s" dataDxfId="12">
      <calculatedColumnFormula>Tabel35[[#This Row],[reviewers]]*Tabel35[[#This Row],[submissions]]</calculatedColumnFormula>
    </tableColumn>
    <tableColumn id="6" xr3:uid="{CBB8F7D9-3F0E-4266-A74D-60B9B5DBB731}" name="score" dataDxfId="11"/>
    <tableColumn id="7" xr3:uid="{1446D9C9-A507-4939-8620-DAB72AB53A09}" name="ratio" dataDxfId="10"/>
    <tableColumn id="8" xr3:uid="{A4DC34F2-275E-44B4-9896-F31B343A054B}" name="time (sec)" dataDxfId="9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8C866CA-8A1D-4624-92D6-D145AEBB1728}" name="Tabel359" displayName="Tabel359" ref="H353:L358" totalsRowShown="0">
  <autoFilter ref="H353:L358" xr:uid="{A259769E-58BA-4716-8DB3-68A3E0D7943C}"/>
  <sortState xmlns:xlrd2="http://schemas.microsoft.com/office/spreadsheetml/2017/richdata2" ref="H354:K358">
    <sortCondition ref="K183:K188"/>
  </sortState>
  <tableColumns count="5">
    <tableColumn id="1" xr3:uid="{C3115346-36D1-4495-8E79-E92A0946C6EA}" name="File"/>
    <tableColumn id="2" xr3:uid="{048C13FD-F554-4DD4-B77A-3C3DCD89F5C7}" name="Reviewers" dataDxfId="8"/>
    <tableColumn id="3" xr3:uid="{40B19442-83F5-483B-9409-C55E9B0F4C7D}" name="Submissions" dataDxfId="7"/>
    <tableColumn id="4" xr3:uid="{4689CBBA-C5A6-4374-AC51-071BA4BC423A}" name="rev/sub" dataDxfId="6">
      <calculatedColumnFormula>I354/J354</calculatedColumnFormula>
    </tableColumn>
    <tableColumn id="5" xr3:uid="{BD57D47D-A9C0-4C91-8933-EFBFE85F01CA}" name="rev*sub" dataDxfId="5">
      <calculatedColumnFormula>Tabel359[[#This Row],[Reviewers]]*Tabel359[[#This Row],[Submissions]]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1CE525F-721B-4565-8282-43A2A8A474E5}" name="Tabel3510" displayName="Tabel3510" ref="A360:F365" totalsRowShown="0">
  <autoFilter ref="A360:F365" xr:uid="{9E8EE4F8-9051-4700-808F-E92F6D45CFD2}"/>
  <tableColumns count="6">
    <tableColumn id="1" xr3:uid="{86821A2B-DB52-48EF-A86F-C8F1BAEB86B3}" name="File bid ratio n,m"/>
    <tableColumn id="4" xr3:uid="{4CB917AF-2F02-4FFE-BB07-807D039251F3}" name="rev/sub" dataDxfId="4"/>
    <tableColumn id="5" xr3:uid="{E7BCDA2A-4648-482E-83D3-601ABB6857C3}" name="rev*sub" dataDxfId="3"/>
    <tableColumn id="6" xr3:uid="{CF9BFA25-D986-431A-A7AA-CD04BCF60FEB}" name="Score" dataDxfId="2"/>
    <tableColumn id="7" xr3:uid="{7848F35B-521E-4882-995F-8304045B7146}" name="Ratio" dataDxfId="1"/>
    <tableColumn id="8" xr3:uid="{E0B9AD97-C4F0-436C-B97C-E6754E618D5D}" name="Time (sec.)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CEE27-A970-4FD0-A1F8-C66003871406}">
  <dimension ref="A1:AE365"/>
  <sheetViews>
    <sheetView tabSelected="1" topLeftCell="A347" zoomScale="55" zoomScaleNormal="55" workbookViewId="0">
      <selection activeCell="I377" sqref="I377"/>
    </sheetView>
  </sheetViews>
  <sheetFormatPr defaultRowHeight="14.4" x14ac:dyDescent="0.3"/>
  <sheetData>
    <row r="1" spans="1:20" x14ac:dyDescent="0.3">
      <c r="A1" s="34" t="s">
        <v>40</v>
      </c>
      <c r="B1" s="34" t="s">
        <v>41</v>
      </c>
      <c r="C1" s="34" t="s">
        <v>42</v>
      </c>
      <c r="D1" s="34" t="s">
        <v>43</v>
      </c>
      <c r="E1" s="34" t="s">
        <v>146</v>
      </c>
      <c r="F1" s="34" t="s">
        <v>147</v>
      </c>
      <c r="H1" s="34"/>
      <c r="I1" s="34"/>
      <c r="J1" s="34"/>
      <c r="K1" s="34"/>
      <c r="L1" s="34"/>
    </row>
    <row r="2" spans="1:20" x14ac:dyDescent="0.3">
      <c r="A2">
        <v>2.1</v>
      </c>
      <c r="B2">
        <v>31</v>
      </c>
      <c r="C2">
        <v>54</v>
      </c>
      <c r="D2" s="13">
        <f>B2/C2</f>
        <v>0.57407407407407407</v>
      </c>
      <c r="E2" s="35" t="s">
        <v>148</v>
      </c>
      <c r="F2">
        <f>B2*C2</f>
        <v>1674</v>
      </c>
      <c r="K2" s="13"/>
      <c r="L2" s="35"/>
    </row>
    <row r="3" spans="1:20" x14ac:dyDescent="0.3">
      <c r="A3">
        <v>2.2000000000000002</v>
      </c>
      <c r="B3">
        <v>24</v>
      </c>
      <c r="C3">
        <v>52</v>
      </c>
      <c r="D3" s="13">
        <f>B3/C3</f>
        <v>0.46153846153846156</v>
      </c>
      <c r="E3" s="35" t="s">
        <v>149</v>
      </c>
      <c r="F3">
        <f>B3*C3</f>
        <v>1248</v>
      </c>
      <c r="K3" s="13"/>
      <c r="L3" s="35"/>
    </row>
    <row r="4" spans="1:20" x14ac:dyDescent="0.3">
      <c r="A4">
        <v>2.2999999999999998</v>
      </c>
      <c r="B4">
        <v>146</v>
      </c>
      <c r="C4">
        <v>176</v>
      </c>
      <c r="D4" s="13">
        <f>B4/C4</f>
        <v>0.82954545454545459</v>
      </c>
      <c r="E4" s="35" t="s">
        <v>150</v>
      </c>
      <c r="F4">
        <f>B4*C4</f>
        <v>25696</v>
      </c>
      <c r="K4" s="13"/>
      <c r="L4" s="35"/>
    </row>
    <row r="5" spans="1:20" x14ac:dyDescent="0.3">
      <c r="A5">
        <v>4.0999999999999996</v>
      </c>
      <c r="B5">
        <v>201</v>
      </c>
      <c r="C5">
        <v>613</v>
      </c>
      <c r="D5" s="13">
        <f>B5/C5</f>
        <v>0.32789559543230018</v>
      </c>
      <c r="E5" s="35" t="s">
        <v>151</v>
      </c>
      <c r="F5">
        <f>B5*C5</f>
        <v>123213</v>
      </c>
      <c r="K5" s="13"/>
      <c r="L5" s="35"/>
    </row>
    <row r="6" spans="1:20" x14ac:dyDescent="0.3">
      <c r="A6">
        <v>4.2</v>
      </c>
      <c r="B6">
        <v>161</v>
      </c>
      <c r="C6">
        <v>442</v>
      </c>
      <c r="D6" s="13">
        <f>B6/C6</f>
        <v>0.36425339366515835</v>
      </c>
      <c r="E6" s="35" t="s">
        <v>152</v>
      </c>
      <c r="F6">
        <f>B6*C6</f>
        <v>71162</v>
      </c>
      <c r="K6" s="13"/>
      <c r="L6" s="35"/>
    </row>
    <row r="7" spans="1:20" x14ac:dyDescent="0.3">
      <c r="H7" s="36"/>
      <c r="L7" s="35"/>
    </row>
    <row r="8" spans="1:20" x14ac:dyDescent="0.3">
      <c r="A8" s="37" t="s">
        <v>44</v>
      </c>
      <c r="B8" s="37" t="s">
        <v>153</v>
      </c>
      <c r="C8" s="37" t="s">
        <v>154</v>
      </c>
      <c r="D8" s="37" t="s">
        <v>155</v>
      </c>
      <c r="E8" s="37" t="s">
        <v>156</v>
      </c>
      <c r="F8" s="37" t="s">
        <v>157</v>
      </c>
      <c r="G8" s="37" t="s">
        <v>116</v>
      </c>
      <c r="H8" s="37" t="s">
        <v>158</v>
      </c>
      <c r="I8" s="37" t="s">
        <v>159</v>
      </c>
      <c r="J8" s="37" t="s">
        <v>160</v>
      </c>
      <c r="K8" s="37" t="s">
        <v>161</v>
      </c>
      <c r="P8" t="s">
        <v>193</v>
      </c>
      <c r="Q8" t="s">
        <v>194</v>
      </c>
      <c r="R8" t="s">
        <v>195</v>
      </c>
    </row>
    <row r="9" spans="1:20" x14ac:dyDescent="0.3">
      <c r="A9" s="37" t="s">
        <v>3</v>
      </c>
      <c r="B9" s="37" t="s">
        <v>162</v>
      </c>
      <c r="C9" s="37" t="s">
        <v>163</v>
      </c>
      <c r="D9" s="37" t="s">
        <v>164</v>
      </c>
      <c r="E9" s="37" t="s">
        <v>165</v>
      </c>
      <c r="F9" s="37" t="s">
        <v>166</v>
      </c>
      <c r="G9" s="37" t="s">
        <v>167</v>
      </c>
      <c r="H9" s="37" t="s">
        <v>168</v>
      </c>
      <c r="I9" s="37" t="s">
        <v>169</v>
      </c>
      <c r="J9" s="37" t="s">
        <v>170</v>
      </c>
      <c r="K9" s="37" t="s">
        <v>171</v>
      </c>
      <c r="O9" t="s">
        <v>196</v>
      </c>
      <c r="P9">
        <v>86</v>
      </c>
      <c r="Q9">
        <v>7</v>
      </c>
      <c r="R9">
        <v>0</v>
      </c>
    </row>
    <row r="10" spans="1:20" x14ac:dyDescent="0.3">
      <c r="A10" s="38" t="s">
        <v>59</v>
      </c>
      <c r="B10" s="38">
        <v>2</v>
      </c>
      <c r="C10" s="39">
        <f>62/54</f>
        <v>1.1481481481481481</v>
      </c>
      <c r="D10" s="38">
        <v>8.1999999999999993</v>
      </c>
      <c r="E10" s="38">
        <v>5708</v>
      </c>
      <c r="F10" s="38">
        <f>2*91</f>
        <v>182</v>
      </c>
      <c r="G10" s="38" t="s">
        <v>172</v>
      </c>
      <c r="H10" s="38">
        <v>62</v>
      </c>
      <c r="I10" s="39">
        <f>D10/B10</f>
        <v>4.0999999999999996</v>
      </c>
      <c r="J10" s="40">
        <f>E10/B10</f>
        <v>2854</v>
      </c>
      <c r="K10" s="40">
        <f>F10/B10</f>
        <v>91</v>
      </c>
      <c r="O10" t="s">
        <v>197</v>
      </c>
      <c r="P10">
        <v>86</v>
      </c>
      <c r="Q10">
        <v>7</v>
      </c>
      <c r="R10">
        <v>0</v>
      </c>
      <c r="T10" t="s">
        <v>198</v>
      </c>
    </row>
    <row r="11" spans="1:20" x14ac:dyDescent="0.3">
      <c r="A11" s="38" t="s">
        <v>59</v>
      </c>
      <c r="B11" s="38">
        <v>3</v>
      </c>
      <c r="C11" s="39">
        <f>(86+7)/54</f>
        <v>1.7222222222222223</v>
      </c>
      <c r="D11" s="38">
        <v>30.8</v>
      </c>
      <c r="E11" s="38">
        <v>8198</v>
      </c>
      <c r="F11" s="38">
        <f>91*7</f>
        <v>637</v>
      </c>
      <c r="G11" s="38" t="s">
        <v>173</v>
      </c>
      <c r="H11" s="38">
        <v>93</v>
      </c>
      <c r="I11" s="39">
        <f>D11/B11</f>
        <v>10.266666666666667</v>
      </c>
      <c r="J11" s="40">
        <f>E11/B11</f>
        <v>2732.6666666666665</v>
      </c>
      <c r="K11" s="40">
        <f>F11/B11</f>
        <v>212.33333333333334</v>
      </c>
      <c r="O11" t="s">
        <v>199</v>
      </c>
      <c r="P11">
        <v>66</v>
      </c>
      <c r="Q11">
        <v>2</v>
      </c>
      <c r="R11">
        <v>1</v>
      </c>
    </row>
    <row r="12" spans="1:20" x14ac:dyDescent="0.3">
      <c r="A12" s="38" t="s">
        <v>59</v>
      </c>
      <c r="B12" s="38">
        <v>4</v>
      </c>
      <c r="C12" s="39">
        <f>123/54</f>
        <v>2.2777777777777777</v>
      </c>
      <c r="D12" s="38">
        <v>57.3</v>
      </c>
      <c r="E12" s="38">
        <v>10412</v>
      </c>
      <c r="F12" s="38">
        <f>14*91</f>
        <v>1274</v>
      </c>
      <c r="G12" s="38" t="s">
        <v>174</v>
      </c>
      <c r="H12" s="38">
        <f>31*4</f>
        <v>124</v>
      </c>
      <c r="I12" s="39">
        <f>D12/B12</f>
        <v>14.324999999999999</v>
      </c>
      <c r="J12" s="40">
        <f>E12/B12</f>
        <v>2603</v>
      </c>
      <c r="K12" s="40">
        <f>F12/B12</f>
        <v>318.5</v>
      </c>
      <c r="O12" t="s">
        <v>200</v>
      </c>
      <c r="P12">
        <v>66</v>
      </c>
      <c r="Q12">
        <v>2</v>
      </c>
      <c r="R12">
        <v>1</v>
      </c>
      <c r="T12" t="s">
        <v>201</v>
      </c>
    </row>
    <row r="13" spans="1:20" x14ac:dyDescent="0.3">
      <c r="A13" s="38" t="s">
        <v>59</v>
      </c>
      <c r="B13" s="38">
        <v>5</v>
      </c>
      <c r="C13" s="39">
        <f>153/54</f>
        <v>2.8333333333333335</v>
      </c>
      <c r="D13" s="38">
        <v>161.30000000000001</v>
      </c>
      <c r="E13" s="38">
        <v>12262</v>
      </c>
      <c r="F13" s="38">
        <f>25*91</f>
        <v>2275</v>
      </c>
      <c r="G13" s="38" t="s">
        <v>175</v>
      </c>
      <c r="H13" s="38">
        <f>31*5</f>
        <v>155</v>
      </c>
      <c r="I13" s="39">
        <f>D13/B13</f>
        <v>32.260000000000005</v>
      </c>
      <c r="J13" s="40">
        <f>E13/B13</f>
        <v>2452.4</v>
      </c>
      <c r="K13" s="40">
        <f>F13/B13</f>
        <v>455</v>
      </c>
    </row>
    <row r="14" spans="1:20" x14ac:dyDescent="0.3">
      <c r="A14" s="41" t="s">
        <v>56</v>
      </c>
      <c r="B14" s="41">
        <v>2</v>
      </c>
      <c r="C14" s="42">
        <f>62/54</f>
        <v>1.1481481481481481</v>
      </c>
      <c r="D14" s="41">
        <v>28.8</v>
      </c>
      <c r="E14" s="41">
        <v>5418</v>
      </c>
      <c r="F14" s="41">
        <v>162</v>
      </c>
      <c r="G14" s="41" t="s">
        <v>172</v>
      </c>
      <c r="H14" s="41">
        <v>62</v>
      </c>
      <c r="I14" s="42">
        <f>D14/B14</f>
        <v>14.4</v>
      </c>
      <c r="J14" s="43">
        <f>E14/B14</f>
        <v>2709</v>
      </c>
      <c r="K14" s="43">
        <f>F14/B14</f>
        <v>81</v>
      </c>
    </row>
    <row r="15" spans="1:20" x14ac:dyDescent="0.3">
      <c r="A15" s="41" t="s">
        <v>56</v>
      </c>
      <c r="B15" s="41">
        <v>3</v>
      </c>
      <c r="C15" s="42">
        <f>(86+7)/54</f>
        <v>1.7222222222222223</v>
      </c>
      <c r="D15" s="41">
        <v>36.5</v>
      </c>
      <c r="E15" s="41">
        <v>7803</v>
      </c>
      <c r="F15" s="41">
        <f>81*7</f>
        <v>567</v>
      </c>
      <c r="G15" s="41" t="s">
        <v>173</v>
      </c>
      <c r="H15" s="41">
        <v>93</v>
      </c>
      <c r="I15" s="42">
        <f>D15/B15</f>
        <v>12.166666666666666</v>
      </c>
      <c r="J15" s="43">
        <f>E15/B15</f>
        <v>2601</v>
      </c>
      <c r="K15" s="43">
        <f>F15/B15</f>
        <v>189</v>
      </c>
    </row>
    <row r="16" spans="1:20" x14ac:dyDescent="0.3">
      <c r="A16" s="41" t="s">
        <v>56</v>
      </c>
      <c r="B16" s="41">
        <v>4</v>
      </c>
      <c r="C16" s="42">
        <f>124/54</f>
        <v>2.2962962962962963</v>
      </c>
      <c r="D16" s="41">
        <v>55.1</v>
      </c>
      <c r="E16" s="41">
        <v>9937</v>
      </c>
      <c r="F16" s="41">
        <f>14*81+89+8</f>
        <v>1231</v>
      </c>
      <c r="G16" s="41" t="s">
        <v>176</v>
      </c>
      <c r="H16" s="41">
        <f>31*4</f>
        <v>124</v>
      </c>
      <c r="I16" s="42">
        <f>D16/B16</f>
        <v>13.775</v>
      </c>
      <c r="J16" s="43">
        <f>E16/B16</f>
        <v>2484.25</v>
      </c>
      <c r="K16" s="43">
        <f>F16/B16</f>
        <v>307.75</v>
      </c>
    </row>
    <row r="17" spans="1:20" x14ac:dyDescent="0.3">
      <c r="A17" s="41" t="s">
        <v>56</v>
      </c>
      <c r="B17" s="41">
        <v>5</v>
      </c>
      <c r="C17" s="42">
        <f>155/54</f>
        <v>2.8703703703703702</v>
      </c>
      <c r="D17" s="41">
        <v>38.200000000000003</v>
      </c>
      <c r="E17" s="41">
        <v>11747</v>
      </c>
      <c r="F17" s="41">
        <f>25*81+2*89+16</f>
        <v>2219</v>
      </c>
      <c r="G17" s="41" t="s">
        <v>177</v>
      </c>
      <c r="H17" s="41">
        <f>31*5</f>
        <v>155</v>
      </c>
      <c r="I17" s="42">
        <f>D17/B17</f>
        <v>7.6400000000000006</v>
      </c>
      <c r="J17" s="43">
        <f>E17/B17</f>
        <v>2349.4</v>
      </c>
      <c r="K17" s="43">
        <f>F17/B17</f>
        <v>443.8</v>
      </c>
    </row>
    <row r="18" spans="1:20" x14ac:dyDescent="0.3">
      <c r="A18" s="44" t="s">
        <v>60</v>
      </c>
      <c r="B18" s="44">
        <v>2</v>
      </c>
      <c r="C18" s="45">
        <f>62/54</f>
        <v>1.1481481481481481</v>
      </c>
      <c r="D18" s="44">
        <v>9.5</v>
      </c>
      <c r="E18" s="44">
        <v>5128</v>
      </c>
      <c r="F18" s="44">
        <f>2*(85-14)</f>
        <v>142</v>
      </c>
      <c r="G18" s="44" t="s">
        <v>172</v>
      </c>
      <c r="H18" s="44">
        <v>62</v>
      </c>
      <c r="I18" s="45">
        <f>D18/B18</f>
        <v>4.75</v>
      </c>
      <c r="J18" s="46">
        <f>E18/B18</f>
        <v>2564</v>
      </c>
      <c r="K18" s="46">
        <f>F18/B18</f>
        <v>71</v>
      </c>
    </row>
    <row r="19" spans="1:20" x14ac:dyDescent="0.3">
      <c r="A19" s="44" t="s">
        <v>60</v>
      </c>
      <c r="B19" s="44">
        <v>3</v>
      </c>
      <c r="C19" s="45">
        <f>93/54</f>
        <v>1.7222222222222223</v>
      </c>
      <c r="D19" s="44">
        <v>15.4</v>
      </c>
      <c r="E19" s="44">
        <v>7408</v>
      </c>
      <c r="F19" s="44">
        <f>7*(85-14)</f>
        <v>497</v>
      </c>
      <c r="G19" s="44" t="s">
        <v>173</v>
      </c>
      <c r="H19" s="44">
        <v>93</v>
      </c>
      <c r="I19" s="45">
        <f>D19/B19</f>
        <v>5.1333333333333337</v>
      </c>
      <c r="J19" s="46">
        <f>E19/B19</f>
        <v>2469.3333333333335</v>
      </c>
      <c r="K19" s="46">
        <f>F19/B19</f>
        <v>165.66666666666666</v>
      </c>
    </row>
    <row r="20" spans="1:20" x14ac:dyDescent="0.3">
      <c r="A20" s="44" t="s">
        <v>60</v>
      </c>
      <c r="B20" s="44">
        <v>4</v>
      </c>
      <c r="C20" s="45">
        <f>124/54</f>
        <v>2.2962962962962963</v>
      </c>
      <c r="D20" s="44">
        <v>22.9</v>
      </c>
      <c r="E20" s="44">
        <v>9462</v>
      </c>
      <c r="F20" s="44">
        <f>14*(85-14)+84+13</f>
        <v>1091</v>
      </c>
      <c r="G20" s="44" t="s">
        <v>176</v>
      </c>
      <c r="H20" s="44">
        <f>31*4</f>
        <v>124</v>
      </c>
      <c r="I20" s="45">
        <f>D20/B20</f>
        <v>5.7249999999999996</v>
      </c>
      <c r="J20" s="46">
        <f>E20/B20</f>
        <v>2365.5</v>
      </c>
      <c r="K20" s="46">
        <f>F20/B20</f>
        <v>272.75</v>
      </c>
    </row>
    <row r="21" spans="1:20" x14ac:dyDescent="0.3">
      <c r="A21" s="44" t="s">
        <v>60</v>
      </c>
      <c r="B21" s="44">
        <v>5</v>
      </c>
      <c r="C21" s="45">
        <f>155/54</f>
        <v>2.8703703703703702</v>
      </c>
      <c r="D21" s="44">
        <v>64.099999999999994</v>
      </c>
      <c r="E21" s="44">
        <v>11232</v>
      </c>
      <c r="F21" s="44">
        <f>25*(85-14)+2*84+26</f>
        <v>1969</v>
      </c>
      <c r="G21" s="44" t="s">
        <v>177</v>
      </c>
      <c r="H21" s="44">
        <f>31*5</f>
        <v>155</v>
      </c>
      <c r="I21" s="45">
        <f>D21/B21</f>
        <v>12.819999999999999</v>
      </c>
      <c r="J21" s="46">
        <f>E21/B21</f>
        <v>2246.4</v>
      </c>
      <c r="K21" s="46">
        <f>F21/B21</f>
        <v>393.8</v>
      </c>
    </row>
    <row r="22" spans="1:20" x14ac:dyDescent="0.3">
      <c r="A22" s="41" t="s">
        <v>178</v>
      </c>
      <c r="B22" s="41">
        <v>2</v>
      </c>
      <c r="C22" s="42">
        <f>62/54</f>
        <v>1.1481481481481481</v>
      </c>
      <c r="D22" s="41">
        <v>2</v>
      </c>
      <c r="E22" s="41">
        <v>5420</v>
      </c>
      <c r="F22" s="41">
        <v>160</v>
      </c>
      <c r="G22" s="41" t="s">
        <v>172</v>
      </c>
      <c r="H22" s="41">
        <v>62</v>
      </c>
      <c r="I22" s="42">
        <f>D22/B22</f>
        <v>1</v>
      </c>
      <c r="J22" s="43">
        <f>E22/B22</f>
        <v>2710</v>
      </c>
      <c r="K22" s="43">
        <f>F22/B22</f>
        <v>80</v>
      </c>
    </row>
    <row r="23" spans="1:20" ht="15" thickBot="1" x14ac:dyDescent="0.35">
      <c r="A23" s="41" t="s">
        <v>178</v>
      </c>
      <c r="B23" s="41">
        <v>3</v>
      </c>
      <c r="C23" s="42">
        <f>(86+7)/54</f>
        <v>1.7222222222222223</v>
      </c>
      <c r="D23" s="41">
        <v>1.5</v>
      </c>
      <c r="E23" s="41">
        <v>7810</v>
      </c>
      <c r="F23" s="41">
        <f>80*7</f>
        <v>560</v>
      </c>
      <c r="G23" s="41" t="s">
        <v>173</v>
      </c>
      <c r="H23" s="41">
        <v>93</v>
      </c>
      <c r="I23" s="42">
        <f>D23/B23</f>
        <v>0.5</v>
      </c>
      <c r="J23" s="43">
        <f>E23/B23</f>
        <v>2603.3333333333335</v>
      </c>
      <c r="K23" s="43">
        <f>F23/B23</f>
        <v>186.66666666666666</v>
      </c>
    </row>
    <row r="24" spans="1:20" ht="29.4" thickBot="1" x14ac:dyDescent="0.35">
      <c r="A24" s="41" t="s">
        <v>178</v>
      </c>
      <c r="B24" s="41">
        <v>4</v>
      </c>
      <c r="C24" s="42">
        <f>123/54</f>
        <v>2.2777777777777777</v>
      </c>
      <c r="D24" s="41">
        <v>1.9</v>
      </c>
      <c r="E24" s="41">
        <v>9950</v>
      </c>
      <c r="F24" s="41">
        <f>80*14</f>
        <v>1120</v>
      </c>
      <c r="G24" s="41" t="s">
        <v>174</v>
      </c>
      <c r="H24" s="41">
        <f>31*4</f>
        <v>124</v>
      </c>
      <c r="I24" s="42">
        <f>D24/B24</f>
        <v>0.47499999999999998</v>
      </c>
      <c r="J24" s="43">
        <f>E24/B24</f>
        <v>2487.5</v>
      </c>
      <c r="K24" s="43">
        <f>F24/B24</f>
        <v>280</v>
      </c>
      <c r="N24" s="2">
        <v>88148.1</v>
      </c>
      <c r="O24" s="2">
        <v>38450</v>
      </c>
      <c r="P24" s="2" t="s">
        <v>121</v>
      </c>
      <c r="Q24" s="2">
        <v>599</v>
      </c>
      <c r="S24">
        <v>201</v>
      </c>
      <c r="T24">
        <v>613</v>
      </c>
    </row>
    <row r="25" spans="1:20" ht="29.4" thickBot="1" x14ac:dyDescent="0.35">
      <c r="A25" s="41" t="s">
        <v>178</v>
      </c>
      <c r="B25" s="41">
        <v>5</v>
      </c>
      <c r="C25" s="42">
        <f>153/54</f>
        <v>2.8333333333333335</v>
      </c>
      <c r="D25" s="41">
        <v>1.8</v>
      </c>
      <c r="E25" s="41">
        <v>11770</v>
      </c>
      <c r="F25" s="41">
        <f>80*25</f>
        <v>2000</v>
      </c>
      <c r="G25" s="41" t="s">
        <v>175</v>
      </c>
      <c r="H25" s="41">
        <f>31*5</f>
        <v>155</v>
      </c>
      <c r="I25" s="42">
        <f>D25/B25</f>
        <v>0.36</v>
      </c>
      <c r="J25" s="43">
        <f>E25/B25</f>
        <v>2354</v>
      </c>
      <c r="K25" s="43">
        <f>F25/B25</f>
        <v>400</v>
      </c>
      <c r="N25" s="2">
        <v>2880.3</v>
      </c>
      <c r="O25" s="2">
        <v>30250</v>
      </c>
      <c r="P25" s="2" t="s">
        <v>123</v>
      </c>
      <c r="Q25" s="2">
        <v>483</v>
      </c>
      <c r="S25">
        <v>161</v>
      </c>
      <c r="T25">
        <v>442</v>
      </c>
    </row>
    <row r="27" spans="1:20" x14ac:dyDescent="0.3">
      <c r="A27" s="47" t="s">
        <v>61</v>
      </c>
      <c r="B27" s="48" t="s">
        <v>153</v>
      </c>
      <c r="C27" s="48" t="s">
        <v>154</v>
      </c>
      <c r="D27" s="48" t="s">
        <v>155</v>
      </c>
      <c r="E27" s="48" t="s">
        <v>156</v>
      </c>
      <c r="F27" s="48" t="s">
        <v>157</v>
      </c>
      <c r="G27" s="48" t="s">
        <v>116</v>
      </c>
      <c r="H27" s="48" t="s">
        <v>158</v>
      </c>
      <c r="I27" s="48" t="s">
        <v>159</v>
      </c>
      <c r="J27" s="48" t="s">
        <v>160</v>
      </c>
      <c r="K27" s="48" t="s">
        <v>161</v>
      </c>
    </row>
    <row r="28" spans="1:20" x14ac:dyDescent="0.3">
      <c r="A28" s="48" t="s">
        <v>3</v>
      </c>
      <c r="B28" s="48" t="s">
        <v>162</v>
      </c>
      <c r="C28" s="48" t="s">
        <v>163</v>
      </c>
      <c r="D28" s="48" t="s">
        <v>164</v>
      </c>
      <c r="E28" s="48" t="s">
        <v>165</v>
      </c>
      <c r="F28" s="48" t="s">
        <v>166</v>
      </c>
      <c r="G28" s="48" t="s">
        <v>167</v>
      </c>
      <c r="H28" s="48" t="s">
        <v>168</v>
      </c>
      <c r="I28" s="49" t="s">
        <v>169</v>
      </c>
      <c r="J28" s="49" t="s">
        <v>170</v>
      </c>
      <c r="K28" s="48" t="s">
        <v>171</v>
      </c>
    </row>
    <row r="29" spans="1:20" x14ac:dyDescent="0.3">
      <c r="A29" s="50" t="s">
        <v>178</v>
      </c>
      <c r="B29" s="50">
        <v>2</v>
      </c>
      <c r="C29" s="51">
        <f>45/52</f>
        <v>0.86538461538461542</v>
      </c>
      <c r="D29" s="50">
        <v>1.4</v>
      </c>
      <c r="E29" s="50">
        <v>3970</v>
      </c>
      <c r="F29" s="52">
        <v>80</v>
      </c>
      <c r="G29" s="50" t="s">
        <v>179</v>
      </c>
      <c r="H29" s="52">
        <f>B29*24</f>
        <v>48</v>
      </c>
      <c r="I29" s="51">
        <f>D29/B29</f>
        <v>0.7</v>
      </c>
      <c r="J29" s="53">
        <f>E29/B29</f>
        <v>1985</v>
      </c>
      <c r="K29" s="53">
        <f>F29/B29</f>
        <v>40</v>
      </c>
    </row>
    <row r="30" spans="1:20" x14ac:dyDescent="0.3">
      <c r="A30" s="50" t="s">
        <v>178</v>
      </c>
      <c r="B30" s="50">
        <v>3</v>
      </c>
      <c r="C30" s="51">
        <f>67/52</f>
        <v>1.2884615384615385</v>
      </c>
      <c r="D30" s="50">
        <v>2.6</v>
      </c>
      <c r="E30" s="50">
        <v>5950</v>
      </c>
      <c r="F30" s="52">
        <v>80</v>
      </c>
      <c r="G30" s="50" t="s">
        <v>180</v>
      </c>
      <c r="H30" s="52">
        <f t="shared" ref="H30:H40" si="0">B30*24</f>
        <v>72</v>
      </c>
      <c r="I30" s="51">
        <f>D30/B30</f>
        <v>0.8666666666666667</v>
      </c>
      <c r="J30" s="53">
        <f>E30/B30</f>
        <v>1983.3333333333333</v>
      </c>
      <c r="K30" s="53">
        <f>F30/B30</f>
        <v>26.666666666666668</v>
      </c>
    </row>
    <row r="31" spans="1:20" x14ac:dyDescent="0.3">
      <c r="A31" s="50" t="s">
        <v>178</v>
      </c>
      <c r="B31" s="50">
        <v>4</v>
      </c>
      <c r="C31" s="51">
        <f>89/52</f>
        <v>1.7115384615384615</v>
      </c>
      <c r="D31" s="50">
        <v>7.4</v>
      </c>
      <c r="E31" s="50">
        <v>7930</v>
      </c>
      <c r="F31" s="52">
        <v>80</v>
      </c>
      <c r="G31" s="50" t="s">
        <v>181</v>
      </c>
      <c r="H31" s="52">
        <f t="shared" si="0"/>
        <v>96</v>
      </c>
      <c r="I31" s="51">
        <f>D31/B31</f>
        <v>1.85</v>
      </c>
      <c r="J31" s="53">
        <f>E31/B31</f>
        <v>1982.5</v>
      </c>
      <c r="K31" s="53">
        <f>F31/B31</f>
        <v>20</v>
      </c>
    </row>
    <row r="32" spans="1:20" x14ac:dyDescent="0.3">
      <c r="A32" s="50" t="s">
        <v>178</v>
      </c>
      <c r="B32" s="50">
        <v>5</v>
      </c>
      <c r="C32" s="51">
        <f>111/52</f>
        <v>2.1346153846153846</v>
      </c>
      <c r="D32" s="50">
        <v>8.6</v>
      </c>
      <c r="E32" s="50">
        <v>9910</v>
      </c>
      <c r="F32" s="52">
        <v>80</v>
      </c>
      <c r="G32" s="50" t="s">
        <v>182</v>
      </c>
      <c r="H32" s="52">
        <f t="shared" si="0"/>
        <v>120</v>
      </c>
      <c r="I32" s="51">
        <f>D32/B32</f>
        <v>1.72</v>
      </c>
      <c r="J32" s="53">
        <f>E32/B32</f>
        <v>1982</v>
      </c>
      <c r="K32" s="53">
        <f>F32/B32</f>
        <v>16</v>
      </c>
    </row>
    <row r="33" spans="1:11" x14ac:dyDescent="0.3">
      <c r="A33" s="54" t="s">
        <v>56</v>
      </c>
      <c r="B33" s="54">
        <v>2</v>
      </c>
      <c r="C33" s="55">
        <f>46/52</f>
        <v>0.88461538461538458</v>
      </c>
      <c r="D33" s="54">
        <v>13.8</v>
      </c>
      <c r="E33" s="54">
        <v>3970</v>
      </c>
      <c r="F33" s="56">
        <f>81+89</f>
        <v>170</v>
      </c>
      <c r="G33" s="54" t="s">
        <v>183</v>
      </c>
      <c r="H33" s="56">
        <f>B33*24</f>
        <v>48</v>
      </c>
      <c r="I33" s="55">
        <f>D33/B33</f>
        <v>6.9</v>
      </c>
      <c r="J33" s="57">
        <f>E33/B33</f>
        <v>1985</v>
      </c>
      <c r="K33" s="57">
        <f>F33/B33</f>
        <v>85</v>
      </c>
    </row>
    <row r="34" spans="1:11" x14ac:dyDescent="0.3">
      <c r="A34" s="54" t="s">
        <v>56</v>
      </c>
      <c r="B34" s="54">
        <v>3</v>
      </c>
      <c r="C34" s="55">
        <f>69/52</f>
        <v>1.3269230769230769</v>
      </c>
      <c r="D34" s="54">
        <v>49</v>
      </c>
      <c r="E34" s="54">
        <v>5951</v>
      </c>
      <c r="F34" s="56">
        <f>81+2*89</f>
        <v>259</v>
      </c>
      <c r="G34" s="54" t="s">
        <v>184</v>
      </c>
      <c r="H34" s="56">
        <f t="shared" si="0"/>
        <v>72</v>
      </c>
      <c r="I34" s="55">
        <f>D34/B34</f>
        <v>16.333333333333332</v>
      </c>
      <c r="J34" s="57">
        <f>E34/B34</f>
        <v>1983.6666666666667</v>
      </c>
      <c r="K34" s="57">
        <f>F34/B34</f>
        <v>86.333333333333329</v>
      </c>
    </row>
    <row r="35" spans="1:11" x14ac:dyDescent="0.3">
      <c r="A35" s="54" t="s">
        <v>56</v>
      </c>
      <c r="B35" s="54">
        <v>4</v>
      </c>
      <c r="C35" s="55">
        <f>92/52</f>
        <v>1.7692307692307692</v>
      </c>
      <c r="D35" s="54">
        <v>133.30000000000001</v>
      </c>
      <c r="E35" s="54">
        <v>7932</v>
      </c>
      <c r="F35" s="56">
        <f>81+3*89</f>
        <v>348</v>
      </c>
      <c r="G35" s="54" t="s">
        <v>185</v>
      </c>
      <c r="H35" s="56">
        <f t="shared" si="0"/>
        <v>96</v>
      </c>
      <c r="I35" s="55">
        <f>D35/B35</f>
        <v>33.325000000000003</v>
      </c>
      <c r="J35" s="57">
        <f>E35/B35</f>
        <v>1983</v>
      </c>
      <c r="K35" s="57">
        <f>F35/B35</f>
        <v>87</v>
      </c>
    </row>
    <row r="36" spans="1:11" x14ac:dyDescent="0.3">
      <c r="A36" s="54" t="s">
        <v>56</v>
      </c>
      <c r="B36" s="54">
        <v>5</v>
      </c>
      <c r="C36" s="55">
        <f>115/52</f>
        <v>2.2115384615384617</v>
      </c>
      <c r="D36" s="54">
        <v>103.2</v>
      </c>
      <c r="E36" s="54">
        <v>9913</v>
      </c>
      <c r="F36" s="56">
        <f>81+4*89</f>
        <v>437</v>
      </c>
      <c r="G36" s="54" t="s">
        <v>186</v>
      </c>
      <c r="H36" s="56">
        <f t="shared" si="0"/>
        <v>120</v>
      </c>
      <c r="I36" s="55">
        <f>D36/B36</f>
        <v>20.64</v>
      </c>
      <c r="J36" s="57">
        <f>E36/B36</f>
        <v>1982.6</v>
      </c>
      <c r="K36" s="57">
        <f>F36/B36</f>
        <v>87.4</v>
      </c>
    </row>
    <row r="37" spans="1:11" x14ac:dyDescent="0.3">
      <c r="A37" s="58" t="s">
        <v>59</v>
      </c>
      <c r="B37" s="58">
        <v>2</v>
      </c>
      <c r="C37" s="59">
        <f>46/52</f>
        <v>0.88461538461538458</v>
      </c>
      <c r="D37" s="58">
        <v>13.2</v>
      </c>
      <c r="E37" s="58">
        <v>4185</v>
      </c>
      <c r="F37" s="60">
        <f>91+94</f>
        <v>185</v>
      </c>
      <c r="G37" s="58" t="s">
        <v>183</v>
      </c>
      <c r="H37" s="60">
        <f>B37*24</f>
        <v>48</v>
      </c>
      <c r="I37" s="59">
        <f>D37/B37</f>
        <v>6.6</v>
      </c>
      <c r="J37" s="61">
        <f>E37/B37</f>
        <v>2092.5</v>
      </c>
      <c r="K37" s="61">
        <f>F37/B37</f>
        <v>92.5</v>
      </c>
    </row>
    <row r="38" spans="1:11" x14ac:dyDescent="0.3">
      <c r="A38" s="58" t="s">
        <v>59</v>
      </c>
      <c r="B38" s="58">
        <v>3</v>
      </c>
      <c r="C38" s="59">
        <f>69/52</f>
        <v>1.3269230769230769</v>
      </c>
      <c r="D38" s="58">
        <v>34.299999999999997</v>
      </c>
      <c r="E38" s="58">
        <v>6276</v>
      </c>
      <c r="F38" s="60">
        <f>91+2*94</f>
        <v>279</v>
      </c>
      <c r="G38" s="58" t="s">
        <v>184</v>
      </c>
      <c r="H38" s="60">
        <f t="shared" si="0"/>
        <v>72</v>
      </c>
      <c r="I38" s="59">
        <f>D38/B38</f>
        <v>11.433333333333332</v>
      </c>
      <c r="J38" s="61">
        <f>E38/B38</f>
        <v>2092</v>
      </c>
      <c r="K38" s="61">
        <f>F38/B38</f>
        <v>93</v>
      </c>
    </row>
    <row r="39" spans="1:11" x14ac:dyDescent="0.3">
      <c r="A39" s="58" t="s">
        <v>59</v>
      </c>
      <c r="B39" s="58">
        <v>4</v>
      </c>
      <c r="C39" s="59">
        <f>92/52</f>
        <v>1.7692307692307692</v>
      </c>
      <c r="D39" s="58">
        <v>36.799999999999997</v>
      </c>
      <c r="E39" s="58">
        <v>8367</v>
      </c>
      <c r="F39" s="60">
        <f>91+3*94</f>
        <v>373</v>
      </c>
      <c r="G39" s="58" t="s">
        <v>185</v>
      </c>
      <c r="H39" s="60">
        <f t="shared" si="0"/>
        <v>96</v>
      </c>
      <c r="I39" s="59">
        <f>D39/B39</f>
        <v>9.1999999999999993</v>
      </c>
      <c r="J39" s="61">
        <f>E39/B39</f>
        <v>2091.75</v>
      </c>
      <c r="K39" s="61">
        <f>F39/B39</f>
        <v>93.25</v>
      </c>
    </row>
    <row r="40" spans="1:11" x14ac:dyDescent="0.3">
      <c r="A40" s="58" t="s">
        <v>59</v>
      </c>
      <c r="B40" s="58">
        <v>5</v>
      </c>
      <c r="C40" s="59">
        <f>115/52</f>
        <v>2.2115384615384617</v>
      </c>
      <c r="D40" s="58">
        <v>199.9</v>
      </c>
      <c r="E40" s="58">
        <v>10458</v>
      </c>
      <c r="F40" s="60">
        <f>91+4*94</f>
        <v>467</v>
      </c>
      <c r="G40" s="58" t="s">
        <v>186</v>
      </c>
      <c r="H40" s="60">
        <f t="shared" si="0"/>
        <v>120</v>
      </c>
      <c r="I40" s="59">
        <f>D40/B40</f>
        <v>39.980000000000004</v>
      </c>
      <c r="J40" s="61">
        <f>E40/B40</f>
        <v>2091.6</v>
      </c>
      <c r="K40" s="61">
        <f>F40/B40</f>
        <v>93.4</v>
      </c>
    </row>
    <row r="42" spans="1:11" x14ac:dyDescent="0.3">
      <c r="A42" s="62" t="s">
        <v>187</v>
      </c>
      <c r="B42" s="63" t="s">
        <v>153</v>
      </c>
      <c r="C42" s="63" t="s">
        <v>154</v>
      </c>
      <c r="D42" s="63" t="s">
        <v>155</v>
      </c>
      <c r="E42" s="63" t="s">
        <v>156</v>
      </c>
      <c r="F42" s="63" t="s">
        <v>157</v>
      </c>
      <c r="G42" s="63" t="s">
        <v>116</v>
      </c>
      <c r="H42" s="63" t="s">
        <v>158</v>
      </c>
      <c r="I42" s="63" t="s">
        <v>159</v>
      </c>
      <c r="J42" s="63" t="s">
        <v>160</v>
      </c>
      <c r="K42" s="63" t="s">
        <v>161</v>
      </c>
    </row>
    <row r="43" spans="1:11" x14ac:dyDescent="0.3">
      <c r="A43" s="63" t="s">
        <v>3</v>
      </c>
      <c r="B43" s="63" t="s">
        <v>162</v>
      </c>
      <c r="C43" s="63" t="s">
        <v>163</v>
      </c>
      <c r="D43" s="63" t="s">
        <v>164</v>
      </c>
      <c r="E43" s="63" t="s">
        <v>165</v>
      </c>
      <c r="F43" s="63" t="s">
        <v>166</v>
      </c>
      <c r="G43" s="63" t="s">
        <v>167</v>
      </c>
      <c r="H43" s="63" t="s">
        <v>168</v>
      </c>
      <c r="I43" s="64" t="s">
        <v>169</v>
      </c>
      <c r="J43" s="64" t="s">
        <v>170</v>
      </c>
      <c r="K43" s="64" t="s">
        <v>171</v>
      </c>
    </row>
    <row r="44" spans="1:11" x14ac:dyDescent="0.3">
      <c r="A44" s="65" t="s">
        <v>178</v>
      </c>
      <c r="B44" s="65">
        <v>2</v>
      </c>
      <c r="C44" s="65">
        <f>288/176</f>
        <v>1.6363636363636365</v>
      </c>
      <c r="D44" s="65">
        <v>64.8</v>
      </c>
      <c r="E44" s="65">
        <v>24480</v>
      </c>
      <c r="F44" s="65">
        <f>18*80</f>
        <v>1440</v>
      </c>
      <c r="G44" s="65" t="s">
        <v>188</v>
      </c>
      <c r="H44" s="65">
        <f>B44*146</f>
        <v>292</v>
      </c>
      <c r="I44" s="66">
        <f>D44/B44</f>
        <v>32.4</v>
      </c>
      <c r="J44" s="65">
        <f>E44/B44</f>
        <v>12240</v>
      </c>
      <c r="K44" s="65">
        <f>F44/2</f>
        <v>720</v>
      </c>
    </row>
    <row r="45" spans="1:11" x14ac:dyDescent="0.3">
      <c r="A45" s="65" t="s">
        <v>178</v>
      </c>
      <c r="B45" s="65">
        <v>3</v>
      </c>
      <c r="C45" s="65">
        <f>428/176</f>
        <v>2.4318181818181817</v>
      </c>
      <c r="D45" s="65">
        <v>157.6</v>
      </c>
      <c r="E45" s="65">
        <v>35400</v>
      </c>
      <c r="F45" s="65">
        <f>39*80</f>
        <v>3120</v>
      </c>
      <c r="G45" s="65" t="s">
        <v>189</v>
      </c>
      <c r="H45" s="65">
        <f>B45*146</f>
        <v>438</v>
      </c>
      <c r="I45" s="66">
        <f>D45/B45</f>
        <v>52.533333333333331</v>
      </c>
      <c r="J45" s="65">
        <f>E45/B45</f>
        <v>11800</v>
      </c>
      <c r="K45" s="65">
        <f>F45/3</f>
        <v>1040</v>
      </c>
    </row>
    <row r="46" spans="1:11" x14ac:dyDescent="0.3">
      <c r="A46" s="65" t="s">
        <v>178</v>
      </c>
      <c r="B46" s="65">
        <v>4</v>
      </c>
      <c r="C46" s="65"/>
      <c r="D46" s="65" t="s">
        <v>15</v>
      </c>
      <c r="E46" s="65"/>
      <c r="F46" s="65"/>
      <c r="G46" s="65"/>
      <c r="H46" s="65"/>
      <c r="I46" s="66"/>
      <c r="J46" s="65"/>
      <c r="K46" s="65"/>
    </row>
    <row r="47" spans="1:11" x14ac:dyDescent="0.3">
      <c r="A47" s="65" t="s">
        <v>178</v>
      </c>
      <c r="B47" s="65">
        <v>5</v>
      </c>
      <c r="C47" s="65"/>
      <c r="D47" s="65" t="s">
        <v>15</v>
      </c>
      <c r="E47" s="65"/>
      <c r="F47" s="65"/>
      <c r="G47" s="65"/>
      <c r="H47" s="65"/>
      <c r="I47" s="66"/>
      <c r="J47" s="65"/>
      <c r="K47" s="65"/>
    </row>
    <row r="48" spans="1:11" x14ac:dyDescent="0.3">
      <c r="A48" s="67" t="s">
        <v>190</v>
      </c>
      <c r="B48" s="67">
        <v>2</v>
      </c>
      <c r="C48" s="67">
        <f>270/176</f>
        <v>1.5340909090909092</v>
      </c>
      <c r="D48" s="67">
        <v>2.2000000000000002</v>
      </c>
      <c r="E48" s="67">
        <v>27000</v>
      </c>
      <c r="F48" s="67">
        <v>0</v>
      </c>
      <c r="G48" s="67" t="s">
        <v>191</v>
      </c>
      <c r="H48" s="67">
        <f>B48*146</f>
        <v>292</v>
      </c>
      <c r="I48" s="68">
        <f>D48/B48</f>
        <v>1.1000000000000001</v>
      </c>
      <c r="J48" s="67">
        <f>E48/B48</f>
        <v>13500</v>
      </c>
      <c r="K48" s="67">
        <v>0</v>
      </c>
    </row>
    <row r="49" spans="1:20" x14ac:dyDescent="0.3">
      <c r="A49" s="67" t="s">
        <v>190</v>
      </c>
      <c r="B49" s="67">
        <v>3</v>
      </c>
      <c r="C49" s="67">
        <f>389/176</f>
        <v>2.2102272727272729</v>
      </c>
      <c r="D49" s="67">
        <v>27.4</v>
      </c>
      <c r="E49" s="67">
        <v>38900</v>
      </c>
      <c r="F49" s="67">
        <v>0</v>
      </c>
      <c r="G49" s="67" t="s">
        <v>192</v>
      </c>
      <c r="H49" s="67">
        <f>B49*146</f>
        <v>438</v>
      </c>
      <c r="I49" s="68">
        <f>D49/B49</f>
        <v>9.1333333333333329</v>
      </c>
      <c r="J49" s="68">
        <f>E49/B49</f>
        <v>12966.666666666666</v>
      </c>
      <c r="K49" s="67">
        <v>0</v>
      </c>
    </row>
    <row r="50" spans="1:20" x14ac:dyDescent="0.3">
      <c r="A50" s="67" t="s">
        <v>190</v>
      </c>
      <c r="B50" s="67">
        <v>4</v>
      </c>
      <c r="C50" s="67"/>
      <c r="D50" s="67" t="s">
        <v>15</v>
      </c>
      <c r="E50" s="67"/>
      <c r="F50" s="67"/>
      <c r="G50" s="67"/>
      <c r="H50" s="67"/>
      <c r="I50" s="68"/>
      <c r="J50" s="67"/>
      <c r="K50" s="67"/>
    </row>
    <row r="51" spans="1:20" x14ac:dyDescent="0.3">
      <c r="A51" s="67" t="s">
        <v>190</v>
      </c>
      <c r="B51" s="67">
        <v>5</v>
      </c>
      <c r="C51" s="67"/>
      <c r="D51" s="67" t="s">
        <v>15</v>
      </c>
      <c r="E51" s="67"/>
      <c r="F51" s="67"/>
      <c r="G51" s="67"/>
      <c r="H51" s="67"/>
      <c r="I51" s="68"/>
      <c r="J51" s="67"/>
      <c r="K51" s="67"/>
    </row>
    <row r="57" spans="1:20" x14ac:dyDescent="0.3">
      <c r="B57" s="69" t="s">
        <v>40</v>
      </c>
      <c r="C57" s="69" t="s">
        <v>202</v>
      </c>
      <c r="D57" s="69" t="s">
        <v>203</v>
      </c>
      <c r="E57" s="69" t="s">
        <v>204</v>
      </c>
    </row>
    <row r="58" spans="1:20" x14ac:dyDescent="0.3">
      <c r="B58" s="70">
        <v>2.1</v>
      </c>
      <c r="C58" s="71">
        <v>1629</v>
      </c>
      <c r="D58" s="70">
        <v>163</v>
      </c>
      <c r="E58" s="72">
        <f>D58/C58*100</f>
        <v>10.006138735420503</v>
      </c>
      <c r="I58" t="s">
        <v>40</v>
      </c>
      <c r="J58" t="s">
        <v>205</v>
      </c>
      <c r="K58" t="s">
        <v>153</v>
      </c>
      <c r="L58" t="s">
        <v>154</v>
      </c>
      <c r="M58" t="s">
        <v>155</v>
      </c>
      <c r="N58" t="s">
        <v>156</v>
      </c>
      <c r="O58" t="s">
        <v>157</v>
      </c>
      <c r="P58" t="s">
        <v>116</v>
      </c>
      <c r="Q58" t="s">
        <v>158</v>
      </c>
      <c r="R58" t="s">
        <v>159</v>
      </c>
      <c r="S58" t="s">
        <v>160</v>
      </c>
      <c r="T58" t="s">
        <v>161</v>
      </c>
    </row>
    <row r="59" spans="1:20" x14ac:dyDescent="0.3">
      <c r="B59" s="70">
        <v>2.2000000000000002</v>
      </c>
      <c r="C59" s="71">
        <v>1150</v>
      </c>
      <c r="D59" s="70">
        <v>205</v>
      </c>
      <c r="E59" s="72">
        <f t="shared" ref="E59:E62" si="1">D59/C59*100</f>
        <v>17.826086956521738</v>
      </c>
      <c r="J59" t="s">
        <v>48</v>
      </c>
      <c r="K59" t="s">
        <v>162</v>
      </c>
      <c r="L59" t="s">
        <v>163</v>
      </c>
      <c r="M59" t="s">
        <v>164</v>
      </c>
      <c r="N59" t="s">
        <v>165</v>
      </c>
      <c r="O59" t="s">
        <v>166</v>
      </c>
      <c r="P59" t="s">
        <v>167</v>
      </c>
      <c r="Q59" t="s">
        <v>168</v>
      </c>
      <c r="R59" t="s">
        <v>169</v>
      </c>
      <c r="S59" t="s">
        <v>170</v>
      </c>
      <c r="T59" t="s">
        <v>171</v>
      </c>
    </row>
    <row r="60" spans="1:20" x14ac:dyDescent="0.3">
      <c r="B60" s="70">
        <v>2.2999999999999998</v>
      </c>
      <c r="C60" s="71">
        <v>25563</v>
      </c>
      <c r="D60" s="70">
        <v>824</v>
      </c>
      <c r="E60" s="72">
        <f t="shared" si="1"/>
        <v>3.2234088330790596</v>
      </c>
      <c r="I60">
        <v>4.0999999999999996</v>
      </c>
      <c r="J60" t="s">
        <v>119</v>
      </c>
      <c r="K60">
        <v>3</v>
      </c>
      <c r="L60">
        <f>599/613</f>
        <v>0.97716150081566067</v>
      </c>
      <c r="M60">
        <v>88148.1</v>
      </c>
      <c r="N60">
        <v>38450</v>
      </c>
      <c r="O60">
        <f>87*40</f>
        <v>3480</v>
      </c>
      <c r="P60" t="s">
        <v>121</v>
      </c>
      <c r="Q60">
        <f>3*201</f>
        <v>603</v>
      </c>
      <c r="R60">
        <f>M60/K60</f>
        <v>29382.7</v>
      </c>
      <c r="S60">
        <f>N60/K60</f>
        <v>12816.666666666666</v>
      </c>
      <c r="T60">
        <f>O60/3</f>
        <v>1160</v>
      </c>
    </row>
    <row r="61" spans="1:20" x14ac:dyDescent="0.3">
      <c r="B61" s="70">
        <v>4.0999999999999996</v>
      </c>
      <c r="C61" s="71">
        <v>122570</v>
      </c>
      <c r="D61" s="70">
        <v>1257</v>
      </c>
      <c r="E61" s="72">
        <f t="shared" si="1"/>
        <v>1.0255364281634984</v>
      </c>
      <c r="I61">
        <v>4.2</v>
      </c>
      <c r="J61" t="s">
        <v>119</v>
      </c>
      <c r="K61">
        <v>3</v>
      </c>
      <c r="L61">
        <f>483/442</f>
        <v>1.092760180995475</v>
      </c>
      <c r="M61">
        <v>2880.3</v>
      </c>
      <c r="N61">
        <v>30250</v>
      </c>
      <c r="O61">
        <f>89*40</f>
        <v>3560</v>
      </c>
      <c r="P61" t="s">
        <v>123</v>
      </c>
      <c r="Q61">
        <f>3*161</f>
        <v>483</v>
      </c>
      <c r="R61">
        <f>M61/K61</f>
        <v>960.1</v>
      </c>
      <c r="S61">
        <f>N61/K61</f>
        <v>10083.333333333334</v>
      </c>
      <c r="T61">
        <f>O61/3</f>
        <v>1186.6666666666667</v>
      </c>
    </row>
    <row r="62" spans="1:20" x14ac:dyDescent="0.3">
      <c r="B62" s="70">
        <v>4.2</v>
      </c>
      <c r="C62" s="71">
        <v>71022</v>
      </c>
      <c r="D62" s="70">
        <v>800</v>
      </c>
      <c r="E62" s="72">
        <f t="shared" si="1"/>
        <v>1.1264115344541128</v>
      </c>
      <c r="I62">
        <v>4.0999999999999996</v>
      </c>
      <c r="J62" t="s">
        <v>178</v>
      </c>
      <c r="K62">
        <v>3</v>
      </c>
      <c r="L62">
        <v>0.98</v>
      </c>
      <c r="M62" t="s">
        <v>206</v>
      </c>
      <c r="N62">
        <f>90*512+10*87</f>
        <v>46950</v>
      </c>
      <c r="O62">
        <f>87*80</f>
        <v>6960</v>
      </c>
      <c r="P62" t="s">
        <v>121</v>
      </c>
      <c r="Q62">
        <v>603</v>
      </c>
      <c r="R62" t="s">
        <v>206</v>
      </c>
      <c r="S62">
        <f>N62/3</f>
        <v>15650</v>
      </c>
      <c r="T62">
        <f>O62/3</f>
        <v>2320</v>
      </c>
    </row>
    <row r="63" spans="1:20" x14ac:dyDescent="0.3">
      <c r="I63">
        <v>4.2</v>
      </c>
      <c r="J63" t="s">
        <v>178</v>
      </c>
      <c r="K63">
        <v>3</v>
      </c>
      <c r="L63">
        <v>1.0900000000000001</v>
      </c>
      <c r="M63" t="s">
        <v>206</v>
      </c>
      <c r="N63">
        <f>90*394+10*89</f>
        <v>36350</v>
      </c>
      <c r="O63">
        <f>89*80</f>
        <v>7120</v>
      </c>
      <c r="P63" t="s">
        <v>123</v>
      </c>
      <c r="Q63">
        <v>483</v>
      </c>
      <c r="R63" t="s">
        <v>206</v>
      </c>
      <c r="S63">
        <f>N63/3</f>
        <v>12116.666666666666</v>
      </c>
      <c r="T63">
        <f>O63/3</f>
        <v>2373.3333333333335</v>
      </c>
    </row>
    <row r="69" spans="2:18" x14ac:dyDescent="0.3">
      <c r="C69" s="73" t="s">
        <v>207</v>
      </c>
      <c r="D69" s="73" t="s">
        <v>208</v>
      </c>
      <c r="E69" s="73" t="s">
        <v>43</v>
      </c>
      <c r="F69" s="73" t="s">
        <v>147</v>
      </c>
      <c r="G69" s="74" t="s">
        <v>40</v>
      </c>
      <c r="H69" s="74" t="s">
        <v>205</v>
      </c>
      <c r="I69" s="74" t="s">
        <v>153</v>
      </c>
      <c r="J69" s="74" t="s">
        <v>154</v>
      </c>
      <c r="K69" s="74" t="s">
        <v>155</v>
      </c>
      <c r="L69" s="74" t="s">
        <v>156</v>
      </c>
      <c r="M69" s="74" t="s">
        <v>157</v>
      </c>
      <c r="N69" s="74" t="s">
        <v>116</v>
      </c>
      <c r="O69" s="74" t="s">
        <v>158</v>
      </c>
      <c r="P69" s="74" t="s">
        <v>159</v>
      </c>
      <c r="Q69" s="74" t="s">
        <v>160</v>
      </c>
      <c r="R69" s="74" t="s">
        <v>161</v>
      </c>
    </row>
    <row r="70" spans="2:18" x14ac:dyDescent="0.3">
      <c r="C70" s="73"/>
      <c r="D70" s="73"/>
      <c r="E70" s="73"/>
      <c r="F70" s="73"/>
      <c r="G70" s="74"/>
      <c r="H70" s="74" t="s">
        <v>48</v>
      </c>
      <c r="I70" s="74" t="s">
        <v>162</v>
      </c>
      <c r="J70" s="74" t="s">
        <v>163</v>
      </c>
      <c r="K70" s="74" t="s">
        <v>164</v>
      </c>
      <c r="L70" s="74" t="s">
        <v>165</v>
      </c>
      <c r="M70" s="74" t="s">
        <v>209</v>
      </c>
      <c r="N70" s="74" t="s">
        <v>167</v>
      </c>
      <c r="O70" s="74" t="s">
        <v>168</v>
      </c>
      <c r="P70" s="74" t="s">
        <v>169</v>
      </c>
      <c r="Q70" s="74" t="s">
        <v>170</v>
      </c>
      <c r="R70" s="74" t="s">
        <v>171</v>
      </c>
    </row>
    <row r="71" spans="2:18" x14ac:dyDescent="0.3">
      <c r="C71" s="75">
        <v>31</v>
      </c>
      <c r="D71" s="75">
        <v>54</v>
      </c>
      <c r="E71" s="76">
        <f>C71/D71</f>
        <v>0.57407407407407407</v>
      </c>
      <c r="F71" s="75">
        <f>C71*D71</f>
        <v>1674</v>
      </c>
      <c r="G71" s="77">
        <v>2.1</v>
      </c>
      <c r="H71" s="77" t="s">
        <v>178</v>
      </c>
      <c r="I71" s="77">
        <v>3</v>
      </c>
      <c r="J71" s="78">
        <v>1.7222222222222223</v>
      </c>
      <c r="K71" s="77">
        <v>1.5</v>
      </c>
      <c r="L71" s="77">
        <v>7810</v>
      </c>
      <c r="M71" s="77">
        <v>560</v>
      </c>
      <c r="N71" s="77" t="s">
        <v>173</v>
      </c>
      <c r="O71" s="77">
        <v>93</v>
      </c>
      <c r="P71" s="77">
        <v>0.5</v>
      </c>
      <c r="Q71" s="79">
        <v>2603.3333333333335</v>
      </c>
      <c r="R71" s="79">
        <v>186.66666666666666</v>
      </c>
    </row>
    <row r="72" spans="2:18" x14ac:dyDescent="0.3">
      <c r="C72" s="80">
        <v>24</v>
      </c>
      <c r="D72" s="80">
        <v>52</v>
      </c>
      <c r="E72" s="81">
        <f>C72/D72</f>
        <v>0.46153846153846156</v>
      </c>
      <c r="F72" s="80">
        <f>C72*D72</f>
        <v>1248</v>
      </c>
      <c r="G72" s="50">
        <v>2.2000000000000002</v>
      </c>
      <c r="H72" s="50" t="s">
        <v>178</v>
      </c>
      <c r="I72" s="50">
        <v>3</v>
      </c>
      <c r="J72" s="51">
        <f>67/52</f>
        <v>1.2884615384615385</v>
      </c>
      <c r="K72" s="50">
        <v>2.6</v>
      </c>
      <c r="L72" s="50">
        <v>5950</v>
      </c>
      <c r="M72" s="52">
        <v>80</v>
      </c>
      <c r="N72" s="50" t="s">
        <v>180</v>
      </c>
      <c r="O72" s="52">
        <f t="shared" ref="O72" si="2">I72*24</f>
        <v>72</v>
      </c>
      <c r="P72" s="51">
        <f>K72/I72</f>
        <v>0.8666666666666667</v>
      </c>
      <c r="Q72" s="53">
        <f>L72/I72</f>
        <v>1983.3333333333333</v>
      </c>
      <c r="R72" s="53">
        <f>M72/I72</f>
        <v>26.666666666666668</v>
      </c>
    </row>
    <row r="73" spans="2:18" x14ac:dyDescent="0.3">
      <c r="C73" s="82">
        <v>146</v>
      </c>
      <c r="D73" s="83">
        <v>176</v>
      </c>
      <c r="E73" s="84">
        <f>C73/D73</f>
        <v>0.82954545454545459</v>
      </c>
      <c r="F73" s="82">
        <f>C73*D73</f>
        <v>25696</v>
      </c>
      <c r="G73" s="65">
        <v>2.2999999999999998</v>
      </c>
      <c r="H73" s="65" t="s">
        <v>178</v>
      </c>
      <c r="I73" s="65">
        <v>3</v>
      </c>
      <c r="J73" s="66">
        <f>428/176</f>
        <v>2.4318181818181817</v>
      </c>
      <c r="K73" s="65">
        <v>157.6</v>
      </c>
      <c r="L73" s="65">
        <v>35400</v>
      </c>
      <c r="M73" s="65">
        <f>39*80</f>
        <v>3120</v>
      </c>
      <c r="N73" s="65" t="s">
        <v>189</v>
      </c>
      <c r="O73" s="65">
        <f>I73*146</f>
        <v>438</v>
      </c>
      <c r="P73" s="66">
        <f>K73/I73</f>
        <v>52.533333333333331</v>
      </c>
      <c r="Q73" s="85">
        <f>L73/I73</f>
        <v>11800</v>
      </c>
      <c r="R73" s="85">
        <f>M73/3</f>
        <v>1040</v>
      </c>
    </row>
    <row r="74" spans="2:18" x14ac:dyDescent="0.3">
      <c r="C74" s="80">
        <v>201</v>
      </c>
      <c r="D74" s="80">
        <v>613</v>
      </c>
      <c r="E74" s="81">
        <f>C74/D74</f>
        <v>0.32789559543230018</v>
      </c>
      <c r="F74" s="80">
        <f>C74*D74</f>
        <v>123213</v>
      </c>
      <c r="G74" s="86">
        <v>4.0999999999999996</v>
      </c>
      <c r="H74" s="86" t="s">
        <v>178</v>
      </c>
      <c r="I74" s="86">
        <v>3</v>
      </c>
      <c r="J74" s="87">
        <f>599/613</f>
        <v>0.97716150081566067</v>
      </c>
      <c r="K74" s="86">
        <v>88148.1</v>
      </c>
      <c r="L74" s="86">
        <v>38450</v>
      </c>
      <c r="M74" s="86">
        <f>87*40</f>
        <v>3480</v>
      </c>
      <c r="N74" s="86" t="s">
        <v>121</v>
      </c>
      <c r="O74" s="86">
        <f>3*201</f>
        <v>603</v>
      </c>
      <c r="P74" s="86">
        <f>K74/I74</f>
        <v>29382.7</v>
      </c>
      <c r="Q74" s="88">
        <f>L74/I74</f>
        <v>12816.666666666666</v>
      </c>
      <c r="R74" s="88">
        <f>M74/3</f>
        <v>1160</v>
      </c>
    </row>
    <row r="75" spans="2:18" x14ac:dyDescent="0.3">
      <c r="C75" s="75">
        <v>161</v>
      </c>
      <c r="D75" s="75">
        <v>442</v>
      </c>
      <c r="E75" s="76">
        <f>C75/D75</f>
        <v>0.36425339366515835</v>
      </c>
      <c r="F75" s="75">
        <f>C75*D75</f>
        <v>71162</v>
      </c>
      <c r="G75" s="89">
        <v>4.2</v>
      </c>
      <c r="H75" s="89" t="s">
        <v>178</v>
      </c>
      <c r="I75" s="89">
        <v>3</v>
      </c>
      <c r="J75" s="90">
        <f>483/442</f>
        <v>1.092760180995475</v>
      </c>
      <c r="K75" s="89">
        <v>2880.3</v>
      </c>
      <c r="L75" s="89">
        <v>30250</v>
      </c>
      <c r="M75" s="89">
        <f>89*40</f>
        <v>3560</v>
      </c>
      <c r="N75" s="89" t="s">
        <v>123</v>
      </c>
      <c r="O75" s="89">
        <f>3*161</f>
        <v>483</v>
      </c>
      <c r="P75" s="89">
        <f>K75/I75</f>
        <v>960.1</v>
      </c>
      <c r="Q75" s="91">
        <f>L75/I75</f>
        <v>10083.333333333334</v>
      </c>
      <c r="R75" s="91">
        <f>M75/3</f>
        <v>1186.6666666666667</v>
      </c>
    </row>
    <row r="77" spans="2:18" x14ac:dyDescent="0.3">
      <c r="Q77" t="s">
        <v>127</v>
      </c>
      <c r="R77" t="s">
        <v>217</v>
      </c>
    </row>
    <row r="78" spans="2:18" x14ac:dyDescent="0.3">
      <c r="B78" t="s">
        <v>43</v>
      </c>
      <c r="C78" t="s">
        <v>210</v>
      </c>
      <c r="K78" s="92" t="s">
        <v>214</v>
      </c>
      <c r="Q78" s="13">
        <v>0.57407407407407407</v>
      </c>
      <c r="R78">
        <v>2603.3333333333335</v>
      </c>
    </row>
    <row r="79" spans="2:18" x14ac:dyDescent="0.3">
      <c r="B79">
        <v>0.57407407407407407</v>
      </c>
      <c r="C79" s="78">
        <v>1.7222222222222223</v>
      </c>
      <c r="J79" s="78">
        <v>1.7222222222222223</v>
      </c>
      <c r="K79" s="92">
        <v>0.92473117999999999</v>
      </c>
      <c r="Q79" s="13">
        <v>0.46153846153846156</v>
      </c>
      <c r="R79">
        <v>1983.3333333333333</v>
      </c>
    </row>
    <row r="80" spans="2:18" x14ac:dyDescent="0.3">
      <c r="B80">
        <v>0.46153846153846156</v>
      </c>
      <c r="C80" s="51">
        <f>67/52</f>
        <v>1.2884615384615385</v>
      </c>
      <c r="F80" t="s">
        <v>105</v>
      </c>
      <c r="G80" t="s">
        <v>213</v>
      </c>
      <c r="J80" s="51">
        <f>67/52</f>
        <v>1.2884615384615385</v>
      </c>
      <c r="K80" s="92">
        <v>0.91666667000000002</v>
      </c>
      <c r="Q80" s="13">
        <v>0.82954545454545459</v>
      </c>
      <c r="R80">
        <v>11800</v>
      </c>
    </row>
    <row r="81" spans="2:18" x14ac:dyDescent="0.3">
      <c r="B81">
        <v>0.82954545454545459</v>
      </c>
      <c r="C81" s="66">
        <f>428/176</f>
        <v>2.4318181818181817</v>
      </c>
      <c r="F81">
        <v>93</v>
      </c>
      <c r="G81" s="77">
        <v>1.5</v>
      </c>
      <c r="J81" s="66">
        <f>428/176</f>
        <v>2.4318181818181817</v>
      </c>
      <c r="K81" s="92">
        <v>0.88812785000000005</v>
      </c>
      <c r="Q81" s="13">
        <v>0.32789559543230018</v>
      </c>
      <c r="R81">
        <v>12816.666666666666</v>
      </c>
    </row>
    <row r="82" spans="2:18" x14ac:dyDescent="0.3">
      <c r="B82">
        <v>0.32789559543230018</v>
      </c>
      <c r="C82" s="87">
        <f>599/613</f>
        <v>0.97716150081566067</v>
      </c>
      <c r="F82">
        <v>67</v>
      </c>
      <c r="G82" s="50">
        <v>2.6</v>
      </c>
      <c r="J82" s="87">
        <f>599/613</f>
        <v>0.97716150081566067</v>
      </c>
      <c r="K82" s="92">
        <v>0.84908788999999996</v>
      </c>
      <c r="Q82" s="13">
        <v>0.36425339366515835</v>
      </c>
      <c r="R82">
        <v>10083.333333333334</v>
      </c>
    </row>
    <row r="83" spans="2:18" x14ac:dyDescent="0.3">
      <c r="B83">
        <v>0.36425339366515835</v>
      </c>
      <c r="C83" s="90">
        <f>483/442</f>
        <v>1.092760180995475</v>
      </c>
      <c r="F83">
        <v>428</v>
      </c>
      <c r="G83" s="65">
        <v>157.6</v>
      </c>
      <c r="J83" s="90">
        <f>483/442</f>
        <v>1.092760180995475</v>
      </c>
      <c r="K83" s="92">
        <v>0.81573499000000005</v>
      </c>
      <c r="Q83" s="13"/>
    </row>
    <row r="84" spans="2:18" x14ac:dyDescent="0.3">
      <c r="F84">
        <v>599</v>
      </c>
      <c r="G84" s="86">
        <v>88148.1</v>
      </c>
      <c r="Q84" s="13" t="s">
        <v>127</v>
      </c>
      <c r="R84" t="s">
        <v>218</v>
      </c>
    </row>
    <row r="85" spans="2:18" x14ac:dyDescent="0.3">
      <c r="B85" t="s">
        <v>211</v>
      </c>
      <c r="C85" t="s">
        <v>212</v>
      </c>
      <c r="F85">
        <v>483</v>
      </c>
      <c r="G85" s="89">
        <v>2880.3</v>
      </c>
      <c r="Q85" s="13">
        <v>0.57407407407407407</v>
      </c>
      <c r="R85">
        <v>186.66666666666666</v>
      </c>
    </row>
    <row r="86" spans="2:18" x14ac:dyDescent="0.3">
      <c r="B86">
        <v>1674</v>
      </c>
      <c r="C86" s="77">
        <v>1.5</v>
      </c>
      <c r="D86">
        <f>B86/60</f>
        <v>27.9</v>
      </c>
      <c r="J86" t="s">
        <v>215</v>
      </c>
      <c r="K86" t="s">
        <v>216</v>
      </c>
      <c r="Q86" s="13">
        <v>0.46153846153846156</v>
      </c>
      <c r="R86">
        <v>26.666666666666668</v>
      </c>
    </row>
    <row r="87" spans="2:18" x14ac:dyDescent="0.3">
      <c r="B87">
        <v>1248</v>
      </c>
      <c r="C87" s="50">
        <v>2.6</v>
      </c>
      <c r="D87">
        <f t="shared" ref="D87:D90" si="3">B87/60</f>
        <v>20.8</v>
      </c>
      <c r="J87">
        <f>K79*100</f>
        <v>92.473117999999999</v>
      </c>
      <c r="K87">
        <v>10.006138735420503</v>
      </c>
      <c r="Q87" s="13">
        <v>0.82954545454545459</v>
      </c>
      <c r="R87">
        <v>1040</v>
      </c>
    </row>
    <row r="88" spans="2:18" x14ac:dyDescent="0.3">
      <c r="B88">
        <v>25696</v>
      </c>
      <c r="C88" s="65">
        <v>157.6</v>
      </c>
      <c r="D88">
        <f t="shared" si="3"/>
        <v>428.26666666666665</v>
      </c>
      <c r="J88">
        <f t="shared" ref="J88:J90" si="4">K80*100</f>
        <v>91.666667000000004</v>
      </c>
      <c r="K88">
        <v>17.826086956521738</v>
      </c>
      <c r="Q88" s="13">
        <v>0.32789559543230018</v>
      </c>
      <c r="R88">
        <v>1160</v>
      </c>
    </row>
    <row r="89" spans="2:18" x14ac:dyDescent="0.3">
      <c r="B89">
        <v>123213</v>
      </c>
      <c r="C89" s="86">
        <v>88148.1</v>
      </c>
      <c r="D89">
        <f t="shared" si="3"/>
        <v>2053.5500000000002</v>
      </c>
      <c r="J89">
        <f t="shared" si="4"/>
        <v>88.812785000000005</v>
      </c>
      <c r="K89">
        <v>3.2234088330790596</v>
      </c>
      <c r="Q89" s="13">
        <v>0.36425339366515835</v>
      </c>
      <c r="R89">
        <v>1186.6666666666667</v>
      </c>
    </row>
    <row r="90" spans="2:18" x14ac:dyDescent="0.3">
      <c r="B90">
        <v>71162</v>
      </c>
      <c r="C90" s="89">
        <v>2880.3</v>
      </c>
      <c r="D90">
        <f t="shared" si="3"/>
        <v>1186.0333333333333</v>
      </c>
      <c r="J90">
        <f t="shared" si="4"/>
        <v>84.908788999999999</v>
      </c>
      <c r="K90">
        <v>1.0255364281634984</v>
      </c>
    </row>
    <row r="164" spans="1:26" x14ac:dyDescent="0.3">
      <c r="J164">
        <f>K83*100</f>
        <v>81.573498999999998</v>
      </c>
      <c r="K164">
        <v>1.1264115344541128</v>
      </c>
    </row>
    <row r="165" spans="1:26" ht="15" thickBot="1" x14ac:dyDescent="0.35"/>
    <row r="166" spans="1:26" ht="15" thickBo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 x14ac:dyDescent="0.35">
      <c r="A167" s="1"/>
      <c r="B167" s="2" t="s">
        <v>0</v>
      </c>
      <c r="C167" s="2"/>
      <c r="D167" s="2"/>
      <c r="E167" s="2"/>
      <c r="F167" s="1"/>
      <c r="G167" s="2" t="s">
        <v>0</v>
      </c>
      <c r="H167" s="2"/>
      <c r="I167" s="2"/>
      <c r="J167" s="2"/>
      <c r="K167" s="1"/>
      <c r="L167" s="2" t="s">
        <v>0</v>
      </c>
      <c r="M167" s="2"/>
      <c r="N167" s="2"/>
      <c r="O167" s="2"/>
      <c r="P167" s="1"/>
      <c r="Q167" s="2" t="s">
        <v>0</v>
      </c>
      <c r="R167" s="2"/>
      <c r="S167" s="2"/>
      <c r="T167" s="2"/>
      <c r="U167" s="1"/>
      <c r="V167" s="2" t="s">
        <v>0</v>
      </c>
      <c r="W167" s="2"/>
      <c r="X167" s="2"/>
      <c r="Y167" s="2"/>
      <c r="Z167" s="1"/>
    </row>
    <row r="168" spans="1:26" ht="15" thickBot="1" x14ac:dyDescent="0.35">
      <c r="A168" s="1"/>
      <c r="B168" s="3" t="s">
        <v>1</v>
      </c>
      <c r="C168" s="2" t="s">
        <v>2</v>
      </c>
      <c r="D168" s="2" t="s">
        <v>3</v>
      </c>
      <c r="E168" s="2" t="s">
        <v>4</v>
      </c>
      <c r="F168" s="1" t="s">
        <v>5</v>
      </c>
      <c r="G168" s="3" t="s">
        <v>6</v>
      </c>
      <c r="H168" s="2" t="s">
        <v>2</v>
      </c>
      <c r="I168" s="2" t="s">
        <v>3</v>
      </c>
      <c r="J168" s="2" t="s">
        <v>4</v>
      </c>
      <c r="K168" s="1" t="s">
        <v>7</v>
      </c>
      <c r="L168" s="3" t="s">
        <v>8</v>
      </c>
      <c r="M168" s="2" t="s">
        <v>2</v>
      </c>
      <c r="N168" s="2" t="s">
        <v>3</v>
      </c>
      <c r="O168" s="2" t="s">
        <v>4</v>
      </c>
      <c r="P168" s="1" t="s">
        <v>9</v>
      </c>
      <c r="Q168" s="4" t="s">
        <v>10</v>
      </c>
      <c r="R168" s="2" t="s">
        <v>2</v>
      </c>
      <c r="S168" s="2" t="s">
        <v>3</v>
      </c>
      <c r="T168" s="2" t="s">
        <v>4</v>
      </c>
      <c r="U168" s="1" t="s">
        <v>11</v>
      </c>
      <c r="V168" s="4" t="s">
        <v>12</v>
      </c>
      <c r="W168" s="2" t="s">
        <v>2</v>
      </c>
      <c r="X168" s="2" t="s">
        <v>3</v>
      </c>
      <c r="Y168" s="2" t="s">
        <v>4</v>
      </c>
      <c r="Z168" s="1"/>
    </row>
    <row r="169" spans="1:26" ht="15" thickBot="1" x14ac:dyDescent="0.35">
      <c r="A169" s="1"/>
      <c r="B169" s="5">
        <v>1</v>
      </c>
      <c r="C169" s="5">
        <v>1360</v>
      </c>
      <c r="D169" s="2" t="s">
        <v>13</v>
      </c>
      <c r="E169" s="6" t="s">
        <v>14</v>
      </c>
      <c r="F169" s="1">
        <f t="shared" ref="F169:F177" si="5">C169/B169</f>
        <v>1360</v>
      </c>
      <c r="G169" s="5">
        <v>1</v>
      </c>
      <c r="H169" s="5">
        <v>1570</v>
      </c>
      <c r="I169" s="7" t="s">
        <v>13</v>
      </c>
      <c r="J169" s="2"/>
      <c r="K169" s="1">
        <f t="shared" ref="K169:K177" si="6">H169/G169</f>
        <v>1570</v>
      </c>
      <c r="L169" s="5">
        <v>1</v>
      </c>
      <c r="M169" s="2"/>
      <c r="N169" s="2"/>
      <c r="O169" s="2"/>
      <c r="P169" s="1">
        <f t="shared" ref="P169:P177" si="7">M169/L169</f>
        <v>0</v>
      </c>
      <c r="Q169" s="5">
        <v>1</v>
      </c>
      <c r="R169" s="2"/>
      <c r="S169" s="2"/>
      <c r="T169" s="2"/>
      <c r="U169" s="1">
        <f t="shared" ref="U169:U177" si="8">R169/Q169</f>
        <v>0</v>
      </c>
      <c r="V169" s="5">
        <v>1</v>
      </c>
      <c r="W169" s="2"/>
      <c r="X169" s="2"/>
      <c r="Y169" s="2"/>
      <c r="Z169" s="1"/>
    </row>
    <row r="170" spans="1:26" ht="15" thickBot="1" x14ac:dyDescent="0.35">
      <c r="A170" s="1"/>
      <c r="B170" s="5">
        <v>2</v>
      </c>
      <c r="C170" s="7" t="s">
        <v>15</v>
      </c>
      <c r="D170" s="2" t="s">
        <v>15</v>
      </c>
      <c r="E170" s="3" t="s">
        <v>15</v>
      </c>
      <c r="F170" s="1">
        <v>0</v>
      </c>
      <c r="G170" s="5">
        <v>2</v>
      </c>
      <c r="H170" s="7" t="s">
        <v>15</v>
      </c>
      <c r="I170" s="2" t="s">
        <v>15</v>
      </c>
      <c r="J170" s="2" t="s">
        <v>15</v>
      </c>
      <c r="K170" s="1">
        <v>0</v>
      </c>
      <c r="L170" s="5">
        <v>2</v>
      </c>
      <c r="M170" s="2"/>
      <c r="N170" s="2"/>
      <c r="O170" s="2"/>
      <c r="P170" s="1">
        <f t="shared" si="7"/>
        <v>0</v>
      </c>
      <c r="Q170" s="5">
        <v>2</v>
      </c>
      <c r="R170" s="2"/>
      <c r="S170" s="2"/>
      <c r="T170" s="2"/>
      <c r="U170" s="1">
        <f t="shared" si="8"/>
        <v>0</v>
      </c>
      <c r="V170" s="5">
        <v>2</v>
      </c>
      <c r="W170" s="2"/>
      <c r="X170" s="2"/>
      <c r="Y170" s="2"/>
      <c r="Z170" s="1"/>
    </row>
    <row r="171" spans="1:26" ht="15" thickBot="1" x14ac:dyDescent="0.35">
      <c r="A171" s="1"/>
      <c r="B171" s="5">
        <v>3</v>
      </c>
      <c r="C171" s="7" t="s">
        <v>15</v>
      </c>
      <c r="D171" s="2" t="s">
        <v>15</v>
      </c>
      <c r="E171" s="3" t="s">
        <v>15</v>
      </c>
      <c r="F171" s="1">
        <v>0</v>
      </c>
      <c r="G171" s="5">
        <v>3</v>
      </c>
      <c r="H171" s="7" t="s">
        <v>15</v>
      </c>
      <c r="I171" s="2" t="s">
        <v>15</v>
      </c>
      <c r="J171" s="2" t="s">
        <v>15</v>
      </c>
      <c r="K171" s="1">
        <v>0</v>
      </c>
      <c r="L171" s="5">
        <v>3</v>
      </c>
      <c r="M171" s="2">
        <v>5300</v>
      </c>
      <c r="N171" s="2"/>
      <c r="O171" s="2"/>
      <c r="P171" s="1">
        <f t="shared" si="7"/>
        <v>1766.6666666666667</v>
      </c>
      <c r="Q171" s="5">
        <v>3</v>
      </c>
      <c r="R171" s="2"/>
      <c r="S171" s="2"/>
      <c r="T171" s="2"/>
      <c r="U171" s="1">
        <f t="shared" si="8"/>
        <v>0</v>
      </c>
      <c r="V171" s="5">
        <v>3</v>
      </c>
      <c r="W171" s="2"/>
      <c r="X171" s="2"/>
      <c r="Y171" s="2"/>
      <c r="Z171" s="1"/>
    </row>
    <row r="172" spans="1:26" ht="15" thickBot="1" x14ac:dyDescent="0.35">
      <c r="A172" s="1"/>
      <c r="B172" s="5">
        <v>4</v>
      </c>
      <c r="C172" s="7" t="s">
        <v>16</v>
      </c>
      <c r="D172" s="2" t="s">
        <v>16</v>
      </c>
      <c r="E172" s="3" t="s">
        <v>16</v>
      </c>
      <c r="F172" s="1">
        <v>0</v>
      </c>
      <c r="G172" s="5">
        <v>4</v>
      </c>
      <c r="H172" s="7" t="s">
        <v>15</v>
      </c>
      <c r="I172" s="2" t="s">
        <v>15</v>
      </c>
      <c r="J172" s="2" t="s">
        <v>15</v>
      </c>
      <c r="K172" s="1">
        <v>0</v>
      </c>
      <c r="L172" s="5">
        <v>4</v>
      </c>
      <c r="M172" s="2"/>
      <c r="N172" s="2"/>
      <c r="O172" s="2"/>
      <c r="P172" s="1">
        <f t="shared" si="7"/>
        <v>0</v>
      </c>
      <c r="Q172" s="5">
        <v>4</v>
      </c>
      <c r="R172" s="2"/>
      <c r="S172" s="2"/>
      <c r="T172" s="2"/>
      <c r="U172" s="1">
        <f t="shared" si="8"/>
        <v>0</v>
      </c>
      <c r="V172" s="5">
        <v>4</v>
      </c>
      <c r="W172" s="2"/>
      <c r="X172" s="2"/>
      <c r="Y172" s="2"/>
      <c r="Z172" s="1"/>
    </row>
    <row r="173" spans="1:26" ht="15" thickBot="1" x14ac:dyDescent="0.35">
      <c r="A173" s="1"/>
      <c r="B173" s="5">
        <v>5</v>
      </c>
      <c r="C173" s="5">
        <v>6640</v>
      </c>
      <c r="D173" s="7" t="s">
        <v>17</v>
      </c>
      <c r="E173" s="3"/>
      <c r="F173" s="1">
        <f t="shared" si="5"/>
        <v>1328</v>
      </c>
      <c r="G173" s="5">
        <v>5</v>
      </c>
      <c r="H173" s="5">
        <v>7730</v>
      </c>
      <c r="I173" s="7" t="s">
        <v>17</v>
      </c>
      <c r="J173" s="8" t="s">
        <v>18</v>
      </c>
      <c r="K173" s="1">
        <f t="shared" si="6"/>
        <v>1546</v>
      </c>
      <c r="L173" s="5">
        <v>5</v>
      </c>
      <c r="M173" s="2"/>
      <c r="N173" s="2"/>
      <c r="O173" s="2"/>
      <c r="P173" s="1">
        <f t="shared" si="7"/>
        <v>0</v>
      </c>
      <c r="Q173" s="5">
        <v>5</v>
      </c>
      <c r="R173" s="2"/>
      <c r="S173" s="2"/>
      <c r="T173" s="2"/>
      <c r="U173" s="1">
        <f t="shared" si="8"/>
        <v>0</v>
      </c>
      <c r="V173" s="5">
        <v>5</v>
      </c>
      <c r="W173" s="2"/>
      <c r="X173" s="2"/>
      <c r="Y173" s="2"/>
      <c r="Z173" s="1"/>
    </row>
    <row r="174" spans="1:26" ht="15" thickBot="1" x14ac:dyDescent="0.35">
      <c r="A174" s="1"/>
      <c r="B174" s="5">
        <v>6</v>
      </c>
      <c r="C174" s="5">
        <v>7880</v>
      </c>
      <c r="D174" s="7" t="s">
        <v>19</v>
      </c>
      <c r="E174" s="9">
        <v>9122843601</v>
      </c>
      <c r="F174" s="1">
        <f t="shared" si="5"/>
        <v>1313.3333333333333</v>
      </c>
      <c r="G174" s="5">
        <v>6</v>
      </c>
      <c r="H174" s="5">
        <v>9110</v>
      </c>
      <c r="I174" s="7" t="s">
        <v>19</v>
      </c>
      <c r="J174" s="8" t="s">
        <v>20</v>
      </c>
      <c r="K174" s="1">
        <f t="shared" si="6"/>
        <v>1518.3333333333333</v>
      </c>
      <c r="L174" s="5">
        <v>6</v>
      </c>
      <c r="M174" s="2"/>
      <c r="N174" s="2"/>
      <c r="O174" s="2"/>
      <c r="P174" s="1">
        <f t="shared" si="7"/>
        <v>0</v>
      </c>
      <c r="Q174" s="5">
        <v>6</v>
      </c>
      <c r="R174" s="2"/>
      <c r="S174" s="2"/>
      <c r="T174" s="2"/>
      <c r="U174" s="1">
        <f t="shared" si="8"/>
        <v>0</v>
      </c>
      <c r="V174" s="5">
        <v>6</v>
      </c>
      <c r="W174" s="2"/>
      <c r="X174" s="2"/>
      <c r="Y174" s="2"/>
      <c r="Z174" s="1"/>
    </row>
    <row r="175" spans="1:26" ht="29.4" thickBot="1" x14ac:dyDescent="0.35">
      <c r="A175" s="1"/>
      <c r="B175" s="5">
        <v>7</v>
      </c>
      <c r="C175" s="5">
        <v>9100</v>
      </c>
      <c r="D175" s="2"/>
      <c r="E175" s="9">
        <v>3557587771</v>
      </c>
      <c r="F175" s="1">
        <f t="shared" si="5"/>
        <v>1300</v>
      </c>
      <c r="G175" s="5">
        <v>7</v>
      </c>
      <c r="H175" s="5">
        <v>10450</v>
      </c>
      <c r="I175" s="7" t="s">
        <v>21</v>
      </c>
      <c r="J175" s="5" t="s">
        <v>22</v>
      </c>
      <c r="K175" s="1">
        <f t="shared" si="6"/>
        <v>1492.8571428571429</v>
      </c>
      <c r="L175" s="5">
        <v>7</v>
      </c>
      <c r="M175" s="10">
        <v>11800</v>
      </c>
      <c r="N175" s="2"/>
      <c r="O175" s="8" t="s">
        <v>23</v>
      </c>
      <c r="P175" s="1">
        <f t="shared" si="7"/>
        <v>1685.7142857142858</v>
      </c>
      <c r="Q175" s="5">
        <v>7</v>
      </c>
      <c r="R175" s="10">
        <v>13150</v>
      </c>
      <c r="S175" s="10" t="s">
        <v>21</v>
      </c>
      <c r="T175" s="8" t="s">
        <v>24</v>
      </c>
      <c r="U175" s="1">
        <f t="shared" si="8"/>
        <v>1878.5714285714287</v>
      </c>
      <c r="V175" s="5">
        <v>7</v>
      </c>
      <c r="W175" s="11">
        <v>14500</v>
      </c>
      <c r="X175" s="10"/>
      <c r="Y175" s="8" t="s">
        <v>25</v>
      </c>
      <c r="Z175" s="1"/>
    </row>
    <row r="176" spans="1:26" ht="29.4" thickBot="1" x14ac:dyDescent="0.35">
      <c r="A176" s="1"/>
      <c r="B176" s="5">
        <v>8</v>
      </c>
      <c r="C176" s="5">
        <v>10280</v>
      </c>
      <c r="D176" s="2"/>
      <c r="E176" s="9">
        <v>2147407585</v>
      </c>
      <c r="F176" s="1">
        <f t="shared" si="5"/>
        <v>1285</v>
      </c>
      <c r="G176" s="5">
        <v>8</v>
      </c>
      <c r="H176" s="5">
        <v>11710</v>
      </c>
      <c r="I176" s="7" t="s">
        <v>26</v>
      </c>
      <c r="J176" s="5" t="s">
        <v>27</v>
      </c>
      <c r="K176" s="1">
        <f t="shared" si="6"/>
        <v>1463.75</v>
      </c>
      <c r="L176" s="5">
        <v>8</v>
      </c>
      <c r="M176" s="10">
        <v>13140</v>
      </c>
      <c r="N176" s="2"/>
      <c r="O176" s="8" t="s">
        <v>28</v>
      </c>
      <c r="P176" s="1">
        <f t="shared" si="7"/>
        <v>1642.5</v>
      </c>
      <c r="Q176" s="5">
        <v>8</v>
      </c>
      <c r="R176" s="10">
        <v>14570</v>
      </c>
      <c r="S176" s="10" t="s">
        <v>26</v>
      </c>
      <c r="T176" s="8" t="s">
        <v>29</v>
      </c>
      <c r="U176" s="1">
        <f t="shared" si="8"/>
        <v>1821.25</v>
      </c>
      <c r="V176" s="5">
        <v>8</v>
      </c>
      <c r="W176" s="11">
        <v>16000</v>
      </c>
      <c r="X176" s="10"/>
      <c r="Y176" s="8" t="s">
        <v>30</v>
      </c>
      <c r="Z176" s="1"/>
    </row>
    <row r="177" spans="1:31" ht="29.4" thickBot="1" x14ac:dyDescent="0.35">
      <c r="A177" s="1"/>
      <c r="B177" s="5">
        <v>9</v>
      </c>
      <c r="C177" s="5">
        <v>11400</v>
      </c>
      <c r="D177" s="7" t="s">
        <v>31</v>
      </c>
      <c r="E177" s="9">
        <v>3927799238</v>
      </c>
      <c r="F177" s="1">
        <f t="shared" si="5"/>
        <v>1266.6666666666667</v>
      </c>
      <c r="G177" s="5">
        <v>9</v>
      </c>
      <c r="H177" s="5">
        <v>12850</v>
      </c>
      <c r="I177" s="7" t="s">
        <v>31</v>
      </c>
      <c r="J177" s="5" t="s">
        <v>32</v>
      </c>
      <c r="K177" s="1">
        <f t="shared" si="6"/>
        <v>1427.7777777777778</v>
      </c>
      <c r="L177" s="5">
        <v>9</v>
      </c>
      <c r="M177" s="10">
        <v>14300</v>
      </c>
      <c r="N177" s="2"/>
      <c r="O177" s="8" t="s">
        <v>33</v>
      </c>
      <c r="P177" s="1">
        <f t="shared" si="7"/>
        <v>1588.8888888888889</v>
      </c>
      <c r="Q177" s="5">
        <v>9</v>
      </c>
      <c r="R177" s="10">
        <v>15750</v>
      </c>
      <c r="S177" s="10" t="s">
        <v>31</v>
      </c>
      <c r="T177" s="8" t="s">
        <v>34</v>
      </c>
      <c r="U177" s="1">
        <f t="shared" si="8"/>
        <v>1750</v>
      </c>
      <c r="V177" s="5">
        <v>9</v>
      </c>
      <c r="W177" s="11">
        <v>17200</v>
      </c>
      <c r="X177" s="10"/>
      <c r="Y177" s="8" t="s">
        <v>35</v>
      </c>
      <c r="Z177" s="1"/>
    </row>
    <row r="178" spans="1:31" ht="29.4" thickBot="1" x14ac:dyDescent="0.35">
      <c r="A178" s="1"/>
      <c r="B178" s="5">
        <v>10</v>
      </c>
      <c r="C178" s="5">
        <v>12440</v>
      </c>
      <c r="D178" s="12"/>
      <c r="E178" s="9">
        <v>1648542657</v>
      </c>
      <c r="F178" s="1">
        <f>C178/B178</f>
        <v>1244</v>
      </c>
      <c r="G178" s="8">
        <v>10</v>
      </c>
      <c r="H178" s="8">
        <v>13880</v>
      </c>
      <c r="I178" s="2" t="s">
        <v>36</v>
      </c>
      <c r="J178" s="8" t="s">
        <v>37</v>
      </c>
      <c r="K178" s="1">
        <f>H178/G178</f>
        <v>1388</v>
      </c>
      <c r="L178" s="5">
        <v>10</v>
      </c>
      <c r="M178" s="10">
        <v>15320</v>
      </c>
      <c r="N178" s="10" t="s">
        <v>36</v>
      </c>
      <c r="O178" s="8">
        <v>15</v>
      </c>
      <c r="P178" s="1">
        <f>M178/L178</f>
        <v>1532</v>
      </c>
      <c r="Q178" s="5">
        <v>10</v>
      </c>
      <c r="R178" s="10">
        <v>16760</v>
      </c>
      <c r="S178" s="10" t="s">
        <v>36</v>
      </c>
      <c r="T178" s="8" t="s">
        <v>38</v>
      </c>
      <c r="U178" s="1">
        <f>R178/Q178</f>
        <v>1676</v>
      </c>
      <c r="V178" s="5">
        <v>10</v>
      </c>
      <c r="W178" s="11">
        <v>18200</v>
      </c>
      <c r="X178" s="10"/>
      <c r="Y178" s="8" t="s">
        <v>39</v>
      </c>
      <c r="Z178" s="1"/>
    </row>
    <row r="179" spans="1:31" ht="15" thickBo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31" ht="15" thickBot="1" x14ac:dyDescent="0.35">
      <c r="A180" t="s">
        <v>40</v>
      </c>
      <c r="B180">
        <v>2.1</v>
      </c>
      <c r="C180">
        <v>2.2000000000000002</v>
      </c>
      <c r="D180">
        <v>2.2999999999999998</v>
      </c>
      <c r="E180">
        <v>4.0999999999999996</v>
      </c>
      <c r="F180">
        <v>4.2</v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31" x14ac:dyDescent="0.3">
      <c r="A181" t="s">
        <v>41</v>
      </c>
      <c r="B181">
        <v>31</v>
      </c>
      <c r="C181">
        <v>24</v>
      </c>
      <c r="D181">
        <v>146</v>
      </c>
      <c r="E181">
        <v>201</v>
      </c>
      <c r="F181">
        <v>161</v>
      </c>
      <c r="J181" t="s">
        <v>87</v>
      </c>
      <c r="K181" t="s">
        <v>2</v>
      </c>
      <c r="L181" t="s">
        <v>3</v>
      </c>
      <c r="M181" t="s">
        <v>4</v>
      </c>
      <c r="O181" t="s">
        <v>88</v>
      </c>
      <c r="P181" t="s">
        <v>2</v>
      </c>
      <c r="Q181" t="s">
        <v>3</v>
      </c>
      <c r="R181" t="s">
        <v>4</v>
      </c>
      <c r="T181" t="s">
        <v>89</v>
      </c>
      <c r="U181" t="s">
        <v>2</v>
      </c>
      <c r="V181" t="s">
        <v>3</v>
      </c>
      <c r="W181" t="s">
        <v>4</v>
      </c>
    </row>
    <row r="182" spans="1:31" x14ac:dyDescent="0.3">
      <c r="A182" t="s">
        <v>42</v>
      </c>
      <c r="B182">
        <v>54</v>
      </c>
      <c r="C182">
        <v>52</v>
      </c>
      <c r="D182">
        <v>176</v>
      </c>
      <c r="E182">
        <v>613</v>
      </c>
      <c r="F182">
        <v>442</v>
      </c>
      <c r="J182" t="s">
        <v>72</v>
      </c>
      <c r="K182">
        <v>6230</v>
      </c>
      <c r="L182" t="s">
        <v>53</v>
      </c>
      <c r="M182" t="s">
        <v>86</v>
      </c>
      <c r="O182" t="s">
        <v>72</v>
      </c>
      <c r="P182">
        <v>4650</v>
      </c>
      <c r="Q182" t="s">
        <v>63</v>
      </c>
      <c r="R182" t="s">
        <v>73</v>
      </c>
      <c r="T182" t="s">
        <v>72</v>
      </c>
      <c r="U182">
        <v>28400</v>
      </c>
      <c r="V182" t="s">
        <v>90</v>
      </c>
      <c r="W182" t="s">
        <v>91</v>
      </c>
      <c r="AB182" t="s">
        <v>98</v>
      </c>
      <c r="AC182" t="s">
        <v>113</v>
      </c>
      <c r="AD182" t="s">
        <v>69</v>
      </c>
      <c r="AE182" t="s">
        <v>113</v>
      </c>
    </row>
    <row r="183" spans="1:31" x14ac:dyDescent="0.3">
      <c r="A183" t="s">
        <v>43</v>
      </c>
      <c r="B183" s="13">
        <f>B181/B182</f>
        <v>0.57407407407407407</v>
      </c>
      <c r="C183" s="13">
        <f>C181/C182</f>
        <v>0.46153846153846156</v>
      </c>
      <c r="D183" s="13">
        <f>D181/D182</f>
        <v>0.82954545454545459</v>
      </c>
      <c r="E183" s="13">
        <f>E181/E182</f>
        <v>0.32789559543230018</v>
      </c>
      <c r="F183" s="13">
        <f>F181/F182</f>
        <v>0.36425339366515835</v>
      </c>
      <c r="AA183">
        <v>97</v>
      </c>
      <c r="AB183">
        <v>5824</v>
      </c>
      <c r="AC183">
        <v>22.8</v>
      </c>
      <c r="AD183">
        <v>12468</v>
      </c>
      <c r="AE183">
        <v>529.70000000000005</v>
      </c>
    </row>
    <row r="184" spans="1:31" ht="15" thickBot="1" x14ac:dyDescent="0.35">
      <c r="AA184">
        <v>96</v>
      </c>
      <c r="AB184">
        <f>60*96+6</f>
        <v>5766</v>
      </c>
    </row>
    <row r="185" spans="1:31" ht="15" thickBot="1" x14ac:dyDescent="0.35">
      <c r="A185" s="14" t="s">
        <v>44</v>
      </c>
      <c r="B185" s="14"/>
      <c r="C185" s="14"/>
      <c r="D185" s="14"/>
      <c r="E185" s="14"/>
      <c r="F185" s="14"/>
      <c r="G185" s="14"/>
      <c r="J185" s="2" t="s">
        <v>74</v>
      </c>
      <c r="K185" s="2"/>
      <c r="L185" s="2"/>
      <c r="M185" s="2"/>
      <c r="AA185">
        <v>95</v>
      </c>
      <c r="AB185">
        <v>5708</v>
      </c>
      <c r="AC185">
        <v>8.1999999999999993</v>
      </c>
    </row>
    <row r="186" spans="1:31" ht="15" thickBot="1" x14ac:dyDescent="0.35">
      <c r="A186" s="14" t="s">
        <v>3</v>
      </c>
      <c r="B186" s="14" t="s">
        <v>45</v>
      </c>
      <c r="C186" s="14" t="s">
        <v>46</v>
      </c>
      <c r="D186" s="14" t="s">
        <v>47</v>
      </c>
      <c r="E186" s="14" t="s">
        <v>48</v>
      </c>
      <c r="F186" s="15" t="s">
        <v>49</v>
      </c>
      <c r="G186" s="15" t="s">
        <v>50</v>
      </c>
      <c r="J186" s="3" t="s">
        <v>6</v>
      </c>
      <c r="K186" s="2" t="s">
        <v>2</v>
      </c>
      <c r="L186" s="2" t="s">
        <v>3</v>
      </c>
      <c r="M186" s="2" t="s">
        <v>4</v>
      </c>
      <c r="U186" t="s">
        <v>46</v>
      </c>
      <c r="V186" t="s">
        <v>2</v>
      </c>
      <c r="W186" t="s">
        <v>3</v>
      </c>
      <c r="AA186">
        <v>94</v>
      </c>
      <c r="AB186">
        <f>60*94+10</f>
        <v>5650</v>
      </c>
    </row>
    <row r="187" spans="1:31" ht="15" thickBot="1" x14ac:dyDescent="0.35">
      <c r="A187" s="16" t="s">
        <v>51</v>
      </c>
      <c r="B187" s="16">
        <v>2</v>
      </c>
      <c r="C187" s="16">
        <v>2</v>
      </c>
      <c r="D187" s="16">
        <v>5420</v>
      </c>
      <c r="E187" s="16" t="s">
        <v>52</v>
      </c>
      <c r="F187" s="17">
        <f>D187/B187</f>
        <v>2710</v>
      </c>
      <c r="G187" s="17">
        <f>C187/B187</f>
        <v>1</v>
      </c>
      <c r="J187" s="5" t="s">
        <v>75</v>
      </c>
      <c r="K187" s="2">
        <v>11060</v>
      </c>
      <c r="L187" s="2" t="s">
        <v>76</v>
      </c>
      <c r="M187" s="2" t="s">
        <v>77</v>
      </c>
      <c r="O187" t="s">
        <v>49</v>
      </c>
      <c r="P187" t="s">
        <v>50</v>
      </c>
      <c r="T187">
        <v>2.1</v>
      </c>
      <c r="U187" t="s">
        <v>92</v>
      </c>
      <c r="V187">
        <v>7810</v>
      </c>
      <c r="W187" t="s">
        <v>93</v>
      </c>
      <c r="AA187">
        <v>93</v>
      </c>
      <c r="AB187">
        <v>5592</v>
      </c>
      <c r="AC187">
        <v>8.6999999999999993</v>
      </c>
    </row>
    <row r="188" spans="1:31" ht="15" thickBot="1" x14ac:dyDescent="0.35">
      <c r="A188" s="16" t="s">
        <v>51</v>
      </c>
      <c r="B188" s="16">
        <v>3</v>
      </c>
      <c r="C188" s="16">
        <v>1.5</v>
      </c>
      <c r="D188" s="16">
        <v>7810</v>
      </c>
      <c r="E188" s="16" t="s">
        <v>53</v>
      </c>
      <c r="F188" s="17">
        <f t="shared" ref="F188:F200" si="9">D188/B188</f>
        <v>2603.3333333333335</v>
      </c>
      <c r="G188" s="17">
        <f t="shared" ref="G188:G202" si="10">C188/B188</f>
        <v>0.5</v>
      </c>
      <c r="J188" s="5" t="s">
        <v>78</v>
      </c>
      <c r="K188" s="2">
        <v>9710</v>
      </c>
      <c r="L188" s="2" t="s">
        <v>55</v>
      </c>
      <c r="M188" s="2" t="s">
        <v>79</v>
      </c>
      <c r="O188">
        <v>1985</v>
      </c>
      <c r="P188">
        <v>6.9</v>
      </c>
      <c r="T188">
        <v>2.2000000000000002</v>
      </c>
      <c r="U188" t="s">
        <v>94</v>
      </c>
      <c r="V188">
        <v>4650</v>
      </c>
      <c r="W188" t="s">
        <v>95</v>
      </c>
      <c r="AA188">
        <v>92</v>
      </c>
      <c r="AB188">
        <f>60*92+2*7</f>
        <v>5534</v>
      </c>
    </row>
    <row r="189" spans="1:31" ht="15" thickBot="1" x14ac:dyDescent="0.35">
      <c r="A189" s="16" t="s">
        <v>51</v>
      </c>
      <c r="B189" s="16">
        <v>4</v>
      </c>
      <c r="C189" s="16">
        <v>1.9</v>
      </c>
      <c r="D189" s="16">
        <v>9950</v>
      </c>
      <c r="E189" s="16" t="s">
        <v>54</v>
      </c>
      <c r="F189" s="17">
        <f t="shared" si="9"/>
        <v>2487.5</v>
      </c>
      <c r="G189" s="17">
        <f t="shared" si="10"/>
        <v>0.47499999999999998</v>
      </c>
      <c r="J189" s="5" t="s">
        <v>80</v>
      </c>
      <c r="K189" s="2">
        <v>6230</v>
      </c>
      <c r="L189" s="2" t="s">
        <v>53</v>
      </c>
      <c r="M189" s="2" t="s">
        <v>81</v>
      </c>
      <c r="O189">
        <v>1983.6669999999999</v>
      </c>
      <c r="P189">
        <v>16.333333</v>
      </c>
      <c r="T189">
        <v>2.2999999999999998</v>
      </c>
      <c r="U189" t="s">
        <v>96</v>
      </c>
      <c r="V189">
        <v>35400</v>
      </c>
      <c r="W189" t="s">
        <v>97</v>
      </c>
      <c r="AA189">
        <v>91</v>
      </c>
      <c r="AB189">
        <v>5476</v>
      </c>
      <c r="AC189">
        <v>9.3000000000000007</v>
      </c>
    </row>
    <row r="190" spans="1:31" ht="15" thickBot="1" x14ac:dyDescent="0.35">
      <c r="A190" s="16" t="s">
        <v>51</v>
      </c>
      <c r="B190" s="16">
        <v>5</v>
      </c>
      <c r="C190" s="16">
        <v>1.8</v>
      </c>
      <c r="D190" s="16">
        <v>11770</v>
      </c>
      <c r="E190" s="16" t="s">
        <v>55</v>
      </c>
      <c r="F190" s="17">
        <f t="shared" si="9"/>
        <v>2354</v>
      </c>
      <c r="G190" s="17">
        <f t="shared" si="10"/>
        <v>0.36</v>
      </c>
      <c r="J190" s="5" t="s">
        <v>82</v>
      </c>
      <c r="K190" s="2">
        <v>4260</v>
      </c>
      <c r="L190" s="2" t="s">
        <v>52</v>
      </c>
      <c r="M190" s="2" t="s">
        <v>83</v>
      </c>
      <c r="O190">
        <v>1983</v>
      </c>
      <c r="P190">
        <v>33.325000000000003</v>
      </c>
      <c r="AA190">
        <v>90</v>
      </c>
      <c r="AB190">
        <v>5418</v>
      </c>
      <c r="AC190">
        <v>28.8</v>
      </c>
    </row>
    <row r="191" spans="1:31" ht="15" thickBot="1" x14ac:dyDescent="0.35">
      <c r="A191" s="18" t="s">
        <v>56</v>
      </c>
      <c r="B191" s="18">
        <v>2</v>
      </c>
      <c r="C191" s="18">
        <v>28.8</v>
      </c>
      <c r="D191" s="18">
        <v>5418</v>
      </c>
      <c r="E191" s="18" t="s">
        <v>52</v>
      </c>
      <c r="F191" s="19">
        <f t="shared" si="9"/>
        <v>2709</v>
      </c>
      <c r="G191" s="19">
        <f t="shared" si="10"/>
        <v>14.4</v>
      </c>
      <c r="J191" s="5" t="s">
        <v>84</v>
      </c>
      <c r="K191" s="2" t="s">
        <v>15</v>
      </c>
      <c r="L191" s="2" t="s">
        <v>15</v>
      </c>
      <c r="M191" s="2" t="s">
        <v>15</v>
      </c>
      <c r="O191">
        <v>1982.6</v>
      </c>
      <c r="P191">
        <v>20.64</v>
      </c>
      <c r="AA191">
        <v>89</v>
      </c>
      <c r="AB191">
        <v>5360</v>
      </c>
      <c r="AC191">
        <v>11.6</v>
      </c>
    </row>
    <row r="192" spans="1:31" ht="15" thickBot="1" x14ac:dyDescent="0.35">
      <c r="A192" s="18" t="s">
        <v>56</v>
      </c>
      <c r="B192" s="18">
        <v>3</v>
      </c>
      <c r="C192" s="18">
        <v>36.5</v>
      </c>
      <c r="D192" s="18">
        <v>7803</v>
      </c>
      <c r="E192" s="18" t="s">
        <v>53</v>
      </c>
      <c r="F192" s="19">
        <f t="shared" si="9"/>
        <v>2601</v>
      </c>
      <c r="G192" s="19">
        <f t="shared" si="10"/>
        <v>12.166666666666666</v>
      </c>
      <c r="J192" s="5" t="s">
        <v>85</v>
      </c>
      <c r="K192" s="2">
        <v>8050</v>
      </c>
      <c r="L192" s="2" t="s">
        <v>54</v>
      </c>
      <c r="M192" s="2" t="s">
        <v>71</v>
      </c>
      <c r="AA192">
        <v>88</v>
      </c>
      <c r="AB192">
        <v>5302</v>
      </c>
      <c r="AC192">
        <v>10.9</v>
      </c>
    </row>
    <row r="193" spans="1:29" ht="15" thickBot="1" x14ac:dyDescent="0.35">
      <c r="A193" s="18" t="s">
        <v>56</v>
      </c>
      <c r="B193" s="18">
        <v>4</v>
      </c>
      <c r="C193" s="18">
        <v>55.1</v>
      </c>
      <c r="D193" s="18">
        <v>9937</v>
      </c>
      <c r="E193" s="18" t="s">
        <v>57</v>
      </c>
      <c r="F193" s="19">
        <f t="shared" si="9"/>
        <v>2484.25</v>
      </c>
      <c r="G193" s="19">
        <f t="shared" si="10"/>
        <v>13.775</v>
      </c>
      <c r="J193" s="5">
        <v>7</v>
      </c>
      <c r="K193" s="2"/>
      <c r="L193" s="2"/>
      <c r="M193" s="2"/>
      <c r="AA193">
        <v>87</v>
      </c>
      <c r="AB193">
        <v>5244</v>
      </c>
      <c r="AC193">
        <v>10.6</v>
      </c>
    </row>
    <row r="194" spans="1:29" ht="15" thickBot="1" x14ac:dyDescent="0.35">
      <c r="A194" s="18" t="s">
        <v>56</v>
      </c>
      <c r="B194" s="18">
        <v>5</v>
      </c>
      <c r="C194" s="18">
        <v>38.200000000000003</v>
      </c>
      <c r="D194" s="18">
        <v>11747</v>
      </c>
      <c r="E194" s="18" t="s">
        <v>58</v>
      </c>
      <c r="F194" s="19">
        <f t="shared" si="9"/>
        <v>2349.4</v>
      </c>
      <c r="G194" s="19">
        <f t="shared" si="10"/>
        <v>7.6400000000000006</v>
      </c>
      <c r="J194" s="5">
        <v>8</v>
      </c>
      <c r="K194" s="2"/>
      <c r="L194" s="2"/>
      <c r="M194" s="2"/>
      <c r="O194" t="s">
        <v>56</v>
      </c>
      <c r="P194">
        <v>2.1</v>
      </c>
      <c r="Q194" t="s">
        <v>98</v>
      </c>
      <c r="R194">
        <v>28.8</v>
      </c>
      <c r="S194">
        <v>5418</v>
      </c>
      <c r="T194" t="s">
        <v>52</v>
      </c>
      <c r="V194">
        <v>2.1</v>
      </c>
      <c r="Z194">
        <v>2.2000000000000002</v>
      </c>
    </row>
    <row r="195" spans="1:29" ht="15" thickBot="1" x14ac:dyDescent="0.35">
      <c r="A195" s="20" t="s">
        <v>59</v>
      </c>
      <c r="B195" s="20">
        <v>2</v>
      </c>
      <c r="C195" s="20">
        <v>8.6</v>
      </c>
      <c r="D195" s="20">
        <v>5708</v>
      </c>
      <c r="E195" s="20" t="s">
        <v>52</v>
      </c>
      <c r="F195" s="21">
        <f t="shared" si="9"/>
        <v>2854</v>
      </c>
      <c r="G195" s="21">
        <f t="shared" si="10"/>
        <v>4.3</v>
      </c>
      <c r="J195" s="5">
        <v>9</v>
      </c>
      <c r="K195" s="2"/>
      <c r="L195" s="2"/>
      <c r="M195" s="2"/>
      <c r="O195" t="s">
        <v>56</v>
      </c>
      <c r="P195">
        <v>2.2000000000000002</v>
      </c>
      <c r="Q195" t="s">
        <v>98</v>
      </c>
      <c r="R195">
        <v>13.8</v>
      </c>
      <c r="S195">
        <v>3970</v>
      </c>
      <c r="T195" t="s">
        <v>65</v>
      </c>
      <c r="V195" t="s">
        <v>99</v>
      </c>
      <c r="W195" t="s">
        <v>49</v>
      </c>
      <c r="X195" t="s">
        <v>50</v>
      </c>
      <c r="Z195" t="s">
        <v>99</v>
      </c>
      <c r="AA195" s="29" t="s">
        <v>49</v>
      </c>
      <c r="AB195" s="29" t="s">
        <v>50</v>
      </c>
    </row>
    <row r="196" spans="1:29" ht="15" thickBot="1" x14ac:dyDescent="0.35">
      <c r="A196" s="20" t="s">
        <v>59</v>
      </c>
      <c r="B196" s="20">
        <v>3</v>
      </c>
      <c r="C196" s="22">
        <v>11</v>
      </c>
      <c r="D196" s="20">
        <v>8198</v>
      </c>
      <c r="E196" s="20" t="s">
        <v>53</v>
      </c>
      <c r="F196" s="21">
        <f t="shared" si="9"/>
        <v>2732.6666666666665</v>
      </c>
      <c r="G196" s="21">
        <f t="shared" si="10"/>
        <v>3.6666666666666665</v>
      </c>
      <c r="J196" s="5">
        <v>10</v>
      </c>
      <c r="K196" s="2"/>
      <c r="L196" s="2"/>
      <c r="M196" s="2"/>
      <c r="O196" t="s">
        <v>56</v>
      </c>
      <c r="P196">
        <v>2.1</v>
      </c>
      <c r="Q196" t="s">
        <v>72</v>
      </c>
      <c r="R196">
        <v>36.5</v>
      </c>
      <c r="S196">
        <v>7803</v>
      </c>
      <c r="T196" t="s">
        <v>53</v>
      </c>
      <c r="V196">
        <v>2</v>
      </c>
      <c r="W196">
        <f>S194/2</f>
        <v>2709</v>
      </c>
      <c r="X196">
        <f>R194/2</f>
        <v>14.4</v>
      </c>
      <c r="Z196">
        <v>2</v>
      </c>
      <c r="AA196" s="30">
        <v>1985</v>
      </c>
      <c r="AB196" s="30">
        <v>6.9</v>
      </c>
    </row>
    <row r="197" spans="1:29" ht="15" thickBot="1" x14ac:dyDescent="0.35">
      <c r="A197" s="20" t="s">
        <v>59</v>
      </c>
      <c r="B197" s="20">
        <v>4</v>
      </c>
      <c r="C197" s="20">
        <v>19.7</v>
      </c>
      <c r="D197" s="20">
        <v>10412</v>
      </c>
      <c r="E197" s="20" t="s">
        <v>57</v>
      </c>
      <c r="F197" s="21">
        <f t="shared" si="9"/>
        <v>2603</v>
      </c>
      <c r="G197" s="21">
        <f t="shared" si="10"/>
        <v>4.9249999999999998</v>
      </c>
      <c r="J197" s="2" t="s">
        <v>72</v>
      </c>
      <c r="K197" s="2">
        <v>6230</v>
      </c>
      <c r="L197" s="2" t="s">
        <v>53</v>
      </c>
      <c r="M197" s="2" t="s">
        <v>86</v>
      </c>
      <c r="O197" t="s">
        <v>56</v>
      </c>
      <c r="P197">
        <v>2.2000000000000002</v>
      </c>
      <c r="Q197" t="s">
        <v>72</v>
      </c>
      <c r="R197">
        <v>49</v>
      </c>
      <c r="S197">
        <v>5951</v>
      </c>
      <c r="T197" t="s">
        <v>66</v>
      </c>
      <c r="V197">
        <v>3</v>
      </c>
      <c r="W197">
        <f>S196/3</f>
        <v>2601</v>
      </c>
      <c r="X197">
        <f>R196/3</f>
        <v>12.166666666666666</v>
      </c>
      <c r="Z197">
        <v>3</v>
      </c>
      <c r="AA197" s="30">
        <v>1983.6669999999999</v>
      </c>
      <c r="AB197" s="30">
        <v>16.333333</v>
      </c>
    </row>
    <row r="198" spans="1:29" x14ac:dyDescent="0.3">
      <c r="A198" s="20" t="s">
        <v>59</v>
      </c>
      <c r="B198" s="20">
        <v>5</v>
      </c>
      <c r="C198" s="20">
        <v>58.5</v>
      </c>
      <c r="D198" s="20">
        <v>12262</v>
      </c>
      <c r="E198" s="20" t="s">
        <v>58</v>
      </c>
      <c r="F198" s="21">
        <f t="shared" si="9"/>
        <v>2452.4</v>
      </c>
      <c r="G198" s="21">
        <f t="shared" si="10"/>
        <v>11.7</v>
      </c>
      <c r="O198" t="s">
        <v>56</v>
      </c>
      <c r="P198">
        <v>2.1</v>
      </c>
      <c r="Q198" t="s">
        <v>100</v>
      </c>
      <c r="R198">
        <v>55.1</v>
      </c>
      <c r="S198">
        <v>9937</v>
      </c>
      <c r="T198" t="s">
        <v>57</v>
      </c>
      <c r="V198">
        <v>4</v>
      </c>
      <c r="W198">
        <f>S198/4</f>
        <v>2484.25</v>
      </c>
      <c r="X198">
        <f>R198/4</f>
        <v>13.775</v>
      </c>
      <c r="Z198">
        <v>4</v>
      </c>
      <c r="AA198" s="30">
        <v>1983</v>
      </c>
      <c r="AB198" s="30">
        <v>33.325000000000003</v>
      </c>
    </row>
    <row r="199" spans="1:29" x14ac:dyDescent="0.3">
      <c r="A199" s="18" t="s">
        <v>60</v>
      </c>
      <c r="B199" s="18">
        <v>2</v>
      </c>
      <c r="C199" s="18">
        <v>9.5</v>
      </c>
      <c r="D199" s="18">
        <v>5128</v>
      </c>
      <c r="E199" s="18" t="s">
        <v>52</v>
      </c>
      <c r="F199" s="19">
        <f t="shared" si="9"/>
        <v>2564</v>
      </c>
      <c r="G199" s="19">
        <f t="shared" si="10"/>
        <v>4.75</v>
      </c>
      <c r="O199" t="s">
        <v>56</v>
      </c>
      <c r="P199">
        <v>2.2000000000000002</v>
      </c>
      <c r="Q199" t="s">
        <v>100</v>
      </c>
      <c r="R199">
        <v>133.30000000000001</v>
      </c>
      <c r="S199">
        <v>7932</v>
      </c>
      <c r="T199" t="s">
        <v>67</v>
      </c>
      <c r="V199">
        <v>5</v>
      </c>
      <c r="W199">
        <f>S200/5</f>
        <v>2349.4</v>
      </c>
      <c r="X199">
        <f>R200/5</f>
        <v>7.6400000000000006</v>
      </c>
      <c r="Z199">
        <v>5</v>
      </c>
      <c r="AA199">
        <f>S201/5</f>
        <v>1982.6</v>
      </c>
      <c r="AB199">
        <f>R201/5</f>
        <v>20.64</v>
      </c>
    </row>
    <row r="200" spans="1:29" x14ac:dyDescent="0.3">
      <c r="A200" s="18" t="s">
        <v>60</v>
      </c>
      <c r="B200" s="18">
        <v>3</v>
      </c>
      <c r="C200" s="18">
        <v>15.4</v>
      </c>
      <c r="D200" s="18">
        <v>7408</v>
      </c>
      <c r="E200" s="18" t="s">
        <v>53</v>
      </c>
      <c r="F200" s="19">
        <f t="shared" si="9"/>
        <v>2469.3333333333335</v>
      </c>
      <c r="G200" s="19">
        <f t="shared" si="10"/>
        <v>5.1333333333333337</v>
      </c>
      <c r="O200" t="s">
        <v>56</v>
      </c>
      <c r="P200">
        <v>2.1</v>
      </c>
      <c r="Q200" t="s">
        <v>69</v>
      </c>
      <c r="R200">
        <v>38.200000000000003</v>
      </c>
      <c r="S200">
        <v>11747</v>
      </c>
      <c r="T200" t="s">
        <v>58</v>
      </c>
    </row>
    <row r="201" spans="1:29" x14ac:dyDescent="0.3">
      <c r="A201" s="18" t="s">
        <v>60</v>
      </c>
      <c r="B201" s="18">
        <v>4</v>
      </c>
      <c r="C201" s="18">
        <v>22.9</v>
      </c>
      <c r="D201" s="18">
        <v>9462</v>
      </c>
      <c r="E201" s="18" t="s">
        <v>57</v>
      </c>
      <c r="F201" s="19">
        <f>D201/B201</f>
        <v>2365.5</v>
      </c>
      <c r="G201" s="19">
        <f t="shared" si="10"/>
        <v>5.7249999999999996</v>
      </c>
      <c r="O201" t="s">
        <v>56</v>
      </c>
      <c r="P201">
        <v>2.2000000000000002</v>
      </c>
      <c r="Q201" t="s">
        <v>69</v>
      </c>
      <c r="R201">
        <v>103.2</v>
      </c>
      <c r="S201">
        <v>9913</v>
      </c>
      <c r="T201" t="s">
        <v>68</v>
      </c>
    </row>
    <row r="202" spans="1:29" x14ac:dyDescent="0.3">
      <c r="A202" s="18" t="s">
        <v>60</v>
      </c>
      <c r="B202" s="18">
        <v>5</v>
      </c>
      <c r="C202" s="18">
        <v>64.099999999999994</v>
      </c>
      <c r="D202" s="18">
        <v>11232</v>
      </c>
      <c r="E202" s="18" t="s">
        <v>58</v>
      </c>
      <c r="F202" s="19">
        <f>D202/B202</f>
        <v>2246.4</v>
      </c>
      <c r="G202" s="19">
        <f t="shared" si="10"/>
        <v>12.819999999999999</v>
      </c>
      <c r="W202" s="29" t="s">
        <v>49</v>
      </c>
      <c r="X202" s="29" t="s">
        <v>50</v>
      </c>
    </row>
    <row r="203" spans="1:29" ht="15" thickBot="1" x14ac:dyDescent="0.35">
      <c r="O203" s="31" t="s">
        <v>101</v>
      </c>
      <c r="P203" t="s">
        <v>102</v>
      </c>
      <c r="V203">
        <v>2.1</v>
      </c>
      <c r="W203" s="30">
        <v>2709</v>
      </c>
      <c r="X203" s="30">
        <v>14.4</v>
      </c>
    </row>
    <row r="204" spans="1:29" ht="15" thickBot="1" x14ac:dyDescent="0.35">
      <c r="A204" s="23" t="s">
        <v>61</v>
      </c>
      <c r="B204" s="23"/>
      <c r="C204" s="23"/>
      <c r="D204" s="23"/>
      <c r="E204" s="23"/>
      <c r="F204" s="23"/>
      <c r="G204" s="23"/>
      <c r="J204" s="2" t="s">
        <v>0</v>
      </c>
      <c r="K204" s="2"/>
      <c r="L204" s="2"/>
      <c r="M204" s="2"/>
      <c r="O204" s="31" t="s">
        <v>103</v>
      </c>
      <c r="V204">
        <v>2.2000000000000002</v>
      </c>
      <c r="W204" s="30">
        <v>1985</v>
      </c>
      <c r="X204" s="30">
        <v>6.9</v>
      </c>
    </row>
    <row r="205" spans="1:29" ht="15" thickBot="1" x14ac:dyDescent="0.35">
      <c r="A205" s="23" t="s">
        <v>3</v>
      </c>
      <c r="B205" s="23" t="s">
        <v>45</v>
      </c>
      <c r="C205" s="23" t="s">
        <v>46</v>
      </c>
      <c r="D205" s="23" t="s">
        <v>2</v>
      </c>
      <c r="E205" s="23" t="s">
        <v>48</v>
      </c>
      <c r="F205" s="24" t="s">
        <v>49</v>
      </c>
      <c r="G205" s="24" t="s">
        <v>50</v>
      </c>
      <c r="J205" s="4" t="s">
        <v>6</v>
      </c>
      <c r="K205" s="2" t="s">
        <v>2</v>
      </c>
      <c r="L205" s="2" t="s">
        <v>3</v>
      </c>
      <c r="M205" s="2" t="s">
        <v>4</v>
      </c>
      <c r="V205">
        <v>2.1</v>
      </c>
      <c r="W205" s="30">
        <v>2601</v>
      </c>
      <c r="X205" s="30">
        <v>12.166667</v>
      </c>
    </row>
    <row r="206" spans="1:29" ht="15" thickBot="1" x14ac:dyDescent="0.35">
      <c r="A206" s="25" t="s">
        <v>51</v>
      </c>
      <c r="B206" s="25">
        <v>2</v>
      </c>
      <c r="C206" s="25">
        <v>1.4</v>
      </c>
      <c r="D206" s="25">
        <v>3970</v>
      </c>
      <c r="E206" s="25" t="s">
        <v>62</v>
      </c>
      <c r="F206" s="25">
        <f>D206/B206</f>
        <v>1985</v>
      </c>
      <c r="G206" s="25">
        <f>C206/B206</f>
        <v>0.7</v>
      </c>
      <c r="J206" s="5" t="s">
        <v>69</v>
      </c>
      <c r="K206" s="28">
        <v>7730</v>
      </c>
      <c r="L206" s="2" t="s">
        <v>70</v>
      </c>
      <c r="M206" s="2" t="s">
        <v>71</v>
      </c>
      <c r="V206">
        <v>2.2000000000000002</v>
      </c>
      <c r="W206" s="30">
        <v>1983.6669999999999</v>
      </c>
      <c r="X206" s="30">
        <v>16.333333</v>
      </c>
    </row>
    <row r="207" spans="1:29" ht="15" thickBot="1" x14ac:dyDescent="0.35">
      <c r="A207" s="25" t="s">
        <v>51</v>
      </c>
      <c r="B207" s="25">
        <v>3</v>
      </c>
      <c r="C207" s="25">
        <v>2.6</v>
      </c>
      <c r="D207" s="25">
        <v>5950</v>
      </c>
      <c r="E207" s="25" t="s">
        <v>63</v>
      </c>
      <c r="F207" s="25">
        <f t="shared" ref="F207:F217" si="11">D207/B207</f>
        <v>1983.3333333333333</v>
      </c>
      <c r="G207" s="25">
        <f t="shared" ref="G207:G217" si="12">C207/B207</f>
        <v>0.8666666666666667</v>
      </c>
      <c r="J207" s="5">
        <v>2</v>
      </c>
      <c r="K207" s="2"/>
      <c r="L207" s="2"/>
      <c r="M207" s="2"/>
      <c r="V207">
        <v>2.1</v>
      </c>
      <c r="W207" s="30">
        <v>2484.25</v>
      </c>
      <c r="X207" s="30">
        <v>13.775</v>
      </c>
    </row>
    <row r="208" spans="1:29" ht="15" thickBot="1" x14ac:dyDescent="0.35">
      <c r="A208" s="25" t="s">
        <v>51</v>
      </c>
      <c r="B208" s="25">
        <v>4</v>
      </c>
      <c r="C208" s="25">
        <v>7.4</v>
      </c>
      <c r="D208" s="25">
        <v>7930</v>
      </c>
      <c r="E208" s="25" t="s">
        <v>64</v>
      </c>
      <c r="F208" s="25">
        <f t="shared" si="11"/>
        <v>1982.5</v>
      </c>
      <c r="G208" s="25">
        <f t="shared" si="12"/>
        <v>1.85</v>
      </c>
      <c r="J208" s="5" t="s">
        <v>72</v>
      </c>
      <c r="K208" s="2">
        <v>4650</v>
      </c>
      <c r="L208" s="2" t="s">
        <v>63</v>
      </c>
      <c r="M208" s="2" t="s">
        <v>73</v>
      </c>
      <c r="V208">
        <v>2.2000000000000002</v>
      </c>
      <c r="W208" s="30">
        <v>1983</v>
      </c>
      <c r="X208" s="30">
        <v>33.325000000000003</v>
      </c>
    </row>
    <row r="209" spans="1:21" x14ac:dyDescent="0.3">
      <c r="A209" s="25" t="s">
        <v>51</v>
      </c>
      <c r="B209" s="25">
        <v>5</v>
      </c>
      <c r="C209" s="25">
        <v>8.6</v>
      </c>
      <c r="D209" s="25">
        <v>9910</v>
      </c>
      <c r="E209" s="25" t="s">
        <v>17</v>
      </c>
      <c r="F209" s="25">
        <f t="shared" si="11"/>
        <v>1982</v>
      </c>
      <c r="G209" s="25">
        <f t="shared" si="12"/>
        <v>1.72</v>
      </c>
    </row>
    <row r="210" spans="1:21" x14ac:dyDescent="0.3">
      <c r="A210" s="26" t="s">
        <v>56</v>
      </c>
      <c r="B210" s="26">
        <v>2</v>
      </c>
      <c r="C210" s="26">
        <v>13.8</v>
      </c>
      <c r="D210" s="26">
        <v>3970</v>
      </c>
      <c r="E210" s="26" t="s">
        <v>65</v>
      </c>
      <c r="F210" s="26">
        <f t="shared" si="11"/>
        <v>1985</v>
      </c>
      <c r="G210" s="26">
        <f t="shared" si="12"/>
        <v>6.9</v>
      </c>
    </row>
    <row r="211" spans="1:21" x14ac:dyDescent="0.3">
      <c r="A211" s="26" t="s">
        <v>56</v>
      </c>
      <c r="B211" s="26">
        <v>3</v>
      </c>
      <c r="C211" s="26">
        <v>49</v>
      </c>
      <c r="D211" s="26">
        <v>5951</v>
      </c>
      <c r="E211" s="26" t="s">
        <v>66</v>
      </c>
      <c r="F211" s="26">
        <f t="shared" si="11"/>
        <v>1983.6666666666667</v>
      </c>
      <c r="G211" s="26">
        <f t="shared" si="12"/>
        <v>16.333333333333332</v>
      </c>
    </row>
    <row r="212" spans="1:21" x14ac:dyDescent="0.3">
      <c r="A212" s="26" t="s">
        <v>56</v>
      </c>
      <c r="B212" s="26">
        <v>4</v>
      </c>
      <c r="C212" s="26">
        <v>133.30000000000001</v>
      </c>
      <c r="D212" s="26">
        <v>7932</v>
      </c>
      <c r="E212" s="26" t="s">
        <v>67</v>
      </c>
      <c r="F212" s="26">
        <f t="shared" si="11"/>
        <v>1983</v>
      </c>
      <c r="G212" s="26">
        <f t="shared" si="12"/>
        <v>33.325000000000003</v>
      </c>
      <c r="J212">
        <v>1</v>
      </c>
      <c r="K212">
        <v>1570</v>
      </c>
      <c r="L212">
        <v>1</v>
      </c>
      <c r="M212">
        <v>1570</v>
      </c>
    </row>
    <row r="213" spans="1:21" x14ac:dyDescent="0.3">
      <c r="A213" s="26" t="s">
        <v>56</v>
      </c>
      <c r="B213" s="26">
        <v>5</v>
      </c>
      <c r="C213" s="26">
        <v>103.2</v>
      </c>
      <c r="D213" s="26">
        <v>9913</v>
      </c>
      <c r="E213" s="26" t="s">
        <v>68</v>
      </c>
      <c r="F213" s="26">
        <f t="shared" si="11"/>
        <v>1982.6</v>
      </c>
      <c r="G213" s="26">
        <f t="shared" si="12"/>
        <v>20.64</v>
      </c>
      <c r="J213">
        <v>2</v>
      </c>
      <c r="K213" t="s">
        <v>15</v>
      </c>
      <c r="L213">
        <v>2</v>
      </c>
      <c r="M213">
        <v>0</v>
      </c>
      <c r="P213" t="s">
        <v>104</v>
      </c>
      <c r="Q213" t="s">
        <v>46</v>
      </c>
      <c r="R213" t="s">
        <v>2</v>
      </c>
      <c r="S213" t="s">
        <v>3</v>
      </c>
      <c r="T213" t="s">
        <v>105</v>
      </c>
      <c r="U213" t="s">
        <v>106</v>
      </c>
    </row>
    <row r="214" spans="1:21" x14ac:dyDescent="0.3">
      <c r="A214" s="27" t="s">
        <v>59</v>
      </c>
      <c r="B214" s="27">
        <v>2</v>
      </c>
      <c r="C214" s="27">
        <v>13.2</v>
      </c>
      <c r="D214" s="27">
        <v>4185</v>
      </c>
      <c r="E214" s="27" t="s">
        <v>65</v>
      </c>
      <c r="F214" s="27">
        <f t="shared" si="11"/>
        <v>2092.5</v>
      </c>
      <c r="G214" s="27">
        <f t="shared" si="12"/>
        <v>6.6</v>
      </c>
      <c r="J214">
        <v>3</v>
      </c>
      <c r="K214" t="s">
        <v>15</v>
      </c>
      <c r="L214">
        <v>3</v>
      </c>
      <c r="M214">
        <v>0</v>
      </c>
      <c r="P214">
        <v>2.1</v>
      </c>
      <c r="Q214" t="s">
        <v>92</v>
      </c>
      <c r="R214">
        <v>7810</v>
      </c>
      <c r="S214" t="s">
        <v>93</v>
      </c>
      <c r="T214">
        <v>93</v>
      </c>
      <c r="U214">
        <f>Tabel4[[#This Row],[Score]]/Tabel4[[#This Row],[matches]]</f>
        <v>83.978494623655919</v>
      </c>
    </row>
    <row r="215" spans="1:21" x14ac:dyDescent="0.3">
      <c r="A215" s="27" t="s">
        <v>59</v>
      </c>
      <c r="B215" s="27">
        <v>3</v>
      </c>
      <c r="C215" s="27">
        <v>34.299999999999997</v>
      </c>
      <c r="D215" s="27">
        <v>6276</v>
      </c>
      <c r="E215" s="27" t="s">
        <v>66</v>
      </c>
      <c r="F215" s="27">
        <f t="shared" si="11"/>
        <v>2092</v>
      </c>
      <c r="G215" s="27">
        <f t="shared" si="12"/>
        <v>11.433333333333332</v>
      </c>
      <c r="J215">
        <v>4</v>
      </c>
      <c r="K215" t="s">
        <v>15</v>
      </c>
      <c r="L215">
        <v>4</v>
      </c>
      <c r="M215">
        <v>0</v>
      </c>
      <c r="P215">
        <v>2.2000000000000002</v>
      </c>
      <c r="Q215" t="s">
        <v>94</v>
      </c>
      <c r="R215">
        <v>4650</v>
      </c>
      <c r="S215" t="s">
        <v>95</v>
      </c>
      <c r="T215">
        <v>67</v>
      </c>
      <c r="U215">
        <f>Tabel4[[#This Row],[Score]]/Tabel4[[#This Row],[matches]]</f>
        <v>69.402985074626869</v>
      </c>
    </row>
    <row r="216" spans="1:21" x14ac:dyDescent="0.3">
      <c r="A216" s="27" t="s">
        <v>59</v>
      </c>
      <c r="B216" s="27">
        <v>4</v>
      </c>
      <c r="C216" s="27">
        <v>36.799999999999997</v>
      </c>
      <c r="D216" s="27">
        <v>8367</v>
      </c>
      <c r="E216" s="27" t="s">
        <v>67</v>
      </c>
      <c r="F216" s="27">
        <f t="shared" si="11"/>
        <v>2091.75</v>
      </c>
      <c r="G216" s="27">
        <f t="shared" si="12"/>
        <v>9.1999999999999993</v>
      </c>
      <c r="J216">
        <v>5</v>
      </c>
      <c r="K216">
        <v>7730</v>
      </c>
      <c r="L216">
        <v>5</v>
      </c>
      <c r="M216">
        <v>1546</v>
      </c>
      <c r="P216">
        <v>2.2999999999999998</v>
      </c>
      <c r="Q216" t="s">
        <v>96</v>
      </c>
      <c r="R216">
        <v>35400</v>
      </c>
      <c r="S216" t="s">
        <v>97</v>
      </c>
      <c r="T216">
        <v>428</v>
      </c>
      <c r="U216">
        <f>Tabel4[[#This Row],[Score]]/Tabel4[[#This Row],[matches]]</f>
        <v>82.710280373831779</v>
      </c>
    </row>
    <row r="217" spans="1:21" x14ac:dyDescent="0.3">
      <c r="A217" s="27" t="s">
        <v>59</v>
      </c>
      <c r="B217" s="27">
        <v>5</v>
      </c>
      <c r="C217" s="27">
        <v>199.9</v>
      </c>
      <c r="D217" s="27">
        <v>10458</v>
      </c>
      <c r="E217" s="27" t="s">
        <v>68</v>
      </c>
      <c r="F217" s="27">
        <f t="shared" si="11"/>
        <v>2091.6</v>
      </c>
      <c r="G217" s="27">
        <f t="shared" si="12"/>
        <v>39.980000000000004</v>
      </c>
      <c r="J217">
        <v>6</v>
      </c>
      <c r="K217">
        <v>9110</v>
      </c>
      <c r="L217">
        <v>6</v>
      </c>
      <c r="M217">
        <v>1518333333</v>
      </c>
    </row>
    <row r="218" spans="1:21" x14ac:dyDescent="0.3">
      <c r="J218">
        <v>7</v>
      </c>
      <c r="K218">
        <v>10450</v>
      </c>
      <c r="L218">
        <v>7</v>
      </c>
      <c r="M218">
        <v>1492857143</v>
      </c>
      <c r="P218" t="s">
        <v>107</v>
      </c>
      <c r="Q218" t="s">
        <v>46</v>
      </c>
      <c r="R218" t="s">
        <v>2</v>
      </c>
      <c r="S218" t="s">
        <v>3</v>
      </c>
      <c r="T218" t="s">
        <v>108</v>
      </c>
      <c r="U218" t="s">
        <v>109</v>
      </c>
    </row>
    <row r="219" spans="1:21" x14ac:dyDescent="0.3">
      <c r="J219">
        <v>8</v>
      </c>
      <c r="K219">
        <v>11710</v>
      </c>
      <c r="L219">
        <v>8</v>
      </c>
      <c r="M219" t="s">
        <v>114</v>
      </c>
      <c r="P219">
        <v>2.1</v>
      </c>
      <c r="Q219" t="s">
        <v>110</v>
      </c>
      <c r="R219">
        <v>11770</v>
      </c>
      <c r="S219" t="s">
        <v>111</v>
      </c>
      <c r="T219">
        <v>153</v>
      </c>
      <c r="U219">
        <f>Tabel42[[#This Row],[Score]]/Tabel42[[#This Row],[Matches]]</f>
        <v>76.928104575163403</v>
      </c>
    </row>
    <row r="220" spans="1:21" x14ac:dyDescent="0.3">
      <c r="J220">
        <v>9</v>
      </c>
      <c r="K220">
        <v>12850</v>
      </c>
      <c r="L220">
        <v>9</v>
      </c>
      <c r="M220">
        <v>1427777778</v>
      </c>
      <c r="P220">
        <v>2.2000000000000002</v>
      </c>
      <c r="Q220" t="s">
        <v>112</v>
      </c>
      <c r="R220">
        <v>5950</v>
      </c>
      <c r="S220" t="s">
        <v>95</v>
      </c>
      <c r="T220">
        <v>67</v>
      </c>
      <c r="U220">
        <f>Tabel42[[#This Row],[Score]]/Tabel42[[#This Row],[Matches]]</f>
        <v>88.805970149253724</v>
      </c>
    </row>
    <row r="221" spans="1:21" x14ac:dyDescent="0.3">
      <c r="J221">
        <v>10</v>
      </c>
      <c r="K221">
        <v>13880</v>
      </c>
      <c r="L221">
        <v>10</v>
      </c>
      <c r="M221">
        <v>1388</v>
      </c>
      <c r="P221">
        <v>2.2999999999999998</v>
      </c>
    </row>
    <row r="223" spans="1:21" x14ac:dyDescent="0.3">
      <c r="J223" t="s">
        <v>115</v>
      </c>
    </row>
    <row r="224" spans="1:21" x14ac:dyDescent="0.3">
      <c r="J224" t="s">
        <v>40</v>
      </c>
      <c r="K224" t="s">
        <v>116</v>
      </c>
      <c r="L224" t="s">
        <v>117</v>
      </c>
      <c r="M224" t="s">
        <v>4</v>
      </c>
      <c r="N224" t="s">
        <v>2</v>
      </c>
      <c r="O224" t="s">
        <v>118</v>
      </c>
    </row>
    <row r="225" spans="10:15" x14ac:dyDescent="0.3">
      <c r="J225">
        <v>2.2999999999999998</v>
      </c>
      <c r="K225" t="s">
        <v>119</v>
      </c>
      <c r="L225" t="s">
        <v>72</v>
      </c>
      <c r="M225">
        <v>50.1</v>
      </c>
      <c r="N225">
        <v>28400</v>
      </c>
      <c r="O225" t="s">
        <v>90</v>
      </c>
    </row>
    <row r="227" spans="10:15" x14ac:dyDescent="0.3">
      <c r="J227" t="s">
        <v>72</v>
      </c>
    </row>
    <row r="228" spans="10:15" x14ac:dyDescent="0.3">
      <c r="J228" t="s">
        <v>120</v>
      </c>
      <c r="K228">
        <v>88148.1</v>
      </c>
      <c r="L228">
        <v>38450</v>
      </c>
      <c r="M228" t="s">
        <v>121</v>
      </c>
      <c r="N228">
        <v>599</v>
      </c>
    </row>
    <row r="229" spans="10:15" x14ac:dyDescent="0.3">
      <c r="J229" t="s">
        <v>122</v>
      </c>
      <c r="K229">
        <v>2880.3</v>
      </c>
      <c r="L229">
        <v>30250</v>
      </c>
      <c r="M229" t="s">
        <v>123</v>
      </c>
      <c r="N229">
        <v>483</v>
      </c>
    </row>
    <row r="329" spans="1:6" x14ac:dyDescent="0.3">
      <c r="A329" t="s">
        <v>124</v>
      </c>
      <c r="B329">
        <v>2.1</v>
      </c>
      <c r="C329">
        <v>2.2000000000000002</v>
      </c>
      <c r="D329">
        <v>2.2999999999999998</v>
      </c>
      <c r="E329">
        <v>4.0999999999999996</v>
      </c>
      <c r="F329">
        <v>4.2</v>
      </c>
    </row>
    <row r="330" spans="1:6" x14ac:dyDescent="0.3">
      <c r="A330" t="s">
        <v>125</v>
      </c>
      <c r="B330">
        <v>31</v>
      </c>
      <c r="C330">
        <v>24</v>
      </c>
      <c r="D330">
        <v>146</v>
      </c>
      <c r="E330">
        <v>201</v>
      </c>
      <c r="F330">
        <v>161</v>
      </c>
    </row>
    <row r="331" spans="1:6" x14ac:dyDescent="0.3">
      <c r="A331" t="s">
        <v>126</v>
      </c>
      <c r="B331">
        <v>54</v>
      </c>
      <c r="C331">
        <v>52</v>
      </c>
      <c r="D331">
        <v>176</v>
      </c>
      <c r="E331">
        <v>613</v>
      </c>
      <c r="F331">
        <v>442</v>
      </c>
    </row>
    <row r="332" spans="1:6" x14ac:dyDescent="0.3">
      <c r="A332" t="s">
        <v>127</v>
      </c>
      <c r="B332" s="13">
        <f>B330/B331</f>
        <v>0.57407407407407407</v>
      </c>
      <c r="C332" s="13">
        <f>C330/C331</f>
        <v>0.46153846153846156</v>
      </c>
      <c r="D332" s="13">
        <f>D330/D331</f>
        <v>0.82954545454545459</v>
      </c>
      <c r="E332" s="13">
        <f>E330/E331</f>
        <v>0.32789559543230018</v>
      </c>
      <c r="F332" s="13">
        <f>F330/F331</f>
        <v>0.36425339366515835</v>
      </c>
    </row>
    <row r="336" spans="1:6" x14ac:dyDescent="0.3">
      <c r="A336" t="s">
        <v>40</v>
      </c>
      <c r="B336">
        <v>2.1</v>
      </c>
      <c r="C336">
        <v>2.2000000000000002</v>
      </c>
      <c r="D336">
        <v>2.2999999999999998</v>
      </c>
      <c r="E336">
        <v>4.0999999999999996</v>
      </c>
      <c r="F336">
        <v>4.2</v>
      </c>
    </row>
    <row r="337" spans="1:21" x14ac:dyDescent="0.3">
      <c r="A337" t="s">
        <v>41</v>
      </c>
      <c r="B337">
        <v>31</v>
      </c>
      <c r="C337">
        <v>24</v>
      </c>
      <c r="D337">
        <v>146</v>
      </c>
      <c r="E337">
        <v>201</v>
      </c>
      <c r="F337">
        <v>161</v>
      </c>
    </row>
    <row r="338" spans="1:21" x14ac:dyDescent="0.3">
      <c r="A338" t="s">
        <v>42</v>
      </c>
      <c r="B338">
        <v>54</v>
      </c>
      <c r="C338">
        <v>52</v>
      </c>
      <c r="D338">
        <v>176</v>
      </c>
      <c r="E338">
        <v>613</v>
      </c>
      <c r="F338">
        <v>442</v>
      </c>
      <c r="H338" t="s">
        <v>87</v>
      </c>
      <c r="I338" t="s">
        <v>2</v>
      </c>
      <c r="J338" t="s">
        <v>3</v>
      </c>
      <c r="K338" t="s">
        <v>4</v>
      </c>
      <c r="M338" t="s">
        <v>88</v>
      </c>
      <c r="N338" t="s">
        <v>2</v>
      </c>
      <c r="O338" t="s">
        <v>3</v>
      </c>
      <c r="P338" t="s">
        <v>4</v>
      </c>
      <c r="R338" t="s">
        <v>89</v>
      </c>
      <c r="S338" t="s">
        <v>2</v>
      </c>
      <c r="T338" t="s">
        <v>3</v>
      </c>
      <c r="U338" t="s">
        <v>4</v>
      </c>
    </row>
    <row r="339" spans="1:21" x14ac:dyDescent="0.3">
      <c r="A339" t="s">
        <v>43</v>
      </c>
      <c r="B339" s="13">
        <f>B337/B338</f>
        <v>0.57407407407407407</v>
      </c>
      <c r="C339" s="13">
        <f>C337/C338</f>
        <v>0.46153846153846156</v>
      </c>
      <c r="D339" s="13">
        <f>D337/D338</f>
        <v>0.82954545454545459</v>
      </c>
      <c r="E339" s="13">
        <f>E337/E338</f>
        <v>0.32789559543230018</v>
      </c>
      <c r="F339" s="13">
        <f>F337/F338</f>
        <v>0.36425339366515835</v>
      </c>
      <c r="H339" t="s">
        <v>72</v>
      </c>
      <c r="I339">
        <v>6230</v>
      </c>
      <c r="J339" t="s">
        <v>53</v>
      </c>
      <c r="K339" t="s">
        <v>86</v>
      </c>
      <c r="M339" t="s">
        <v>72</v>
      </c>
      <c r="N339">
        <v>4650</v>
      </c>
      <c r="O339" t="s">
        <v>63</v>
      </c>
      <c r="P339" t="s">
        <v>73</v>
      </c>
      <c r="R339" t="s">
        <v>72</v>
      </c>
      <c r="S339">
        <v>28400</v>
      </c>
      <c r="T339" t="s">
        <v>90</v>
      </c>
      <c r="U339" t="s">
        <v>91</v>
      </c>
    </row>
    <row r="346" spans="1:21" x14ac:dyDescent="0.3">
      <c r="A346" t="s">
        <v>124</v>
      </c>
      <c r="B346" t="s">
        <v>125</v>
      </c>
      <c r="C346" t="s">
        <v>126</v>
      </c>
      <c r="D346" t="s">
        <v>127</v>
      </c>
      <c r="E346" t="s">
        <v>128</v>
      </c>
      <c r="F346" t="s">
        <v>80</v>
      </c>
      <c r="H346" t="s">
        <v>124</v>
      </c>
      <c r="I346" t="s">
        <v>125</v>
      </c>
      <c r="J346" t="s">
        <v>126</v>
      </c>
      <c r="K346" t="s">
        <v>129</v>
      </c>
      <c r="L346" t="s">
        <v>128</v>
      </c>
      <c r="M346" t="s">
        <v>130</v>
      </c>
      <c r="N346" t="s">
        <v>127</v>
      </c>
      <c r="O346" t="s">
        <v>131</v>
      </c>
    </row>
    <row r="347" spans="1:21" x14ac:dyDescent="0.3">
      <c r="A347" t="s">
        <v>132</v>
      </c>
      <c r="B347">
        <v>201</v>
      </c>
      <c r="C347">
        <v>613</v>
      </c>
      <c r="D347" s="13">
        <f>B347/C347</f>
        <v>0.32789559543230018</v>
      </c>
      <c r="E347">
        <f>Tabel35[[#This Row],[reviewers]]*Tabel35[[#This Row],[submissions]]</f>
        <v>123213</v>
      </c>
      <c r="H347" t="s">
        <v>133</v>
      </c>
      <c r="I347">
        <v>201</v>
      </c>
      <c r="J347">
        <v>613</v>
      </c>
      <c r="K347" s="13">
        <f>I347/J347</f>
        <v>0.32789559543230018</v>
      </c>
      <c r="L347">
        <f>Tabel35[[#This Row],[reviewers]]*Tabel35[[#This Row],[submissions]]</f>
        <v>123213</v>
      </c>
    </row>
    <row r="348" spans="1:21" x14ac:dyDescent="0.3">
      <c r="A348" t="s">
        <v>134</v>
      </c>
      <c r="B348">
        <v>24</v>
      </c>
      <c r="C348">
        <v>52</v>
      </c>
      <c r="D348" s="13">
        <f>B348/C348</f>
        <v>0.46153846153846156</v>
      </c>
      <c r="E348">
        <f>Tabel35[[#This Row],[reviewers]]*Tabel35[[#This Row],[submissions]]</f>
        <v>71162</v>
      </c>
      <c r="H348" t="s">
        <v>135</v>
      </c>
      <c r="I348">
        <v>161</v>
      </c>
      <c r="J348">
        <v>442</v>
      </c>
      <c r="K348" s="13">
        <f>I348/J348</f>
        <v>0.36425339366515835</v>
      </c>
      <c r="L348">
        <f>Tabel35[[#This Row],[reviewers]]*Tabel35[[#This Row],[submissions]]</f>
        <v>71162</v>
      </c>
      <c r="M348">
        <v>6230</v>
      </c>
      <c r="O348" t="s">
        <v>136</v>
      </c>
    </row>
    <row r="349" spans="1:21" x14ac:dyDescent="0.3">
      <c r="A349" t="s">
        <v>88</v>
      </c>
      <c r="B349">
        <v>24</v>
      </c>
      <c r="C349">
        <v>52</v>
      </c>
      <c r="D349" s="13">
        <f>B349/C349</f>
        <v>0.46153846153846156</v>
      </c>
      <c r="E349">
        <f>Tabel35[[#This Row],[reviewers]]*Tabel35[[#This Row],[submissions]]</f>
        <v>1248</v>
      </c>
      <c r="H349" t="s">
        <v>137</v>
      </c>
      <c r="I349">
        <v>24</v>
      </c>
      <c r="J349">
        <v>52</v>
      </c>
      <c r="K349" s="13">
        <f>I349/J349</f>
        <v>0.46153846153846156</v>
      </c>
      <c r="L349">
        <f>Tabel35[[#This Row],[reviewers]]*Tabel35[[#This Row],[submissions]]</f>
        <v>1248</v>
      </c>
      <c r="M349">
        <v>4650</v>
      </c>
      <c r="N349" t="s">
        <v>63</v>
      </c>
      <c r="O349" t="s">
        <v>138</v>
      </c>
    </row>
    <row r="350" spans="1:21" x14ac:dyDescent="0.3">
      <c r="A350" t="s">
        <v>87</v>
      </c>
      <c r="B350">
        <v>201</v>
      </c>
      <c r="C350">
        <v>613</v>
      </c>
      <c r="D350" s="13">
        <f>B350/C350</f>
        <v>0.32789559543230018</v>
      </c>
      <c r="E350">
        <f>Tabel35[[#This Row],[reviewers]]*Tabel35[[#This Row],[submissions]]</f>
        <v>1674</v>
      </c>
      <c r="H350" t="s">
        <v>139</v>
      </c>
      <c r="I350">
        <v>31</v>
      </c>
      <c r="J350">
        <v>54</v>
      </c>
      <c r="K350" s="13">
        <f>I350/J350</f>
        <v>0.57407407407407407</v>
      </c>
      <c r="L350">
        <f>Tabel35[[#This Row],[reviewers]]*Tabel35[[#This Row],[submissions]]</f>
        <v>1674</v>
      </c>
      <c r="M350">
        <v>6230</v>
      </c>
      <c r="N350" t="s">
        <v>53</v>
      </c>
      <c r="O350" t="s">
        <v>38</v>
      </c>
    </row>
    <row r="351" spans="1:21" x14ac:dyDescent="0.3">
      <c r="A351" t="s">
        <v>89</v>
      </c>
      <c r="B351">
        <v>161</v>
      </c>
      <c r="C351">
        <v>442</v>
      </c>
      <c r="D351" s="13">
        <f>B351/C351</f>
        <v>0.36425339366515835</v>
      </c>
      <c r="E351">
        <f>Tabel35[[#This Row],[reviewers]]*Tabel35[[#This Row],[submissions]]</f>
        <v>25696</v>
      </c>
      <c r="H351" t="s">
        <v>140</v>
      </c>
      <c r="I351">
        <v>146</v>
      </c>
      <c r="J351">
        <v>176</v>
      </c>
      <c r="K351" s="13">
        <f>I351/J351</f>
        <v>0.82954545454545459</v>
      </c>
      <c r="L351">
        <f>Tabel35[[#This Row],[reviewers]]*Tabel35[[#This Row],[submissions]]</f>
        <v>25696</v>
      </c>
      <c r="M351">
        <v>28400</v>
      </c>
      <c r="N351" t="s">
        <v>90</v>
      </c>
      <c r="O351" t="s">
        <v>91</v>
      </c>
    </row>
    <row r="352" spans="1:21" ht="15" thickBot="1" x14ac:dyDescent="0.35"/>
    <row r="353" spans="1:18" ht="15" thickBot="1" x14ac:dyDescent="0.35">
      <c r="H353" t="s">
        <v>40</v>
      </c>
      <c r="I353" t="s">
        <v>141</v>
      </c>
      <c r="J353" t="s">
        <v>142</v>
      </c>
      <c r="K353" t="s">
        <v>143</v>
      </c>
      <c r="L353" t="s">
        <v>144</v>
      </c>
      <c r="M353" t="s">
        <v>130</v>
      </c>
      <c r="N353" t="s">
        <v>127</v>
      </c>
      <c r="O353" t="s">
        <v>131</v>
      </c>
      <c r="Q353" s="32">
        <v>0.33</v>
      </c>
      <c r="R353" s="32">
        <v>123213</v>
      </c>
    </row>
    <row r="354" spans="1:18" ht="15" thickBot="1" x14ac:dyDescent="0.35">
      <c r="H354">
        <v>4.0999999999999996</v>
      </c>
      <c r="I354">
        <v>201</v>
      </c>
      <c r="J354">
        <v>613</v>
      </c>
      <c r="K354" s="13">
        <f>I354/J354</f>
        <v>0.32789559543230018</v>
      </c>
      <c r="L354">
        <f>Tabel359[[#This Row],[Reviewers]]*Tabel359[[#This Row],[Submissions]]</f>
        <v>123213</v>
      </c>
      <c r="Q354" s="32">
        <v>0.36</v>
      </c>
      <c r="R354" s="32">
        <v>71162</v>
      </c>
    </row>
    <row r="355" spans="1:18" ht="15" thickBot="1" x14ac:dyDescent="0.35">
      <c r="H355">
        <v>4.2</v>
      </c>
      <c r="I355">
        <v>161</v>
      </c>
      <c r="J355">
        <v>442</v>
      </c>
      <c r="K355" s="13">
        <f>I355/J355</f>
        <v>0.36425339366515835</v>
      </c>
      <c r="L355">
        <f>Tabel359[[#This Row],[Reviewers]]*Tabel359[[#This Row],[Submissions]]</f>
        <v>71162</v>
      </c>
      <c r="M355">
        <v>6230</v>
      </c>
      <c r="O355" t="s">
        <v>136</v>
      </c>
      <c r="Q355" s="32">
        <v>0.46</v>
      </c>
      <c r="R355" s="32">
        <v>1248</v>
      </c>
    </row>
    <row r="356" spans="1:18" ht="15" thickBot="1" x14ac:dyDescent="0.35">
      <c r="H356">
        <v>2.2000000000000002</v>
      </c>
      <c r="I356">
        <v>24</v>
      </c>
      <c r="J356">
        <v>52</v>
      </c>
      <c r="K356" s="13">
        <f>I356/J356</f>
        <v>0.46153846153846156</v>
      </c>
      <c r="L356">
        <f>Tabel359[[#This Row],[Reviewers]]*Tabel359[[#This Row],[Submissions]]</f>
        <v>1248</v>
      </c>
      <c r="M356">
        <v>4650</v>
      </c>
      <c r="N356" t="s">
        <v>63</v>
      </c>
      <c r="O356" t="s">
        <v>138</v>
      </c>
      <c r="Q356" s="32">
        <v>0.56999999999999995</v>
      </c>
      <c r="R356" s="32">
        <v>1674</v>
      </c>
    </row>
    <row r="357" spans="1:18" ht="15" thickBot="1" x14ac:dyDescent="0.35">
      <c r="H357">
        <v>2.1</v>
      </c>
      <c r="I357">
        <v>31</v>
      </c>
      <c r="J357">
        <v>54</v>
      </c>
      <c r="K357" s="13">
        <f>I357/J357</f>
        <v>0.57407407407407407</v>
      </c>
      <c r="L357">
        <f>Tabel359[[#This Row],[Reviewers]]*Tabel359[[#This Row],[Submissions]]</f>
        <v>1674</v>
      </c>
      <c r="M357">
        <v>6230</v>
      </c>
      <c r="N357" t="s">
        <v>53</v>
      </c>
      <c r="O357" t="s">
        <v>38</v>
      </c>
      <c r="Q357" s="33">
        <v>0.83</v>
      </c>
      <c r="R357" s="33">
        <v>25696</v>
      </c>
    </row>
    <row r="358" spans="1:18" x14ac:dyDescent="0.3">
      <c r="H358">
        <v>2.2999999999999998</v>
      </c>
      <c r="I358">
        <v>146</v>
      </c>
      <c r="J358">
        <v>176</v>
      </c>
      <c r="K358" s="13">
        <f>I358/J358</f>
        <v>0.82954545454545459</v>
      </c>
      <c r="L358">
        <f>Tabel359[[#This Row],[Reviewers]]*Tabel359[[#This Row],[Submissions]]</f>
        <v>25696</v>
      </c>
      <c r="M358">
        <v>28400</v>
      </c>
      <c r="N358" t="s">
        <v>90</v>
      </c>
      <c r="O358" t="s">
        <v>91</v>
      </c>
    </row>
    <row r="360" spans="1:18" ht="15" thickBot="1" x14ac:dyDescent="0.35">
      <c r="A360" t="s">
        <v>145</v>
      </c>
      <c r="B360" t="s">
        <v>143</v>
      </c>
      <c r="C360" t="s">
        <v>144</v>
      </c>
      <c r="D360" t="s">
        <v>2</v>
      </c>
      <c r="E360" t="s">
        <v>3</v>
      </c>
      <c r="F360" t="s">
        <v>46</v>
      </c>
    </row>
    <row r="361" spans="1:18" ht="15" thickBot="1" x14ac:dyDescent="0.35">
      <c r="A361" t="s">
        <v>133</v>
      </c>
      <c r="B361" s="32">
        <v>0.33</v>
      </c>
      <c r="C361" s="32">
        <v>123213</v>
      </c>
    </row>
    <row r="362" spans="1:18" ht="15" thickBot="1" x14ac:dyDescent="0.35">
      <c r="A362" t="s">
        <v>135</v>
      </c>
      <c r="B362" s="32">
        <v>0.36</v>
      </c>
      <c r="C362" s="32">
        <v>71162</v>
      </c>
    </row>
    <row r="363" spans="1:18" ht="15" thickBot="1" x14ac:dyDescent="0.35">
      <c r="A363" t="s">
        <v>137</v>
      </c>
      <c r="B363" s="32">
        <v>0.46</v>
      </c>
      <c r="C363" s="32">
        <v>1248</v>
      </c>
      <c r="D363">
        <v>4650</v>
      </c>
      <c r="E363" t="s">
        <v>63</v>
      </c>
      <c r="F363" t="s">
        <v>138</v>
      </c>
    </row>
    <row r="364" spans="1:18" ht="15" thickBot="1" x14ac:dyDescent="0.35">
      <c r="A364" t="s">
        <v>139</v>
      </c>
      <c r="B364" s="32">
        <v>0.56999999999999995</v>
      </c>
      <c r="C364" s="32">
        <v>1674</v>
      </c>
      <c r="D364">
        <v>6230</v>
      </c>
      <c r="E364" t="s">
        <v>53</v>
      </c>
      <c r="F364" t="s">
        <v>38</v>
      </c>
    </row>
    <row r="365" spans="1:18" ht="15" thickBot="1" x14ac:dyDescent="0.35">
      <c r="A365" t="s">
        <v>140</v>
      </c>
      <c r="B365" s="33">
        <v>0.83</v>
      </c>
      <c r="C365" s="33">
        <v>25696</v>
      </c>
      <c r="D365">
        <v>28400</v>
      </c>
      <c r="E365" t="s">
        <v>90</v>
      </c>
      <c r="F365" t="s">
        <v>91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Vonk</dc:creator>
  <cp:lastModifiedBy>Sander</cp:lastModifiedBy>
  <dcterms:created xsi:type="dcterms:W3CDTF">2021-01-29T17:11:53Z</dcterms:created>
  <dcterms:modified xsi:type="dcterms:W3CDTF">2021-01-29T17:24:23Z</dcterms:modified>
</cp:coreProperties>
</file>