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_Учеба\курсоваяv2\"/>
    </mc:Choice>
  </mc:AlternateContent>
  <bookViews>
    <workbookView xWindow="0" yWindow="0" windowWidth="21570" windowHeight="8175"/>
  </bookViews>
  <sheets>
    <sheet name="Вводные" sheetId="1" r:id="rId1"/>
    <sheet name="Расчёты" sheetId="2" r:id="rId2"/>
    <sheet name="Расчётный лист" sheetId="3" r:id="rId3"/>
  </sheets>
  <definedNames>
    <definedName name="_GoBack" localSheetId="2">'Расчётный лист'!$G$8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J23" i="1"/>
  <c r="J24" i="1"/>
  <c r="J25" i="1"/>
  <c r="J26" i="1"/>
  <c r="J27" i="1"/>
  <c r="J28" i="1"/>
  <c r="H10" i="3"/>
  <c r="F7" i="3"/>
  <c r="O2" i="2"/>
  <c r="D16" i="1"/>
  <c r="N2" i="2"/>
  <c r="M2" i="2"/>
  <c r="H12" i="3"/>
  <c r="H13" i="3" s="1"/>
  <c r="H7" i="3"/>
  <c r="H11" i="3" s="1"/>
  <c r="G7" i="3"/>
  <c r="E13" i="3"/>
  <c r="F13" i="3"/>
  <c r="E9" i="3"/>
  <c r="E8" i="3"/>
  <c r="E11" i="3" s="1"/>
  <c r="F1" i="3"/>
  <c r="B8" i="3" s="1"/>
  <c r="G4" i="3"/>
  <c r="B3" i="3"/>
  <c r="C8" i="3"/>
  <c r="L2" i="2"/>
  <c r="K2" i="2"/>
  <c r="G2" i="2"/>
  <c r="H2" i="2"/>
  <c r="L5" i="1"/>
  <c r="F2" i="2"/>
  <c r="D53" i="1"/>
  <c r="C53" i="1"/>
  <c r="A2" i="2" s="1"/>
  <c r="C2" i="2" l="1"/>
  <c r="B2" i="2"/>
  <c r="D2" i="2" l="1"/>
  <c r="E2" i="2" s="1"/>
  <c r="I2" i="2" s="1"/>
  <c r="J2" i="2" s="1"/>
</calcChain>
</file>

<file path=xl/comments1.xml><?xml version="1.0" encoding="utf-8"?>
<comments xmlns="http://schemas.openxmlformats.org/spreadsheetml/2006/main">
  <authors>
    <author>Maksim</author>
  </authors>
  <commentList>
    <comment ref="H4" authorId="0" shapeId="0">
      <text>
        <r>
          <rPr>
            <b/>
            <sz val="9"/>
            <color indexed="81"/>
            <rFont val="Tahoma"/>
            <charset val="1"/>
          </rPr>
          <t>Maksim:</t>
        </r>
        <r>
          <rPr>
            <sz val="9"/>
            <color indexed="81"/>
            <rFont val="Tahoma"/>
            <charset val="1"/>
          </rPr>
          <t xml:space="preserve">
1 - 3000 руб
2 - 500 руб
</t>
        </r>
      </text>
    </comment>
  </commentList>
</comments>
</file>

<file path=xl/sharedStrings.xml><?xml version="1.0" encoding="utf-8"?>
<sst xmlns="http://schemas.openxmlformats.org/spreadsheetml/2006/main" count="187" uniqueCount="94">
  <si>
    <t xml:space="preserve">Контрольный пример расчет зарплты сотрудника </t>
  </si>
  <si>
    <t xml:space="preserve">Таблица сотрудник </t>
  </si>
  <si>
    <t>ID</t>
  </si>
  <si>
    <t>ФИО</t>
  </si>
  <si>
    <t>Оклад</t>
  </si>
  <si>
    <t>Семейный статус</t>
  </si>
  <si>
    <t>колличество здоровых детей</t>
  </si>
  <si>
    <t>количестов детей инвалидов</t>
  </si>
  <si>
    <t xml:space="preserve">опекунство над детьми инвалидами </t>
  </si>
  <si>
    <t xml:space="preserve">счет зачисления </t>
  </si>
  <si>
    <t>налоговый стаж</t>
  </si>
  <si>
    <t>ID_Должность</t>
  </si>
  <si>
    <t>Таблица Должность</t>
  </si>
  <si>
    <t>Название</t>
  </si>
  <si>
    <t>% траваматизма</t>
  </si>
  <si>
    <t>таблица график работ</t>
  </si>
  <si>
    <t>число</t>
  </si>
  <si>
    <t>день недели</t>
  </si>
  <si>
    <t>Статус дня</t>
  </si>
  <si>
    <t xml:space="preserve">статус сотрудника </t>
  </si>
  <si>
    <t>ПН</t>
  </si>
  <si>
    <t>ВТ</t>
  </si>
  <si>
    <t>СР</t>
  </si>
  <si>
    <t>ЧТ</t>
  </si>
  <si>
    <t>ПТ</t>
  </si>
  <si>
    <t>СБ</t>
  </si>
  <si>
    <t>ВС</t>
  </si>
  <si>
    <t>р</t>
  </si>
  <si>
    <t>в</t>
  </si>
  <si>
    <t>вышел</t>
  </si>
  <si>
    <t>отдыхает</t>
  </si>
  <si>
    <t>Таблица зарплата</t>
  </si>
  <si>
    <t>Дата выплаты</t>
  </si>
  <si>
    <t>ID_сотрудника</t>
  </si>
  <si>
    <t>Надбавки</t>
  </si>
  <si>
    <t>вычеты</t>
  </si>
  <si>
    <t>итогвая ЗП</t>
  </si>
  <si>
    <t>Вспомагательная таблица</t>
  </si>
  <si>
    <t>значение</t>
  </si>
  <si>
    <t>НДФЛ</t>
  </si>
  <si>
    <t>ПФР</t>
  </si>
  <si>
    <t>ФСС</t>
  </si>
  <si>
    <t>ФОМС</t>
  </si>
  <si>
    <t>МРОТ</t>
  </si>
  <si>
    <t>Вычет за 1 и 2 ребенка</t>
  </si>
  <si>
    <t>Вычет за 3 и последущих детей</t>
  </si>
  <si>
    <t>Вычет за ребенка инвалида</t>
  </si>
  <si>
    <t>Вычет за опекунство над  детьми инвалидами</t>
  </si>
  <si>
    <t>Налоговые Базы</t>
  </si>
  <si>
    <t xml:space="preserve">Год </t>
  </si>
  <si>
    <t>Значение базы</t>
  </si>
  <si>
    <t>Иванов Иван Иваныч</t>
  </si>
  <si>
    <t>спец статуса</t>
  </si>
  <si>
    <t>12345678901234567890</t>
  </si>
  <si>
    <t>Бухгалтер</t>
  </si>
  <si>
    <t>Итог</t>
  </si>
  <si>
    <t xml:space="preserve"> Рабочих дней в месяце:</t>
  </si>
  <si>
    <t>Дневной доход</t>
  </si>
  <si>
    <t>Заработано в рабочие</t>
  </si>
  <si>
    <t>Заработоно  в выходные</t>
  </si>
  <si>
    <t xml:space="preserve">Фактический оклад </t>
  </si>
  <si>
    <t>Фактический  доход</t>
  </si>
  <si>
    <t>Налоговые вычет по  спец статусу</t>
  </si>
  <si>
    <t>Налоговый вычет по детям</t>
  </si>
  <si>
    <t>Вспомагатнльная функция для расчётов</t>
  </si>
  <si>
    <t>женат</t>
  </si>
  <si>
    <t>Наловый вычет по детям инвалидам</t>
  </si>
  <si>
    <t xml:space="preserve">Налоговая база </t>
  </si>
  <si>
    <t>Выплачено</t>
  </si>
  <si>
    <t>Вид</t>
  </si>
  <si>
    <t>Период</t>
  </si>
  <si>
    <t>Дни</t>
  </si>
  <si>
    <t>Часы</t>
  </si>
  <si>
    <t>Сумма</t>
  </si>
  <si>
    <t>1. Начислено</t>
  </si>
  <si>
    <t>2. Удержано</t>
  </si>
  <si>
    <t>Аванс</t>
  </si>
  <si>
    <t>Всего начислено:</t>
  </si>
  <si>
    <t>Всего удержано:</t>
  </si>
  <si>
    <t>3. Взносы в ПФР</t>
  </si>
  <si>
    <t>Сумма к выплате</t>
  </si>
  <si>
    <t>Страховые взносы в ПФР (страховая часть 22%)</t>
  </si>
  <si>
    <t>Работник:</t>
  </si>
  <si>
    <t>Табельный номер:</t>
  </si>
  <si>
    <t>Должность:</t>
  </si>
  <si>
    <t>Петрона Мария Викторовна</t>
  </si>
  <si>
    <t>Менеджер</t>
  </si>
  <si>
    <t>Расчетный листок за</t>
  </si>
  <si>
    <t>ООО</t>
  </si>
  <si>
    <t>Дополнительные выплаты</t>
  </si>
  <si>
    <t>Выдано наличными</t>
  </si>
  <si>
    <t>Дополнительные страховые взносы в ПФР</t>
  </si>
  <si>
    <t>травматизм</t>
  </si>
  <si>
    <t>Иные удержания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</si>
</sst>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₽&quot;_-;\-* #,##0.00\ &quot;₽&quot;_-;_-* &quot;-&quot;??\ &quot;₽&quot;_-;_-@_-"/>
    <numFmt numFmtId="164" formatCode="_-* #,##0.00\ [$₽-419]_-;\-* #,##0.00\ [$₽-419]_-;_-* &quot;-&quot;??\ [$₽-419]_-;_-@_-"/>
    <numFmt numFmtId="170" formatCode="[$-F800]dddd\,\ mmmm\ dd\,\ yyyy"/>
    <numFmt numFmtId="171" formatCode="[$-419]mmmm\ yyyy;@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3F3F3F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2"/>
      <color rgb="FF231F2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2" borderId="1" applyNumberFormat="0" applyAlignment="0" applyProtection="0"/>
    <xf numFmtId="0" fontId="5" fillId="0" borderId="0" applyNumberFormat="0" applyFill="0" applyBorder="0" applyAlignment="0" applyProtection="0"/>
  </cellStyleXfs>
  <cellXfs count="65">
    <xf numFmtId="0" fontId="0" fillId="0" borderId="0" xfId="0"/>
    <xf numFmtId="9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44" fontId="0" fillId="0" borderId="0" xfId="2" applyFont="1"/>
    <xf numFmtId="0" fontId="0" fillId="0" borderId="0" xfId="0" applyAlignment="1">
      <alignment wrapText="1"/>
    </xf>
    <xf numFmtId="10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44" fontId="0" fillId="0" borderId="0" xfId="0" applyNumberFormat="1"/>
    <xf numFmtId="0" fontId="5" fillId="0" borderId="0" xfId="4"/>
    <xf numFmtId="49" fontId="0" fillId="0" borderId="0" xfId="0" applyNumberFormat="1" applyAlignment="1">
      <alignment horizontal="right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9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vertical="center" wrapText="1"/>
    </xf>
    <xf numFmtId="0" fontId="11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0" borderId="6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3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6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8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vertical="center" wrapText="1"/>
    </xf>
    <xf numFmtId="0" fontId="11" fillId="0" borderId="9" xfId="0" applyFont="1" applyBorder="1" applyAlignment="1">
      <alignment vertical="center" wrapText="1"/>
    </xf>
    <xf numFmtId="170" fontId="0" fillId="0" borderId="0" xfId="0" applyNumberFormat="1"/>
    <xf numFmtId="0" fontId="8" fillId="0" borderId="0" xfId="0" applyFont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171" fontId="7" fillId="0" borderId="0" xfId="0" applyNumberFormat="1" applyFont="1" applyAlignment="1">
      <alignment horizontal="left" vertical="center" wrapText="1"/>
    </xf>
    <xf numFmtId="171" fontId="11" fillId="0" borderId="3" xfId="0" applyNumberFormat="1" applyFont="1" applyBorder="1" applyAlignment="1">
      <alignment horizontal="center" vertical="center" wrapText="1"/>
    </xf>
    <xf numFmtId="44" fontId="11" fillId="0" borderId="3" xfId="0" applyNumberFormat="1" applyFont="1" applyBorder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44" fontId="11" fillId="0" borderId="3" xfId="2" applyFont="1" applyBorder="1" applyAlignment="1">
      <alignment horizontal="center" vertical="center" wrapText="1"/>
    </xf>
    <xf numFmtId="44" fontId="11" fillId="0" borderId="6" xfId="0" applyNumberFormat="1" applyFont="1" applyBorder="1" applyAlignment="1">
      <alignment horizontal="center" vertical="center" wrapText="1"/>
    </xf>
    <xf numFmtId="44" fontId="8" fillId="0" borderId="6" xfId="0" applyNumberFormat="1" applyFont="1" applyBorder="1" applyAlignment="1">
      <alignment horizontal="center" vertical="center" wrapText="1"/>
    </xf>
    <xf numFmtId="0" fontId="4" fillId="2" borderId="1" xfId="3" applyAlignment="1">
      <alignment wrapText="1"/>
    </xf>
    <xf numFmtId="44" fontId="4" fillId="2" borderId="1" xfId="3" applyNumberFormat="1"/>
    <xf numFmtId="0" fontId="0" fillId="0" borderId="0" xfId="0" applyFill="1" applyBorder="1" applyAlignment="1">
      <alignment wrapText="1"/>
    </xf>
    <xf numFmtId="10" fontId="0" fillId="0" borderId="0" xfId="1" applyNumberFormat="1" applyFont="1"/>
    <xf numFmtId="0" fontId="11" fillId="0" borderId="3" xfId="1" applyNumberFormat="1" applyFont="1" applyBorder="1" applyAlignment="1">
      <alignment vertical="center" wrapText="1"/>
    </xf>
    <xf numFmtId="44" fontId="11" fillId="0" borderId="3" xfId="0" applyNumberFormat="1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13" xfId="0" applyFont="1" applyBorder="1" applyAlignment="1">
      <alignment vertical="center" wrapText="1"/>
    </xf>
    <xf numFmtId="44" fontId="11" fillId="0" borderId="5" xfId="2" applyFont="1" applyBorder="1" applyAlignment="1">
      <alignment vertical="center" wrapText="1"/>
    </xf>
    <xf numFmtId="44" fontId="11" fillId="0" borderId="12" xfId="2" applyFont="1" applyBorder="1" applyAlignment="1">
      <alignment vertical="center" wrapText="1"/>
    </xf>
    <xf numFmtId="44" fontId="11" fillId="0" borderId="6" xfId="2" applyFont="1" applyBorder="1" applyAlignment="1">
      <alignment horizontal="center" vertical="center" wrapText="1"/>
    </xf>
    <xf numFmtId="44" fontId="11" fillId="0" borderId="7" xfId="2" applyFont="1" applyBorder="1" applyAlignment="1">
      <alignment horizontal="center" vertical="center" wrapText="1"/>
    </xf>
    <xf numFmtId="44" fontId="11" fillId="0" borderId="10" xfId="2" applyFont="1" applyBorder="1" applyAlignment="1">
      <alignment horizontal="center" vertical="center" wrapText="1"/>
    </xf>
    <xf numFmtId="44" fontId="11" fillId="0" borderId="11" xfId="2" applyFont="1" applyBorder="1" applyAlignment="1">
      <alignment horizontal="center" vertical="center" wrapText="1"/>
    </xf>
    <xf numFmtId="44" fontId="11" fillId="0" borderId="13" xfId="2" applyFont="1" applyBorder="1" applyAlignment="1">
      <alignment horizontal="center" vertical="center" wrapText="1"/>
    </xf>
    <xf numFmtId="44" fontId="11" fillId="0" borderId="14" xfId="2" applyFont="1" applyBorder="1" applyAlignment="1">
      <alignment horizontal="center" vertical="center" wrapText="1"/>
    </xf>
  </cellXfs>
  <cellStyles count="5">
    <cellStyle name="Вывод" xfId="3" builtinId="21"/>
    <cellStyle name="Денежный" xfId="2" builtinId="4"/>
    <cellStyle name="Обычный" xfId="0" builtinId="0"/>
    <cellStyle name="Пояснение" xfId="4" builtinId="53"/>
    <cellStyle name="Процентный" xfId="1" builtinId="5"/>
  </cellStyles>
  <dxfs count="9">
    <dxf>
      <numFmt numFmtId="34" formatCode="_-* #,##0.00\ &quot;₽&quot;_-;\-* #,##0.00\ &quot;₽&quot;_-;_-* &quot;-&quot;??\ &quot;₽&quot;_-;_-@_-"/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numFmt numFmtId="14" formatCode="0.00%"/>
    </dxf>
    <dxf>
      <numFmt numFmtId="164" formatCode="_-* #,##0.00\ [$₽-419]_-;\-* #,##0.00\ [$₽-419]_-;_-* &quot;-&quot;??\ [$₽-419]_-;_-@_-"/>
    </dxf>
    <dxf>
      <numFmt numFmtId="30" formatCode="@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Сотрудник" displayName="Сотрудник" ref="A4:J11" totalsRowShown="0">
  <autoFilter ref="A4:J11"/>
  <tableColumns count="10">
    <tableColumn id="1" name="ID"/>
    <tableColumn id="2" name="ФИО"/>
    <tableColumn id="3" name="ID_Должность"/>
    <tableColumn id="5" name="Семейный статус"/>
    <tableColumn id="6" name="колличество здоровых детей"/>
    <tableColumn id="7" name="количестов детей инвалидов"/>
    <tableColumn id="8" name="опекунство над детьми инвалидами "/>
    <tableColumn id="9" name="спец статуса"/>
    <tableColumn id="10" name="счет зачисления " dataDxfId="7"/>
    <tableColumn id="11" name="налоговый стаж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Должность" displayName="Должность" ref="A15:D17" totalsRowShown="0">
  <autoFilter ref="A15:D17"/>
  <tableColumns count="4">
    <tableColumn id="1" name="ID"/>
    <tableColumn id="2" name="Название"/>
    <tableColumn id="3" name="Оклад" dataDxfId="6"/>
    <tableColumn id="4" name="% траваматизма" dataDxfId="5">
      <calculatedColumnFormula>0.2%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ГР" displayName="ГР" ref="A21:D53" totalsRowCount="1">
  <autoFilter ref="A21:D52"/>
  <tableColumns count="4">
    <tableColumn id="1" name="число" totalsRowLabel="Итог"/>
    <tableColumn id="2" name="день недели" totalsRowLabel=" Рабочих дней в месяце:" totalsRowDxfId="8"/>
    <tableColumn id="3" name="Статус дня" totalsRowFunction="custom">
      <totalsRowFormula>COUNTIF(ГР[Статус дня],"р")</totalsRowFormula>
    </tableColumn>
    <tableColumn id="4" name="статус сотрудника " totalsRowFunction="custom">
      <totalsRowFormula>COUNTIF(ГР[[статус сотрудника ]],"вышел")</totalsRow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Зарплата" displayName="Зарплата" ref="F21:J28" totalsRowShown="0">
  <autoFilter ref="F21:J28"/>
  <tableColumns count="5">
    <tableColumn id="1" name="Дата выплаты"/>
    <tableColumn id="2" name="ID_сотрудника"/>
    <tableColumn id="3" name="Надбавки" dataCellStyle="Денежный"/>
    <tableColumn id="4" name="вычеты"/>
    <tableColumn id="5" name="итогвая ЗП" dataDxfId="0">
      <calculatedColumnFormula>Расчёты!K2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Налог" displayName="Налог" ref="I33:J35" totalsRowShown="0">
  <autoFilter ref="I33:J35"/>
  <tableColumns count="2">
    <tableColumn id="1" name="Год "/>
    <tableColumn id="2" name="Значение базы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Помощь" displayName="Помощь" ref="F33:G42" totalsRowShown="0">
  <autoFilter ref="F33:G42"/>
  <tableColumns count="2">
    <tableColumn id="1" name="Название"/>
    <tableColumn id="2" name="значение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3"/>
  <sheetViews>
    <sheetView tabSelected="1" workbookViewId="0">
      <selection activeCell="I32" sqref="I32"/>
    </sheetView>
  </sheetViews>
  <sheetFormatPr defaultRowHeight="15" x14ac:dyDescent="0.25"/>
  <cols>
    <col min="2" max="2" width="32.28515625" customWidth="1"/>
    <col min="3" max="3" width="16.140625" customWidth="1"/>
    <col min="4" max="4" width="19.85546875" customWidth="1"/>
    <col min="5" max="5" width="18.7109375" customWidth="1"/>
    <col min="6" max="6" width="29.85546875" customWidth="1"/>
    <col min="7" max="7" width="29.7109375" customWidth="1"/>
    <col min="8" max="8" width="16" customWidth="1"/>
    <col min="9" max="9" width="26.42578125" customWidth="1"/>
    <col min="10" max="10" width="18.28515625" customWidth="1"/>
    <col min="11" max="11" width="17.5703125" customWidth="1"/>
  </cols>
  <sheetData>
    <row r="1" spans="1:12" x14ac:dyDescent="0.25">
      <c r="A1" t="s">
        <v>0</v>
      </c>
    </row>
    <row r="3" spans="1:12" x14ac:dyDescent="0.25">
      <c r="A3" s="4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spans="1:12" x14ac:dyDescent="0.25">
      <c r="A4" t="s">
        <v>2</v>
      </c>
      <c r="B4" t="s">
        <v>3</v>
      </c>
      <c r="C4" t="s">
        <v>11</v>
      </c>
      <c r="D4" t="s">
        <v>5</v>
      </c>
      <c r="E4" t="s">
        <v>6</v>
      </c>
      <c r="F4" t="s">
        <v>7</v>
      </c>
      <c r="G4" t="s">
        <v>8</v>
      </c>
      <c r="H4" t="s">
        <v>52</v>
      </c>
      <c r="I4" t="s">
        <v>9</v>
      </c>
      <c r="J4" t="s">
        <v>10</v>
      </c>
      <c r="L4" s="11" t="s">
        <v>64</v>
      </c>
    </row>
    <row r="5" spans="1:12" x14ac:dyDescent="0.25">
      <c r="A5">
        <v>1</v>
      </c>
      <c r="B5" t="s">
        <v>51</v>
      </c>
      <c r="C5">
        <v>1</v>
      </c>
      <c r="D5" t="s">
        <v>65</v>
      </c>
      <c r="E5">
        <v>4</v>
      </c>
      <c r="F5">
        <v>0</v>
      </c>
      <c r="G5">
        <v>0</v>
      </c>
      <c r="H5">
        <v>2</v>
      </c>
      <c r="I5" s="12" t="s">
        <v>53</v>
      </c>
      <c r="J5">
        <v>0</v>
      </c>
      <c r="L5">
        <f>IF(OR(Сотрудник[[#This Row],[Семейный статус]]="мать-одиночка",Сотрудник[[#This Row],[Семейный статус]]="отец-одиночка"),2,1)</f>
        <v>1</v>
      </c>
    </row>
    <row r="6" spans="1:12" x14ac:dyDescent="0.25">
      <c r="A6">
        <v>2</v>
      </c>
      <c r="B6" t="s">
        <v>85</v>
      </c>
      <c r="C6">
        <v>3</v>
      </c>
      <c r="I6" s="2"/>
    </row>
    <row r="7" spans="1:12" x14ac:dyDescent="0.25">
      <c r="A7">
        <v>3</v>
      </c>
      <c r="I7" s="2"/>
    </row>
    <row r="8" spans="1:12" x14ac:dyDescent="0.25">
      <c r="A8">
        <v>4</v>
      </c>
      <c r="I8" s="2"/>
    </row>
    <row r="9" spans="1:12" x14ac:dyDescent="0.25">
      <c r="A9">
        <v>5</v>
      </c>
      <c r="I9" s="2"/>
    </row>
    <row r="10" spans="1:12" x14ac:dyDescent="0.25">
      <c r="A10">
        <v>6</v>
      </c>
      <c r="I10" s="2"/>
    </row>
    <row r="11" spans="1:12" x14ac:dyDescent="0.25">
      <c r="A11">
        <v>7</v>
      </c>
      <c r="I11" s="2"/>
    </row>
    <row r="14" spans="1:12" x14ac:dyDescent="0.25">
      <c r="A14" s="4" t="s">
        <v>12</v>
      </c>
      <c r="B14" s="4"/>
      <c r="C14" s="4"/>
      <c r="D14" s="4"/>
    </row>
    <row r="15" spans="1:12" x14ac:dyDescent="0.25">
      <c r="A15" t="s">
        <v>2</v>
      </c>
      <c r="B15" t="s">
        <v>13</v>
      </c>
      <c r="C15" t="s">
        <v>4</v>
      </c>
      <c r="D15" t="s">
        <v>14</v>
      </c>
    </row>
    <row r="16" spans="1:12" x14ac:dyDescent="0.25">
      <c r="A16">
        <v>1</v>
      </c>
      <c r="B16" t="s">
        <v>54</v>
      </c>
      <c r="C16" s="3">
        <v>25000</v>
      </c>
      <c r="D16" s="52">
        <f>0.2%</f>
        <v>2E-3</v>
      </c>
    </row>
    <row r="17" spans="1:10" x14ac:dyDescent="0.25">
      <c r="A17">
        <v>3</v>
      </c>
      <c r="B17" t="s">
        <v>86</v>
      </c>
      <c r="C17" s="3"/>
      <c r="D17" s="7"/>
    </row>
    <row r="18" spans="1:10" x14ac:dyDescent="0.25">
      <c r="C18" s="3"/>
    </row>
    <row r="20" spans="1:10" x14ac:dyDescent="0.25">
      <c r="A20" s="4" t="s">
        <v>15</v>
      </c>
      <c r="B20" s="4"/>
      <c r="C20" s="4"/>
      <c r="D20" s="4"/>
      <c r="F20" s="4" t="s">
        <v>31</v>
      </c>
      <c r="G20" s="4"/>
      <c r="H20" s="4"/>
      <c r="I20" s="4"/>
      <c r="J20" s="4"/>
    </row>
    <row r="21" spans="1:10" x14ac:dyDescent="0.25">
      <c r="A21" t="s">
        <v>16</v>
      </c>
      <c r="B21" t="s">
        <v>17</v>
      </c>
      <c r="C21" t="s">
        <v>18</v>
      </c>
      <c r="D21" t="s">
        <v>19</v>
      </c>
      <c r="F21" t="s">
        <v>32</v>
      </c>
      <c r="G21" t="s">
        <v>33</v>
      </c>
      <c r="H21" t="s">
        <v>34</v>
      </c>
      <c r="I21" t="s">
        <v>35</v>
      </c>
      <c r="J21" t="s">
        <v>36</v>
      </c>
    </row>
    <row r="22" spans="1:10" x14ac:dyDescent="0.25">
      <c r="A22">
        <v>1</v>
      </c>
      <c r="B22" t="s">
        <v>20</v>
      </c>
      <c r="C22" t="s">
        <v>27</v>
      </c>
      <c r="D22" t="s">
        <v>29</v>
      </c>
      <c r="F22" s="36">
        <v>44267</v>
      </c>
      <c r="G22">
        <v>1</v>
      </c>
      <c r="H22" s="5">
        <v>3750</v>
      </c>
      <c r="J22" s="10">
        <f>Расчёты!K2</f>
        <v>28198.772727272724</v>
      </c>
    </row>
    <row r="23" spans="1:10" x14ac:dyDescent="0.25">
      <c r="A23">
        <v>2</v>
      </c>
      <c r="B23" t="s">
        <v>21</v>
      </c>
      <c r="C23" t="s">
        <v>27</v>
      </c>
      <c r="D23" t="s">
        <v>29</v>
      </c>
      <c r="G23">
        <v>2</v>
      </c>
      <c r="H23" s="5"/>
      <c r="J23" s="10">
        <f>Расчёты!K3</f>
        <v>0</v>
      </c>
    </row>
    <row r="24" spans="1:10" x14ac:dyDescent="0.25">
      <c r="A24">
        <v>3</v>
      </c>
      <c r="B24" t="s">
        <v>22</v>
      </c>
      <c r="C24" t="s">
        <v>27</v>
      </c>
      <c r="D24" t="s">
        <v>29</v>
      </c>
      <c r="G24">
        <v>3</v>
      </c>
      <c r="H24" s="5"/>
      <c r="J24" s="10">
        <f>Расчёты!K4</f>
        <v>0</v>
      </c>
    </row>
    <row r="25" spans="1:10" x14ac:dyDescent="0.25">
      <c r="A25">
        <v>4</v>
      </c>
      <c r="B25" t="s">
        <v>23</v>
      </c>
      <c r="C25" t="s">
        <v>27</v>
      </c>
      <c r="D25" t="s">
        <v>29</v>
      </c>
      <c r="G25">
        <v>4</v>
      </c>
      <c r="H25" s="5"/>
      <c r="J25" s="10">
        <f>Расчёты!K5</f>
        <v>0</v>
      </c>
    </row>
    <row r="26" spans="1:10" x14ac:dyDescent="0.25">
      <c r="A26">
        <v>5</v>
      </c>
      <c r="B26" t="s">
        <v>24</v>
      </c>
      <c r="C26" t="s">
        <v>27</v>
      </c>
      <c r="D26" t="s">
        <v>29</v>
      </c>
      <c r="G26">
        <v>5</v>
      </c>
      <c r="H26" s="5"/>
      <c r="J26" s="10">
        <f>Расчёты!K6</f>
        <v>0</v>
      </c>
    </row>
    <row r="27" spans="1:10" x14ac:dyDescent="0.25">
      <c r="A27">
        <v>6</v>
      </c>
      <c r="B27" t="s">
        <v>25</v>
      </c>
      <c r="C27" t="s">
        <v>28</v>
      </c>
      <c r="D27" t="s">
        <v>30</v>
      </c>
      <c r="G27">
        <v>6</v>
      </c>
      <c r="H27" s="5"/>
      <c r="J27" s="10">
        <f>Расчёты!K7</f>
        <v>0</v>
      </c>
    </row>
    <row r="28" spans="1:10" x14ac:dyDescent="0.25">
      <c r="A28">
        <v>7</v>
      </c>
      <c r="B28" t="s">
        <v>26</v>
      </c>
      <c r="C28" t="s">
        <v>28</v>
      </c>
      <c r="D28" t="s">
        <v>30</v>
      </c>
      <c r="G28">
        <v>7</v>
      </c>
      <c r="H28" s="5"/>
      <c r="J28" s="10">
        <f>Расчёты!K8</f>
        <v>0</v>
      </c>
    </row>
    <row r="29" spans="1:10" x14ac:dyDescent="0.25">
      <c r="A29">
        <v>8</v>
      </c>
      <c r="B29" t="s">
        <v>20</v>
      </c>
      <c r="C29" t="s">
        <v>28</v>
      </c>
      <c r="D29" t="s">
        <v>29</v>
      </c>
    </row>
    <row r="30" spans="1:10" x14ac:dyDescent="0.25">
      <c r="A30">
        <v>9</v>
      </c>
      <c r="B30" t="s">
        <v>21</v>
      </c>
      <c r="C30" t="s">
        <v>27</v>
      </c>
      <c r="D30" t="s">
        <v>29</v>
      </c>
    </row>
    <row r="31" spans="1:10" x14ac:dyDescent="0.25">
      <c r="A31">
        <v>10</v>
      </c>
      <c r="B31" t="s">
        <v>22</v>
      </c>
      <c r="C31" t="s">
        <v>27</v>
      </c>
      <c r="D31" t="s">
        <v>29</v>
      </c>
    </row>
    <row r="32" spans="1:10" x14ac:dyDescent="0.25">
      <c r="A32">
        <v>11</v>
      </c>
      <c r="B32" t="s">
        <v>23</v>
      </c>
      <c r="C32" t="s">
        <v>27</v>
      </c>
      <c r="D32" t="s">
        <v>29</v>
      </c>
      <c r="F32" s="4" t="s">
        <v>37</v>
      </c>
      <c r="G32" s="4"/>
      <c r="I32" t="s">
        <v>48</v>
      </c>
    </row>
    <row r="33" spans="1:10" x14ac:dyDescent="0.25">
      <c r="A33">
        <v>12</v>
      </c>
      <c r="B33" t="s">
        <v>24</v>
      </c>
      <c r="C33" t="s">
        <v>27</v>
      </c>
      <c r="D33" t="s">
        <v>29</v>
      </c>
      <c r="F33" t="s">
        <v>13</v>
      </c>
      <c r="G33" t="s">
        <v>38</v>
      </c>
      <c r="I33" t="s">
        <v>49</v>
      </c>
      <c r="J33" t="s">
        <v>50</v>
      </c>
    </row>
    <row r="34" spans="1:10" x14ac:dyDescent="0.25">
      <c r="A34">
        <v>13</v>
      </c>
      <c r="B34" t="s">
        <v>25</v>
      </c>
      <c r="C34" t="s">
        <v>28</v>
      </c>
      <c r="D34" t="s">
        <v>30</v>
      </c>
      <c r="F34" t="s">
        <v>39</v>
      </c>
      <c r="G34" s="1">
        <v>0.13</v>
      </c>
      <c r="I34">
        <v>2021</v>
      </c>
    </row>
    <row r="35" spans="1:10" x14ac:dyDescent="0.25">
      <c r="A35">
        <v>14</v>
      </c>
      <c r="B35" t="s">
        <v>26</v>
      </c>
      <c r="C35" t="s">
        <v>28</v>
      </c>
      <c r="D35" t="s">
        <v>30</v>
      </c>
      <c r="F35" t="s">
        <v>40</v>
      </c>
      <c r="G35" s="1">
        <v>0.22</v>
      </c>
      <c r="I35">
        <v>2020</v>
      </c>
    </row>
    <row r="36" spans="1:10" x14ac:dyDescent="0.25">
      <c r="A36">
        <v>15</v>
      </c>
      <c r="B36" t="s">
        <v>20</v>
      </c>
      <c r="C36" t="s">
        <v>27</v>
      </c>
      <c r="D36" t="s">
        <v>29</v>
      </c>
      <c r="F36" t="s">
        <v>41</v>
      </c>
      <c r="G36" s="7">
        <v>2.9000000000000001E-2</v>
      </c>
    </row>
    <row r="37" spans="1:10" x14ac:dyDescent="0.25">
      <c r="A37">
        <v>16</v>
      </c>
      <c r="B37" t="s">
        <v>21</v>
      </c>
      <c r="C37" t="s">
        <v>27</v>
      </c>
      <c r="D37" t="s">
        <v>29</v>
      </c>
      <c r="F37" t="s">
        <v>42</v>
      </c>
      <c r="G37" s="7">
        <v>5.0999999999999997E-2</v>
      </c>
    </row>
    <row r="38" spans="1:10" x14ac:dyDescent="0.25">
      <c r="A38">
        <v>17</v>
      </c>
      <c r="B38" t="s">
        <v>22</v>
      </c>
      <c r="C38" t="s">
        <v>27</v>
      </c>
      <c r="D38" t="s">
        <v>29</v>
      </c>
      <c r="F38" t="s">
        <v>43</v>
      </c>
      <c r="G38" s="8">
        <v>12792</v>
      </c>
    </row>
    <row r="39" spans="1:10" x14ac:dyDescent="0.25">
      <c r="A39">
        <v>18</v>
      </c>
      <c r="B39" t="s">
        <v>23</v>
      </c>
      <c r="C39" t="s">
        <v>27</v>
      </c>
      <c r="D39" t="s">
        <v>29</v>
      </c>
      <c r="F39" t="s">
        <v>44</v>
      </c>
      <c r="G39">
        <v>1400</v>
      </c>
    </row>
    <row r="40" spans="1:10" x14ac:dyDescent="0.25">
      <c r="A40">
        <v>19</v>
      </c>
      <c r="B40" t="s">
        <v>24</v>
      </c>
      <c r="C40" t="s">
        <v>27</v>
      </c>
      <c r="D40" t="s">
        <v>29</v>
      </c>
      <c r="F40" t="s">
        <v>45</v>
      </c>
      <c r="G40">
        <v>3000</v>
      </c>
    </row>
    <row r="41" spans="1:10" x14ac:dyDescent="0.25">
      <c r="A41">
        <v>20</v>
      </c>
      <c r="B41" t="s">
        <v>25</v>
      </c>
      <c r="C41" t="s">
        <v>28</v>
      </c>
      <c r="D41" t="s">
        <v>30</v>
      </c>
      <c r="F41" t="s">
        <v>46</v>
      </c>
      <c r="G41" s="8">
        <v>12000</v>
      </c>
    </row>
    <row r="42" spans="1:10" x14ac:dyDescent="0.25">
      <c r="A42">
        <v>21</v>
      </c>
      <c r="B42" t="s">
        <v>26</v>
      </c>
      <c r="C42" t="s">
        <v>28</v>
      </c>
      <c r="D42" t="s">
        <v>30</v>
      </c>
      <c r="F42" t="s">
        <v>47</v>
      </c>
      <c r="G42">
        <v>6000</v>
      </c>
    </row>
    <row r="43" spans="1:10" x14ac:dyDescent="0.25">
      <c r="A43">
        <v>22</v>
      </c>
      <c r="B43" t="s">
        <v>20</v>
      </c>
      <c r="C43" t="s">
        <v>27</v>
      </c>
      <c r="D43" t="s">
        <v>29</v>
      </c>
    </row>
    <row r="44" spans="1:10" x14ac:dyDescent="0.25">
      <c r="A44">
        <v>23</v>
      </c>
      <c r="B44" t="s">
        <v>21</v>
      </c>
      <c r="C44" t="s">
        <v>27</v>
      </c>
      <c r="D44" t="s">
        <v>29</v>
      </c>
    </row>
    <row r="45" spans="1:10" x14ac:dyDescent="0.25">
      <c r="A45">
        <v>24</v>
      </c>
      <c r="B45" t="s">
        <v>22</v>
      </c>
      <c r="C45" t="s">
        <v>27</v>
      </c>
      <c r="D45" t="s">
        <v>29</v>
      </c>
    </row>
    <row r="46" spans="1:10" x14ac:dyDescent="0.25">
      <c r="A46">
        <v>25</v>
      </c>
      <c r="B46" t="s">
        <v>23</v>
      </c>
      <c r="C46" t="s">
        <v>27</v>
      </c>
      <c r="D46" t="s">
        <v>29</v>
      </c>
    </row>
    <row r="47" spans="1:10" x14ac:dyDescent="0.25">
      <c r="A47">
        <v>26</v>
      </c>
      <c r="B47" t="s">
        <v>24</v>
      </c>
      <c r="C47" t="s">
        <v>27</v>
      </c>
      <c r="D47" t="s">
        <v>29</v>
      </c>
    </row>
    <row r="48" spans="1:10" x14ac:dyDescent="0.25">
      <c r="A48">
        <v>27</v>
      </c>
      <c r="B48" t="s">
        <v>25</v>
      </c>
      <c r="C48" t="s">
        <v>28</v>
      </c>
      <c r="D48" t="s">
        <v>30</v>
      </c>
    </row>
    <row r="49" spans="1:4" x14ac:dyDescent="0.25">
      <c r="A49">
        <v>28</v>
      </c>
      <c r="B49" t="s">
        <v>26</v>
      </c>
      <c r="C49" t="s">
        <v>28</v>
      </c>
      <c r="D49" t="s">
        <v>30</v>
      </c>
    </row>
    <row r="50" spans="1:4" x14ac:dyDescent="0.25">
      <c r="A50">
        <v>29</v>
      </c>
      <c r="B50" t="s">
        <v>20</v>
      </c>
      <c r="C50" t="s">
        <v>27</v>
      </c>
      <c r="D50" t="s">
        <v>29</v>
      </c>
    </row>
    <row r="51" spans="1:4" x14ac:dyDescent="0.25">
      <c r="A51">
        <v>30</v>
      </c>
      <c r="B51" t="s">
        <v>21</v>
      </c>
      <c r="C51" t="s">
        <v>27</v>
      </c>
      <c r="D51" t="s">
        <v>29</v>
      </c>
    </row>
    <row r="52" spans="1:4" x14ac:dyDescent="0.25">
      <c r="A52">
        <v>31</v>
      </c>
      <c r="B52" t="s">
        <v>22</v>
      </c>
      <c r="C52" t="s">
        <v>27</v>
      </c>
      <c r="D52" t="s">
        <v>29</v>
      </c>
    </row>
    <row r="53" spans="1:4" x14ac:dyDescent="0.25">
      <c r="A53" t="s">
        <v>55</v>
      </c>
      <c r="B53" s="9" t="s">
        <v>56</v>
      </c>
      <c r="C53">
        <f>COUNTIF(ГР[Статус дня],"р")</f>
        <v>22</v>
      </c>
      <c r="D53">
        <f>COUNTIF(ГР[[статус сотрудника ]],"вышел")</f>
        <v>23</v>
      </c>
    </row>
  </sheetData>
  <mergeCells count="5">
    <mergeCell ref="A3:K3"/>
    <mergeCell ref="A14:D14"/>
    <mergeCell ref="A20:D20"/>
    <mergeCell ref="F20:J20"/>
    <mergeCell ref="F32:G32"/>
  </mergeCells>
  <conditionalFormatting sqref="C22:C52">
    <cfRule type="containsText" dxfId="4" priority="1" operator="containsText" text="в">
      <formula>NOT(ISERROR(SEARCH("в",C22)))</formula>
    </cfRule>
    <cfRule type="cellIs" dxfId="3" priority="5" operator="equal">
      <formula>$C$22</formula>
    </cfRule>
  </conditionalFormatting>
  <conditionalFormatting sqref="D22:D52">
    <cfRule type="containsText" dxfId="2" priority="2" operator="containsText" text="отдыхает">
      <formula>NOT(ISERROR(SEARCH("отдыхает",D22)))</formula>
    </cfRule>
  </conditionalFormatting>
  <pageMargins left="0.7" right="0.7" top="0.75" bottom="0.75" header="0.3" footer="0.3"/>
  <pageSetup paperSize="9" orientation="portrait" horizontalDpi="0" verticalDpi="0" r:id="rId1"/>
  <legacyDrawing r:id="rId2"/>
  <tableParts count="6">
    <tablePart r:id="rId3"/>
    <tablePart r:id="rId4"/>
    <tablePart r:id="rId5"/>
    <tablePart r:id="rId6"/>
    <tablePart r:id="rId7"/>
    <tablePart r:id="rId8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953B204E-7AFA-40F6-8E64-C868DA82B3CC}">
            <xm:f>NOT(ISERROR(SEARCH($D$22,D22)))</xm:f>
            <xm:f>$D$22</xm:f>
            <x14:dxf>
              <fill>
                <patternFill>
                  <bgColor rgb="FFFFFF00"/>
                </patternFill>
              </fill>
            </x14:dxf>
          </x14:cfRule>
          <xm:sqref>D22:D52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K2" sqref="K2"/>
    </sheetView>
  </sheetViews>
  <sheetFormatPr defaultRowHeight="15" x14ac:dyDescent="0.25"/>
  <cols>
    <col min="1" max="1" width="14.85546875" customWidth="1"/>
    <col min="2" max="2" width="16.85546875" customWidth="1"/>
    <col min="3" max="3" width="17.85546875" customWidth="1"/>
    <col min="4" max="4" width="12.5703125" customWidth="1"/>
    <col min="5" max="5" width="20" customWidth="1"/>
    <col min="6" max="6" width="27.5703125" customWidth="1"/>
    <col min="7" max="7" width="27.7109375" customWidth="1"/>
    <col min="8" max="8" width="36.85546875" customWidth="1"/>
    <col min="9" max="9" width="14.7109375" customWidth="1"/>
    <col min="10" max="10" width="12" bestFit="1" customWidth="1"/>
    <col min="11" max="11" width="11.7109375" customWidth="1"/>
    <col min="12" max="12" width="11" bestFit="1" customWidth="1"/>
    <col min="13" max="13" width="9.5703125" bestFit="1" customWidth="1"/>
    <col min="14" max="14" width="11" bestFit="1" customWidth="1"/>
    <col min="15" max="15" width="14.140625" customWidth="1"/>
  </cols>
  <sheetData>
    <row r="1" spans="1:15" ht="36" customHeight="1" x14ac:dyDescent="0.25">
      <c r="A1" s="6" t="s">
        <v>57</v>
      </c>
      <c r="B1" s="6" t="s">
        <v>58</v>
      </c>
      <c r="C1" s="6" t="s">
        <v>59</v>
      </c>
      <c r="D1" s="6" t="s">
        <v>60</v>
      </c>
      <c r="E1" s="6" t="s">
        <v>61</v>
      </c>
      <c r="F1" s="6" t="s">
        <v>62</v>
      </c>
      <c r="G1" s="6" t="s">
        <v>63</v>
      </c>
      <c r="H1" s="6" t="s">
        <v>66</v>
      </c>
      <c r="I1" s="6" t="s">
        <v>67</v>
      </c>
      <c r="J1" s="6" t="s">
        <v>39</v>
      </c>
      <c r="K1" s="49" t="s">
        <v>68</v>
      </c>
      <c r="L1" s="6" t="s">
        <v>40</v>
      </c>
      <c r="M1" s="51" t="s">
        <v>41</v>
      </c>
      <c r="N1" s="51" t="s">
        <v>42</v>
      </c>
      <c r="O1" s="51" t="s">
        <v>92</v>
      </c>
    </row>
    <row r="2" spans="1:15" x14ac:dyDescent="0.25">
      <c r="A2" s="5">
        <f>Вводные!C16/ГР[[#Totals],[Статус дня]]</f>
        <v>1136.3636363636363</v>
      </c>
      <c r="B2" s="5">
        <f>(COUNTIFS(ГР[[статус сотрудника ]],"вышел",ГР[Статус дня],"р"))*A2</f>
        <v>24999.999999999996</v>
      </c>
      <c r="C2" s="5">
        <f>(COUNTIFS(ГР[[статус сотрудника ]],"вышел",ГР[Статус дня],"в"))*A2*2</f>
        <v>2272.7272727272725</v>
      </c>
      <c r="D2" s="5">
        <f>SUM(B2:C2)</f>
        <v>27272.727272727268</v>
      </c>
      <c r="E2" s="10">
        <f>D2-Вводные!I22+Вводные!H22</f>
        <v>31022.727272727268</v>
      </c>
      <c r="F2" s="5">
        <f>IF(Вводные!H5&gt;0,IF(Вводные!H5=1,3000,500),0)</f>
        <v>500</v>
      </c>
      <c r="G2" s="5">
        <f>(IF(Вводные!E5&lt;3,Вводные!G$39*Вводные!E5,Вводные!G$39*2+Вводные!G$40*(Вводные!E5-2)))*Вводные!L5</f>
        <v>8800</v>
      </c>
      <c r="H2">
        <f>Вводные!F5*Вводные!$G$41+Вводные!G5*Вводные!$G$42</f>
        <v>0</v>
      </c>
      <c r="I2" s="10">
        <f>E2-SUM(F2:H2)</f>
        <v>21722.727272727268</v>
      </c>
      <c r="J2" s="10">
        <f>I2*Вводные!G34</f>
        <v>2823.954545454545</v>
      </c>
      <c r="K2" s="50">
        <f>E2-J2</f>
        <v>28198.772727272724</v>
      </c>
      <c r="L2" s="10">
        <f>E2*Вводные!G35</f>
        <v>6824.9999999999991</v>
      </c>
      <c r="M2" s="5">
        <f>$E2*Вводные!G36</f>
        <v>899.65909090909088</v>
      </c>
      <c r="N2" s="10">
        <f>$E2*Вводные!G37</f>
        <v>1582.1590909090905</v>
      </c>
      <c r="O2" s="10">
        <f>$E2*Вводные!D16</f>
        <v>62.04545454545454</v>
      </c>
    </row>
    <row r="8" spans="1:15" x14ac:dyDescent="0.25">
      <c r="I8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H10" sqref="H7:I10"/>
    </sheetView>
  </sheetViews>
  <sheetFormatPr defaultRowHeight="15" x14ac:dyDescent="0.25"/>
  <cols>
    <col min="1" max="1" width="37.140625" customWidth="1"/>
    <col min="2" max="2" width="11.28515625" bestFit="1" customWidth="1"/>
    <col min="5" max="5" width="13.140625" bestFit="1" customWidth="1"/>
    <col min="6" max="6" width="33.5703125" customWidth="1"/>
    <col min="7" max="7" width="11.28515625" bestFit="1" customWidth="1"/>
  </cols>
  <sheetData>
    <row r="1" spans="1:9" ht="15.75" customHeight="1" x14ac:dyDescent="0.25">
      <c r="A1" s="40" t="s">
        <v>87</v>
      </c>
      <c r="B1" s="40"/>
      <c r="C1" s="40"/>
      <c r="D1" s="40"/>
      <c r="E1" s="40"/>
      <c r="F1" s="41">
        <f>Вводные!F22</f>
        <v>44267</v>
      </c>
      <c r="G1" s="39"/>
      <c r="H1" s="39"/>
      <c r="I1" s="20"/>
    </row>
    <row r="2" spans="1:9" ht="15.75" customHeight="1" x14ac:dyDescent="0.25">
      <c r="A2" s="19" t="s">
        <v>88</v>
      </c>
      <c r="B2" s="19"/>
      <c r="C2" s="19"/>
      <c r="D2" s="19"/>
      <c r="E2" s="19"/>
      <c r="F2" s="19"/>
      <c r="G2" s="19"/>
      <c r="H2" s="19"/>
      <c r="I2" s="20"/>
    </row>
    <row r="3" spans="1:9" ht="15.75" customHeight="1" x14ac:dyDescent="0.25">
      <c r="A3" s="14" t="s">
        <v>82</v>
      </c>
      <c r="B3" s="37" t="str">
        <f>LOOKUP(B4,Вводные!A5:A11,Вводные!B5:B11)</f>
        <v>Иванов Иван Иваныч</v>
      </c>
      <c r="C3" s="37"/>
      <c r="D3" s="37"/>
      <c r="E3" s="37"/>
      <c r="F3" s="21"/>
      <c r="G3" s="21"/>
      <c r="H3" s="21"/>
      <c r="I3" s="13"/>
    </row>
    <row r="4" spans="1:9" ht="16.5" thickBot="1" x14ac:dyDescent="0.3">
      <c r="A4" s="15" t="s">
        <v>83</v>
      </c>
      <c r="B4" s="38">
        <v>1</v>
      </c>
      <c r="C4" s="38"/>
      <c r="D4" s="38"/>
      <c r="E4" s="38"/>
      <c r="F4" s="15" t="s">
        <v>84</v>
      </c>
      <c r="G4" s="38" t="str">
        <f>LOOKUP(LOOKUP(B4,Вводные!A5:A11,Вводные!C5:C11),Вводные!A16:A17,Вводные!B16:B17)</f>
        <v>Бухгалтер</v>
      </c>
      <c r="H4" s="38"/>
      <c r="I4" s="38"/>
    </row>
    <row r="5" spans="1:9" ht="16.5" thickBot="1" x14ac:dyDescent="0.3">
      <c r="A5" s="16" t="s">
        <v>69</v>
      </c>
      <c r="B5" s="16" t="s">
        <v>70</v>
      </c>
      <c r="C5" s="16" t="s">
        <v>71</v>
      </c>
      <c r="D5" s="16" t="s">
        <v>72</v>
      </c>
      <c r="E5" s="16" t="s">
        <v>73</v>
      </c>
      <c r="F5" s="16" t="s">
        <v>69</v>
      </c>
      <c r="G5" s="16" t="s">
        <v>70</v>
      </c>
      <c r="H5" s="22" t="s">
        <v>73</v>
      </c>
      <c r="I5" s="23"/>
    </row>
    <row r="6" spans="1:9" ht="16.5" thickBot="1" x14ac:dyDescent="0.3">
      <c r="A6" s="24" t="s">
        <v>74</v>
      </c>
      <c r="B6" s="25"/>
      <c r="C6" s="25"/>
      <c r="D6" s="25"/>
      <c r="E6" s="26"/>
      <c r="F6" s="24" t="s">
        <v>75</v>
      </c>
      <c r="G6" s="25"/>
      <c r="H6" s="25"/>
      <c r="I6" s="26"/>
    </row>
    <row r="7" spans="1:9" ht="16.5" thickBot="1" x14ac:dyDescent="0.3">
      <c r="A7" s="17" t="s">
        <v>76</v>
      </c>
      <c r="B7" s="18"/>
      <c r="C7" s="18"/>
      <c r="D7" s="18"/>
      <c r="E7" s="18"/>
      <c r="F7" s="53" t="str">
        <f>"НДФЛ по ставке "&amp;Вводные!G34*100&amp;"%"</f>
        <v>НДФЛ по ставке 13%</v>
      </c>
      <c r="G7" s="42">
        <f>F1</f>
        <v>44267</v>
      </c>
      <c r="H7" s="59">
        <f>Расчёты!J2</f>
        <v>2823.954545454545</v>
      </c>
      <c r="I7" s="60"/>
    </row>
    <row r="8" spans="1:9" ht="16.5" thickBot="1" x14ac:dyDescent="0.3">
      <c r="A8" s="17" t="s">
        <v>4</v>
      </c>
      <c r="B8" s="42">
        <f>F1</f>
        <v>44267</v>
      </c>
      <c r="C8" s="18">
        <f>ГР[[#Totals],[статус сотрудника ]]</f>
        <v>23</v>
      </c>
      <c r="D8" s="18"/>
      <c r="E8" s="43">
        <f>Расчёты!D2</f>
        <v>27272.727272727268</v>
      </c>
      <c r="F8" s="17" t="s">
        <v>76</v>
      </c>
      <c r="G8" s="18"/>
      <c r="H8" s="59"/>
      <c r="I8" s="60"/>
    </row>
    <row r="9" spans="1:9" ht="32.25" thickBot="1" x14ac:dyDescent="0.3">
      <c r="A9" s="17" t="s">
        <v>89</v>
      </c>
      <c r="B9" s="42"/>
      <c r="C9" s="17"/>
      <c r="D9" s="17"/>
      <c r="E9" s="43">
        <f>Вводные!H22</f>
        <v>3750</v>
      </c>
      <c r="F9" s="35" t="s">
        <v>91</v>
      </c>
      <c r="G9" s="57"/>
      <c r="H9" s="61"/>
      <c r="I9" s="62"/>
    </row>
    <row r="10" spans="1:9" ht="16.5" thickBot="1" x14ac:dyDescent="0.3">
      <c r="A10" s="17"/>
      <c r="B10" s="42"/>
      <c r="C10" s="17"/>
      <c r="D10" s="17"/>
      <c r="E10" s="43"/>
      <c r="F10" s="56" t="s">
        <v>93</v>
      </c>
      <c r="G10" s="58"/>
      <c r="H10" s="63">
        <f>Вводные!I22</f>
        <v>0</v>
      </c>
      <c r="I10" s="64"/>
    </row>
    <row r="11" spans="1:9" ht="16.5" thickBot="1" x14ac:dyDescent="0.3">
      <c r="A11" s="17" t="s">
        <v>77</v>
      </c>
      <c r="B11" s="17"/>
      <c r="C11" s="17"/>
      <c r="D11" s="17"/>
      <c r="E11" s="46">
        <f>SUM('Расчётный лист'!E7:E9)</f>
        <v>31022.727272727268</v>
      </c>
      <c r="F11" s="29" t="s">
        <v>78</v>
      </c>
      <c r="G11" s="30"/>
      <c r="H11" s="54">
        <f>SUM(H7:I9)</f>
        <v>2823.954545454545</v>
      </c>
      <c r="I11" s="55"/>
    </row>
    <row r="12" spans="1:9" ht="31.5" customHeight="1" thickBot="1" x14ac:dyDescent="0.3">
      <c r="A12" s="24" t="s">
        <v>79</v>
      </c>
      <c r="B12" s="25"/>
      <c r="C12" s="25"/>
      <c r="D12" s="25"/>
      <c r="E12" s="26"/>
      <c r="F12" s="24" t="s">
        <v>80</v>
      </c>
      <c r="G12" s="26"/>
      <c r="H12" s="48">
        <f>Расчёты!K2</f>
        <v>28198.772727272724</v>
      </c>
      <c r="I12" s="33"/>
    </row>
    <row r="13" spans="1:9" ht="31.5" customHeight="1" thickBot="1" x14ac:dyDescent="0.3">
      <c r="A13" s="31" t="s">
        <v>81</v>
      </c>
      <c r="B13" s="34"/>
      <c r="C13" s="34"/>
      <c r="D13" s="32"/>
      <c r="E13" s="43">
        <f>Расчёты!L2</f>
        <v>6824.9999999999991</v>
      </c>
      <c r="F13" s="44" t="str">
        <f>"Зачислено на счёт "&amp;LOOKUP(B4,Вводные!A5:A11,Вводные!I5:I11)</f>
        <v>Зачислено на счёт 12345678901234567890</v>
      </c>
      <c r="G13" s="45"/>
      <c r="H13" s="47">
        <f>H12</f>
        <v>28198.772727272724</v>
      </c>
      <c r="I13" s="28"/>
    </row>
    <row r="14" spans="1:9" ht="31.5" customHeight="1" thickBot="1" x14ac:dyDescent="0.3">
      <c r="A14" s="31"/>
      <c r="B14" s="34"/>
      <c r="C14" s="34"/>
      <c r="D14" s="32"/>
      <c r="E14" s="17"/>
      <c r="F14" s="31" t="s">
        <v>90</v>
      </c>
      <c r="G14" s="32"/>
      <c r="H14" s="27"/>
      <c r="I14" s="28"/>
    </row>
  </sheetData>
  <mergeCells count="25">
    <mergeCell ref="A1:E1"/>
    <mergeCell ref="H10:I10"/>
    <mergeCell ref="A13:D13"/>
    <mergeCell ref="F13:G13"/>
    <mergeCell ref="H13:I13"/>
    <mergeCell ref="A14:D14"/>
    <mergeCell ref="F14:G14"/>
    <mergeCell ref="H14:I14"/>
    <mergeCell ref="F11:G11"/>
    <mergeCell ref="H11:I11"/>
    <mergeCell ref="A12:E12"/>
    <mergeCell ref="F12:G12"/>
    <mergeCell ref="H12:I12"/>
    <mergeCell ref="H5:I5"/>
    <mergeCell ref="A6:E6"/>
    <mergeCell ref="F6:I6"/>
    <mergeCell ref="H7:I7"/>
    <mergeCell ref="H8:I8"/>
    <mergeCell ref="H9:I9"/>
    <mergeCell ref="A2:H2"/>
    <mergeCell ref="I1:I2"/>
    <mergeCell ref="F3:H3"/>
    <mergeCell ref="B3:E3"/>
    <mergeCell ref="B4:E4"/>
    <mergeCell ref="G4:I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Вводные</vt:lpstr>
      <vt:lpstr>Расчёты</vt:lpstr>
      <vt:lpstr>Расчётный лист</vt:lpstr>
      <vt:lpstr>'Расчётный лист'!_GoBack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2021-04-21T08:35:33Z</dcterms:created>
  <dcterms:modified xsi:type="dcterms:W3CDTF">2021-04-22T21:17:47Z</dcterms:modified>
</cp:coreProperties>
</file>