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K\Downloads\"/>
    </mc:Choice>
  </mc:AlternateContent>
  <xr:revisionPtr revIDLastSave="0" documentId="13_ncr:1_{395E2B89-92BD-4E2A-9F80-118AAF7DCECB}" xr6:coauthVersionLast="47" xr6:coauthVersionMax="47" xr10:uidLastSave="{00000000-0000-0000-0000-000000000000}"/>
  <bookViews>
    <workbookView xWindow="-120" yWindow="-120" windowWidth="29040" windowHeight="15840" tabRatio="884" firstSheet="1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</workbook>
</file>

<file path=xl/calcChain.xml><?xml version="1.0" encoding="utf-8"?>
<calcChain xmlns="http://schemas.openxmlformats.org/spreadsheetml/2006/main">
  <c r="F59" i="31" l="1"/>
  <c r="F56" i="31"/>
  <c r="F53" i="31"/>
  <c r="I42" i="31"/>
  <c r="I39" i="31"/>
  <c r="F33" i="31" s="1"/>
  <c r="G33" i="31"/>
  <c r="H33" i="31"/>
  <c r="I33" i="31"/>
  <c r="J33" i="31"/>
  <c r="K33" i="31"/>
  <c r="L33" i="31"/>
  <c r="M33" i="31"/>
  <c r="S33" i="31"/>
  <c r="G59" i="31" l="1"/>
  <c r="H59" i="31"/>
  <c r="I59" i="31"/>
  <c r="J59" i="31"/>
  <c r="K59" i="31"/>
  <c r="L59" i="31"/>
  <c r="M59" i="31"/>
  <c r="N59" i="31"/>
  <c r="F37" i="31"/>
  <c r="F32" i="31"/>
  <c r="G56" i="31"/>
  <c r="H56" i="31"/>
  <c r="I56" i="31"/>
  <c r="J56" i="31"/>
  <c r="K56" i="31"/>
  <c r="L56" i="31"/>
  <c r="M56" i="31"/>
  <c r="N56" i="31"/>
  <c r="G53" i="31"/>
  <c r="H53" i="31"/>
  <c r="I53" i="31"/>
  <c r="J53" i="31"/>
  <c r="K53" i="31"/>
  <c r="L53" i="31"/>
  <c r="M53" i="31"/>
  <c r="N53" i="31"/>
  <c r="G49" i="31"/>
  <c r="H49" i="31"/>
  <c r="I49" i="31"/>
  <c r="J49" i="31"/>
  <c r="K49" i="31"/>
  <c r="L49" i="31"/>
  <c r="M49" i="31"/>
  <c r="N49" i="31"/>
  <c r="F49" i="31"/>
  <c r="J39" i="31"/>
  <c r="K39" i="31"/>
  <c r="L39" i="31"/>
  <c r="M39" i="31"/>
  <c r="G32" i="31"/>
  <c r="H32" i="31"/>
  <c r="I32" i="31"/>
  <c r="J32" i="31"/>
  <c r="K32" i="31"/>
  <c r="L32" i="31"/>
  <c r="M32" i="31"/>
  <c r="H29" i="31"/>
  <c r="I29" i="31"/>
  <c r="J29" i="31"/>
  <c r="K29" i="31"/>
  <c r="L29" i="31"/>
  <c r="M29" i="31"/>
  <c r="G29" i="31"/>
  <c r="G48" i="31" l="1"/>
  <c r="H48" i="31"/>
  <c r="I48" i="31"/>
  <c r="J48" i="31"/>
  <c r="K48" i="31"/>
  <c r="L48" i="31"/>
  <c r="M48" i="31"/>
  <c r="N48" i="31"/>
  <c r="O48" i="31"/>
  <c r="P48" i="31"/>
  <c r="Q48" i="31"/>
  <c r="R48" i="31"/>
  <c r="S48" i="31"/>
  <c r="F48" i="31"/>
  <c r="G50" i="31" l="1"/>
  <c r="K50" i="31"/>
  <c r="F50" i="31"/>
  <c r="H50" i="31"/>
  <c r="I50" i="31"/>
  <c r="J50" i="31"/>
  <c r="L50" i="31"/>
  <c r="M50" i="31"/>
  <c r="S50" i="31"/>
  <c r="G58" i="31" l="1"/>
  <c r="H58" i="31"/>
  <c r="I58" i="31"/>
  <c r="J58" i="31"/>
  <c r="K58" i="31"/>
  <c r="L58" i="31"/>
  <c r="M58" i="31"/>
  <c r="N58" i="31"/>
  <c r="O58" i="31"/>
  <c r="P58" i="31"/>
  <c r="Q58" i="31"/>
  <c r="R58" i="31"/>
  <c r="S58" i="31"/>
  <c r="F58" i="31"/>
  <c r="G55" i="31"/>
  <c r="H55" i="31"/>
  <c r="I55" i="31"/>
  <c r="J55" i="31"/>
  <c r="K55" i="31"/>
  <c r="L55" i="31"/>
  <c r="M55" i="31"/>
  <c r="N55" i="31"/>
  <c r="O55" i="31"/>
  <c r="P55" i="31"/>
  <c r="Q55" i="31"/>
  <c r="R55" i="31"/>
  <c r="S55" i="31"/>
  <c r="F55" i="31"/>
  <c r="G52" i="31" l="1"/>
  <c r="H52" i="31"/>
  <c r="I52" i="31"/>
  <c r="J52" i="31"/>
  <c r="K52" i="31"/>
  <c r="L52" i="31"/>
  <c r="M52" i="31"/>
  <c r="N52" i="31"/>
  <c r="F52" i="31"/>
  <c r="K46" i="31"/>
  <c r="L46" i="31"/>
  <c r="M46" i="31"/>
  <c r="S46" i="31"/>
  <c r="J46" i="31"/>
  <c r="J42" i="31"/>
  <c r="J43" i="31" s="1"/>
  <c r="K42" i="31"/>
  <c r="K43" i="31" s="1"/>
  <c r="L42" i="31"/>
  <c r="L44" i="31" s="1"/>
  <c r="M42" i="31"/>
  <c r="M44" i="31" s="1"/>
  <c r="J44" i="31"/>
  <c r="J40" i="31"/>
  <c r="K40" i="31"/>
  <c r="L40" i="31"/>
  <c r="M40" i="31"/>
  <c r="N40" i="31"/>
  <c r="O40" i="31"/>
  <c r="P40" i="31"/>
  <c r="Q40" i="31"/>
  <c r="R40" i="31"/>
  <c r="S40" i="31"/>
  <c r="I40" i="31"/>
  <c r="H37" i="31"/>
  <c r="I37" i="31"/>
  <c r="J37" i="31"/>
  <c r="K37" i="31"/>
  <c r="L37" i="31"/>
  <c r="M37" i="31"/>
  <c r="G37" i="31"/>
  <c r="G36" i="31"/>
  <c r="H36" i="31"/>
  <c r="I36" i="31"/>
  <c r="J36" i="31"/>
  <c r="K36" i="31"/>
  <c r="L36" i="31"/>
  <c r="M36" i="31"/>
  <c r="F36" i="31"/>
  <c r="R40" i="45"/>
  <c r="S40" i="45"/>
  <c r="T40" i="45" s="1"/>
  <c r="U40" i="45" s="1"/>
  <c r="V40" i="45" s="1"/>
  <c r="Q40" i="45"/>
  <c r="G31" i="31"/>
  <c r="H31" i="31"/>
  <c r="I31" i="31"/>
  <c r="J31" i="31"/>
  <c r="K31" i="31"/>
  <c r="L31" i="31"/>
  <c r="M31" i="31"/>
  <c r="F31" i="31"/>
  <c r="G28" i="31"/>
  <c r="H28" i="31"/>
  <c r="I28" i="31"/>
  <c r="J28" i="31"/>
  <c r="K28" i="31"/>
  <c r="L28" i="31"/>
  <c r="M28" i="31"/>
  <c r="F28" i="31"/>
  <c r="G25" i="31"/>
  <c r="G27" i="31"/>
  <c r="H27" i="31"/>
  <c r="I27" i="31"/>
  <c r="J27" i="31"/>
  <c r="K27" i="31"/>
  <c r="L27" i="31"/>
  <c r="M27" i="31"/>
  <c r="F27" i="31"/>
  <c r="L22" i="45"/>
  <c r="K22" i="45"/>
  <c r="F25" i="31"/>
  <c r="H25" i="31"/>
  <c r="I25" i="31"/>
  <c r="J25" i="31"/>
  <c r="K25" i="31"/>
  <c r="L25" i="31"/>
  <c r="M25" i="31"/>
  <c r="N25" i="31"/>
  <c r="L20" i="45"/>
  <c r="M20" i="45"/>
  <c r="N20" i="45"/>
  <c r="O20" i="45"/>
  <c r="P20" i="45"/>
  <c r="G24" i="31"/>
  <c r="H24" i="31"/>
  <c r="I24" i="31"/>
  <c r="J24" i="31"/>
  <c r="K24" i="31"/>
  <c r="L24" i="31"/>
  <c r="M24" i="31"/>
  <c r="N24" i="31"/>
  <c r="F24" i="31"/>
  <c r="L43" i="31" l="1"/>
  <c r="K44" i="31"/>
  <c r="M43" i="31"/>
  <c r="I43" i="31"/>
  <c r="M53" i="45"/>
  <c r="N53" i="45"/>
  <c r="O53" i="45"/>
  <c r="P53" i="45"/>
  <c r="L53" i="45"/>
  <c r="Q49" i="45"/>
  <c r="R49" i="45"/>
  <c r="S49" i="45" s="1"/>
  <c r="T49" i="45" s="1"/>
  <c r="U49" i="45" s="1"/>
  <c r="V49" i="45" s="1"/>
  <c r="M49" i="45"/>
  <c r="N49" i="45"/>
  <c r="O49" i="45"/>
  <c r="P49" i="45"/>
  <c r="L49" i="45"/>
  <c r="M45" i="45"/>
  <c r="N45" i="45"/>
  <c r="O45" i="45"/>
  <c r="P45" i="45"/>
  <c r="L45" i="45"/>
  <c r="M22" i="45"/>
  <c r="N22" i="45"/>
  <c r="O22" i="45"/>
  <c r="P22" i="45"/>
  <c r="M40" i="45"/>
  <c r="N40" i="45"/>
  <c r="O40" i="45"/>
  <c r="P40" i="45"/>
  <c r="L40" i="45"/>
  <c r="M16" i="45"/>
  <c r="N16" i="45"/>
  <c r="O16" i="45"/>
  <c r="P16" i="45"/>
  <c r="L16" i="45"/>
  <c r="M12" i="45"/>
  <c r="N12" i="45"/>
  <c r="O12" i="45"/>
  <c r="P12" i="45"/>
  <c r="P13" i="45" s="1"/>
  <c r="N13" i="45"/>
  <c r="L12" i="45"/>
  <c r="L13" i="45" s="1"/>
  <c r="O13" i="45" l="1"/>
  <c r="M13" i="45"/>
  <c r="M11" i="45" s="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E19" i="9" l="1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G69" i="45"/>
  <c r="J69" i="45"/>
  <c r="I73" i="45"/>
  <c r="I64" i="45"/>
  <c r="G7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M41" i="45"/>
  <c r="M72" i="45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F13" i="44"/>
  <c r="P31" i="45" s="1"/>
  <c r="P32" i="45" s="1"/>
  <c r="C13" i="44"/>
  <c r="M31" i="45" s="1"/>
  <c r="B11" i="44"/>
  <c r="O32" i="45" l="1"/>
  <c r="M32" i="45"/>
  <c r="K66" i="45"/>
  <c r="B16" i="44"/>
  <c r="B20" i="44" s="1"/>
  <c r="E16" i="44"/>
  <c r="E20" i="44" s="1"/>
  <c r="C16" i="44"/>
  <c r="C20" i="44" s="1"/>
  <c r="F16" i="44"/>
  <c r="F20" i="44" s="1"/>
  <c r="D16" i="44"/>
  <c r="D20" i="44" s="1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B31" i="44" l="1"/>
  <c r="L18" i="45"/>
  <c r="C31" i="44"/>
  <c r="C32" i="44" s="1"/>
  <c r="M18" i="45"/>
  <c r="F31" i="44"/>
  <c r="F32" i="44" s="1"/>
  <c r="P18" i="45"/>
  <c r="D31" i="44"/>
  <c r="D32" i="44" s="1"/>
  <c r="N18" i="45"/>
  <c r="E31" i="44"/>
  <c r="E32" i="44" s="1"/>
  <c r="O18" i="45"/>
  <c r="K9" i="45"/>
  <c r="J58" i="45"/>
  <c r="G22" i="31" s="1"/>
  <c r="T47" i="45"/>
  <c r="B35" i="44" l="1"/>
  <c r="B32" i="44"/>
  <c r="U47" i="45"/>
  <c r="K58" i="45"/>
  <c r="H22" i="31" s="1"/>
  <c r="L9" i="45"/>
  <c r="L21" i="45"/>
  <c r="D19" i="12" l="1"/>
  <c r="B36" i="44"/>
  <c r="C34" i="44"/>
  <c r="C35" i="44" s="1"/>
  <c r="M21" i="45"/>
  <c r="M9" i="45"/>
  <c r="L58" i="45"/>
  <c r="I22" i="31" s="1"/>
  <c r="V47" i="45"/>
  <c r="I46" i="31" l="1"/>
  <c r="C36" i="44"/>
  <c r="D34" i="44"/>
  <c r="D35" i="44" s="1"/>
  <c r="M58" i="45"/>
  <c r="J22" i="31" s="1"/>
  <c r="N9" i="45"/>
  <c r="N21" i="45"/>
  <c r="E34" i="44" l="1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C35" i="40" l="1"/>
  <c r="L96" i="3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46" i="45" l="1"/>
  <c r="O74" i="45"/>
  <c r="P46" i="45" l="1"/>
  <c r="P74" i="45"/>
  <c r="O21" i="45" l="1"/>
  <c r="P21" i="45"/>
  <c r="O41" i="45" l="1"/>
  <c r="P41" i="45"/>
  <c r="O72" i="45"/>
  <c r="P72" i="45"/>
  <c r="Q41" i="45" l="1"/>
  <c r="Q72" i="45"/>
  <c r="R41" i="45"/>
  <c r="S41" i="45"/>
  <c r="T41" i="45"/>
  <c r="U41" i="45"/>
  <c r="V41" i="45"/>
  <c r="R72" i="45"/>
  <c r="S72" i="45"/>
  <c r="T72" i="45"/>
  <c r="U72" i="45"/>
  <c r="V72" i="45"/>
  <c r="L122" i="31" l="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S114" i="31" l="1"/>
  <c r="S115" i="31" s="1"/>
  <c r="L11" i="45" l="1"/>
  <c r="L23" i="45"/>
  <c r="L51" i="45"/>
  <c r="N11" i="45" l="1"/>
  <c r="M23" i="45"/>
  <c r="M33" i="45"/>
  <c r="M51" i="45"/>
  <c r="M42" i="45"/>
  <c r="M15" i="45"/>
  <c r="M47" i="45"/>
  <c r="M55" i="45"/>
  <c r="M60" i="45"/>
  <c r="L42" i="45"/>
  <c r="L15" i="45"/>
  <c r="L60" i="45"/>
  <c r="L33" i="45"/>
  <c r="L55" i="45"/>
  <c r="L47" i="45"/>
  <c r="M61" i="45" l="1"/>
  <c r="M73" i="45"/>
  <c r="M75" i="45"/>
  <c r="M77" i="45"/>
  <c r="M79" i="45"/>
  <c r="L61" i="45"/>
  <c r="L79" i="45"/>
  <c r="L75" i="45"/>
  <c r="L77" i="45"/>
  <c r="L73" i="45"/>
  <c r="L17" i="45"/>
  <c r="L25" i="45"/>
  <c r="L43" i="45"/>
  <c r="L62" i="45"/>
  <c r="L71" i="45"/>
  <c r="M43" i="45"/>
  <c r="M62" i="45"/>
  <c r="M17" i="45"/>
  <c r="M71" i="45"/>
  <c r="M25" i="45"/>
  <c r="N47" i="45"/>
  <c r="N55" i="45"/>
  <c r="O11" i="45"/>
  <c r="N23" i="45"/>
  <c r="N33" i="45"/>
  <c r="N51" i="45"/>
  <c r="N42" i="45"/>
  <c r="N15" i="45"/>
  <c r="N60" i="45"/>
  <c r="M27" i="45" l="1"/>
  <c r="M26" i="45"/>
  <c r="M68" i="45"/>
  <c r="O15" i="45"/>
  <c r="O60" i="45"/>
  <c r="O47" i="45"/>
  <c r="O55" i="45"/>
  <c r="P11" i="45"/>
  <c r="O23" i="45"/>
  <c r="O51" i="45"/>
  <c r="O42" i="45"/>
  <c r="O33" i="45"/>
  <c r="L27" i="45"/>
  <c r="L26" i="45"/>
  <c r="L68" i="45"/>
  <c r="L64" i="45"/>
  <c r="L63" i="45"/>
  <c r="N25" i="45"/>
  <c r="N71" i="45"/>
  <c r="N43" i="45"/>
  <c r="N62" i="45"/>
  <c r="N17" i="45"/>
  <c r="N75" i="45"/>
  <c r="N61" i="45"/>
  <c r="N73" i="45"/>
  <c r="N77" i="45"/>
  <c r="N79" i="45"/>
  <c r="M64" i="45"/>
  <c r="M63" i="45"/>
  <c r="O25" i="45" l="1"/>
  <c r="O71" i="45"/>
  <c r="O62" i="45"/>
  <c r="O17" i="45"/>
  <c r="O43" i="45"/>
  <c r="L65" i="45"/>
  <c r="L69" i="45"/>
  <c r="L70" i="45"/>
  <c r="M70" i="45"/>
  <c r="M65" i="45"/>
  <c r="M69" i="45"/>
  <c r="N27" i="45"/>
  <c r="N68" i="45"/>
  <c r="N26" i="45"/>
  <c r="P42" i="45"/>
  <c r="P15" i="45"/>
  <c r="P60" i="45"/>
  <c r="Q11" i="45"/>
  <c r="P23" i="45"/>
  <c r="P51" i="45"/>
  <c r="P47" i="45"/>
  <c r="P55" i="45"/>
  <c r="P33" i="45"/>
  <c r="N63" i="45"/>
  <c r="N64" i="45"/>
  <c r="O73" i="45"/>
  <c r="O77" i="45"/>
  <c r="O61" i="45"/>
  <c r="O75" i="45"/>
  <c r="O79" i="45"/>
  <c r="O64" i="45" l="1"/>
  <c r="O63" i="45"/>
  <c r="Q51" i="45"/>
  <c r="Q42" i="45"/>
  <c r="Q60" i="45"/>
  <c r="Q45" i="45"/>
  <c r="Q55" i="45"/>
  <c r="M66" i="45"/>
  <c r="M67" i="45"/>
  <c r="L66" i="45"/>
  <c r="L67" i="45"/>
  <c r="P17" i="45"/>
  <c r="P62" i="45"/>
  <c r="P25" i="45"/>
  <c r="P71" i="45"/>
  <c r="P43" i="45"/>
  <c r="P61" i="45"/>
  <c r="P79" i="45"/>
  <c r="P75" i="45"/>
  <c r="P77" i="45"/>
  <c r="P73" i="45"/>
  <c r="N69" i="45"/>
  <c r="N70" i="45"/>
  <c r="N65" i="45"/>
  <c r="O26" i="45"/>
  <c r="O68" i="45"/>
  <c r="O27" i="45"/>
  <c r="Q61" i="45" l="1"/>
  <c r="Q77" i="45"/>
  <c r="Q79" i="45"/>
  <c r="Q73" i="45"/>
  <c r="P64" i="45"/>
  <c r="P63" i="45"/>
  <c r="N67" i="45"/>
  <c r="N66" i="45"/>
  <c r="O65" i="45"/>
  <c r="O69" i="45"/>
  <c r="O70" i="45"/>
  <c r="P27" i="45"/>
  <c r="P26" i="45"/>
  <c r="P68" i="45"/>
  <c r="Q46" i="45"/>
  <c r="Q74" i="45"/>
  <c r="Q75" i="45" s="1"/>
  <c r="O66" i="45" l="1"/>
  <c r="O67" i="45"/>
  <c r="P65" i="45"/>
  <c r="P69" i="45"/>
  <c r="P70" i="45"/>
  <c r="P66" i="45" l="1"/>
  <c r="P67" i="45"/>
  <c r="V20" i="45"/>
  <c r="S31" i="31" s="1"/>
  <c r="S121" i="31" l="1"/>
  <c r="S14" i="40"/>
  <c r="S16" i="40" l="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3" i="31"/>
  <c r="O33" i="31"/>
  <c r="P33" i="31"/>
  <c r="Q33" i="31"/>
  <c r="R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O49" i="31"/>
  <c r="P49" i="31"/>
  <c r="Q49" i="31"/>
  <c r="R49" i="31"/>
  <c r="S49" i="31"/>
  <c r="N50" i="31"/>
  <c r="O50" i="31"/>
  <c r="P50" i="31"/>
  <c r="Q50" i="31"/>
  <c r="R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<sst xmlns="http://schemas.openxmlformats.org/spreadsheetml/2006/main" count="281" uniqueCount="170">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</sst>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5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0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41" fontId="60" fillId="3" borderId="95"/>
    <xf numFmtId="234" fontId="4" fillId="3" borderId="95"/>
    <xf numFmtId="174" fontId="60" fillId="3" borderId="95"/>
    <xf numFmtId="241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74" fontId="6" fillId="3" borderId="93" applyProtection="0">
      <alignment horizontal="right"/>
    </xf>
    <xf numFmtId="166" fontId="149" fillId="3" borderId="94">
      <alignment horizontal="right"/>
    </xf>
    <xf numFmtId="166" fontId="149" fillId="3" borderId="94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4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4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4"/>
    <xf numFmtId="166" fontId="8" fillId="3" borderId="95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166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55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365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66" fontId="8" fillId="0" borderId="0" xfId="0" applyNumberFormat="1" applyFont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66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66" fontId="263" fillId="62" borderId="0" xfId="0" applyNumberFormat="1" applyFont="1" applyFill="1"/>
    <xf numFmtId="166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67" fontId="16" fillId="0" borderId="1" xfId="0" applyNumberFormat="1" applyFont="1" applyBorder="1"/>
    <xf numFmtId="167" fontId="0" fillId="0" borderId="0" xfId="0" applyNumberFormat="1"/>
    <xf numFmtId="0" fontId="251" fillId="0" borderId="0" xfId="0" applyFont="1"/>
    <xf numFmtId="167" fontId="251" fillId="0" borderId="0" xfId="0" applyNumberFormat="1" applyFont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66" fontId="261" fillId="60" borderId="0" xfId="0" applyNumberFormat="1" applyFont="1" applyFill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66" fontId="261" fillId="0" borderId="0" xfId="0" applyNumberFormat="1" applyFont="1" applyAlignment="1">
      <alignment horizontal="right"/>
    </xf>
    <xf numFmtId="167" fontId="21" fillId="0" borderId="0" xfId="0" applyNumberFormat="1" applyFont="1"/>
    <xf numFmtId="166" fontId="0" fillId="0" borderId="8" xfId="0" applyNumberForma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68" fontId="261" fillId="60" borderId="0" xfId="0" applyNumberFormat="1" applyFont="1" applyFill="1" applyAlignment="1">
      <alignment horizontal="right"/>
    </xf>
    <xf numFmtId="168" fontId="261" fillId="60" borderId="0" xfId="0" applyNumberFormat="1" applyFont="1" applyFill="1"/>
    <xf numFmtId="0" fontId="263" fillId="65" borderId="0" xfId="0" applyFont="1" applyFill="1"/>
    <xf numFmtId="168" fontId="263" fillId="65" borderId="0" xfId="0" applyNumberFormat="1" applyFont="1" applyFill="1" applyAlignment="1">
      <alignment horizontal="right"/>
    </xf>
    <xf numFmtId="167" fontId="262" fillId="0" borderId="0" xfId="0" applyNumberFormat="1" applyFont="1" applyAlignment="1">
      <alignment horizontal="right"/>
    </xf>
    <xf numFmtId="166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66" fontId="16" fillId="0" borderId="2" xfId="0" applyNumberFormat="1" applyFont="1" applyBorder="1"/>
    <xf numFmtId="10" fontId="14" fillId="0" borderId="0" xfId="0" applyNumberFormat="1" applyFont="1"/>
    <xf numFmtId="166" fontId="6" fillId="0" borderId="0" xfId="0" applyNumberFormat="1" applyFont="1"/>
    <xf numFmtId="166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74" fontId="299" fillId="0" borderId="0" xfId="2309" applyNumberFormat="1" applyFont="1" applyFill="1" applyBorder="1"/>
    <xf numFmtId="322" fontId="16" fillId="0" borderId="6" xfId="0" applyNumberFormat="1" applyFont="1" applyBorder="1"/>
    <xf numFmtId="190" fontId="261" fillId="0" borderId="0" xfId="0" applyNumberFormat="1" applyFont="1"/>
    <xf numFmtId="190" fontId="261" fillId="0" borderId="0" xfId="0" applyNumberFormat="1" applyFont="1" applyAlignment="1">
      <alignment horizontal="right"/>
    </xf>
    <xf numFmtId="322" fontId="262" fillId="0" borderId="0" xfId="0" applyNumberFormat="1" applyFont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/>
    <xf numFmtId="166" fontId="0" fillId="0" borderId="2" xfId="0" applyNumberFormat="1" applyBorder="1"/>
    <xf numFmtId="166" fontId="0" fillId="0" borderId="70" xfId="0" applyNumberFormat="1" applyBorder="1"/>
    <xf numFmtId="166" fontId="0" fillId="0" borderId="11" xfId="0" applyNumberFormat="1" applyBorder="1"/>
    <xf numFmtId="249" fontId="0" fillId="0" borderId="8" xfId="0" applyNumberFormat="1" applyBorder="1"/>
    <xf numFmtId="190" fontId="0" fillId="0" borderId="11" xfId="0" applyNumberFormat="1" applyBorder="1"/>
    <xf numFmtId="166" fontId="263" fillId="61" borderId="0" xfId="0" applyNumberFormat="1" applyFont="1" applyFill="1" applyAlignment="1">
      <alignment horizontal="right"/>
    </xf>
    <xf numFmtId="166" fontId="263" fillId="61" borderId="0" xfId="0" applyNumberFormat="1" applyFont="1" applyFill="1" applyAlignment="1">
      <alignment horizontal="left"/>
    </xf>
    <xf numFmtId="323" fontId="0" fillId="8" borderId="0" xfId="0" applyNumberFormat="1" applyFill="1"/>
    <xf numFmtId="323" fontId="0" fillId="8" borderId="14" xfId="0" applyNumberFormat="1" applyFill="1" applyBorder="1"/>
    <xf numFmtId="169" fontId="261" fillId="60" borderId="0" xfId="0" applyNumberFormat="1" applyFont="1" applyFill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/>
    <xf numFmtId="166" fontId="320" fillId="0" borderId="0" xfId="0" applyNumberFormat="1" applyFont="1"/>
    <xf numFmtId="166" fontId="1" fillId="0" borderId="0" xfId="0" applyNumberFormat="1" applyFont="1"/>
    <xf numFmtId="0" fontId="320" fillId="0" borderId="0" xfId="0" applyFont="1"/>
    <xf numFmtId="0" fontId="1" fillId="0" borderId="0" xfId="0" applyFont="1"/>
    <xf numFmtId="322" fontId="298" fillId="3" borderId="74" xfId="2311" applyNumberFormat="1" applyFont="1" applyFill="1" applyBorder="1"/>
    <xf numFmtId="166" fontId="16" fillId="0" borderId="0" xfId="0" applyNumberFormat="1" applyFont="1"/>
    <xf numFmtId="323" fontId="297" fillId="0" borderId="72" xfId="0" applyNumberFormat="1" applyFont="1" applyBorder="1"/>
    <xf numFmtId="10" fontId="297" fillId="0" borderId="72" xfId="0" applyNumberFormat="1" applyFont="1" applyBorder="1"/>
    <xf numFmtId="167" fontId="297" fillId="0" borderId="62" xfId="0" applyNumberFormat="1" applyFont="1" applyBorder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Font="1"/>
    <xf numFmtId="322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166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66" fontId="261" fillId="0" borderId="69" xfId="0" applyNumberFormat="1" applyFont="1" applyBorder="1"/>
    <xf numFmtId="166" fontId="0" fillId="0" borderId="69" xfId="0" applyNumberFormat="1" applyBorder="1"/>
    <xf numFmtId="174" fontId="299" fillId="0" borderId="69" xfId="2309" applyNumberFormat="1" applyFont="1" applyFill="1" applyBorder="1"/>
    <xf numFmtId="166" fontId="261" fillId="0" borderId="11" xfId="0" applyNumberFormat="1" applyFont="1" applyBorder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2" fontId="251" fillId="0" borderId="0" xfId="0" applyNumberFormat="1" applyFont="1"/>
    <xf numFmtId="322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49" fontId="0" fillId="0" borderId="7" xfId="0" applyNumberFormat="1" applyBorder="1" applyAlignment="1">
      <alignment horizontal="center"/>
    </xf>
    <xf numFmtId="249" fontId="0" fillId="0" borderId="8" xfId="0" applyNumberFormat="1" applyBorder="1" applyAlignment="1">
      <alignment horizontal="center"/>
    </xf>
    <xf numFmtId="249" fontId="0" fillId="0" borderId="0" xfId="0" applyNumberFormat="1" applyAlignment="1">
      <alignment horizontal="center"/>
    </xf>
    <xf numFmtId="249" fontId="0" fillId="0" borderId="9" xfId="0" applyNumberFormat="1" applyBorder="1" applyAlignment="1">
      <alignment horizontal="center"/>
    </xf>
    <xf numFmtId="249" fontId="0" fillId="0" borderId="13" xfId="0" applyNumberFormat="1" applyBorder="1" applyAlignment="1">
      <alignment horizontal="center"/>
    </xf>
    <xf numFmtId="249" fontId="0" fillId="8" borderId="0" xfId="0" applyNumberFormat="1" applyFill="1" applyAlignment="1">
      <alignment horizontal="center"/>
    </xf>
    <xf numFmtId="249" fontId="0" fillId="0" borderId="14" xfId="0" applyNumberFormat="1" applyBorder="1" applyAlignment="1">
      <alignment horizontal="center"/>
    </xf>
    <xf numFmtId="249" fontId="0" fillId="0" borderId="10" xfId="0" applyNumberFormat="1" applyBorder="1" applyAlignment="1">
      <alignment horizontal="center"/>
    </xf>
    <xf numFmtId="249" fontId="0" fillId="0" borderId="11" xfId="0" applyNumberFormat="1" applyBorder="1" applyAlignment="1">
      <alignment horizontal="center"/>
    </xf>
    <xf numFmtId="249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Alignment="1">
      <alignment horizontal="center"/>
    </xf>
    <xf numFmtId="323" fontId="297" fillId="0" borderId="63" xfId="0" applyNumberFormat="1" applyFont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Alignment="1">
      <alignment horizontal="centerContinuous"/>
    </xf>
    <xf numFmtId="166" fontId="263" fillId="65" borderId="0" xfId="0" applyNumberFormat="1" applyFont="1" applyFill="1" applyAlignment="1">
      <alignment horizontal="centerContinuous"/>
    </xf>
    <xf numFmtId="166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49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ill="1"/>
    <xf numFmtId="275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2" fontId="9" fillId="0" borderId="0" xfId="2311" applyNumberFormat="1" applyFont="1"/>
    <xf numFmtId="322" fontId="298" fillId="0" borderId="0" xfId="2311" applyNumberFormat="1" applyFont="1"/>
    <xf numFmtId="39" fontId="14" fillId="0" borderId="0" xfId="0" applyNumberFormat="1" applyFont="1"/>
    <xf numFmtId="322" fontId="9" fillId="104" borderId="1" xfId="2311" applyNumberFormat="1" applyFont="1" applyFill="1" applyBorder="1"/>
    <xf numFmtId="0" fontId="14" fillId="104" borderId="0" xfId="0" applyFont="1" applyFill="1"/>
    <xf numFmtId="166" fontId="261" fillId="104" borderId="2" xfId="0" applyNumberFormat="1" applyFont="1" applyFill="1" applyBorder="1"/>
    <xf numFmtId="174" fontId="16" fillId="104" borderId="73" xfId="0" applyNumberFormat="1" applyFont="1" applyFill="1" applyBorder="1"/>
    <xf numFmtId="323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66" fontId="297" fillId="104" borderId="0" xfId="0" applyNumberFormat="1" applyFont="1" applyFill="1"/>
    <xf numFmtId="174" fontId="299" fillId="104" borderId="0" xfId="2309" applyNumberFormat="1" applyFont="1" applyFill="1" applyBorder="1"/>
    <xf numFmtId="167" fontId="16" fillId="104" borderId="1" xfId="0" applyNumberFormat="1" applyFont="1" applyFill="1" applyBorder="1"/>
    <xf numFmtId="167" fontId="8" fillId="104" borderId="1" xfId="0" applyNumberFormat="1" applyFont="1" applyFill="1" applyBorder="1"/>
    <xf numFmtId="323" fontId="16" fillId="104" borderId="1" xfId="0" applyNumberFormat="1" applyFont="1" applyFill="1" applyBorder="1"/>
    <xf numFmtId="166" fontId="297" fillId="104" borderId="2" xfId="0" applyNumberFormat="1" applyFont="1" applyFill="1" applyBorder="1"/>
    <xf numFmtId="322" fontId="9" fillId="104" borderId="0" xfId="0" applyNumberFormat="1" applyFont="1" applyFill="1" applyAlignment="1">
      <alignment horizontal="right"/>
    </xf>
    <xf numFmtId="167" fontId="251" fillId="105" borderId="0" xfId="0" applyNumberFormat="1" applyFont="1" applyFill="1"/>
    <xf numFmtId="0" fontId="251" fillId="106" borderId="0" xfId="0" applyFont="1" applyFill="1"/>
    <xf numFmtId="322" fontId="251" fillId="106" borderId="0" xfId="0" applyNumberFormat="1" applyFont="1" applyFill="1"/>
    <xf numFmtId="167" fontId="251" fillId="106" borderId="0" xfId="0" applyNumberFormat="1" applyFont="1" applyFill="1"/>
    <xf numFmtId="0" fontId="0" fillId="106" borderId="0" xfId="0" applyFill="1"/>
    <xf numFmtId="166" fontId="0" fillId="105" borderId="0" xfId="0" applyNumberFormat="1" applyFill="1"/>
    <xf numFmtId="335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67" fontId="9" fillId="0" borderId="0" xfId="0" applyNumberFormat="1" applyFont="1"/>
    <xf numFmtId="166" fontId="0" fillId="105" borderId="2" xfId="0" applyNumberFormat="1" applyFill="1" applyBorder="1"/>
    <xf numFmtId="0" fontId="0" fillId="105" borderId="0" xfId="0" applyFill="1"/>
    <xf numFmtId="167" fontId="251" fillId="106" borderId="0" xfId="0" applyNumberFormat="1" applyFont="1" applyFill="1" applyAlignment="1">
      <alignment horizontal="right"/>
    </xf>
    <xf numFmtId="249" fontId="343" fillId="107" borderId="0" xfId="0" applyNumberFormat="1" applyFont="1" applyFill="1" applyAlignment="1">
      <alignment horizontal="center"/>
    </xf>
    <xf numFmtId="0" fontId="344" fillId="0" borderId="0" xfId="0" applyFont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10" fontId="8" fillId="104" borderId="93" xfId="0" applyNumberFormat="1" applyFont="1" applyFill="1" applyBorder="1"/>
    <xf numFmtId="323" fontId="16" fillId="104" borderId="93" xfId="0" applyNumberFormat="1" applyFont="1" applyFill="1" applyBorder="1"/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opLeftCell="A4" zoomScale="85" zoomScaleNormal="85" zoomScaleSheetLayoutView="85" workbookViewId="0"/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53" t="s">
        <v>136</v>
      </c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W14"/>
    </row>
    <row r="15" spans="2:23" ht="12.75" customHeight="1">
      <c r="C15" s="15"/>
      <c r="D15" s="355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W15"/>
    </row>
    <row r="16" spans="2:23" ht="12.75" customHeight="1">
      <c r="C16" s="15"/>
      <c r="D16" s="355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W16"/>
    </row>
    <row r="17" spans="3:23" ht="12.75" customHeight="1">
      <c r="D17" s="355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W17"/>
    </row>
    <row r="18" spans="3:23">
      <c r="W18"/>
    </row>
    <row r="19" spans="3:23" ht="18.75">
      <c r="C19" s="356" t="s">
        <v>20</v>
      </c>
      <c r="E19" s="322">
        <f>Assumptions!D12</f>
        <v>43921</v>
      </c>
      <c r="W19"/>
    </row>
    <row r="20" spans="3:23">
      <c r="C20" s="356"/>
      <c r="W20"/>
    </row>
    <row r="21" spans="3:23">
      <c r="C21" s="356"/>
      <c r="W21"/>
    </row>
    <row r="22" spans="3:23">
      <c r="C22" s="356"/>
      <c r="W22"/>
    </row>
    <row r="23" spans="3:23">
      <c r="C23" s="356"/>
    </row>
    <row r="24" spans="3:23">
      <c r="C24" s="356"/>
    </row>
    <row r="25" spans="3:23">
      <c r="C25" s="356"/>
    </row>
    <row r="26" spans="3:23" ht="12.75" customHeight="1">
      <c r="C26" s="356"/>
    </row>
    <row r="27" spans="3:23">
      <c r="C27" s="356"/>
    </row>
    <row r="28" spans="3:23">
      <c r="C28" s="356"/>
    </row>
    <row r="29" spans="3:23" ht="4.5" customHeight="1">
      <c r="C29" s="356"/>
    </row>
    <row r="30" spans="3:23">
      <c r="C30" s="356"/>
      <c r="Q30" s="156"/>
      <c r="R30" s="157"/>
      <c r="S30" s="157"/>
    </row>
    <row r="31" spans="3:23">
      <c r="C31" s="356"/>
      <c r="Q31" s="157"/>
      <c r="R31" s="157"/>
      <c r="S31" s="157"/>
      <c r="V31" s="44"/>
    </row>
    <row r="32" spans="3:23">
      <c r="C32" s="356"/>
      <c r="Q32" s="157"/>
      <c r="R32" s="157"/>
      <c r="S32" s="157"/>
    </row>
    <row r="33" spans="3:19">
      <c r="C33" s="356"/>
      <c r="Q33" s="158"/>
      <c r="R33" s="157"/>
      <c r="S33" s="157"/>
    </row>
    <row r="34" spans="3:19">
      <c r="C34" s="356"/>
      <c r="Q34" s="158"/>
      <c r="R34" s="157"/>
      <c r="S34" s="157"/>
    </row>
    <row r="35" spans="3:19" ht="4.5" customHeight="1">
      <c r="C35" s="356"/>
      <c r="Q35" s="158"/>
      <c r="R35" s="157"/>
      <c r="S35" s="157"/>
    </row>
    <row r="36" spans="3:19">
      <c r="C36" s="356"/>
      <c r="Q36" s="158"/>
      <c r="R36" s="157"/>
      <c r="S36" s="157"/>
    </row>
    <row r="37" spans="3:19">
      <c r="C37" s="356"/>
      <c r="G37"/>
      <c r="Q37" s="158"/>
      <c r="R37" s="157"/>
      <c r="S37" s="157"/>
    </row>
    <row r="38" spans="3:19">
      <c r="C38" s="356"/>
      <c r="Q38" s="158"/>
      <c r="R38" s="157"/>
      <c r="S38" s="157"/>
    </row>
    <row r="39" spans="3:19">
      <c r="C39" s="356"/>
      <c r="Q39" s="158"/>
      <c r="R39" s="157"/>
      <c r="S39" s="157"/>
    </row>
    <row r="40" spans="3:19">
      <c r="C40" s="356"/>
    </row>
    <row r="41" spans="3:19">
      <c r="C41" s="356"/>
    </row>
    <row r="42" spans="3:19">
      <c r="C42" s="356"/>
    </row>
    <row r="43" spans="3:19">
      <c r="C43" s="356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defaultColWidth="8.85546875" defaultRowHeight="12.75"/>
  <cols>
    <col min="1" max="1" width="3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3" spans="3:11" ht="20.25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0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1">
        <v>165</v>
      </c>
      <c r="E16" s="23" t="s">
        <v>14</v>
      </c>
    </row>
    <row r="17" spans="3:7">
      <c r="C17" s="40" t="s">
        <v>66</v>
      </c>
      <c r="D17" s="321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169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>
      <selection activeCell="O29" sqref="O29"/>
    </sheetView>
  </sheetViews>
  <sheetFormatPr defaultColWidth="9.140625" defaultRowHeight="12.75"/>
  <cols>
    <col min="1" max="1" width="30.7109375" customWidth="1"/>
    <col min="2" max="2" width="9.85546875" customWidth="1"/>
    <col min="3" max="6" width="9.42578125" bestFit="1" customWidth="1"/>
  </cols>
  <sheetData>
    <row r="1" spans="1:12" ht="21">
      <c r="A1" s="352" t="s">
        <v>149</v>
      </c>
    </row>
    <row r="2" spans="1:12" ht="21">
      <c r="A2" s="293"/>
    </row>
    <row r="3" spans="1:12">
      <c r="B3" s="357" t="s">
        <v>150</v>
      </c>
      <c r="C3" s="357"/>
      <c r="D3" s="357"/>
      <c r="E3" s="357"/>
      <c r="F3" s="357"/>
    </row>
    <row r="4" spans="1:12" ht="15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5">
      <c r="A5" t="s">
        <v>2</v>
      </c>
      <c r="B5" s="351">
        <v>1149.2312142121568</v>
      </c>
      <c r="C5" s="351">
        <v>1255.6304578332745</v>
      </c>
      <c r="D5" s="351">
        <v>1353.8373857301615</v>
      </c>
      <c r="E5" s="351">
        <v>1446.9754795854417</v>
      </c>
      <c r="F5" s="351">
        <v>1442.6203434361955</v>
      </c>
      <c r="L5" s="319"/>
    </row>
    <row r="6" spans="1:12" ht="15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5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5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5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5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5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5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5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5">
      <c r="B14" s="295"/>
      <c r="C14" s="295"/>
      <c r="D14" s="295"/>
      <c r="E14" s="295"/>
      <c r="F14" s="295"/>
      <c r="G14" s="152"/>
    </row>
    <row r="15" spans="1:12" ht="15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5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5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5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5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5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5">
      <c r="B21" s="305"/>
      <c r="C21" s="305"/>
      <c r="D21" s="295"/>
      <c r="E21" s="295"/>
      <c r="F21" s="295"/>
    </row>
    <row r="22" spans="1:6" ht="15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5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5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5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5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5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5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5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5">
      <c r="B30" s="295"/>
      <c r="C30" s="295"/>
      <c r="D30" s="295"/>
      <c r="E30" s="295"/>
      <c r="F30" s="295"/>
    </row>
    <row r="31" spans="1:6" ht="15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5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5">
      <c r="B33" s="295"/>
      <c r="C33" s="295"/>
      <c r="D33" s="295"/>
      <c r="E33" s="295"/>
      <c r="F33" s="295"/>
    </row>
    <row r="34" spans="1:6" ht="15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5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5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5">
      <c r="B37" s="295"/>
      <c r="C37" s="295"/>
      <c r="D37" s="295"/>
      <c r="E37" s="295"/>
      <c r="F37" s="295"/>
    </row>
    <row r="38" spans="1:6" ht="15">
      <c r="B38" s="305"/>
      <c r="C38" s="305"/>
      <c r="D38" s="305"/>
      <c r="E38" s="305"/>
      <c r="F38" s="305"/>
    </row>
    <row r="39" spans="1:6" ht="15">
      <c r="B39" s="305"/>
      <c r="C39" s="305"/>
      <c r="D39" s="305"/>
      <c r="E39" s="305"/>
      <c r="F39" s="305"/>
    </row>
    <row r="40" spans="1:6" ht="15">
      <c r="B40" s="305"/>
      <c r="C40" s="305"/>
      <c r="D40" s="305"/>
      <c r="E40" s="305"/>
      <c r="F40" s="305"/>
    </row>
    <row r="41" spans="1:6" ht="15">
      <c r="B41" s="305"/>
      <c r="C41" s="305"/>
      <c r="D41" s="305"/>
      <c r="E41" s="305"/>
      <c r="F41" s="305"/>
    </row>
    <row r="42" spans="1:6" ht="15">
      <c r="B42" s="305"/>
      <c r="C42" s="305"/>
      <c r="D42" s="305"/>
      <c r="E42" s="305"/>
      <c r="F42" s="305"/>
    </row>
    <row r="43" spans="1:6" ht="15">
      <c r="B43" s="305"/>
      <c r="C43" s="305"/>
      <c r="D43" s="305"/>
      <c r="E43" s="305"/>
      <c r="F43" s="305"/>
    </row>
    <row r="44" spans="1:6" ht="15">
      <c r="B44" s="305"/>
      <c r="C44" s="305"/>
      <c r="D44" s="305"/>
      <c r="E44" s="305"/>
      <c r="F44" s="305"/>
    </row>
    <row r="45" spans="1:6" ht="15">
      <c r="B45" s="305"/>
      <c r="C45" s="305"/>
      <c r="D45" s="305"/>
      <c r="E45" s="305"/>
      <c r="F45" s="305"/>
    </row>
    <row r="46" spans="1:6" ht="15">
      <c r="B46" s="305"/>
      <c r="C46" s="305"/>
      <c r="D46" s="305"/>
      <c r="E46" s="305"/>
      <c r="F46" s="305"/>
    </row>
    <row r="47" spans="1:6" ht="15">
      <c r="B47" s="305"/>
      <c r="C47" s="305"/>
      <c r="D47" s="305"/>
      <c r="E47" s="305"/>
      <c r="F47" s="305"/>
    </row>
    <row r="48" spans="1:6" ht="15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zoomScaleNormal="100" zoomScaleSheetLayoutView="85" workbookViewId="0">
      <selection activeCell="H48" sqref="H48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34" ht="12" customHeight="1">
      <c r="B2" s="45"/>
      <c r="E2" s="30"/>
      <c r="O2" s="34"/>
      <c r="R2" s="35"/>
    </row>
    <row r="3" spans="2:34" ht="12" customHeight="1">
      <c r="B3" s="45"/>
      <c r="E3" s="30"/>
      <c r="O3" s="34"/>
      <c r="R3" s="35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4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4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K11*(1+' Financials'!L13)</f>
        <v>1149.2312142121568</v>
      </c>
      <c r="M11" s="104">
        <f>L11*(1+' Financials'!M13)</f>
        <v>1255.6304578332745</v>
      </c>
      <c r="N11" s="104">
        <f t="shared" ref="N11:V11" si="1">M11*(1+N13)</f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1497.9592598104077</v>
      </c>
      <c r="S11" s="104">
        <f t="shared" ca="1" si="1"/>
        <v>1521.9266079673744</v>
      </c>
      <c r="T11" s="104">
        <f t="shared" ca="1" si="1"/>
        <v>1543.2335804789177</v>
      </c>
      <c r="U11" s="104">
        <f t="shared" ca="1" si="1"/>
        <v>1561.7523834446647</v>
      </c>
      <c r="V11" s="104">
        <f t="shared" ca="1" si="1"/>
        <v>1577.3699072791114</v>
      </c>
    </row>
    <row r="12" spans="2:34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332">
        <f>'Company fin forecasts'!B5</f>
        <v>1149.2312142121568</v>
      </c>
      <c r="M12" s="332">
        <f>'Company fin forecasts'!C5</f>
        <v>1255.6304578332745</v>
      </c>
      <c r="N12" s="332">
        <f>'Company fin forecasts'!D5</f>
        <v>1353.8373857301615</v>
      </c>
      <c r="O12" s="332">
        <f>'Company fin forecasts'!E5</f>
        <v>1446.9754795854417</v>
      </c>
      <c r="P12" s="332">
        <f>'Company fin forecasts'!F5</f>
        <v>1442.6203434361955</v>
      </c>
      <c r="Q12" s="40"/>
      <c r="R12" s="40"/>
      <c r="S12" s="40"/>
      <c r="T12" s="40"/>
      <c r="U12" s="40"/>
      <c r="V12" s="40"/>
      <c r="Y12" s="327" t="s">
        <v>159</v>
      </c>
      <c r="Z12" s="327"/>
      <c r="AA12" s="327"/>
      <c r="AB12" s="327"/>
      <c r="AC12" s="327"/>
      <c r="AD12" s="327"/>
      <c r="AE12" s="327"/>
      <c r="AF12" s="327"/>
      <c r="AG12" s="327"/>
      <c r="AH12" s="327"/>
    </row>
    <row r="13" spans="2:34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6">
        <f ca="1">AVERAGE(Q13,S13)</f>
        <v>1.8000000000000002E-2</v>
      </c>
      <c r="S13" s="326">
        <f t="shared" ref="S13:U13" ca="1" si="2">AVERAGE(R13,T13)</f>
        <v>1.6E-2</v>
      </c>
      <c r="T13" s="326">
        <f t="shared" ca="1" si="2"/>
        <v>1.4E-2</v>
      </c>
      <c r="U13" s="326">
        <f t="shared" ca="1" si="2"/>
        <v>1.2E-2</v>
      </c>
      <c r="V13" s="119">
        <v>0.01</v>
      </c>
      <c r="Y13" s="327" t="s">
        <v>154</v>
      </c>
      <c r="Z13" s="327"/>
      <c r="AA13" s="327"/>
      <c r="AB13" s="327"/>
      <c r="AC13" s="327"/>
      <c r="AD13" s="327"/>
      <c r="AE13" s="327"/>
      <c r="AF13" s="327"/>
      <c r="AG13" s="327"/>
      <c r="AH13" s="327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92.625305088518957</v>
      </c>
      <c r="N15" s="104">
        <f t="shared" si="3"/>
        <v>111.79673623719195</v>
      </c>
      <c r="O15" s="104">
        <f t="shared" si="3"/>
        <v>124.39494101920255</v>
      </c>
      <c r="P15" s="104">
        <f t="shared" si="3"/>
        <v>127.56812935492377</v>
      </c>
      <c r="Q15" s="104">
        <f t="shared" ca="1" si="3"/>
        <v>130.50500120625895</v>
      </c>
      <c r="R15" s="104">
        <f t="shared" ca="1" si="3"/>
        <v>133.24653965896459</v>
      </c>
      <c r="S15" s="104">
        <f t="shared" ca="1" si="3"/>
        <v>135.77721189939695</v>
      </c>
      <c r="T15" s="104">
        <f t="shared" ca="1" si="3"/>
        <v>138.08240265835985</v>
      </c>
      <c r="U15" s="104">
        <f t="shared" ca="1" si="3"/>
        <v>140.14855300014</v>
      </c>
      <c r="V15" s="104">
        <f t="shared" ca="1" si="3"/>
        <v>141.96329165512003</v>
      </c>
    </row>
    <row r="16" spans="2:34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332">
        <f>'Company fin forecasts'!B20-'Company fin forecasts'!B15</f>
        <v>94.147209662938664</v>
      </c>
      <c r="M16" s="332">
        <f>'Company fin forecasts'!C20-'Company fin forecasts'!C15</f>
        <v>92.625305088518957</v>
      </c>
      <c r="N16" s="332">
        <f>'Company fin forecasts'!D20-'Company fin forecasts'!D15</f>
        <v>111.79673623719194</v>
      </c>
      <c r="O16" s="332">
        <f>'Company fin forecasts'!E20-'Company fin forecasts'!E15</f>
        <v>124.39494101920258</v>
      </c>
      <c r="P16" s="332">
        <f>'Company fin forecasts'!F20-'Company fin forecasts'!F15</f>
        <v>127.56812935492378</v>
      </c>
      <c r="Q16" s="40"/>
      <c r="R16" s="40"/>
      <c r="S16" s="40"/>
      <c r="T16" s="40"/>
      <c r="U16" s="40"/>
      <c r="V16" s="40"/>
      <c r="Y16" s="327" t="s">
        <v>159</v>
      </c>
      <c r="Z16" s="327"/>
      <c r="AA16" s="327"/>
      <c r="AB16" s="327"/>
      <c r="AC16" s="327"/>
      <c r="AD16" s="327"/>
      <c r="AE16" s="327"/>
      <c r="AF16" s="327"/>
      <c r="AG16" s="327"/>
      <c r="AH16" s="327"/>
    </row>
    <row r="17" spans="2:34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4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26">
        <f ca="1">AVERAGE(P18,R18)</f>
        <v>8.8690056393647562E-2</v>
      </c>
      <c r="R18" s="326">
        <f t="shared" ref="R18:U18" ca="1" si="6">AVERAGE(Q18,S18)</f>
        <v>8.8952045114918027E-2</v>
      </c>
      <c r="S18" s="326">
        <f t="shared" ca="1" si="6"/>
        <v>8.9214033836188505E-2</v>
      </c>
      <c r="T18" s="326">
        <f t="shared" ca="1" si="6"/>
        <v>8.9476022557458998E-2</v>
      </c>
      <c r="U18" s="326">
        <f t="shared" ca="1" si="6"/>
        <v>8.973801127872949E-2</v>
      </c>
      <c r="V18" s="146">
        <v>0.09</v>
      </c>
      <c r="Y18" s="327" t="s">
        <v>155</v>
      </c>
      <c r="Z18" s="327"/>
      <c r="AA18" s="327"/>
      <c r="AB18" s="327"/>
      <c r="AC18" s="327"/>
      <c r="AD18" s="327"/>
      <c r="AE18" s="327"/>
      <c r="AF18" s="327"/>
      <c r="AG18" s="327"/>
      <c r="AH18" s="327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337">
        <f>-('Company fin forecasts'!B18+'Company fin forecasts'!B19)</f>
        <v>-36.129215400000028</v>
      </c>
      <c r="M20" s="337">
        <f>-('Company fin forecasts'!C18+'Company fin forecasts'!C19)</f>
        <v>-40.455293523349013</v>
      </c>
      <c r="N20" s="337">
        <f>-('Company fin forecasts'!D18+'Company fin forecasts'!D19)</f>
        <v>-47.195257615808735</v>
      </c>
      <c r="O20" s="337">
        <f>-('Company fin forecasts'!E18+'Company fin forecasts'!E19)</f>
        <v>-51.829543587564167</v>
      </c>
      <c r="P20" s="337">
        <f>-('Company fin forecasts'!F18+'Company fin forecasts'!F19)</f>
        <v>-54.799912142159194</v>
      </c>
      <c r="Q20" s="104">
        <f t="shared" ref="Q20:V20" ca="1" si="8">Q22*Q40</f>
        <v>-53.583260118465994</v>
      </c>
      <c r="R20" s="104">
        <f t="shared" ca="1" si="8"/>
        <v>-52.366608094772801</v>
      </c>
      <c r="S20" s="104">
        <f t="shared" ca="1" si="8"/>
        <v>-51.149956071079608</v>
      </c>
      <c r="T20" s="104">
        <f t="shared" ca="1" si="8"/>
        <v>-49.933304047386407</v>
      </c>
      <c r="U20" s="104">
        <f t="shared" ca="1" si="8"/>
        <v>-48.7166520236932</v>
      </c>
      <c r="V20" s="104">
        <f t="shared" si="8"/>
        <v>-47.5</v>
      </c>
      <c r="Y20" s="327" t="s">
        <v>159</v>
      </c>
      <c r="Z20" s="327"/>
      <c r="AA20" s="327"/>
      <c r="AB20" s="327"/>
      <c r="AC20" s="327"/>
      <c r="AD20" s="327"/>
      <c r="AE20" s="327"/>
      <c r="AF20" s="327"/>
      <c r="AG20" s="327"/>
      <c r="AH20" s="327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34">
      <c r="B22" s="14"/>
      <c r="C22" s="14" t="s">
        <v>8</v>
      </c>
      <c r="D22" s="14"/>
      <c r="E22" s="6"/>
      <c r="F22" s="118">
        <f t="shared" ref="F22:J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>IF(ISERROR(K20/K$40),"n.a.",K20/K$40)</f>
        <v>1.1612903225806452</v>
      </c>
      <c r="L22" s="338">
        <f>L40</f>
        <v>-36</v>
      </c>
      <c r="M22" s="338">
        <f t="shared" ref="M22:P22" si="11">IF(ISERROR(M20/M$40),"n.a.",M20/M$40)</f>
        <v>0.79324104947743168</v>
      </c>
      <c r="N22" s="338">
        <f t="shared" si="11"/>
        <v>0.94390515231617467</v>
      </c>
      <c r="O22" s="338">
        <f t="shared" si="11"/>
        <v>1.0365908717512833</v>
      </c>
      <c r="P22" s="338">
        <f t="shared" si="11"/>
        <v>1.0959982428431838</v>
      </c>
      <c r="Q22" s="326">
        <f ca="1">AVERAGE(P22,R22)</f>
        <v>1.0716652023693198</v>
      </c>
      <c r="R22" s="326">
        <f t="shared" ref="R22:U22" ca="1" si="12">AVERAGE(Q22,S22)</f>
        <v>1.0473321618954561</v>
      </c>
      <c r="S22" s="326">
        <f t="shared" ca="1" si="12"/>
        <v>1.0229991214215921</v>
      </c>
      <c r="T22" s="326">
        <f t="shared" ca="1" si="12"/>
        <v>0.99866608094772813</v>
      </c>
      <c r="U22" s="326">
        <f t="shared" ca="1" si="12"/>
        <v>0.97433304047386404</v>
      </c>
      <c r="V22" s="146">
        <v>0.95</v>
      </c>
      <c r="X22" s="212"/>
      <c r="Y22" s="327" t="s">
        <v>160</v>
      </c>
      <c r="Z22" s="327"/>
      <c r="AA22" s="327"/>
      <c r="AB22" s="327"/>
      <c r="AC22" s="327"/>
      <c r="AD22" s="327"/>
      <c r="AE22" s="327"/>
      <c r="AF22" s="327"/>
      <c r="AG22" s="327"/>
      <c r="AH22" s="327"/>
    </row>
    <row r="23" spans="2:34">
      <c r="B23" s="14"/>
      <c r="C23" s="14" t="s">
        <v>1</v>
      </c>
      <c r="D23" s="14"/>
      <c r="E23" s="6"/>
      <c r="F23" s="118">
        <f t="shared" ref="F23:V23" si="13">F20/F11*-1</f>
        <v>2.4795147387464082E-2</v>
      </c>
      <c r="G23" s="118">
        <f t="shared" si="13"/>
        <v>2.5176634490994141E-2</v>
      </c>
      <c r="H23" s="118">
        <f t="shared" si="13"/>
        <v>2.9466470876162502E-2</v>
      </c>
      <c r="I23" s="118">
        <f t="shared" si="13"/>
        <v>2.8858447488584484E-2</v>
      </c>
      <c r="J23" s="118">
        <f t="shared" si="13"/>
        <v>3.0746189763016483E-2</v>
      </c>
      <c r="K23" s="118">
        <f t="shared" si="13"/>
        <v>3.1617776216406115E-2</v>
      </c>
      <c r="L23" s="118">
        <f t="shared" si="13"/>
        <v>3.1437725457855774E-2</v>
      </c>
      <c r="M23" s="118">
        <f t="shared" si="13"/>
        <v>3.2219108154766314E-2</v>
      </c>
      <c r="N23" s="118">
        <f t="shared" si="13"/>
        <v>3.4860359237571983E-2</v>
      </c>
      <c r="O23" s="118">
        <f t="shared" si="13"/>
        <v>3.581922729085453E-2</v>
      </c>
      <c r="P23" s="118">
        <f t="shared" si="13"/>
        <v>3.7986371391124714E-2</v>
      </c>
      <c r="Q23" s="118">
        <f t="shared" ca="1" si="13"/>
        <v>3.641471451466733E-2</v>
      </c>
      <c r="R23" s="118">
        <f t="shared" ca="1" si="13"/>
        <v>3.4958633054813976E-2</v>
      </c>
      <c r="S23" s="118">
        <f t="shared" ca="1" si="13"/>
        <v>3.3608687701040647E-2</v>
      </c>
      <c r="T23" s="118">
        <f t="shared" ca="1" si="13"/>
        <v>3.2356284025319364E-2</v>
      </c>
      <c r="U23" s="118">
        <f t="shared" ca="1" si="13"/>
        <v>3.1193582631993021E-2</v>
      </c>
      <c r="V23" s="118">
        <f t="shared" ca="1" si="13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4">Q15+Q20</f>
        <v>76.921741087792952</v>
      </c>
      <c r="R25" s="104">
        <f t="shared" ca="1" si="14"/>
        <v>80.879931564191793</v>
      </c>
      <c r="S25" s="104">
        <f t="shared" ca="1" si="14"/>
        <v>84.627255828317345</v>
      </c>
      <c r="T25" s="104">
        <f t="shared" ca="1" si="14"/>
        <v>88.149098610973454</v>
      </c>
      <c r="U25" s="104">
        <f t="shared" ca="1" si="14"/>
        <v>91.431900976446798</v>
      </c>
      <c r="V25" s="104">
        <f t="shared" ca="1" si="14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5">IF(ISERROR(F25/E25-1),"n.a.",F25/E25-1)</f>
        <v>n.a.</v>
      </c>
      <c r="G26" s="6">
        <f t="shared" si="15"/>
        <v>8.740359897172234E-2</v>
      </c>
      <c r="H26" s="6">
        <f t="shared" si="15"/>
        <v>-1.1820330969266601E-3</v>
      </c>
      <c r="I26" s="6">
        <f t="shared" si="15"/>
        <v>-8.7573964497041468E-2</v>
      </c>
      <c r="J26" s="6">
        <f t="shared" si="15"/>
        <v>-3.2425421530479892E-2</v>
      </c>
      <c r="K26" s="6">
        <f t="shared" si="15"/>
        <v>-0.16621983914209104</v>
      </c>
      <c r="L26" s="6">
        <f t="shared" si="15"/>
        <v>-6.723481892381622E-2</v>
      </c>
      <c r="M26" s="6">
        <f t="shared" si="15"/>
        <v>-0.10079601634047408</v>
      </c>
      <c r="N26" s="6">
        <f t="shared" si="15"/>
        <v>0.23828760399418525</v>
      </c>
      <c r="O26" s="6">
        <f t="shared" si="15"/>
        <v>0.12327765525198209</v>
      </c>
      <c r="P26" s="6">
        <f t="shared" si="15"/>
        <v>2.7949930449600036E-3</v>
      </c>
      <c r="Q26" s="6">
        <f t="shared" ca="1" si="15"/>
        <v>5.7078818667276598E-2</v>
      </c>
      <c r="R26" s="6">
        <f t="shared" ca="1" si="15"/>
        <v>5.1457369794597474E-2</v>
      </c>
      <c r="S26" s="6">
        <f t="shared" ca="1" si="15"/>
        <v>4.6331941578751534E-2</v>
      </c>
      <c r="T26" s="6">
        <f t="shared" ca="1" si="15"/>
        <v>4.1615939784232614E-2</v>
      </c>
      <c r="U26" s="6">
        <f t="shared" ca="1" si="15"/>
        <v>3.7241474016215026E-2</v>
      </c>
      <c r="V26" s="6">
        <f t="shared" ca="1" si="15"/>
        <v>3.3154628158219346E-2</v>
      </c>
    </row>
    <row r="27" spans="2:34">
      <c r="B27" s="5"/>
      <c r="C27" s="14" t="s">
        <v>1</v>
      </c>
      <c r="D27" s="14"/>
      <c r="E27" s="6"/>
      <c r="F27" s="6">
        <f t="shared" ref="F27:Q27" si="16">IF(ISERROR(F25/F$11),"n.a.",F25/F$11)</f>
        <v>8.2792380546983069E-2</v>
      </c>
      <c r="G27" s="6">
        <f t="shared" si="16"/>
        <v>8.4187481341427006E-2</v>
      </c>
      <c r="H27" s="6">
        <f t="shared" si="16"/>
        <v>8.272148800783162E-2</v>
      </c>
      <c r="I27" s="6">
        <f t="shared" si="16"/>
        <v>7.0410958904109588E-2</v>
      </c>
      <c r="J27" s="6">
        <f t="shared" si="16"/>
        <v>6.5721081843009427E-2</v>
      </c>
      <c r="K27" s="6">
        <f t="shared" si="16"/>
        <v>5.4628491129457238E-2</v>
      </c>
      <c r="L27" s="6">
        <f t="shared" si="16"/>
        <v>5.0484178941060394E-2</v>
      </c>
      <c r="M27" s="6">
        <f t="shared" si="16"/>
        <v>4.1548857977843988E-2</v>
      </c>
      <c r="N27" s="6">
        <f t="shared" si="16"/>
        <v>4.7717310293172235E-2</v>
      </c>
      <c r="O27" s="6">
        <f t="shared" si="16"/>
        <v>5.0149707756228443E-2</v>
      </c>
      <c r="P27" s="6">
        <f t="shared" si="16"/>
        <v>5.0441696281252384E-2</v>
      </c>
      <c r="Q27" s="6">
        <f t="shared" ca="1" si="16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6">
        <v>0.17</v>
      </c>
      <c r="O29" s="326">
        <v>0.17</v>
      </c>
      <c r="P29" s="326">
        <v>0.17</v>
      </c>
      <c r="Q29" s="326">
        <v>0.17</v>
      </c>
      <c r="R29" s="326">
        <v>0.17</v>
      </c>
      <c r="S29" s="326">
        <v>0.17</v>
      </c>
      <c r="T29" s="326">
        <v>0.17</v>
      </c>
      <c r="U29" s="326">
        <v>0.17</v>
      </c>
      <c r="V29" s="326">
        <v>0.17</v>
      </c>
      <c r="Y29" s="327" t="s">
        <v>156</v>
      </c>
      <c r="Z29" s="327"/>
      <c r="AA29" s="327"/>
      <c r="AB29" s="327"/>
      <c r="AC29" s="327"/>
      <c r="AD29" s="327"/>
      <c r="AE29" s="327"/>
      <c r="AF29" s="327"/>
      <c r="AG29" s="327"/>
      <c r="AH29" s="327"/>
    </row>
    <row r="30" spans="2:34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4"/>
      <c r="L30" s="324"/>
      <c r="M30" s="324"/>
      <c r="N30" s="323"/>
      <c r="O30" s="323"/>
      <c r="P30" s="323"/>
      <c r="Q30" s="323"/>
      <c r="R30" s="323"/>
      <c r="S30" s="323"/>
      <c r="T30" s="323"/>
      <c r="U30" s="323"/>
      <c r="V30" s="323"/>
    </row>
    <row r="31" spans="2:34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-0.10308222119070343</v>
      </c>
      <c r="N32" s="6">
        <f t="shared" si="17"/>
        <v>0.25861169264250194</v>
      </c>
      <c r="O32" s="6">
        <f t="shared" si="17"/>
        <v>0.13163180457279799</v>
      </c>
      <c r="P32" s="6">
        <f t="shared" si="17"/>
        <v>2.9623691490097137E-3</v>
      </c>
      <c r="Q32" s="325"/>
      <c r="R32" s="325"/>
      <c r="S32" s="325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3.1775359820388191E-2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4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4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4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337">
        <f>'Company fin forecasts'!B23</f>
        <v>-36</v>
      </c>
      <c r="M40" s="337">
        <f>'Company fin forecasts'!C23</f>
        <v>-51</v>
      </c>
      <c r="N40" s="337">
        <f>'Company fin forecasts'!D23</f>
        <v>-50</v>
      </c>
      <c r="O40" s="337">
        <f>'Company fin forecasts'!E23</f>
        <v>-50</v>
      </c>
      <c r="P40" s="337">
        <f>'Company fin forecasts'!F23</f>
        <v>-50</v>
      </c>
      <c r="Q40" s="337">
        <f>P40</f>
        <v>-50</v>
      </c>
      <c r="R40" s="337">
        <f t="shared" ref="R40:V40" si="19">Q40</f>
        <v>-50</v>
      </c>
      <c r="S40" s="337">
        <f t="shared" si="19"/>
        <v>-50</v>
      </c>
      <c r="T40" s="337">
        <f t="shared" si="19"/>
        <v>-50</v>
      </c>
      <c r="U40" s="337">
        <f t="shared" si="19"/>
        <v>-50</v>
      </c>
      <c r="V40" s="337">
        <f t="shared" si="19"/>
        <v>-50</v>
      </c>
      <c r="Y40" s="327" t="s">
        <v>163</v>
      </c>
      <c r="Z40" s="327"/>
      <c r="AA40" s="327"/>
      <c r="AB40" s="327"/>
      <c r="AC40" s="327"/>
      <c r="AD40" s="327"/>
      <c r="AE40" s="327"/>
      <c r="AF40" s="327"/>
      <c r="AG40" s="327"/>
      <c r="AH40" s="327"/>
    </row>
    <row r="41" spans="2:34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34" ht="12.75" customHeight="1">
      <c r="B42" s="14"/>
      <c r="C42" s="14" t="s">
        <v>24</v>
      </c>
      <c r="D42" s="14"/>
      <c r="E42" s="6"/>
      <c r="F42" s="118">
        <f t="shared" ref="F42:V42" si="22">IF(ISERROR(-F40/F$11),"n.a.",-F40/F$11)</f>
        <v>3.2350750239438113E-2</v>
      </c>
      <c r="G42" s="118">
        <f t="shared" si="22"/>
        <v>3.7317145984675094E-2</v>
      </c>
      <c r="H42" s="118">
        <f t="shared" si="22"/>
        <v>3.9451786588350461E-2</v>
      </c>
      <c r="I42" s="118">
        <f t="shared" si="22"/>
        <v>3.2968036529680368E-2</v>
      </c>
      <c r="J42" s="118">
        <f t="shared" si="22"/>
        <v>3.2860540921504713E-2</v>
      </c>
      <c r="K42" s="118">
        <f t="shared" si="22"/>
        <v>2.7226418408571932E-2</v>
      </c>
      <c r="L42" s="118">
        <f t="shared" si="22"/>
        <v>3.1325289075688233E-2</v>
      </c>
      <c r="M42" s="118">
        <f t="shared" si="22"/>
        <v>4.0617045948380379E-2</v>
      </c>
      <c r="N42" s="118">
        <f t="shared" si="22"/>
        <v>3.6932057370415751E-2</v>
      </c>
      <c r="O42" s="118">
        <f t="shared" si="22"/>
        <v>3.4554835728332456E-2</v>
      </c>
      <c r="P42" s="118">
        <f t="shared" si="22"/>
        <v>3.4659153551726836E-2</v>
      </c>
      <c r="Q42" s="118">
        <f t="shared" si="22"/>
        <v>3.3979562305614552E-2</v>
      </c>
      <c r="R42" s="118">
        <f t="shared" ca="1" si="22"/>
        <v>3.3378744897460261E-2</v>
      </c>
      <c r="S42" s="118">
        <f t="shared" ca="1" si="22"/>
        <v>3.2853095371516004E-2</v>
      </c>
      <c r="T42" s="118">
        <f t="shared" ca="1" si="22"/>
        <v>3.239950233877318E-2</v>
      </c>
      <c r="U42" s="118">
        <f t="shared" ca="1" si="22"/>
        <v>3.2015318516574284E-2</v>
      </c>
      <c r="V42" s="118">
        <f t="shared" ca="1" si="22"/>
        <v>3.1698335164925033E-2</v>
      </c>
    </row>
    <row r="43" spans="2:34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0.44939452613666453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337">
        <f>'Company fin forecasts'!B27</f>
        <v>6</v>
      </c>
      <c r="M45" s="337">
        <f>'Company fin forecasts'!C27</f>
        <v>16.111954440903407</v>
      </c>
      <c r="N45" s="337">
        <f>'Company fin forecasts'!D27</f>
        <v>15.168892666804709</v>
      </c>
      <c r="O45" s="337">
        <f>'Company fin forecasts'!E27</f>
        <v>11.110216900668604</v>
      </c>
      <c r="P45" s="337">
        <f>'Company fin forecasts'!F27</f>
        <v>3.9548595532390358</v>
      </c>
      <c r="Q45" s="104">
        <f t="shared" ref="Q45:V45" si="24">Q47*Q11</f>
        <v>0</v>
      </c>
      <c r="R45" s="104">
        <f t="shared" ca="1" si="24"/>
        <v>0</v>
      </c>
      <c r="S45" s="104">
        <f t="shared" ca="1" si="24"/>
        <v>0</v>
      </c>
      <c r="T45" s="104">
        <f t="shared" ca="1" si="24"/>
        <v>0</v>
      </c>
      <c r="U45" s="104">
        <f t="shared" ca="1" si="24"/>
        <v>0</v>
      </c>
      <c r="V45" s="104">
        <f t="shared" ca="1" si="24"/>
        <v>0</v>
      </c>
      <c r="Y45" s="327" t="s">
        <v>161</v>
      </c>
      <c r="Z45" s="327"/>
      <c r="AA45" s="327"/>
      <c r="AB45" s="327"/>
      <c r="AC45" s="327"/>
      <c r="AD45" s="327"/>
      <c r="AE45" s="327"/>
      <c r="AF45" s="327"/>
      <c r="AG45" s="327"/>
      <c r="AH45" s="327"/>
    </row>
    <row r="46" spans="2:34">
      <c r="C46" s="14" t="s">
        <v>0</v>
      </c>
      <c r="D46" s="109"/>
      <c r="E46" s="109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34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1.2831764585184018E-2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19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337">
        <f>'Company fin forecasts'!B29</f>
        <v>0</v>
      </c>
      <c r="M49" s="337">
        <f>'Company fin forecasts'!C29</f>
        <v>0</v>
      </c>
      <c r="N49" s="337">
        <f>'Company fin forecasts'!D29</f>
        <v>-5</v>
      </c>
      <c r="O49" s="337">
        <f>'Company fin forecasts'!E29</f>
        <v>-5</v>
      </c>
      <c r="P49" s="337">
        <f>'Company fin forecasts'!F29</f>
        <v>-5</v>
      </c>
      <c r="Q49" s="328">
        <f>P49</f>
        <v>-5</v>
      </c>
      <c r="R49" s="328">
        <f t="shared" ref="R49:V49" si="28">Q49</f>
        <v>-5</v>
      </c>
      <c r="S49" s="328">
        <f t="shared" si="28"/>
        <v>-5</v>
      </c>
      <c r="T49" s="328">
        <f t="shared" si="28"/>
        <v>-5</v>
      </c>
      <c r="U49" s="328">
        <f t="shared" si="28"/>
        <v>-5</v>
      </c>
      <c r="V49" s="328">
        <f t="shared" si="28"/>
        <v>-5</v>
      </c>
      <c r="Y49" s="327" t="s">
        <v>162</v>
      </c>
      <c r="Z49" s="327"/>
      <c r="AA49" s="327"/>
      <c r="AB49" s="327"/>
      <c r="AC49" s="327"/>
      <c r="AD49" s="327"/>
      <c r="AE49" s="327"/>
      <c r="AF49" s="327"/>
      <c r="AG49" s="327"/>
      <c r="AH49" s="327"/>
    </row>
    <row r="50" spans="2:34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18">
        <f t="shared" ref="F51:V51" si="45">IF(ISERROR(-F49/F$11),"n.a.",-F49/F$11)</f>
        <v>0</v>
      </c>
      <c r="G51" s="118">
        <f t="shared" si="45"/>
        <v>0</v>
      </c>
      <c r="H51" s="118">
        <f t="shared" si="45"/>
        <v>0</v>
      </c>
      <c r="I51" s="118">
        <f t="shared" si="45"/>
        <v>0</v>
      </c>
      <c r="J51" s="118">
        <f t="shared" si="45"/>
        <v>1.3214694740551493E-3</v>
      </c>
      <c r="K51" s="118">
        <f t="shared" si="45"/>
        <v>-6.4992095555945904E-4</v>
      </c>
      <c r="L51" s="118">
        <f t="shared" si="45"/>
        <v>0</v>
      </c>
      <c r="M51" s="118">
        <f t="shared" si="45"/>
        <v>0</v>
      </c>
      <c r="N51" s="118">
        <f t="shared" si="45"/>
        <v>3.6932057370415751E-3</v>
      </c>
      <c r="O51" s="118">
        <f t="shared" si="45"/>
        <v>3.4554835728332453E-3</v>
      </c>
      <c r="P51" s="118">
        <f t="shared" si="45"/>
        <v>3.4659153551726838E-3</v>
      </c>
      <c r="Q51" s="118">
        <f t="shared" si="45"/>
        <v>3.3979562305614551E-3</v>
      </c>
      <c r="R51" s="118">
        <f t="shared" ca="1" si="45"/>
        <v>3.3378744897460265E-3</v>
      </c>
      <c r="S51" s="118">
        <f t="shared" ca="1" si="45"/>
        <v>3.2853095371516007E-3</v>
      </c>
      <c r="T51" s="118">
        <f t="shared" ca="1" si="45"/>
        <v>3.2399502338773178E-3</v>
      </c>
      <c r="U51" s="118">
        <f t="shared" ca="1" si="45"/>
        <v>3.2015318516574287E-3</v>
      </c>
      <c r="V51" s="118">
        <f t="shared" ca="1" si="45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337">
        <f>'Company fin forecasts'!B15+'Company fin forecasts'!B22</f>
        <v>0</v>
      </c>
      <c r="M53" s="337">
        <f>'Company fin forecasts'!C15+'Company fin forecasts'!C22</f>
        <v>-18.004468664734777</v>
      </c>
      <c r="N53" s="337">
        <f>'Company fin forecasts'!D15+'Company fin forecasts'!D22</f>
        <v>-6.7527180429793674</v>
      </c>
      <c r="O53" s="337">
        <f>'Company fin forecasts'!E15+'Company fin forecasts'!E22</f>
        <v>25.138454026318882</v>
      </c>
      <c r="P53" s="337">
        <f>'Company fin forecasts'!F15+'Company fin forecasts'!F22</f>
        <v>-4.8650405710493061</v>
      </c>
      <c r="Q53" s="107">
        <v>0</v>
      </c>
      <c r="R53" s="107">
        <f t="shared" ref="R53:V53" si="46">+Q53</f>
        <v>0</v>
      </c>
      <c r="S53" s="107">
        <f t="shared" si="46"/>
        <v>0</v>
      </c>
      <c r="T53" s="107">
        <f t="shared" si="46"/>
        <v>0</v>
      </c>
      <c r="U53" s="107">
        <f t="shared" si="46"/>
        <v>0</v>
      </c>
      <c r="V53" s="107">
        <f t="shared" si="46"/>
        <v>0</v>
      </c>
      <c r="Y53" s="327" t="s">
        <v>159</v>
      </c>
      <c r="Z53" s="327"/>
      <c r="AA53" s="327"/>
      <c r="AB53" s="327"/>
      <c r="AC53" s="327"/>
      <c r="AD53" s="327"/>
      <c r="AE53" s="327"/>
      <c r="AF53" s="327"/>
      <c r="AG53" s="327"/>
      <c r="AH53" s="327"/>
    </row>
    <row r="54" spans="2:34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18">
        <f t="shared" ref="F55:V55" si="63">IF(ISERROR(-F53/F$11),"n.a.",-F53/F$11)</f>
        <v>0</v>
      </c>
      <c r="G55" s="118">
        <f t="shared" si="63"/>
        <v>0</v>
      </c>
      <c r="H55" s="118">
        <f t="shared" si="63"/>
        <v>0</v>
      </c>
      <c r="I55" s="118">
        <f t="shared" si="63"/>
        <v>0</v>
      </c>
      <c r="J55" s="118">
        <f t="shared" si="63"/>
        <v>0</v>
      </c>
      <c r="K55" s="118">
        <f t="shared" si="63"/>
        <v>0</v>
      </c>
      <c r="L55" s="118">
        <f t="shared" si="63"/>
        <v>0</v>
      </c>
      <c r="M55" s="118">
        <f t="shared" si="63"/>
        <v>1.433898688297465E-2</v>
      </c>
      <c r="N55" s="118">
        <f t="shared" si="63"/>
        <v>4.9878354033911108E-3</v>
      </c>
      <c r="O55" s="118">
        <f t="shared" si="63"/>
        <v>-1.737310298687373E-2</v>
      </c>
      <c r="P55" s="118">
        <f t="shared" si="63"/>
        <v>3.3723637637475745E-3</v>
      </c>
      <c r="Q55" s="118">
        <f t="shared" si="63"/>
        <v>0</v>
      </c>
      <c r="R55" s="118">
        <f t="shared" ca="1" si="63"/>
        <v>0</v>
      </c>
      <c r="S55" s="118">
        <f t="shared" ca="1" si="63"/>
        <v>0</v>
      </c>
      <c r="T55" s="118">
        <f t="shared" ca="1" si="63"/>
        <v>0</v>
      </c>
      <c r="U55" s="118">
        <f t="shared" ca="1" si="63"/>
        <v>0</v>
      </c>
      <c r="V55" s="118">
        <f t="shared" ca="1" si="63"/>
        <v>0</v>
      </c>
    </row>
    <row r="56" spans="2:34">
      <c r="L56" s="212"/>
      <c r="M56" s="212"/>
    </row>
    <row r="57" spans="2:34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4">
      <c r="C58" s="71" t="s">
        <v>69</v>
      </c>
      <c r="D58" s="71"/>
      <c r="E58" s="99"/>
      <c r="F58" s="205">
        <f t="shared" ref="F58:V58" si="64">F9</f>
        <v>41729</v>
      </c>
      <c r="G58" s="205">
        <f t="shared" si="64"/>
        <v>42094</v>
      </c>
      <c r="H58" s="205">
        <f t="shared" si="64"/>
        <v>42460</v>
      </c>
      <c r="I58" s="205">
        <f t="shared" si="64"/>
        <v>42825</v>
      </c>
      <c r="J58" s="205">
        <f t="shared" si="64"/>
        <v>43190</v>
      </c>
      <c r="K58" s="205">
        <f t="shared" si="64"/>
        <v>43555</v>
      </c>
      <c r="L58" s="206">
        <f t="shared" si="64"/>
        <v>43921</v>
      </c>
      <c r="M58" s="206">
        <f t="shared" si="64"/>
        <v>44286</v>
      </c>
      <c r="N58" s="206">
        <f t="shared" si="64"/>
        <v>44651</v>
      </c>
      <c r="O58" s="206">
        <f t="shared" si="64"/>
        <v>45016</v>
      </c>
      <c r="P58" s="206">
        <f t="shared" si="64"/>
        <v>45382</v>
      </c>
      <c r="Q58" s="206">
        <f t="shared" si="64"/>
        <v>45747</v>
      </c>
      <c r="R58" s="206">
        <f t="shared" si="64"/>
        <v>46112</v>
      </c>
      <c r="S58" s="206">
        <f t="shared" si="64"/>
        <v>46477</v>
      </c>
      <c r="T58" s="206">
        <f t="shared" si="64"/>
        <v>46843</v>
      </c>
      <c r="U58" s="206">
        <f t="shared" si="64"/>
        <v>47208</v>
      </c>
      <c r="V58" s="206">
        <f t="shared" si="64"/>
        <v>47573</v>
      </c>
    </row>
    <row r="59" spans="2:34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4">
      <c r="C60" s="203" t="s">
        <v>2</v>
      </c>
      <c r="D60" s="203"/>
      <c r="E60" s="203"/>
      <c r="F60" s="208">
        <f t="shared" ref="F60:O60" si="65">F11</f>
        <v>939.7</v>
      </c>
      <c r="G60" s="208">
        <f t="shared" si="65"/>
        <v>1004.9</v>
      </c>
      <c r="H60" s="208">
        <f t="shared" si="65"/>
        <v>1021.5</v>
      </c>
      <c r="I60" s="208">
        <f t="shared" si="65"/>
        <v>1095</v>
      </c>
      <c r="J60" s="208">
        <f t="shared" si="65"/>
        <v>1135.0999999999999</v>
      </c>
      <c r="K60" s="208">
        <f t="shared" si="65"/>
        <v>1138.5999999999999</v>
      </c>
      <c r="L60" s="208">
        <f t="shared" si="65"/>
        <v>1149.2312142121568</v>
      </c>
      <c r="M60" s="208">
        <f t="shared" si="65"/>
        <v>1255.6304578332745</v>
      </c>
      <c r="N60" s="208">
        <f t="shared" si="65"/>
        <v>1353.8373857301615</v>
      </c>
      <c r="O60" s="208">
        <f t="shared" si="65"/>
        <v>1446.9754795854415</v>
      </c>
      <c r="P60" s="208">
        <f t="shared" ref="P60:V60" si="66">P11</f>
        <v>1442.6203434361953</v>
      </c>
      <c r="Q60" s="208">
        <f t="shared" si="66"/>
        <v>1471.4727503049191</v>
      </c>
      <c r="R60" s="208">
        <f t="shared" ca="1" si="66"/>
        <v>1497.9592598104077</v>
      </c>
      <c r="S60" s="208">
        <f t="shared" ca="1" si="66"/>
        <v>1521.9266079673744</v>
      </c>
      <c r="T60" s="208">
        <f t="shared" ca="1" si="66"/>
        <v>1543.2335804789177</v>
      </c>
      <c r="U60" s="208">
        <f t="shared" ca="1" si="66"/>
        <v>1561.7523834446647</v>
      </c>
      <c r="V60" s="208">
        <f t="shared" ca="1" si="66"/>
        <v>1577.3699072791114</v>
      </c>
    </row>
    <row r="61" spans="2:34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7">IF(ISERROR(G60/F60-1),"n.a.",G60/F60-1)</f>
        <v>6.9383845908268516E-2</v>
      </c>
      <c r="H61" s="209">
        <f t="shared" si="67"/>
        <v>1.6519056622549488E-2</v>
      </c>
      <c r="I61" s="209">
        <f t="shared" si="67"/>
        <v>7.1953010279001361E-2</v>
      </c>
      <c r="J61" s="209">
        <f t="shared" si="67"/>
        <v>3.6621004566209869E-2</v>
      </c>
      <c r="K61" s="209">
        <f t="shared" si="67"/>
        <v>3.0834287727954379E-3</v>
      </c>
      <c r="L61" s="209">
        <f t="shared" si="67"/>
        <v>9.3370931074625574E-3</v>
      </c>
      <c r="M61" s="209">
        <f t="shared" si="67"/>
        <v>9.2582973996280238E-2</v>
      </c>
      <c r="N61" s="209">
        <f t="shared" si="67"/>
        <v>7.8213241232100827E-2</v>
      </c>
      <c r="O61" s="209">
        <f t="shared" si="67"/>
        <v>6.879562851268739E-2</v>
      </c>
      <c r="P61" s="209">
        <f t="shared" si="67"/>
        <v>-3.0098202842344657E-3</v>
      </c>
      <c r="Q61" s="209">
        <f t="shared" si="67"/>
        <v>2.0000000000000018E-2</v>
      </c>
      <c r="R61" s="209">
        <f t="shared" ca="1" si="67"/>
        <v>1.8000000000000016E-2</v>
      </c>
      <c r="S61" s="209">
        <f t="shared" ca="1" si="67"/>
        <v>1.6000000000000014E-2</v>
      </c>
      <c r="T61" s="209">
        <f t="shared" ca="1" si="67"/>
        <v>1.4000000000000012E-2</v>
      </c>
      <c r="U61" s="209">
        <f t="shared" ca="1" si="67"/>
        <v>1.2000000000000011E-2</v>
      </c>
      <c r="V61" s="209">
        <f t="shared" ca="1" si="67"/>
        <v>1.0000000000000009E-2</v>
      </c>
    </row>
    <row r="62" spans="2:34">
      <c r="C62" s="203" t="s">
        <v>3</v>
      </c>
      <c r="D62" s="203"/>
      <c r="E62" s="203"/>
      <c r="F62" s="208">
        <f t="shared" ref="F62:P62" si="68">F15</f>
        <v>101.1</v>
      </c>
      <c r="G62" s="208">
        <f t="shared" si="68"/>
        <v>109.9</v>
      </c>
      <c r="H62" s="208">
        <f t="shared" si="68"/>
        <v>114.6</v>
      </c>
      <c r="I62" s="208">
        <f t="shared" si="68"/>
        <v>108.7</v>
      </c>
      <c r="J62" s="208">
        <f t="shared" si="68"/>
        <v>109.5</v>
      </c>
      <c r="K62" s="208">
        <f t="shared" si="68"/>
        <v>98.2</v>
      </c>
      <c r="L62" s="208">
        <f t="shared" si="68"/>
        <v>94.147209662938664</v>
      </c>
      <c r="M62" s="208">
        <f t="shared" si="68"/>
        <v>92.625305088518957</v>
      </c>
      <c r="N62" s="208">
        <f t="shared" si="68"/>
        <v>111.79673623719195</v>
      </c>
      <c r="O62" s="208">
        <f t="shared" si="68"/>
        <v>124.39494101920255</v>
      </c>
      <c r="P62" s="208">
        <f t="shared" si="68"/>
        <v>127.56812935492377</v>
      </c>
      <c r="Q62" s="208">
        <f t="shared" ref="Q62:V62" ca="1" si="69">Q15</f>
        <v>130.50500120625895</v>
      </c>
      <c r="R62" s="208">
        <f t="shared" ca="1" si="69"/>
        <v>133.24653965896459</v>
      </c>
      <c r="S62" s="208">
        <f t="shared" ca="1" si="69"/>
        <v>135.77721189939695</v>
      </c>
      <c r="T62" s="208">
        <f t="shared" ca="1" si="69"/>
        <v>138.08240265835985</v>
      </c>
      <c r="U62" s="208">
        <f t="shared" ca="1" si="69"/>
        <v>140.14855300014</v>
      </c>
      <c r="V62" s="208">
        <f t="shared" ca="1" si="69"/>
        <v>141.96329165512003</v>
      </c>
    </row>
    <row r="63" spans="2:34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70">IF(ISERROR(G62/F62-1),"n.a.",G62/F62-1)</f>
        <v>8.7042532146389906E-2</v>
      </c>
      <c r="H63" s="209">
        <f t="shared" si="70"/>
        <v>4.2766151046405687E-2</v>
      </c>
      <c r="I63" s="209">
        <f t="shared" si="70"/>
        <v>-5.148342059336819E-2</v>
      </c>
      <c r="J63" s="209">
        <f t="shared" si="70"/>
        <v>7.3597056117755688E-3</v>
      </c>
      <c r="K63" s="209">
        <f t="shared" si="70"/>
        <v>-0.10319634703196345</v>
      </c>
      <c r="L63" s="209">
        <f t="shared" si="70"/>
        <v>-4.1270777363150102E-2</v>
      </c>
      <c r="M63" s="209">
        <f t="shared" si="70"/>
        <v>-1.6165158583757888E-2</v>
      </c>
      <c r="N63" s="209">
        <f t="shared" si="70"/>
        <v>0.20697833200496873</v>
      </c>
      <c r="O63" s="209">
        <f t="shared" si="70"/>
        <v>0.1126884845303695</v>
      </c>
      <c r="P63" s="209">
        <f t="shared" si="70"/>
        <v>2.5508982195918906E-2</v>
      </c>
      <c r="Q63" s="209">
        <f t="shared" ca="1" si="70"/>
        <v>2.302198727994309E-2</v>
      </c>
      <c r="R63" s="209">
        <f t="shared" ca="1" si="70"/>
        <v>2.1007152426079978E-2</v>
      </c>
      <c r="S63" s="209">
        <f t="shared" ca="1" si="70"/>
        <v>1.8992404957828057E-2</v>
      </c>
      <c r="T63" s="209">
        <f t="shared" ca="1" si="70"/>
        <v>1.6977744105328485E-2</v>
      </c>
      <c r="U63" s="209">
        <f t="shared" ca="1" si="70"/>
        <v>1.4963169107740315E-2</v>
      </c>
      <c r="V63" s="209">
        <f t="shared" ca="1" si="70"/>
        <v>1.2948679213107717E-2</v>
      </c>
    </row>
    <row r="64" spans="2:34">
      <c r="C64" s="200" t="s">
        <v>1</v>
      </c>
      <c r="D64" s="199"/>
      <c r="E64" s="202"/>
      <c r="F64" s="211">
        <f>F62/F$60</f>
        <v>0.10758752793444715</v>
      </c>
      <c r="G64" s="211">
        <f t="shared" ref="G64" si="71">G62/G$60</f>
        <v>0.10936411583242114</v>
      </c>
      <c r="H64" s="211">
        <f>H62/H$60</f>
        <v>0.11218795888399412</v>
      </c>
      <c r="I64" s="211">
        <f t="shared" ref="I64" si="72">I62/I$60</f>
        <v>9.9269406392694062E-2</v>
      </c>
      <c r="J64" s="211">
        <f t="shared" ref="J64:V64" si="73">J62/J$60</f>
        <v>9.6467271606025903E-2</v>
      </c>
      <c r="K64" s="211">
        <f t="shared" si="73"/>
        <v>8.6246267345863353E-2</v>
      </c>
      <c r="L64" s="211">
        <f t="shared" si="73"/>
        <v>8.1921904398916168E-2</v>
      </c>
      <c r="M64" s="211">
        <f t="shared" si="73"/>
        <v>7.3767966132610302E-2</v>
      </c>
      <c r="N64" s="211">
        <f t="shared" si="73"/>
        <v>8.2577669530744205E-2</v>
      </c>
      <c r="O64" s="211">
        <f t="shared" si="73"/>
        <v>8.5968935047082973E-2</v>
      </c>
      <c r="P64" s="211">
        <f t="shared" si="73"/>
        <v>8.8428067672377098E-2</v>
      </c>
      <c r="Q64" s="211">
        <f t="shared" ca="1" si="73"/>
        <v>8.8690056393647562E-2</v>
      </c>
      <c r="R64" s="211">
        <f t="shared" ca="1" si="73"/>
        <v>8.8952045114918027E-2</v>
      </c>
      <c r="S64" s="211">
        <f t="shared" ca="1" si="73"/>
        <v>8.9214033836188505E-2</v>
      </c>
      <c r="T64" s="211">
        <f t="shared" ca="1" si="73"/>
        <v>8.9476022557458998E-2</v>
      </c>
      <c r="U64" s="211">
        <f t="shared" ca="1" si="73"/>
        <v>8.9738011278729504E-2</v>
      </c>
      <c r="V64" s="211">
        <f t="shared" ca="1" si="73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74">+G68-G62</f>
        <v>-25.300000000000011</v>
      </c>
      <c r="H65" s="210">
        <f t="shared" si="74"/>
        <v>-30.099999999999994</v>
      </c>
      <c r="I65" s="210">
        <f t="shared" si="74"/>
        <v>-31.600000000000009</v>
      </c>
      <c r="J65" s="210">
        <f t="shared" si="74"/>
        <v>-34.900000000000006</v>
      </c>
      <c r="K65" s="210">
        <f t="shared" si="74"/>
        <v>-36</v>
      </c>
      <c r="L65" s="210">
        <f t="shared" si="74"/>
        <v>-36.129215400000028</v>
      </c>
      <c r="M65" s="210">
        <f t="shared" si="74"/>
        <v>-40.455293523349013</v>
      </c>
      <c r="N65" s="210">
        <f t="shared" si="74"/>
        <v>-47.195257615808728</v>
      </c>
      <c r="O65" s="210">
        <f t="shared" si="74"/>
        <v>-51.82954358756416</v>
      </c>
      <c r="P65" s="210">
        <f t="shared" si="74"/>
        <v>-54.799912142159201</v>
      </c>
      <c r="Q65" s="210">
        <f t="shared" ca="1" si="74"/>
        <v>-53.583260118466001</v>
      </c>
      <c r="R65" s="210">
        <f t="shared" ca="1" si="74"/>
        <v>-52.366608094772801</v>
      </c>
      <c r="S65" s="210">
        <f t="shared" ca="1" si="74"/>
        <v>-51.1499560710796</v>
      </c>
      <c r="T65" s="210">
        <f t="shared" ca="1" si="74"/>
        <v>-49.9333040473864</v>
      </c>
      <c r="U65" s="210">
        <f t="shared" ca="1" si="74"/>
        <v>-48.7166520236932</v>
      </c>
      <c r="V65" s="210">
        <f t="shared" ca="1" si="74"/>
        <v>-47.5</v>
      </c>
    </row>
    <row r="66" spans="3:22">
      <c r="C66" s="200" t="s">
        <v>84</v>
      </c>
      <c r="D66" s="199"/>
      <c r="E66" s="202"/>
      <c r="F66" s="211">
        <f t="shared" ref="F66:V66" si="75">+F65/F60</f>
        <v>-2.4795147387464082E-2</v>
      </c>
      <c r="G66" s="211">
        <f t="shared" si="75"/>
        <v>-2.5176634490994141E-2</v>
      </c>
      <c r="H66" s="211">
        <f t="shared" si="75"/>
        <v>-2.9466470876162502E-2</v>
      </c>
      <c r="I66" s="211">
        <f t="shared" si="75"/>
        <v>-2.8858447488584484E-2</v>
      </c>
      <c r="J66" s="211">
        <f t="shared" si="75"/>
        <v>-3.0746189763016483E-2</v>
      </c>
      <c r="K66" s="211">
        <f t="shared" si="75"/>
        <v>-3.1617776216406115E-2</v>
      </c>
      <c r="L66" s="211">
        <f t="shared" si="75"/>
        <v>-3.1437725457855774E-2</v>
      </c>
      <c r="M66" s="211">
        <f t="shared" si="75"/>
        <v>-3.2219108154766314E-2</v>
      </c>
      <c r="N66" s="211">
        <f t="shared" si="75"/>
        <v>-3.4860359237571976E-2</v>
      </c>
      <c r="O66" s="211">
        <f t="shared" si="75"/>
        <v>-3.5819227290854523E-2</v>
      </c>
      <c r="P66" s="211">
        <f t="shared" si="75"/>
        <v>-3.7986371391124714E-2</v>
      </c>
      <c r="Q66" s="211">
        <f t="shared" ca="1" si="75"/>
        <v>-3.641471451466733E-2</v>
      </c>
      <c r="R66" s="211">
        <f t="shared" ca="1" si="75"/>
        <v>-3.4958633054813976E-2</v>
      </c>
      <c r="S66" s="211">
        <f t="shared" ca="1" si="75"/>
        <v>-3.360868770104064E-2</v>
      </c>
      <c r="T66" s="211">
        <f t="shared" ca="1" si="75"/>
        <v>-3.2356284025319357E-2</v>
      </c>
      <c r="U66" s="211">
        <f t="shared" ca="1" si="75"/>
        <v>-3.1193582631993021E-2</v>
      </c>
      <c r="V66" s="211">
        <f t="shared" ca="1" si="75"/>
        <v>-3.0113418406678784E-2</v>
      </c>
    </row>
    <row r="67" spans="3:22">
      <c r="C67" s="200" t="s">
        <v>37</v>
      </c>
      <c r="D67" s="199"/>
      <c r="E67" s="202"/>
      <c r="F67" s="211">
        <f t="shared" ref="F67:V67" si="76">+F65/F72</f>
        <v>0.76644736842105254</v>
      </c>
      <c r="G67" s="211">
        <f t="shared" si="76"/>
        <v>0.67466666666666697</v>
      </c>
      <c r="H67" s="211">
        <f t="shared" si="76"/>
        <v>0.74689826302729523</v>
      </c>
      <c r="I67" s="211">
        <f t="shared" si="76"/>
        <v>0.87534626038781183</v>
      </c>
      <c r="J67" s="211">
        <f t="shared" si="76"/>
        <v>0.93565683646112618</v>
      </c>
      <c r="K67" s="211">
        <f t="shared" si="76"/>
        <v>1.1612903225806452</v>
      </c>
      <c r="L67" s="211">
        <f t="shared" si="76"/>
        <v>1.0035893166666674</v>
      </c>
      <c r="M67" s="211">
        <f t="shared" si="76"/>
        <v>0.79324104947743168</v>
      </c>
      <c r="N67" s="211">
        <f t="shared" si="76"/>
        <v>0.94390515231617456</v>
      </c>
      <c r="O67" s="211">
        <f t="shared" si="76"/>
        <v>1.0365908717512833</v>
      </c>
      <c r="P67" s="211">
        <f t="shared" si="76"/>
        <v>1.095998242843184</v>
      </c>
      <c r="Q67" s="211">
        <f t="shared" ca="1" si="76"/>
        <v>1.0716652023693201</v>
      </c>
      <c r="R67" s="211">
        <f t="shared" ca="1" si="76"/>
        <v>1.0473321618954561</v>
      </c>
      <c r="S67" s="211">
        <f t="shared" ca="1" si="76"/>
        <v>1.0229991214215921</v>
      </c>
      <c r="T67" s="211">
        <f t="shared" ca="1" si="76"/>
        <v>0.99866608094772802</v>
      </c>
      <c r="U67" s="211">
        <f t="shared" ca="1" si="76"/>
        <v>0.97433304047386404</v>
      </c>
      <c r="V67" s="211">
        <f t="shared" ca="1" si="76"/>
        <v>0.95</v>
      </c>
    </row>
    <row r="68" spans="3:22">
      <c r="C68" s="203" t="s">
        <v>5</v>
      </c>
      <c r="D68" s="203"/>
      <c r="E68" s="203"/>
      <c r="F68" s="208">
        <f t="shared" ref="F68:V68" si="77">F25</f>
        <v>77.8</v>
      </c>
      <c r="G68" s="208">
        <f t="shared" si="77"/>
        <v>84.6</v>
      </c>
      <c r="H68" s="208">
        <f t="shared" si="77"/>
        <v>84.5</v>
      </c>
      <c r="I68" s="208">
        <f t="shared" si="77"/>
        <v>77.099999999999994</v>
      </c>
      <c r="J68" s="208">
        <f t="shared" si="77"/>
        <v>74.599999999999994</v>
      </c>
      <c r="K68" s="208">
        <f t="shared" si="77"/>
        <v>62.2</v>
      </c>
      <c r="L68" s="208">
        <f t="shared" si="77"/>
        <v>58.017994262938636</v>
      </c>
      <c r="M68" s="208">
        <f t="shared" si="77"/>
        <v>52.170011565169943</v>
      </c>
      <c r="N68" s="208">
        <f t="shared" si="77"/>
        <v>64.601478621383222</v>
      </c>
      <c r="O68" s="208">
        <f t="shared" si="77"/>
        <v>72.565397431638388</v>
      </c>
      <c r="P68" s="208">
        <f t="shared" si="77"/>
        <v>72.768217212764569</v>
      </c>
      <c r="Q68" s="208">
        <f t="shared" ca="1" si="77"/>
        <v>76.921741087792952</v>
      </c>
      <c r="R68" s="208">
        <f t="shared" ca="1" si="77"/>
        <v>80.879931564191793</v>
      </c>
      <c r="S68" s="208">
        <f t="shared" ca="1" si="77"/>
        <v>84.627255828317345</v>
      </c>
      <c r="T68" s="208">
        <f t="shared" ca="1" si="77"/>
        <v>88.149098610973454</v>
      </c>
      <c r="U68" s="208">
        <f t="shared" ca="1" si="77"/>
        <v>91.431900976446798</v>
      </c>
      <c r="V68" s="208">
        <f t="shared" ca="1" si="77"/>
        <v>94.463291655120031</v>
      </c>
    </row>
    <row r="69" spans="3:22">
      <c r="C69" s="200" t="s">
        <v>0</v>
      </c>
      <c r="D69" s="199"/>
      <c r="E69" s="201"/>
      <c r="F69" s="211" t="str">
        <f t="shared" ref="F69" si="78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79">IF(ISERROR(I68/H68-1),"n.a.",I68/H68-1)</f>
        <v>-8.7573964497041468E-2</v>
      </c>
      <c r="J69" s="211">
        <f t="shared" si="79"/>
        <v>-3.2425421530479892E-2</v>
      </c>
      <c r="K69" s="211">
        <f t="shared" si="79"/>
        <v>-0.16621983914209104</v>
      </c>
      <c r="L69" s="211">
        <f t="shared" si="79"/>
        <v>-6.723481892381622E-2</v>
      </c>
      <c r="M69" s="211">
        <f t="shared" si="79"/>
        <v>-0.10079601634047408</v>
      </c>
      <c r="N69" s="211">
        <f t="shared" si="79"/>
        <v>0.23828760399418525</v>
      </c>
      <c r="O69" s="211">
        <f t="shared" si="79"/>
        <v>0.12327765525198209</v>
      </c>
      <c r="P69" s="211">
        <f t="shared" si="79"/>
        <v>2.7949930449600036E-3</v>
      </c>
      <c r="Q69" s="211">
        <f t="shared" ca="1" si="79"/>
        <v>5.7078818667276598E-2</v>
      </c>
      <c r="R69" s="211">
        <f t="shared" ca="1" si="79"/>
        <v>5.1457369794597474E-2</v>
      </c>
      <c r="S69" s="211">
        <f t="shared" ca="1" si="79"/>
        <v>4.6331941578751534E-2</v>
      </c>
      <c r="T69" s="211">
        <f t="shared" ca="1" si="79"/>
        <v>4.1615939784232614E-2</v>
      </c>
      <c r="U69" s="211">
        <f t="shared" ca="1" si="79"/>
        <v>3.7241474016215026E-2</v>
      </c>
      <c r="V69" s="211">
        <f t="shared" ca="1" si="79"/>
        <v>3.3154628158219346E-2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80">G68/G$60</f>
        <v>8.4187481341427006E-2</v>
      </c>
      <c r="H70" s="313">
        <f>H68/H$60</f>
        <v>8.272148800783162E-2</v>
      </c>
      <c r="I70" s="313">
        <f t="shared" ref="I70:V70" si="81">I68/I$60</f>
        <v>7.0410958904109588E-2</v>
      </c>
      <c r="J70" s="313">
        <f t="shared" si="81"/>
        <v>6.5721081843009427E-2</v>
      </c>
      <c r="K70" s="313">
        <f t="shared" si="81"/>
        <v>5.4628491129457238E-2</v>
      </c>
      <c r="L70" s="313">
        <f t="shared" si="81"/>
        <v>5.0484178941060394E-2</v>
      </c>
      <c r="M70" s="313">
        <f t="shared" si="81"/>
        <v>4.1548857977843988E-2</v>
      </c>
      <c r="N70" s="313">
        <f t="shared" si="81"/>
        <v>4.7717310293172235E-2</v>
      </c>
      <c r="O70" s="313">
        <f t="shared" si="81"/>
        <v>5.0149707756228443E-2</v>
      </c>
      <c r="P70" s="313">
        <f t="shared" si="81"/>
        <v>5.0441696281252384E-2</v>
      </c>
      <c r="Q70" s="313">
        <f t="shared" ca="1" si="81"/>
        <v>5.2275341878980225E-2</v>
      </c>
      <c r="R70" s="313">
        <f t="shared" ca="1" si="81"/>
        <v>5.3993412060104044E-2</v>
      </c>
      <c r="S70" s="313">
        <f t="shared" ca="1" si="81"/>
        <v>5.5605346135147865E-2</v>
      </c>
      <c r="T70" s="313">
        <f t="shared" ca="1" si="81"/>
        <v>5.7119738532139641E-2</v>
      </c>
      <c r="U70" s="313">
        <f t="shared" ca="1" si="81"/>
        <v>5.8544428646736479E-2</v>
      </c>
      <c r="V70" s="313">
        <f t="shared" ca="1" si="81"/>
        <v>5.988658159332122E-2</v>
      </c>
    </row>
    <row r="71" spans="3:22">
      <c r="C71" s="199" t="s">
        <v>3</v>
      </c>
      <c r="D71" s="199"/>
      <c r="E71" s="199"/>
      <c r="F71" s="210">
        <f t="shared" ref="F71:V71" si="82">F15</f>
        <v>101.1</v>
      </c>
      <c r="G71" s="210">
        <f t="shared" si="82"/>
        <v>109.9</v>
      </c>
      <c r="H71" s="210">
        <f t="shared" si="82"/>
        <v>114.6</v>
      </c>
      <c r="I71" s="210">
        <f t="shared" si="82"/>
        <v>108.7</v>
      </c>
      <c r="J71" s="210">
        <f t="shared" si="82"/>
        <v>109.5</v>
      </c>
      <c r="K71" s="210">
        <f t="shared" si="82"/>
        <v>98.2</v>
      </c>
      <c r="L71" s="210">
        <f t="shared" si="82"/>
        <v>94.147209662938664</v>
      </c>
      <c r="M71" s="210">
        <f t="shared" si="82"/>
        <v>92.625305088518957</v>
      </c>
      <c r="N71" s="210">
        <f t="shared" si="82"/>
        <v>111.79673623719195</v>
      </c>
      <c r="O71" s="210">
        <f t="shared" si="82"/>
        <v>124.39494101920255</v>
      </c>
      <c r="P71" s="210">
        <f t="shared" si="82"/>
        <v>127.56812935492377</v>
      </c>
      <c r="Q71" s="210">
        <f t="shared" ca="1" si="82"/>
        <v>130.50500120625895</v>
      </c>
      <c r="R71" s="210">
        <f t="shared" ca="1" si="82"/>
        <v>133.24653965896459</v>
      </c>
      <c r="S71" s="210">
        <f t="shared" ca="1" si="82"/>
        <v>135.77721189939695</v>
      </c>
      <c r="T71" s="210">
        <f t="shared" ca="1" si="82"/>
        <v>138.08240265835985</v>
      </c>
      <c r="U71" s="210">
        <f t="shared" ca="1" si="82"/>
        <v>140.14855300014</v>
      </c>
      <c r="V71" s="210">
        <f t="shared" ca="1" si="82"/>
        <v>141.96329165512003</v>
      </c>
    </row>
    <row r="72" spans="3:22">
      <c r="C72" s="203" t="s">
        <v>7</v>
      </c>
      <c r="D72" s="203"/>
      <c r="E72" s="204"/>
      <c r="F72" s="208">
        <f t="shared" ref="F72:V72" si="83">F40</f>
        <v>-30.4</v>
      </c>
      <c r="G72" s="208">
        <f t="shared" si="83"/>
        <v>-37.5</v>
      </c>
      <c r="H72" s="208">
        <f t="shared" si="83"/>
        <v>-40.299999999999997</v>
      </c>
      <c r="I72" s="208">
        <f t="shared" si="83"/>
        <v>-36.1</v>
      </c>
      <c r="J72" s="208">
        <f t="shared" si="83"/>
        <v>-37.299999999999997</v>
      </c>
      <c r="K72" s="208">
        <f t="shared" si="83"/>
        <v>-31</v>
      </c>
      <c r="L72" s="208">
        <f t="shared" si="83"/>
        <v>-36</v>
      </c>
      <c r="M72" s="208">
        <f t="shared" si="83"/>
        <v>-51</v>
      </c>
      <c r="N72" s="208">
        <f t="shared" si="83"/>
        <v>-50</v>
      </c>
      <c r="O72" s="208">
        <f t="shared" si="83"/>
        <v>-50</v>
      </c>
      <c r="P72" s="208">
        <f t="shared" si="83"/>
        <v>-50</v>
      </c>
      <c r="Q72" s="208">
        <f t="shared" si="83"/>
        <v>-50</v>
      </c>
      <c r="R72" s="208">
        <f t="shared" si="83"/>
        <v>-50</v>
      </c>
      <c r="S72" s="208">
        <f t="shared" si="83"/>
        <v>-50</v>
      </c>
      <c r="T72" s="208">
        <f t="shared" si="83"/>
        <v>-50</v>
      </c>
      <c r="U72" s="208">
        <f t="shared" si="83"/>
        <v>-50</v>
      </c>
      <c r="V72" s="208">
        <f t="shared" si="83"/>
        <v>-50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84">IF(ISERROR(-G72/G$60),"n.a.",-G72/G$60)</f>
        <v>3.7317145984675094E-2</v>
      </c>
      <c r="H73" s="209">
        <f t="shared" si="84"/>
        <v>3.9451786588350461E-2</v>
      </c>
      <c r="I73" s="209">
        <f t="shared" si="84"/>
        <v>3.2968036529680368E-2</v>
      </c>
      <c r="J73" s="209">
        <f t="shared" si="84"/>
        <v>3.2860540921504713E-2</v>
      </c>
      <c r="K73" s="209">
        <f t="shared" si="84"/>
        <v>2.7226418408571932E-2</v>
      </c>
      <c r="L73" s="209">
        <f t="shared" si="84"/>
        <v>3.1325289075688233E-2</v>
      </c>
      <c r="M73" s="209">
        <f t="shared" si="84"/>
        <v>4.0617045948380379E-2</v>
      </c>
      <c r="N73" s="209">
        <f t="shared" si="84"/>
        <v>3.6932057370415751E-2</v>
      </c>
      <c r="O73" s="209">
        <f t="shared" si="84"/>
        <v>3.4554835728332456E-2</v>
      </c>
      <c r="P73" s="209">
        <f t="shared" si="84"/>
        <v>3.4659153551726836E-2</v>
      </c>
      <c r="Q73" s="209">
        <f t="shared" si="84"/>
        <v>3.3979562305614552E-2</v>
      </c>
      <c r="R73" s="209">
        <f t="shared" ca="1" si="84"/>
        <v>3.3378744897460261E-2</v>
      </c>
      <c r="S73" s="209">
        <f t="shared" ca="1" si="84"/>
        <v>3.2853095371516004E-2</v>
      </c>
      <c r="T73" s="209">
        <f t="shared" ca="1" si="84"/>
        <v>3.239950233877318E-2</v>
      </c>
      <c r="U73" s="209">
        <f t="shared" ca="1" si="84"/>
        <v>3.2015318516574284E-2</v>
      </c>
      <c r="V73" s="209">
        <f t="shared" ca="1" si="84"/>
        <v>3.1698335164925033E-2</v>
      </c>
    </row>
    <row r="74" spans="3:22">
      <c r="C74" s="199" t="s">
        <v>75</v>
      </c>
      <c r="D74" s="199"/>
      <c r="E74" s="201"/>
      <c r="F74" s="210">
        <f t="shared" ref="F74:V74" si="85">F45</f>
        <v>-5.3000000000000007</v>
      </c>
      <c r="G74" s="210">
        <f t="shared" si="85"/>
        <v>25.099999999999998</v>
      </c>
      <c r="H74" s="210">
        <f t="shared" si="85"/>
        <v>-11.2</v>
      </c>
      <c r="I74" s="210">
        <f t="shared" si="85"/>
        <v>-16.300000000000004</v>
      </c>
      <c r="J74" s="210">
        <f t="shared" si="85"/>
        <v>-12.6</v>
      </c>
      <c r="K74" s="210">
        <f t="shared" si="85"/>
        <v>-10.399999999999999</v>
      </c>
      <c r="L74" s="210">
        <f t="shared" si="85"/>
        <v>6</v>
      </c>
      <c r="M74" s="210">
        <f t="shared" si="85"/>
        <v>16.111954440903407</v>
      </c>
      <c r="N74" s="210">
        <f t="shared" si="85"/>
        <v>15.168892666804709</v>
      </c>
      <c r="O74" s="210">
        <f t="shared" si="85"/>
        <v>11.110216900668604</v>
      </c>
      <c r="P74" s="210">
        <f t="shared" si="85"/>
        <v>3.9548595532390358</v>
      </c>
      <c r="Q74" s="210">
        <f t="shared" si="85"/>
        <v>0</v>
      </c>
      <c r="R74" s="210">
        <f t="shared" ca="1" si="85"/>
        <v>0</v>
      </c>
      <c r="S74" s="210">
        <f t="shared" ca="1" si="85"/>
        <v>0</v>
      </c>
      <c r="T74" s="210">
        <f t="shared" ca="1" si="85"/>
        <v>0</v>
      </c>
      <c r="U74" s="210">
        <f t="shared" ca="1" si="85"/>
        <v>0</v>
      </c>
      <c r="V74" s="210">
        <f t="shared" ca="1" si="85"/>
        <v>0</v>
      </c>
    </row>
    <row r="75" spans="3:22">
      <c r="C75" s="200" t="s">
        <v>135</v>
      </c>
      <c r="D75" s="199"/>
      <c r="E75" s="201"/>
      <c r="F75" s="211">
        <f t="shared" ref="F75:V75" si="86">+F74/F60</f>
        <v>-5.6400979035862511E-3</v>
      </c>
      <c r="G75" s="211">
        <f t="shared" si="86"/>
        <v>2.4977609712409192E-2</v>
      </c>
      <c r="H75" s="211">
        <f t="shared" si="86"/>
        <v>-1.0964268232990699E-2</v>
      </c>
      <c r="I75" s="211">
        <f t="shared" si="86"/>
        <v>-1.4885844748858451E-2</v>
      </c>
      <c r="J75" s="211">
        <f t="shared" si="86"/>
        <v>-1.1100343582063256E-2</v>
      </c>
      <c r="K75" s="211">
        <f t="shared" si="86"/>
        <v>-9.1340242402950991E-3</v>
      </c>
      <c r="L75" s="211">
        <f t="shared" si="86"/>
        <v>5.2208815126147052E-3</v>
      </c>
      <c r="M75" s="211">
        <f t="shared" si="86"/>
        <v>1.2831764585184018E-2</v>
      </c>
      <c r="N75" s="211">
        <f t="shared" si="86"/>
        <v>1.1204368284322206E-2</v>
      </c>
      <c r="O75" s="211">
        <f t="shared" si="86"/>
        <v>7.6782343981749305E-3</v>
      </c>
      <c r="P75" s="211">
        <f t="shared" si="86"/>
        <v>2.741441690624511E-3</v>
      </c>
      <c r="Q75" s="211">
        <f t="shared" si="86"/>
        <v>0</v>
      </c>
      <c r="R75" s="211">
        <f t="shared" ca="1" si="86"/>
        <v>0</v>
      </c>
      <c r="S75" s="211">
        <f t="shared" ca="1" si="86"/>
        <v>0</v>
      </c>
      <c r="T75" s="211">
        <f t="shared" ca="1" si="86"/>
        <v>0</v>
      </c>
      <c r="U75" s="211">
        <f t="shared" ca="1" si="86"/>
        <v>0</v>
      </c>
      <c r="V75" s="211">
        <f t="shared" ca="1" si="86"/>
        <v>0</v>
      </c>
    </row>
    <row r="76" spans="3:22">
      <c r="C76" s="308" t="s">
        <v>130</v>
      </c>
      <c r="D76" s="199"/>
      <c r="E76" s="201"/>
      <c r="F76" s="210">
        <f t="shared" ref="F76:V76" si="87">+F49</f>
        <v>0</v>
      </c>
      <c r="G76" s="210">
        <f t="shared" si="87"/>
        <v>0</v>
      </c>
      <c r="H76" s="210">
        <f t="shared" si="87"/>
        <v>0</v>
      </c>
      <c r="I76" s="210">
        <f t="shared" si="87"/>
        <v>0</v>
      </c>
      <c r="J76" s="210">
        <f t="shared" si="87"/>
        <v>-1.5</v>
      </c>
      <c r="K76" s="210">
        <f t="shared" si="87"/>
        <v>0.74</v>
      </c>
      <c r="L76" s="210">
        <f t="shared" si="87"/>
        <v>0</v>
      </c>
      <c r="M76" s="210">
        <f t="shared" si="87"/>
        <v>0</v>
      </c>
      <c r="N76" s="210">
        <f t="shared" si="87"/>
        <v>-5</v>
      </c>
      <c r="O76" s="210">
        <f t="shared" si="87"/>
        <v>-5</v>
      </c>
      <c r="P76" s="210">
        <f t="shared" si="87"/>
        <v>-5</v>
      </c>
      <c r="Q76" s="210">
        <f t="shared" si="87"/>
        <v>-5</v>
      </c>
      <c r="R76" s="210">
        <f t="shared" si="87"/>
        <v>-5</v>
      </c>
      <c r="S76" s="210">
        <f t="shared" si="87"/>
        <v>-5</v>
      </c>
      <c r="T76" s="210">
        <f t="shared" si="87"/>
        <v>-5</v>
      </c>
      <c r="U76" s="210">
        <f t="shared" si="87"/>
        <v>-5</v>
      </c>
      <c r="V76" s="210">
        <f t="shared" si="87"/>
        <v>-5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8">IF(ISERROR(-G76/G$60),"n.a.",-G76/G$60)</f>
        <v>0</v>
      </c>
      <c r="H77" s="209">
        <f t="shared" si="88"/>
        <v>0</v>
      </c>
      <c r="I77" s="209">
        <f t="shared" si="88"/>
        <v>0</v>
      </c>
      <c r="J77" s="209">
        <f t="shared" si="88"/>
        <v>1.3214694740551493E-3</v>
      </c>
      <c r="K77" s="209">
        <f t="shared" si="88"/>
        <v>-6.4992095555945904E-4</v>
      </c>
      <c r="L77" s="209">
        <f t="shared" si="88"/>
        <v>0</v>
      </c>
      <c r="M77" s="209">
        <f t="shared" si="88"/>
        <v>0</v>
      </c>
      <c r="N77" s="209">
        <f t="shared" si="88"/>
        <v>3.6932057370415751E-3</v>
      </c>
      <c r="O77" s="209">
        <f t="shared" si="88"/>
        <v>3.4554835728332453E-3</v>
      </c>
      <c r="P77" s="209">
        <f t="shared" si="88"/>
        <v>3.4659153551726838E-3</v>
      </c>
      <c r="Q77" s="209">
        <f t="shared" si="88"/>
        <v>3.3979562305614551E-3</v>
      </c>
      <c r="R77" s="209">
        <f t="shared" ca="1" si="88"/>
        <v>3.3378744897460265E-3</v>
      </c>
      <c r="S77" s="209">
        <f t="shared" ca="1" si="88"/>
        <v>3.2853095371516007E-3</v>
      </c>
      <c r="T77" s="209">
        <f t="shared" ca="1" si="88"/>
        <v>3.2399502338773178E-3</v>
      </c>
      <c r="U77" s="209">
        <f t="shared" ca="1" si="88"/>
        <v>3.2015318516574287E-3</v>
      </c>
      <c r="V77" s="209">
        <f t="shared" ca="1" si="88"/>
        <v>3.1698335164925037E-3</v>
      </c>
    </row>
    <row r="78" spans="3:22">
      <c r="C78" s="308" t="s">
        <v>131</v>
      </c>
      <c r="D78" s="199"/>
      <c r="E78" s="201"/>
      <c r="F78" s="210">
        <f t="shared" ref="F78:V78" si="89">+F53</f>
        <v>0</v>
      </c>
      <c r="G78" s="210">
        <f t="shared" si="89"/>
        <v>0</v>
      </c>
      <c r="H78" s="210">
        <f t="shared" si="89"/>
        <v>0</v>
      </c>
      <c r="I78" s="210">
        <f t="shared" si="89"/>
        <v>0</v>
      </c>
      <c r="J78" s="210">
        <f t="shared" si="89"/>
        <v>0</v>
      </c>
      <c r="K78" s="210">
        <f t="shared" si="89"/>
        <v>0</v>
      </c>
      <c r="L78" s="210">
        <f t="shared" si="89"/>
        <v>0</v>
      </c>
      <c r="M78" s="210">
        <f t="shared" si="89"/>
        <v>-18.004468664734777</v>
      </c>
      <c r="N78" s="210">
        <f t="shared" si="89"/>
        <v>-6.7527180429793674</v>
      </c>
      <c r="O78" s="210">
        <f t="shared" si="89"/>
        <v>25.138454026318882</v>
      </c>
      <c r="P78" s="210">
        <f t="shared" si="89"/>
        <v>-4.8650405710493061</v>
      </c>
      <c r="Q78" s="210">
        <f t="shared" si="89"/>
        <v>0</v>
      </c>
      <c r="R78" s="210">
        <f t="shared" si="89"/>
        <v>0</v>
      </c>
      <c r="S78" s="210">
        <f t="shared" si="89"/>
        <v>0</v>
      </c>
      <c r="T78" s="210">
        <f t="shared" si="89"/>
        <v>0</v>
      </c>
      <c r="U78" s="210">
        <f t="shared" si="89"/>
        <v>0</v>
      </c>
      <c r="V78" s="210">
        <f t="shared" si="89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90">IF(ISERROR(-G78/G$60),"n.a.",-G78/G$60)</f>
        <v>0</v>
      </c>
      <c r="H79" s="318">
        <f t="shared" si="90"/>
        <v>0</v>
      </c>
      <c r="I79" s="318">
        <f t="shared" si="90"/>
        <v>0</v>
      </c>
      <c r="J79" s="318">
        <f t="shared" si="90"/>
        <v>0</v>
      </c>
      <c r="K79" s="318">
        <f t="shared" si="90"/>
        <v>0</v>
      </c>
      <c r="L79" s="318">
        <f t="shared" si="90"/>
        <v>0</v>
      </c>
      <c r="M79" s="318">
        <f t="shared" si="90"/>
        <v>1.433898688297465E-2</v>
      </c>
      <c r="N79" s="318">
        <f t="shared" si="90"/>
        <v>4.9878354033911108E-3</v>
      </c>
      <c r="O79" s="318">
        <f t="shared" si="90"/>
        <v>-1.737310298687373E-2</v>
      </c>
      <c r="P79" s="318">
        <f t="shared" si="90"/>
        <v>3.3723637637475745E-3</v>
      </c>
      <c r="Q79" s="318">
        <f t="shared" si="90"/>
        <v>0</v>
      </c>
      <c r="R79" s="318">
        <f t="shared" ca="1" si="90"/>
        <v>0</v>
      </c>
      <c r="S79" s="318">
        <f t="shared" ca="1" si="90"/>
        <v>0</v>
      </c>
      <c r="T79" s="318">
        <f t="shared" ca="1" si="90"/>
        <v>0</v>
      </c>
      <c r="U79" s="318">
        <f t="shared" ca="1" si="90"/>
        <v>0</v>
      </c>
      <c r="V79" s="318">
        <f t="shared" ca="1" si="90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topLeftCell="A31" zoomScale="130" zoomScaleNormal="130" zoomScaleSheetLayoutView="100" workbookViewId="0">
      <selection activeCell="F59" sqref="F59"/>
    </sheetView>
  </sheetViews>
  <sheetFormatPr defaultColWidth="9.140625" defaultRowHeight="12.75"/>
  <cols>
    <col min="1" max="1" width="3" customWidth="1"/>
    <col min="2" max="3" width="0.42578125" customWidth="1"/>
    <col min="4" max="4" width="11.28515625" customWidth="1"/>
    <col min="5" max="20" width="14.28515625" customWidth="1"/>
    <col min="21" max="21" width="2.85546875" customWidth="1"/>
  </cols>
  <sheetData>
    <row r="2" spans="4:21" s="7" customFormat="1" ht="12" customHeight="1">
      <c r="D2" s="34"/>
    </row>
    <row r="3" spans="4:21" ht="20.25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29">
        <v>5.0000000000000001E-3</v>
      </c>
      <c r="H9" s="331" t="s">
        <v>157</v>
      </c>
      <c r="I9" s="331"/>
      <c r="J9" s="331"/>
      <c r="K9" s="331"/>
      <c r="S9" s="304"/>
      <c r="T9" s="304"/>
    </row>
    <row r="10" spans="4:21" ht="12.75" customHeight="1">
      <c r="D10" t="s">
        <v>33</v>
      </c>
      <c r="F10" s="330">
        <v>8.5</v>
      </c>
      <c r="S10" s="304"/>
      <c r="T10" s="304"/>
    </row>
    <row r="11" spans="4:21" ht="12.75" customHeight="1">
      <c r="D11" t="s">
        <v>34</v>
      </c>
      <c r="F11" s="329">
        <v>8.5000000000000006E-2</v>
      </c>
    </row>
    <row r="12" spans="4:21" ht="12.75" customHeight="1">
      <c r="F12" s="52"/>
    </row>
    <row r="13" spans="4:21" ht="12.75" customHeight="1">
      <c r="H13" s="331" t="s">
        <v>158</v>
      </c>
      <c r="I13" s="331"/>
      <c r="J13" s="331"/>
      <c r="K13" s="331"/>
      <c r="L13" s="343" t="s">
        <v>164</v>
      </c>
      <c r="M13" s="343"/>
      <c r="N13" s="343"/>
      <c r="O13" s="343"/>
      <c r="P13" s="343"/>
      <c r="Q13" s="349" t="s">
        <v>168</v>
      </c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2">
        <f>' Financials'!I11</f>
        <v>1095</v>
      </c>
      <c r="G24" s="332">
        <f>' Financials'!J11</f>
        <v>1135.0999999999999</v>
      </c>
      <c r="H24" s="332">
        <f>' Financials'!K11</f>
        <v>1138.5999999999999</v>
      </c>
      <c r="I24" s="332">
        <f>' Financials'!L11</f>
        <v>1149.2312142121568</v>
      </c>
      <c r="J24" s="332">
        <f>' Financials'!M11</f>
        <v>1255.6304578332745</v>
      </c>
      <c r="K24" s="332">
        <f>' Financials'!N11</f>
        <v>1353.8373857301615</v>
      </c>
      <c r="L24" s="332">
        <f>' Financials'!O11</f>
        <v>1446.9754795854415</v>
      </c>
      <c r="M24" s="332">
        <f>' Financials'!P11</f>
        <v>1442.6203434361953</v>
      </c>
      <c r="N24" s="332">
        <f>' Financials'!Q11</f>
        <v>1471.4727503049191</v>
      </c>
      <c r="O24" s="332">
        <f ca="1">' Financials'!R11</f>
        <v>1497.9592598104077</v>
      </c>
      <c r="P24" s="332">
        <f ca="1">' Financials'!S11</f>
        <v>1521.9266079673744</v>
      </c>
      <c r="Q24" s="332">
        <f ca="1">' Financials'!T11</f>
        <v>1543.2335804789177</v>
      </c>
      <c r="R24" s="332">
        <f ca="1">' Financials'!U11</f>
        <v>1561.7523834446647</v>
      </c>
      <c r="S24" s="332">
        <f ca="1">' Financials'!V11</f>
        <v>1577.3699072791114</v>
      </c>
      <c r="T24" s="129"/>
    </row>
    <row r="25" spans="3:21">
      <c r="C25" s="53"/>
      <c r="D25" s="53" t="s">
        <v>0</v>
      </c>
      <c r="E25" s="53"/>
      <c r="F25" s="341" t="str">
        <f>IFERROR(F24/E24-1,"NA")</f>
        <v>NA</v>
      </c>
      <c r="G25" s="341">
        <f>IFERROR(G24/F24-1,"NA")</f>
        <v>3.6621004566209869E-2</v>
      </c>
      <c r="H25" s="341">
        <f t="shared" ref="H25:S25" si="4">IFERROR(H24/G24-1,"NA")</f>
        <v>3.0834287727954379E-3</v>
      </c>
      <c r="I25" s="341">
        <f t="shared" si="4"/>
        <v>9.3370931074625574E-3</v>
      </c>
      <c r="J25" s="341">
        <f t="shared" si="4"/>
        <v>9.2582973996280238E-2</v>
      </c>
      <c r="K25" s="341">
        <f t="shared" si="4"/>
        <v>7.8213241232100827E-2</v>
      </c>
      <c r="L25" s="341">
        <f t="shared" si="4"/>
        <v>6.879562851268739E-2</v>
      </c>
      <c r="M25" s="341">
        <f t="shared" si="4"/>
        <v>-3.0098202842344657E-3</v>
      </c>
      <c r="N25" s="341">
        <f t="shared" si="4"/>
        <v>2.0000000000000018E-2</v>
      </c>
      <c r="O25" s="341">
        <f t="shared" ca="1" si="4"/>
        <v>1.8000000000000016E-2</v>
      </c>
      <c r="P25" s="341">
        <f t="shared" ca="1" si="4"/>
        <v>1.6000000000000014E-2</v>
      </c>
      <c r="Q25" s="341">
        <f t="shared" ca="1" si="4"/>
        <v>1.4000000000000012E-2</v>
      </c>
      <c r="R25" s="341">
        <f t="shared" ca="1" si="4"/>
        <v>1.2000000000000011E-2</v>
      </c>
      <c r="S25" s="341">
        <f t="shared" ca="1" si="4"/>
        <v>1.0000000000000009E-2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32">
        <f>' Financials'!I15</f>
        <v>108.7</v>
      </c>
      <c r="G27" s="332">
        <f>' Financials'!J15</f>
        <v>109.5</v>
      </c>
      <c r="H27" s="332">
        <f>' Financials'!K15</f>
        <v>98.2</v>
      </c>
      <c r="I27" s="332">
        <f>' Financials'!L15</f>
        <v>94.147209662938664</v>
      </c>
      <c r="J27" s="332">
        <f>' Financials'!M15</f>
        <v>92.625305088518957</v>
      </c>
      <c r="K27" s="332">
        <f>' Financials'!N15</f>
        <v>111.79673623719195</v>
      </c>
      <c r="L27" s="332">
        <f>' Financials'!O15</f>
        <v>124.39494101920255</v>
      </c>
      <c r="M27" s="332">
        <f>' Financials'!P15</f>
        <v>127.56812935492377</v>
      </c>
      <c r="N27" s="332">
        <f ca="1">' Financials'!Q15</f>
        <v>130.50500120625895</v>
      </c>
      <c r="O27" s="332">
        <f ca="1">' Financials'!R15</f>
        <v>133.24653965896459</v>
      </c>
      <c r="P27" s="332">
        <f ca="1">' Financials'!S15</f>
        <v>135.77721189939695</v>
      </c>
      <c r="Q27" s="332">
        <f ca="1">' Financials'!T15</f>
        <v>138.08240265835985</v>
      </c>
      <c r="R27" s="332">
        <f ca="1">' Financials'!U15</f>
        <v>140.14855300014</v>
      </c>
      <c r="S27" s="332">
        <f ca="1">' Financials'!V15</f>
        <v>141.96329165512003</v>
      </c>
      <c r="T27" s="129"/>
    </row>
    <row r="28" spans="3:21">
      <c r="C28" s="53"/>
      <c r="D28" s="53" t="s">
        <v>1</v>
      </c>
      <c r="E28" s="53"/>
      <c r="F28" s="342">
        <f>IFERROR(F27/F24,"NA")</f>
        <v>9.9269406392694062E-2</v>
      </c>
      <c r="G28" s="342">
        <f t="shared" ref="G28:S28" si="5">IFERROR(G27/G24,"NA")</f>
        <v>9.6467271606025903E-2</v>
      </c>
      <c r="H28" s="342">
        <f t="shared" si="5"/>
        <v>8.6246267345863353E-2</v>
      </c>
      <c r="I28" s="342">
        <f t="shared" si="5"/>
        <v>8.1921904398916168E-2</v>
      </c>
      <c r="J28" s="342">
        <f t="shared" si="5"/>
        <v>7.3767966132610302E-2</v>
      </c>
      <c r="K28" s="342">
        <f t="shared" si="5"/>
        <v>8.2577669530744205E-2</v>
      </c>
      <c r="L28" s="342">
        <f t="shared" si="5"/>
        <v>8.5968935047082973E-2</v>
      </c>
      <c r="M28" s="342">
        <f t="shared" si="5"/>
        <v>8.8428067672377098E-2</v>
      </c>
      <c r="N28" s="342">
        <f t="shared" ca="1" si="5"/>
        <v>8.8690056393647562E-2</v>
      </c>
      <c r="O28" s="342">
        <f t="shared" ca="1" si="5"/>
        <v>8.8952045114918027E-2</v>
      </c>
      <c r="P28" s="342">
        <f t="shared" ca="1" si="5"/>
        <v>8.9214033836188505E-2</v>
      </c>
      <c r="Q28" s="342">
        <f t="shared" ca="1" si="5"/>
        <v>8.9476022557458998E-2</v>
      </c>
      <c r="R28" s="342">
        <f t="shared" ca="1" si="5"/>
        <v>8.9738011278729504E-2</v>
      </c>
      <c r="S28" s="342">
        <f t="shared" ca="1" si="5"/>
        <v>0.09</v>
      </c>
      <c r="T28" s="54"/>
    </row>
    <row r="29" spans="3:21">
      <c r="C29" s="53"/>
      <c r="D29" s="53" t="s">
        <v>0</v>
      </c>
      <c r="E29" s="53"/>
      <c r="F29" s="342">
        <v>0</v>
      </c>
      <c r="G29" s="342">
        <f>IFERROR(G27/F27-1,"NA")</f>
        <v>7.3597056117755688E-3</v>
      </c>
      <c r="H29" s="342">
        <f t="shared" ref="H29:S29" si="6">IFERROR(H27/G27-1,"NA")</f>
        <v>-0.10319634703196345</v>
      </c>
      <c r="I29" s="342">
        <f t="shared" si="6"/>
        <v>-4.1270777363150102E-2</v>
      </c>
      <c r="J29" s="342">
        <f t="shared" si="6"/>
        <v>-1.6165158583757888E-2</v>
      </c>
      <c r="K29" s="342">
        <f t="shared" si="6"/>
        <v>0.20697833200496873</v>
      </c>
      <c r="L29" s="342">
        <f t="shared" si="6"/>
        <v>0.1126884845303695</v>
      </c>
      <c r="M29" s="342">
        <f t="shared" si="6"/>
        <v>2.5508982195918906E-2</v>
      </c>
      <c r="N29" s="342">
        <f t="shared" ca="1" si="6"/>
        <v>2.302198727994309E-2</v>
      </c>
      <c r="O29" s="342">
        <f t="shared" ca="1" si="6"/>
        <v>2.1007152426079978E-2</v>
      </c>
      <c r="P29" s="342">
        <f t="shared" ca="1" si="6"/>
        <v>1.8992404957828057E-2</v>
      </c>
      <c r="Q29" s="342">
        <f t="shared" ca="1" si="6"/>
        <v>1.6977744105328485E-2</v>
      </c>
      <c r="R29" s="342">
        <f t="shared" ca="1" si="6"/>
        <v>1.4963169107740315E-2</v>
      </c>
      <c r="S29" s="342">
        <f t="shared" ca="1" si="6"/>
        <v>1.2948679213107717E-2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2">
        <f>' Financials'!I20</f>
        <v>-31.600000000000009</v>
      </c>
      <c r="G31" s="332">
        <f>' Financials'!J20</f>
        <v>-34.900000000000006</v>
      </c>
      <c r="H31" s="332">
        <f>' Financials'!K20</f>
        <v>-36</v>
      </c>
      <c r="I31" s="332">
        <f>' Financials'!L20</f>
        <v>-36.129215400000028</v>
      </c>
      <c r="J31" s="332">
        <f>' Financials'!M20</f>
        <v>-40.455293523349013</v>
      </c>
      <c r="K31" s="332">
        <f>' Financials'!N20</f>
        <v>-47.195257615808735</v>
      </c>
      <c r="L31" s="332">
        <f>' Financials'!O20</f>
        <v>-51.829543587564167</v>
      </c>
      <c r="M31" s="332">
        <f>' Financials'!P20</f>
        <v>-54.799912142159194</v>
      </c>
      <c r="N31" s="332">
        <f ca="1">' Financials'!Q20</f>
        <v>-53.583260118465994</v>
      </c>
      <c r="O31" s="332">
        <f ca="1">' Financials'!R20</f>
        <v>-52.366608094772801</v>
      </c>
      <c r="P31" s="332">
        <f ca="1">' Financials'!S20</f>
        <v>-51.149956071079608</v>
      </c>
      <c r="Q31" s="332">
        <f ca="1">' Financials'!T20</f>
        <v>-49.933304047386407</v>
      </c>
      <c r="R31" s="332">
        <f ca="1">' Financials'!U20</f>
        <v>-48.7166520236932</v>
      </c>
      <c r="S31" s="332">
        <f>' Financials'!V20</f>
        <v>-47.5</v>
      </c>
      <c r="T31" s="129"/>
    </row>
    <row r="32" spans="3:21">
      <c r="C32" s="53"/>
      <c r="D32" s="53" t="s">
        <v>24</v>
      </c>
      <c r="E32" s="53"/>
      <c r="F32" s="342">
        <f>-IFERROR(F31/F24,"NA")</f>
        <v>2.8858447488584484E-2</v>
      </c>
      <c r="G32" s="342">
        <f t="shared" ref="G32:S32" si="7">-IFERROR(G31/G24,"NA")</f>
        <v>3.0746189763016483E-2</v>
      </c>
      <c r="H32" s="342">
        <f t="shared" si="7"/>
        <v>3.1617776216406115E-2</v>
      </c>
      <c r="I32" s="342">
        <f t="shared" si="7"/>
        <v>3.1437725457855774E-2</v>
      </c>
      <c r="J32" s="342">
        <f t="shared" si="7"/>
        <v>3.2219108154766314E-2</v>
      </c>
      <c r="K32" s="342">
        <f t="shared" si="7"/>
        <v>3.4860359237571983E-2</v>
      </c>
      <c r="L32" s="342">
        <f t="shared" si="7"/>
        <v>3.581922729085453E-2</v>
      </c>
      <c r="M32" s="342">
        <f t="shared" si="7"/>
        <v>3.7986371391124714E-2</v>
      </c>
      <c r="N32" s="342">
        <f t="shared" ca="1" si="7"/>
        <v>3.641471451466733E-2</v>
      </c>
      <c r="O32" s="342">
        <f t="shared" ca="1" si="7"/>
        <v>3.4958633054813976E-2</v>
      </c>
      <c r="P32" s="342">
        <f t="shared" ca="1" si="7"/>
        <v>3.3608687701040647E-2</v>
      </c>
      <c r="Q32" s="342">
        <f t="shared" ca="1" si="7"/>
        <v>3.2356284025319364E-2</v>
      </c>
      <c r="R32" s="342">
        <f t="shared" ca="1" si="7"/>
        <v>3.1193582631993021E-2</v>
      </c>
      <c r="S32" s="342">
        <f t="shared" ca="1" si="7"/>
        <v>3.0113418406678784E-2</v>
      </c>
      <c r="T32" s="54"/>
    </row>
    <row r="33" spans="3:20">
      <c r="C33" s="53"/>
      <c r="D33" s="53" t="s">
        <v>37</v>
      </c>
      <c r="E33" s="53"/>
      <c r="F33" s="339">
        <f>'DCF input'!I39</f>
        <v>-11.023418909958341</v>
      </c>
      <c r="G33" s="339">
        <f t="shared" ref="G33:S33" si="8">IFERROR(G31/G48,"NA")</f>
        <v>0.93565683646112618</v>
      </c>
      <c r="H33" s="339">
        <f t="shared" si="8"/>
        <v>1.1612903225806452</v>
      </c>
      <c r="I33" s="339">
        <f t="shared" si="8"/>
        <v>1.0035893166666674</v>
      </c>
      <c r="J33" s="339">
        <f t="shared" si="8"/>
        <v>0.79324104947743168</v>
      </c>
      <c r="K33" s="339">
        <f t="shared" si="8"/>
        <v>0.94390515231617467</v>
      </c>
      <c r="L33" s="339">
        <f t="shared" si="8"/>
        <v>1.0365908717512833</v>
      </c>
      <c r="M33" s="339">
        <f t="shared" si="8"/>
        <v>1.0959982428431838</v>
      </c>
      <c r="N33" s="339">
        <f t="shared" ca="1" si="8"/>
        <v>1.0716652023693198</v>
      </c>
      <c r="O33" s="339">
        <f t="shared" ca="1" si="8"/>
        <v>1.0473321618954561</v>
      </c>
      <c r="P33" s="339">
        <f t="shared" ca="1" si="8"/>
        <v>1.0229991214215921</v>
      </c>
      <c r="Q33" s="339">
        <f t="shared" ca="1" si="8"/>
        <v>0.99866608094772813</v>
      </c>
      <c r="R33" s="339">
        <f t="shared" ca="1" si="8"/>
        <v>0.97433304047386404</v>
      </c>
      <c r="S33" s="339">
        <f t="shared" si="8"/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9">G27+G31</f>
        <v>74.599999999999994</v>
      </c>
      <c r="H35" s="245">
        <f t="shared" si="9"/>
        <v>62.2</v>
      </c>
      <c r="I35" s="40">
        <f t="shared" ref="I35:R35" si="10">I27+I31</f>
        <v>58.017994262938636</v>
      </c>
      <c r="J35" s="40">
        <f t="shared" si="10"/>
        <v>52.170011565169943</v>
      </c>
      <c r="K35" s="40">
        <f t="shared" si="10"/>
        <v>64.601478621383222</v>
      </c>
      <c r="L35" s="40">
        <f t="shared" si="10"/>
        <v>72.565397431638388</v>
      </c>
      <c r="M35" s="40">
        <f t="shared" si="10"/>
        <v>72.768217212764569</v>
      </c>
      <c r="N35" s="40">
        <f t="shared" ca="1" si="10"/>
        <v>76.921741087792952</v>
      </c>
      <c r="O35" s="40">
        <f t="shared" ca="1" si="10"/>
        <v>80.879931564191793</v>
      </c>
      <c r="P35" s="40">
        <f t="shared" ca="1" si="10"/>
        <v>84.627255828317345</v>
      </c>
      <c r="Q35" s="40">
        <f t="shared" ca="1" si="10"/>
        <v>88.149098610973454</v>
      </c>
      <c r="R35" s="40">
        <f t="shared" ca="1" si="10"/>
        <v>91.431900976446798</v>
      </c>
      <c r="S35" s="40">
        <f t="shared" ref="S35" ca="1" si="11">S27+S31</f>
        <v>94.463291655120031</v>
      </c>
      <c r="T35" s="40"/>
    </row>
    <row r="36" spans="3:20">
      <c r="C36" s="53"/>
      <c r="D36" s="53" t="s">
        <v>1</v>
      </c>
      <c r="E36" s="53"/>
      <c r="F36" s="342">
        <f>IFERROR(F35/F24,"NA")</f>
        <v>7.0410958904109588E-2</v>
      </c>
      <c r="G36" s="342">
        <f t="shared" ref="G36:S36" si="12">IFERROR(G35/G24,"NA")</f>
        <v>6.5721081843009427E-2</v>
      </c>
      <c r="H36" s="342">
        <f t="shared" si="12"/>
        <v>5.4628491129457238E-2</v>
      </c>
      <c r="I36" s="342">
        <f t="shared" si="12"/>
        <v>5.0484178941060394E-2</v>
      </c>
      <c r="J36" s="342">
        <f t="shared" si="12"/>
        <v>4.1548857977843988E-2</v>
      </c>
      <c r="K36" s="342">
        <f t="shared" si="12"/>
        <v>4.7717310293172235E-2</v>
      </c>
      <c r="L36" s="342">
        <f t="shared" si="12"/>
        <v>5.0149707756228443E-2</v>
      </c>
      <c r="M36" s="342">
        <f t="shared" si="12"/>
        <v>5.0441696281252384E-2</v>
      </c>
      <c r="N36" s="342">
        <f t="shared" ca="1" si="12"/>
        <v>5.2275341878980225E-2</v>
      </c>
      <c r="O36" s="342">
        <f t="shared" ca="1" si="12"/>
        <v>5.3993412060104044E-2</v>
      </c>
      <c r="P36" s="342">
        <f t="shared" ca="1" si="12"/>
        <v>5.5605346135147865E-2</v>
      </c>
      <c r="Q36" s="342">
        <f t="shared" ca="1" si="12"/>
        <v>5.7119738532139641E-2</v>
      </c>
      <c r="R36" s="342">
        <f t="shared" ca="1" si="12"/>
        <v>5.8544428646736479E-2</v>
      </c>
      <c r="S36" s="342">
        <f t="shared" ca="1" si="12"/>
        <v>5.988658159332122E-2</v>
      </c>
      <c r="T36" s="54"/>
    </row>
    <row r="37" spans="3:20">
      <c r="C37" s="53"/>
      <c r="D37" s="53" t="s">
        <v>0</v>
      </c>
      <c r="E37" s="53"/>
      <c r="F37" s="340" t="str">
        <f>IFERROR(F35/E35,"na")</f>
        <v>na</v>
      </c>
      <c r="G37" s="341">
        <f>IFERROR(G35/F35-1,"NA")</f>
        <v>-3.2425421530479892E-2</v>
      </c>
      <c r="H37" s="341">
        <f t="shared" ref="H37:S37" si="13">IFERROR(H35/G35-1,"NA")</f>
        <v>-0.16621983914209104</v>
      </c>
      <c r="I37" s="341">
        <f t="shared" si="13"/>
        <v>-6.723481892381622E-2</v>
      </c>
      <c r="J37" s="341">
        <f t="shared" si="13"/>
        <v>-0.10079601634047408</v>
      </c>
      <c r="K37" s="341">
        <f t="shared" si="13"/>
        <v>0.23828760399418525</v>
      </c>
      <c r="L37" s="341">
        <f t="shared" si="13"/>
        <v>0.12327765525198209</v>
      </c>
      <c r="M37" s="341">
        <f t="shared" si="13"/>
        <v>2.7949930449600036E-3</v>
      </c>
      <c r="N37" s="341">
        <f t="shared" ca="1" si="13"/>
        <v>5.7078818667276598E-2</v>
      </c>
      <c r="O37" s="341">
        <f t="shared" ca="1" si="13"/>
        <v>5.1457369794597474E-2</v>
      </c>
      <c r="P37" s="341">
        <f t="shared" ca="1" si="13"/>
        <v>4.6331941578751534E-2</v>
      </c>
      <c r="Q37" s="341">
        <f t="shared" ca="1" si="13"/>
        <v>4.1615939784232614E-2</v>
      </c>
      <c r="R37" s="341">
        <f t="shared" ca="1" si="13"/>
        <v>3.7241474016215026E-2</v>
      </c>
      <c r="S37" s="341">
        <f t="shared" ca="1" si="13"/>
        <v>3.3154628158219346E-2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344">
        <f>-IFERROR(I35*I40,"NA")</f>
        <v>-11.023418909958341</v>
      </c>
      <c r="J39" s="344">
        <f t="shared" ref="J39:S39" si="14">-IFERROR(J35*J40,"NA")</f>
        <v>-8.8689019660788908</v>
      </c>
      <c r="K39" s="344">
        <f t="shared" si="14"/>
        <v>-10.982251365635149</v>
      </c>
      <c r="L39" s="344">
        <f t="shared" si="14"/>
        <v>-12.336117563378528</v>
      </c>
      <c r="M39" s="344">
        <f t="shared" si="14"/>
        <v>-12.370596926169977</v>
      </c>
      <c r="N39" s="344">
        <f t="shared" ca="1" si="14"/>
        <v>-13.076695984924802</v>
      </c>
      <c r="O39" s="344">
        <f t="shared" ca="1" si="14"/>
        <v>-13.749588365912606</v>
      </c>
      <c r="P39" s="344">
        <f t="shared" ca="1" si="14"/>
        <v>-14.386633490813949</v>
      </c>
      <c r="Q39" s="344">
        <f t="shared" ca="1" si="14"/>
        <v>-14.985346763865488</v>
      </c>
      <c r="R39" s="344">
        <f t="shared" ca="1" si="14"/>
        <v>-15.543423165995957</v>
      </c>
      <c r="S39" s="344">
        <f t="shared" ca="1" si="14"/>
        <v>-16.058759581370406</v>
      </c>
      <c r="T39" s="344" t="s">
        <v>165</v>
      </c>
    </row>
    <row r="40" spans="3:20">
      <c r="C40" s="53"/>
      <c r="D40" s="53" t="s">
        <v>6</v>
      </c>
      <c r="E40" s="53"/>
      <c r="F40" s="113"/>
      <c r="G40" s="113"/>
      <c r="H40" s="247"/>
      <c r="I40" s="333">
        <f>' Financials'!L29</f>
        <v>0.19</v>
      </c>
      <c r="J40" s="333">
        <f>' Financials'!M29</f>
        <v>0.17</v>
      </c>
      <c r="K40" s="333">
        <f>' Financials'!N29</f>
        <v>0.17</v>
      </c>
      <c r="L40" s="333">
        <f>' Financials'!O29</f>
        <v>0.17</v>
      </c>
      <c r="M40" s="333">
        <f>' Financials'!P29</f>
        <v>0.17</v>
      </c>
      <c r="N40" s="333">
        <f>' Financials'!Q29</f>
        <v>0.17</v>
      </c>
      <c r="O40" s="333">
        <f>' Financials'!R29</f>
        <v>0.17</v>
      </c>
      <c r="P40" s="333">
        <f>' Financials'!S29</f>
        <v>0.17</v>
      </c>
      <c r="Q40" s="333">
        <f>' Financials'!T29</f>
        <v>0.17</v>
      </c>
      <c r="R40" s="333">
        <f>' Financials'!U29</f>
        <v>0.17</v>
      </c>
      <c r="S40" s="333">
        <f>' Financials'!V29</f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6"/>
      <c r="I42" s="344">
        <f>IFERROR(I39+I35,"NA")</f>
        <v>46.994575352980291</v>
      </c>
      <c r="J42" s="344">
        <f t="shared" ref="J42:S42" si="15">IFERROR(J39+J35,"NA")</f>
        <v>43.301109599091049</v>
      </c>
      <c r="K42" s="344">
        <f t="shared" si="15"/>
        <v>53.619227255748072</v>
      </c>
      <c r="L42" s="344">
        <f t="shared" si="15"/>
        <v>60.229279868259859</v>
      </c>
      <c r="M42" s="344">
        <f t="shared" si="15"/>
        <v>60.397620286594588</v>
      </c>
      <c r="N42" s="344">
        <f t="shared" ca="1" si="15"/>
        <v>63.845045102868148</v>
      </c>
      <c r="O42" s="344">
        <f t="shared" ca="1" si="15"/>
        <v>67.130343198279192</v>
      </c>
      <c r="P42" s="344">
        <f t="shared" ca="1" si="15"/>
        <v>70.240622337503396</v>
      </c>
      <c r="Q42" s="344">
        <f t="shared" ca="1" si="15"/>
        <v>73.16375184710796</v>
      </c>
      <c r="R42" s="344">
        <f t="shared" ca="1" si="15"/>
        <v>75.888477810450837</v>
      </c>
      <c r="S42" s="344">
        <f t="shared" ca="1" si="15"/>
        <v>78.404532073749621</v>
      </c>
      <c r="T42" s="344" t="s">
        <v>166</v>
      </c>
    </row>
    <row r="43" spans="3:20">
      <c r="C43" s="53"/>
      <c r="D43" s="53" t="s">
        <v>1</v>
      </c>
      <c r="E43" s="53"/>
      <c r="F43" s="54"/>
      <c r="G43" s="54"/>
      <c r="H43" s="73"/>
      <c r="I43" s="342">
        <f>IFERROR(I42/I24,"NA")</f>
        <v>4.0892184942258915E-2</v>
      </c>
      <c r="J43" s="342">
        <f t="shared" ref="J43:S43" si="16">IFERROR(J42/J24,"NA")</f>
        <v>3.4485552121610502E-2</v>
      </c>
      <c r="K43" s="342">
        <f t="shared" si="16"/>
        <v>3.9605367543332951E-2</v>
      </c>
      <c r="L43" s="342">
        <f t="shared" si="16"/>
        <v>4.1624257437669607E-2</v>
      </c>
      <c r="M43" s="342">
        <f t="shared" si="16"/>
        <v>4.1866607913439477E-2</v>
      </c>
      <c r="N43" s="342">
        <f t="shared" ca="1" si="16"/>
        <v>4.3388533759553587E-2</v>
      </c>
      <c r="O43" s="342">
        <f t="shared" ca="1" si="16"/>
        <v>4.481453200988636E-2</v>
      </c>
      <c r="P43" s="342">
        <f t="shared" ca="1" si="16"/>
        <v>4.6152437292172728E-2</v>
      </c>
      <c r="Q43" s="342">
        <f t="shared" ca="1" si="16"/>
        <v>4.7409382981675893E-2</v>
      </c>
      <c r="R43" s="342">
        <f t="shared" ca="1" si="16"/>
        <v>4.859187577679127E-2</v>
      </c>
      <c r="S43" s="342">
        <f t="shared" ca="1" si="16"/>
        <v>4.9705862722456605E-2</v>
      </c>
      <c r="T43" s="54"/>
    </row>
    <row r="44" spans="3:20">
      <c r="C44" s="53"/>
      <c r="D44" s="53" t="s">
        <v>0</v>
      </c>
      <c r="E44" s="53"/>
      <c r="F44" s="53"/>
      <c r="G44" s="253"/>
      <c r="H44" s="254"/>
      <c r="I44" s="350">
        <v>0</v>
      </c>
      <c r="J44" s="342">
        <f>IFERROR(J42/I42-1,"NA")</f>
        <v>-7.8593448842708025E-2</v>
      </c>
      <c r="K44" s="342">
        <f t="shared" ref="K44:S44" si="17">IFERROR(K42/J42-1,"NA")</f>
        <v>0.23828760399418525</v>
      </c>
      <c r="L44" s="342">
        <f t="shared" si="17"/>
        <v>0.12327765525198209</v>
      </c>
      <c r="M44" s="342">
        <f t="shared" si="17"/>
        <v>2.7949930449600036E-3</v>
      </c>
      <c r="N44" s="342">
        <f t="shared" ca="1" si="17"/>
        <v>5.7078818667276598E-2</v>
      </c>
      <c r="O44" s="342">
        <f t="shared" ca="1" si="17"/>
        <v>5.1457369794597474E-2</v>
      </c>
      <c r="P44" s="342">
        <f t="shared" ca="1" si="17"/>
        <v>4.6331941578751312E-2</v>
      </c>
      <c r="Q44" s="342">
        <f t="shared" ca="1" si="17"/>
        <v>4.1615939784232614E-2</v>
      </c>
      <c r="R44" s="342">
        <f t="shared" ca="1" si="17"/>
        <v>3.7241474016215026E-2</v>
      </c>
      <c r="S44" s="342">
        <f t="shared" ca="1" si="17"/>
        <v>3.3154628158219346E-2</v>
      </c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" si="18">-I31</f>
        <v>36.129215400000028</v>
      </c>
      <c r="J46" s="344">
        <f>-' Financials'!M20</f>
        <v>40.455293523349013</v>
      </c>
      <c r="K46" s="344">
        <f>-' Financials'!N20</f>
        <v>47.195257615808735</v>
      </c>
      <c r="L46" s="344">
        <f>-' Financials'!O20</f>
        <v>51.829543587564167</v>
      </c>
      <c r="M46" s="344">
        <f>-' Financials'!P20</f>
        <v>54.799912142159194</v>
      </c>
      <c r="N46" s="344">
        <f ca="1">-' Financials'!Q20</f>
        <v>53.583260118465994</v>
      </c>
      <c r="O46" s="344">
        <f ca="1">-' Financials'!R20</f>
        <v>52.366608094772801</v>
      </c>
      <c r="P46" s="344">
        <f ca="1">-' Financials'!S20</f>
        <v>51.149956071079608</v>
      </c>
      <c r="Q46" s="344">
        <f ca="1">-' Financials'!T20</f>
        <v>49.933304047386407</v>
      </c>
      <c r="R46" s="344">
        <f ca="1">-' Financials'!U20</f>
        <v>48.7166520236932</v>
      </c>
      <c r="S46" s="344">
        <f>-' Financials'!V20</f>
        <v>47.5</v>
      </c>
      <c r="T46" s="345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346"/>
    </row>
    <row r="48" spans="3:20" s="53" customFormat="1">
      <c r="C48"/>
      <c r="D48" t="s">
        <v>7</v>
      </c>
      <c r="E48"/>
      <c r="F48" s="332">
        <f>' Financials'!I40</f>
        <v>-36.1</v>
      </c>
      <c r="G48" s="332">
        <f>' Financials'!J40</f>
        <v>-37.299999999999997</v>
      </c>
      <c r="H48" s="332">
        <f>' Financials'!K40</f>
        <v>-31</v>
      </c>
      <c r="I48" s="332">
        <f>' Financials'!L40</f>
        <v>-36</v>
      </c>
      <c r="J48" s="332">
        <f>' Financials'!M40</f>
        <v>-51</v>
      </c>
      <c r="K48" s="332">
        <f>' Financials'!N40</f>
        <v>-50</v>
      </c>
      <c r="L48" s="332">
        <f>' Financials'!O40</f>
        <v>-50</v>
      </c>
      <c r="M48" s="332">
        <f>' Financials'!P40</f>
        <v>-50</v>
      </c>
      <c r="N48" s="332">
        <f>' Financials'!Q40</f>
        <v>-50</v>
      </c>
      <c r="O48" s="332">
        <f>' Financials'!R40</f>
        <v>-50</v>
      </c>
      <c r="P48" s="332">
        <f>' Financials'!S40</f>
        <v>-50</v>
      </c>
      <c r="Q48" s="332">
        <f>' Financials'!T40</f>
        <v>-50</v>
      </c>
      <c r="R48" s="332">
        <f>' Financials'!U40</f>
        <v>-50</v>
      </c>
      <c r="S48" s="332">
        <f>' Financials'!V40</f>
        <v>-50</v>
      </c>
      <c r="T48" s="345"/>
    </row>
    <row r="49" spans="3:20">
      <c r="C49" s="53"/>
      <c r="D49" s="53" t="s">
        <v>24</v>
      </c>
      <c r="E49" s="53"/>
      <c r="F49" s="342">
        <f>IFERROR(-F48/F24,"NA")</f>
        <v>3.2968036529680368E-2</v>
      </c>
      <c r="G49" s="342">
        <f t="shared" ref="G49:S49" si="19">IFERROR(-G48/G24,"NA")</f>
        <v>3.2860540921504713E-2</v>
      </c>
      <c r="H49" s="342">
        <f t="shared" si="19"/>
        <v>2.7226418408571932E-2</v>
      </c>
      <c r="I49" s="342">
        <f t="shared" si="19"/>
        <v>3.1325289075688233E-2</v>
      </c>
      <c r="J49" s="342">
        <f t="shared" si="19"/>
        <v>4.0617045948380379E-2</v>
      </c>
      <c r="K49" s="342">
        <f t="shared" si="19"/>
        <v>3.6932057370415751E-2</v>
      </c>
      <c r="L49" s="342">
        <f t="shared" si="19"/>
        <v>3.4554835728332456E-2</v>
      </c>
      <c r="M49" s="342">
        <f t="shared" si="19"/>
        <v>3.4659153551726836E-2</v>
      </c>
      <c r="N49" s="342">
        <f t="shared" si="19"/>
        <v>3.3979562305614552E-2</v>
      </c>
      <c r="O49" s="342">
        <f t="shared" ca="1" si="19"/>
        <v>3.3378744897460261E-2</v>
      </c>
      <c r="P49" s="342">
        <f t="shared" ca="1" si="19"/>
        <v>3.2853095371516004E-2</v>
      </c>
      <c r="Q49" s="342">
        <f t="shared" ca="1" si="19"/>
        <v>3.239950233877318E-2</v>
      </c>
      <c r="R49" s="342">
        <f t="shared" ca="1" si="19"/>
        <v>3.2015318516574284E-2</v>
      </c>
      <c r="S49" s="342">
        <f t="shared" ca="1" si="19"/>
        <v>3.1698335164925033E-2</v>
      </c>
      <c r="T49" s="347"/>
    </row>
    <row r="50" spans="3:20">
      <c r="C50" s="53"/>
      <c r="D50" s="53" t="s">
        <v>27</v>
      </c>
      <c r="E50" s="53"/>
      <c r="F50" s="342">
        <f>IFERROR(F48/F31,"NA")</f>
        <v>1.1424050632911389</v>
      </c>
      <c r="G50" s="342">
        <f t="shared" ref="G50:S50" si="20">IFERROR(G48/G31,"NA")</f>
        <v>1.0687679083094552</v>
      </c>
      <c r="H50" s="342">
        <f t="shared" si="20"/>
        <v>0.86111111111111116</v>
      </c>
      <c r="I50" s="342">
        <f t="shared" si="20"/>
        <v>0.99642352045098581</v>
      </c>
      <c r="J50" s="342">
        <f t="shared" si="20"/>
        <v>1.2606508458668098</v>
      </c>
      <c r="K50" s="342">
        <f t="shared" si="20"/>
        <v>1.0594284791710042</v>
      </c>
      <c r="L50" s="342">
        <f t="shared" si="20"/>
        <v>0.96470075827557278</v>
      </c>
      <c r="M50" s="342">
        <f t="shared" si="20"/>
        <v>0.91241022194146038</v>
      </c>
      <c r="N50" s="342">
        <f t="shared" ca="1" si="20"/>
        <v>0.93312724700692251</v>
      </c>
      <c r="O50" s="342">
        <f t="shared" ca="1" si="20"/>
        <v>0.95480692409006662</v>
      </c>
      <c r="P50" s="342">
        <f t="shared" ca="1" si="20"/>
        <v>0.97751794606662823</v>
      </c>
      <c r="Q50" s="342">
        <f t="shared" ca="1" si="20"/>
        <v>1.0013357007689758</v>
      </c>
      <c r="R50" s="342">
        <f t="shared" ca="1" si="20"/>
        <v>1.0263431069869631</v>
      </c>
      <c r="S50" s="342">
        <f t="shared" si="20"/>
        <v>1.0526315789473684</v>
      </c>
      <c r="T50" s="347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347"/>
    </row>
    <row r="52" spans="3:20">
      <c r="D52" t="s">
        <v>39</v>
      </c>
      <c r="F52" s="332">
        <f>' Financials'!I45</f>
        <v>-16.300000000000004</v>
      </c>
      <c r="G52" s="332">
        <f>' Financials'!J45</f>
        <v>-12.6</v>
      </c>
      <c r="H52" s="332">
        <f>' Financials'!K45</f>
        <v>-10.399999999999999</v>
      </c>
      <c r="I52" s="332">
        <f>' Financials'!L45</f>
        <v>6</v>
      </c>
      <c r="J52" s="332">
        <f>' Financials'!M45</f>
        <v>16.111954440903407</v>
      </c>
      <c r="K52" s="332">
        <f>' Financials'!N45</f>
        <v>15.168892666804709</v>
      </c>
      <c r="L52" s="332">
        <f>' Financials'!O45</f>
        <v>11.110216900668604</v>
      </c>
      <c r="M52" s="332">
        <f>' Financials'!P45</f>
        <v>3.9548595532390358</v>
      </c>
      <c r="N52" s="332">
        <f>' Financials'!Q45</f>
        <v>0</v>
      </c>
      <c r="O52" s="332">
        <f ca="1">' Financials'!R45</f>
        <v>0</v>
      </c>
      <c r="P52" s="332">
        <f ca="1">' Financials'!S45</f>
        <v>0</v>
      </c>
      <c r="Q52" s="332">
        <f ca="1">' Financials'!T45</f>
        <v>0</v>
      </c>
      <c r="R52" s="332">
        <f ca="1">' Financials'!U45</f>
        <v>0</v>
      </c>
      <c r="S52" s="332">
        <f ca="1">' Financials'!V45</f>
        <v>0</v>
      </c>
      <c r="T52" s="345"/>
    </row>
    <row r="53" spans="3:20">
      <c r="C53" s="53"/>
      <c r="D53" s="53" t="s">
        <v>24</v>
      </c>
      <c r="E53" s="53"/>
      <c r="F53" s="342">
        <f>IFERROR(F52/F24,"NA")</f>
        <v>-1.4885844748858451E-2</v>
      </c>
      <c r="G53" s="342">
        <f t="shared" ref="G53:S53" si="21">IFERROR(G52/G24,"NA")</f>
        <v>-1.1100343582063256E-2</v>
      </c>
      <c r="H53" s="342">
        <f t="shared" si="21"/>
        <v>-9.1340242402950991E-3</v>
      </c>
      <c r="I53" s="342">
        <f t="shared" si="21"/>
        <v>5.2208815126147052E-3</v>
      </c>
      <c r="J53" s="342">
        <f t="shared" si="21"/>
        <v>1.2831764585184018E-2</v>
      </c>
      <c r="K53" s="342">
        <f t="shared" si="21"/>
        <v>1.1204368284322206E-2</v>
      </c>
      <c r="L53" s="342">
        <f t="shared" si="21"/>
        <v>7.6782343981749305E-3</v>
      </c>
      <c r="M53" s="342">
        <f t="shared" si="21"/>
        <v>2.741441690624511E-3</v>
      </c>
      <c r="N53" s="342">
        <f t="shared" si="21"/>
        <v>0</v>
      </c>
      <c r="O53" s="342">
        <f t="shared" ca="1" si="21"/>
        <v>0</v>
      </c>
      <c r="P53" s="342">
        <f t="shared" ca="1" si="21"/>
        <v>0</v>
      </c>
      <c r="Q53" s="342">
        <f t="shared" ca="1" si="21"/>
        <v>0</v>
      </c>
      <c r="R53" s="342">
        <f t="shared" ca="1" si="21"/>
        <v>0</v>
      </c>
      <c r="S53" s="342">
        <f t="shared" ca="1" si="21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32">
        <f>' Financials'!I49</f>
        <v>0</v>
      </c>
      <c r="G55" s="332">
        <f>' Financials'!J49</f>
        <v>-1.5</v>
      </c>
      <c r="H55" s="332">
        <f>' Financials'!K49</f>
        <v>0.74</v>
      </c>
      <c r="I55" s="332">
        <f>' Financials'!L49</f>
        <v>0</v>
      </c>
      <c r="J55" s="332">
        <f>' Financials'!M49</f>
        <v>0</v>
      </c>
      <c r="K55" s="332">
        <f>' Financials'!N49</f>
        <v>-5</v>
      </c>
      <c r="L55" s="332">
        <f>' Financials'!O49</f>
        <v>-5</v>
      </c>
      <c r="M55" s="332">
        <f>' Financials'!P49</f>
        <v>-5</v>
      </c>
      <c r="N55" s="332">
        <f>' Financials'!Q49</f>
        <v>-5</v>
      </c>
      <c r="O55" s="332">
        <f>' Financials'!R49</f>
        <v>-5</v>
      </c>
      <c r="P55" s="332">
        <f>' Financials'!S49</f>
        <v>-5</v>
      </c>
      <c r="Q55" s="332">
        <f>' Financials'!T49</f>
        <v>-5</v>
      </c>
      <c r="R55" s="332">
        <f>' Financials'!U49</f>
        <v>-5</v>
      </c>
      <c r="S55" s="332">
        <f>' Financials'!V49</f>
        <v>-5</v>
      </c>
      <c r="T55" s="54"/>
    </row>
    <row r="56" spans="3:20">
      <c r="C56" s="53"/>
      <c r="D56" s="53" t="s">
        <v>24</v>
      </c>
      <c r="E56" s="53"/>
      <c r="F56" s="342">
        <f>IFERROR(F55/F24,"NA")</f>
        <v>0</v>
      </c>
      <c r="G56" s="342">
        <f t="shared" ref="G56:S56" si="22">IFERROR(G55/G24,"NA")</f>
        <v>-1.3214694740551493E-3</v>
      </c>
      <c r="H56" s="342">
        <f t="shared" si="22"/>
        <v>6.4992095555945904E-4</v>
      </c>
      <c r="I56" s="342">
        <f t="shared" si="22"/>
        <v>0</v>
      </c>
      <c r="J56" s="342">
        <f t="shared" si="22"/>
        <v>0</v>
      </c>
      <c r="K56" s="342">
        <f t="shared" si="22"/>
        <v>-3.6932057370415751E-3</v>
      </c>
      <c r="L56" s="342">
        <f t="shared" si="22"/>
        <v>-3.4554835728332453E-3</v>
      </c>
      <c r="M56" s="342">
        <f t="shared" si="22"/>
        <v>-3.4659153551726838E-3</v>
      </c>
      <c r="N56" s="342">
        <f t="shared" si="22"/>
        <v>-3.3979562305614551E-3</v>
      </c>
      <c r="O56" s="342">
        <f t="shared" ca="1" si="22"/>
        <v>-3.3378744897460265E-3</v>
      </c>
      <c r="P56" s="342">
        <f t="shared" ca="1" si="22"/>
        <v>-3.2853095371516007E-3</v>
      </c>
      <c r="Q56" s="342">
        <f t="shared" ca="1" si="22"/>
        <v>-3.2399502338773178E-3</v>
      </c>
      <c r="R56" s="342">
        <f t="shared" ca="1" si="22"/>
        <v>-3.2015318516574287E-3</v>
      </c>
      <c r="S56" s="342">
        <f t="shared" ca="1" si="22"/>
        <v>-3.1698335164925037E-3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32">
        <f>' Financials'!I53</f>
        <v>0</v>
      </c>
      <c r="G58" s="332">
        <f>' Financials'!J53</f>
        <v>0</v>
      </c>
      <c r="H58" s="332">
        <f>' Financials'!K53</f>
        <v>0</v>
      </c>
      <c r="I58" s="332">
        <f>' Financials'!L53</f>
        <v>0</v>
      </c>
      <c r="J58" s="332">
        <f>' Financials'!M53</f>
        <v>-18.004468664734777</v>
      </c>
      <c r="K58" s="332">
        <f>' Financials'!N53</f>
        <v>-6.7527180429793674</v>
      </c>
      <c r="L58" s="332">
        <f>' Financials'!O53</f>
        <v>25.138454026318882</v>
      </c>
      <c r="M58" s="332">
        <f>' Financials'!P53</f>
        <v>-4.8650405710493061</v>
      </c>
      <c r="N58" s="332">
        <f>' Financials'!Q53</f>
        <v>0</v>
      </c>
      <c r="O58" s="332">
        <f>' Financials'!R53</f>
        <v>0</v>
      </c>
      <c r="P58" s="332">
        <f>' Financials'!S53</f>
        <v>0</v>
      </c>
      <c r="Q58" s="332">
        <f>' Financials'!T53</f>
        <v>0</v>
      </c>
      <c r="R58" s="332">
        <f>' Financials'!U53</f>
        <v>0</v>
      </c>
      <c r="S58" s="332">
        <f>' Financials'!V53</f>
        <v>0</v>
      </c>
      <c r="T58" s="54"/>
    </row>
    <row r="59" spans="3:20">
      <c r="C59" s="53"/>
      <c r="D59" s="53" t="s">
        <v>24</v>
      </c>
      <c r="E59" s="53"/>
      <c r="F59" s="342">
        <f>IFERROR(F58/F24,"NA")</f>
        <v>0</v>
      </c>
      <c r="G59" s="342">
        <f t="shared" ref="G59:S59" si="23">-IFERROR(G58/G24,"NA")</f>
        <v>0</v>
      </c>
      <c r="H59" s="342">
        <f t="shared" si="23"/>
        <v>0</v>
      </c>
      <c r="I59" s="342">
        <f t="shared" si="23"/>
        <v>0</v>
      </c>
      <c r="J59" s="342">
        <f t="shared" si="23"/>
        <v>1.433898688297465E-2</v>
      </c>
      <c r="K59" s="342">
        <f t="shared" si="23"/>
        <v>4.9878354033911108E-3</v>
      </c>
      <c r="L59" s="342">
        <f t="shared" si="23"/>
        <v>-1.737310298687373E-2</v>
      </c>
      <c r="M59" s="342">
        <f t="shared" si="23"/>
        <v>3.3723637637475745E-3</v>
      </c>
      <c r="N59" s="342">
        <f t="shared" si="23"/>
        <v>0</v>
      </c>
      <c r="O59" s="342">
        <f t="shared" ca="1" si="23"/>
        <v>0</v>
      </c>
      <c r="P59" s="342">
        <f t="shared" ca="1" si="23"/>
        <v>0</v>
      </c>
      <c r="Q59" s="342">
        <f t="shared" ca="1" si="23"/>
        <v>0</v>
      </c>
      <c r="R59" s="342">
        <f t="shared" ca="1" si="23"/>
        <v>0</v>
      </c>
      <c r="S59" s="342">
        <f t="shared" ca="1" si="23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348">
        <f>I42+I46+I48+I52+I55+I58</f>
        <v>53.123790752980312</v>
      </c>
      <c r="J61" s="348">
        <f t="shared" ref="J61:S61" si="24">J42+J46+J48+J52+J55+J58</f>
        <v>30.863888898608689</v>
      </c>
      <c r="K61" s="348">
        <f t="shared" si="24"/>
        <v>54.230659495382142</v>
      </c>
      <c r="L61" s="348">
        <f t="shared" si="24"/>
        <v>93.307494382811512</v>
      </c>
      <c r="M61" s="348">
        <f t="shared" si="24"/>
        <v>59.287351410943515</v>
      </c>
      <c r="N61" s="348">
        <f t="shared" ca="1" si="24"/>
        <v>62.428305221334142</v>
      </c>
      <c r="O61" s="348">
        <f t="shared" ca="1" si="24"/>
        <v>64.496951293051993</v>
      </c>
      <c r="P61" s="348">
        <f t="shared" ca="1" si="24"/>
        <v>66.390578408582996</v>
      </c>
      <c r="Q61" s="348">
        <f t="shared" ca="1" si="24"/>
        <v>68.09705589449436</v>
      </c>
      <c r="R61" s="348">
        <f t="shared" ca="1" si="24"/>
        <v>69.605129834144037</v>
      </c>
      <c r="S61" s="348">
        <f t="shared" ca="1" si="24"/>
        <v>70.904532073749621</v>
      </c>
      <c r="T61" s="130" t="s">
        <v>167</v>
      </c>
    </row>
    <row r="62" spans="3:20">
      <c r="H62" s="72"/>
    </row>
    <row r="63" spans="3:20" ht="12.75" customHeight="1">
      <c r="D63" s="38" t="s">
        <v>63</v>
      </c>
      <c r="H63" s="72"/>
      <c r="I63" s="248">
        <f t="shared" ref="I63:S63" si="25">-I18*I61</f>
        <v>-53.123790752980312</v>
      </c>
      <c r="J63" s="2">
        <f t="shared" si="25"/>
        <v>-2.1125180628753123E-2</v>
      </c>
      <c r="K63" s="2">
        <f t="shared" si="25"/>
        <v>0</v>
      </c>
      <c r="L63" s="2">
        <f t="shared" si="25"/>
        <v>0</v>
      </c>
      <c r="M63" s="2">
        <f t="shared" si="25"/>
        <v>0</v>
      </c>
      <c r="N63" s="2">
        <f t="shared" ca="1" si="25"/>
        <v>0</v>
      </c>
      <c r="O63" s="2">
        <f t="shared" ca="1" si="25"/>
        <v>0</v>
      </c>
      <c r="P63" s="2">
        <f t="shared" ca="1" si="25"/>
        <v>0</v>
      </c>
      <c r="Q63" s="2">
        <f t="shared" ca="1" si="25"/>
        <v>0</v>
      </c>
      <c r="R63" s="2">
        <f t="shared" ca="1" si="25"/>
        <v>0</v>
      </c>
      <c r="S63" s="2">
        <f t="shared" ca="1" si="25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26">J63+J61</f>
        <v>30.842763717979935</v>
      </c>
      <c r="K64" s="130">
        <f t="shared" si="26"/>
        <v>54.230659495382142</v>
      </c>
      <c r="L64" s="130">
        <f t="shared" si="26"/>
        <v>93.307494382811512</v>
      </c>
      <c r="M64" s="130">
        <f>M63+M61</f>
        <v>59.287351410943515</v>
      </c>
      <c r="N64" s="130">
        <f t="shared" ca="1" si="26"/>
        <v>62.428305221334142</v>
      </c>
      <c r="O64" s="130">
        <f t="shared" ca="1" si="26"/>
        <v>64.496951293051993</v>
      </c>
      <c r="P64" s="130">
        <f ca="1">P63+P61</f>
        <v>66.390578408582996</v>
      </c>
      <c r="Q64" s="130">
        <f ca="1">Q63+Q61</f>
        <v>68.09705589449436</v>
      </c>
      <c r="R64" s="130">
        <f ca="1">R63+R61</f>
        <v>69.605129834144037</v>
      </c>
      <c r="S64" s="130">
        <f ca="1">S63+S61</f>
        <v>70.904532073749621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27">I66+365.25</f>
        <v>365.25</v>
      </c>
      <c r="K66" s="133">
        <f t="shared" si="27"/>
        <v>730.5</v>
      </c>
      <c r="L66" s="133">
        <f t="shared" si="27"/>
        <v>1095.75</v>
      </c>
      <c r="M66" s="133">
        <f t="shared" si="27"/>
        <v>1461</v>
      </c>
      <c r="N66" s="133">
        <f t="shared" si="27"/>
        <v>1826.25</v>
      </c>
      <c r="O66" s="133">
        <f t="shared" si="27"/>
        <v>2191.5</v>
      </c>
      <c r="P66" s="133">
        <f t="shared" si="27"/>
        <v>2556.75</v>
      </c>
      <c r="Q66" s="133">
        <f t="shared" si="27"/>
        <v>2922</v>
      </c>
      <c r="R66" s="133">
        <f t="shared" si="27"/>
        <v>3287.25</v>
      </c>
      <c r="S66" s="133">
        <f t="shared" si="27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28">1/((1+$F$11)^(J66/365.25))</f>
        <v>0.92165898617511521</v>
      </c>
      <c r="K67" s="134">
        <f t="shared" si="28"/>
        <v>0.84945528679734128</v>
      </c>
      <c r="L67" s="134">
        <f t="shared" si="28"/>
        <v>0.78290809843072917</v>
      </c>
      <c r="M67" s="134">
        <f t="shared" si="28"/>
        <v>0.72157428426795334</v>
      </c>
      <c r="N67" s="134">
        <f t="shared" si="28"/>
        <v>0.66504542328843619</v>
      </c>
      <c r="O67" s="134">
        <f t="shared" si="28"/>
        <v>0.6129450905884205</v>
      </c>
      <c r="P67" s="134">
        <f t="shared" si="28"/>
        <v>0.56492635077273778</v>
      </c>
      <c r="Q67" s="134">
        <f t="shared" si="28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 ca="1"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10">
        <f ca="1">SUMPRODUCT($I$64:$T$64,$I$67:$T$67)</f>
        <v>409.0991714062705</v>
      </c>
      <c r="I75" s="52">
        <f ca="1">H75/$H$77</f>
        <v>0.50942561575847278</v>
      </c>
      <c r="L75" t="s">
        <v>50</v>
      </c>
      <c r="N75" s="40">
        <f ca="1">SUMPRODUCT($G$64:$T$64,$G$67:$T$67)</f>
        <v>409.0991714062705</v>
      </c>
      <c r="O75" s="52">
        <f ca="1">N75/$N$77</f>
        <v>0.41399917999950991</v>
      </c>
    </row>
    <row r="76" spans="4:20">
      <c r="F76" t="s">
        <v>51</v>
      </c>
      <c r="H76" s="310">
        <f ca="1">T69*S67</f>
        <v>393.96050747770471</v>
      </c>
      <c r="I76" s="52">
        <f ca="1">H76/$H$77</f>
        <v>0.49057438424152716</v>
      </c>
      <c r="L76" t="s">
        <v>51</v>
      </c>
      <c r="N76" s="40">
        <f ca="1">T70*R67</f>
        <v>579.0650356019529</v>
      </c>
      <c r="O76" s="52">
        <f ca="1">N76/$N$77</f>
        <v>0.58600082000049003</v>
      </c>
    </row>
    <row r="77" spans="4:20">
      <c r="F77" s="24" t="s">
        <v>52</v>
      </c>
      <c r="G77" s="55"/>
      <c r="H77" s="311">
        <f ca="1">SUM(H75:H76)</f>
        <v>803.05967888397527</v>
      </c>
      <c r="I77" s="57">
        <f ca="1">SUM(I75:I76)</f>
        <v>1</v>
      </c>
      <c r="L77" s="24" t="s">
        <v>52</v>
      </c>
      <c r="M77" s="55"/>
      <c r="N77" s="48">
        <f ca="1">SUM(N75:N76)</f>
        <v>988.16420700822346</v>
      </c>
      <c r="O77" s="57">
        <f ca="1"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11">
        <f ca="1">H77+H78</f>
        <v>718.44286534439027</v>
      </c>
      <c r="I79" s="57"/>
      <c r="L79" s="24" t="s">
        <v>68</v>
      </c>
      <c r="M79" s="55"/>
      <c r="N79" s="48">
        <f ca="1">N77+N78</f>
        <v>903.54739346863846</v>
      </c>
      <c r="O79" s="57"/>
    </row>
    <row r="80" spans="4:20">
      <c r="F80" s="56" t="s">
        <v>64</v>
      </c>
      <c r="G80" s="56"/>
      <c r="H80" s="62">
        <f ca="1">H79/Assumptions!$D$17*100</f>
        <v>361.02656549969356</v>
      </c>
      <c r="I80" s="83"/>
      <c r="L80" s="56" t="s">
        <v>64</v>
      </c>
      <c r="M80" s="56"/>
      <c r="N80" s="82">
        <f ca="1">N79/Assumptions!$D$17*100</f>
        <v>454.04391631589868</v>
      </c>
      <c r="O80" s="83"/>
    </row>
    <row r="81" spans="4:20">
      <c r="F81" s="84" t="s">
        <v>28</v>
      </c>
      <c r="G81" s="41"/>
      <c r="H81" s="312">
        <f ca="1">H80/Assumptions!$D$16-1</f>
        <v>1.1880397909072338</v>
      </c>
      <c r="I81" s="86"/>
      <c r="L81" s="84" t="s">
        <v>28</v>
      </c>
      <c r="M81" s="41"/>
      <c r="N81" s="85">
        <f ca="1">N80/Assumptions!$D$16-1</f>
        <v>1.7517813110054465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34">
        <v>5.0000000000000001E-3</v>
      </c>
      <c r="G87" s="26" t="s">
        <v>54</v>
      </c>
      <c r="I87" s="363">
        <v>2.5000000000000001E-3</v>
      </c>
      <c r="L87" s="26" t="s">
        <v>55</v>
      </c>
      <c r="M87" s="336">
        <v>8.5</v>
      </c>
      <c r="N87" s="26" t="s">
        <v>56</v>
      </c>
      <c r="P87" s="364">
        <v>0.5</v>
      </c>
    </row>
    <row r="88" spans="4:20">
      <c r="E88" s="26" t="s">
        <v>35</v>
      </c>
      <c r="F88" s="335">
        <v>8.5000000000000006E-2</v>
      </c>
      <c r="G88" s="26" t="s">
        <v>57</v>
      </c>
      <c r="I88" s="363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 ca="1">H77</f>
        <v>803.05967888397527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 ca="1">N77</f>
        <v>988.16420700822346</v>
      </c>
      <c r="M94" s="278">
        <f>N94-$P$87</f>
        <v>7.5</v>
      </c>
      <c r="N94" s="278">
        <f>O94-$P$87</f>
        <v>8</v>
      </c>
      <c r="O94" s="279">
        <f>$M$87</f>
        <v>8.5</v>
      </c>
      <c r="P94" s="278">
        <f>O94+$P$87</f>
        <v>9</v>
      </c>
      <c r="Q94" s="280">
        <f>P94+$P$87</f>
        <v>9.5</v>
      </c>
    </row>
    <row r="95" spans="4:20" ht="12.75" customHeight="1">
      <c r="E95" s="27">
        <f>E96-$I$88</f>
        <v>7.4999999999999997E-2</v>
      </c>
      <c r="F95" s="255">
        <f t="dataTable" ref="F95:J99" dt2D="1" dtr="1" r1="F9" r2="F11" ca="1"/>
        <v>888.00433692519732</v>
      </c>
      <c r="G95" s="256">
        <v>905.00784592983314</v>
      </c>
      <c r="H95" s="257">
        <v>923.22589129194284</v>
      </c>
      <c r="I95" s="256">
        <v>942.79342149569027</v>
      </c>
      <c r="J95" s="258">
        <v>963.86614633049533</v>
      </c>
      <c r="L95" s="27">
        <f>L96-$I$88</f>
        <v>7.4999999999999997E-2</v>
      </c>
      <c r="M95" s="281">
        <f t="dataTable" ref="M95:Q99" dt2D="1" dtr="1" r1="F10" r2="F11" ca="1"/>
        <v>984.64782441108116</v>
      </c>
      <c r="N95" s="282">
        <v>1021.6706777556866</v>
      </c>
      <c r="O95" s="282">
        <v>1058.6935311002919</v>
      </c>
      <c r="P95" s="282">
        <v>1095.7163844448974</v>
      </c>
      <c r="Q95" s="283">
        <v>1132.7392377895026</v>
      </c>
    </row>
    <row r="96" spans="4:20" ht="12.75" customHeight="1">
      <c r="E96" s="27">
        <f>E97-$I$88</f>
        <v>0.08</v>
      </c>
      <c r="F96" s="259">
        <v>829.55517627946301</v>
      </c>
      <c r="G96" s="260">
        <v>843.85756294673411</v>
      </c>
      <c r="H96" s="257">
        <v>859.11344205849014</v>
      </c>
      <c r="I96" s="260">
        <v>875.42145076416034</v>
      </c>
      <c r="J96" s="261">
        <v>892.89431723452128</v>
      </c>
      <c r="L96" s="27">
        <f>L97-$I$88</f>
        <v>0.08</v>
      </c>
      <c r="M96" s="284">
        <v>951.65113228422638</v>
      </c>
      <c r="N96" s="285">
        <v>987.15962729475427</v>
      </c>
      <c r="O96" s="286">
        <v>1022.6681223052822</v>
      </c>
      <c r="P96" s="285">
        <v>1058.1766173158103</v>
      </c>
      <c r="Q96" s="287">
        <v>1093.6851123263382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9">
        <v>778.0408231266847</v>
      </c>
      <c r="G97" s="257">
        <v>790.1711774332498</v>
      </c>
      <c r="H97" s="260">
        <v>803.05967888397527</v>
      </c>
      <c r="I97" s="257">
        <v>816.77969655732818</v>
      </c>
      <c r="J97" s="261">
        <v>831.41438207557121</v>
      </c>
      <c r="L97" s="150">
        <f>$M$88</f>
        <v>8.5000000000000006E-2</v>
      </c>
      <c r="M97" s="284">
        <v>920.03890870211126</v>
      </c>
      <c r="N97" s="286">
        <v>954.10155785516736</v>
      </c>
      <c r="O97" s="285">
        <v>988.16420700822346</v>
      </c>
      <c r="P97" s="286">
        <v>1022.2268561612793</v>
      </c>
      <c r="Q97" s="287">
        <v>1056.2895053143354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9">
        <v>732.30330432666437</v>
      </c>
      <c r="G98" s="260">
        <v>742.6672459966195</v>
      </c>
      <c r="H98" s="257">
        <v>753.6408312942192</v>
      </c>
      <c r="I98" s="260">
        <v>765.27948236743077</v>
      </c>
      <c r="J98" s="261">
        <v>777.64554913271832</v>
      </c>
      <c r="L98" s="127">
        <f>L97+$I$88</f>
        <v>9.0000000000000011E-2</v>
      </c>
      <c r="M98" s="284">
        <v>889.74501010600579</v>
      </c>
      <c r="N98" s="285">
        <v>922.42693168080177</v>
      </c>
      <c r="O98" s="286">
        <v>955.10885325559764</v>
      </c>
      <c r="P98" s="285">
        <v>987.79077483039362</v>
      </c>
      <c r="Q98" s="287">
        <v>1020.4726964051896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62">
        <v>691.42853088726383</v>
      </c>
      <c r="G99" s="263">
        <v>700.3414834142875</v>
      </c>
      <c r="H99" s="263">
        <v>709.74959997059045</v>
      </c>
      <c r="I99" s="263">
        <v>719.69532318725339</v>
      </c>
      <c r="J99" s="264">
        <v>730.22608894607311</v>
      </c>
      <c r="L99" s="128">
        <f>L98+$I$88</f>
        <v>9.5000000000000015E-2</v>
      </c>
      <c r="M99" s="288">
        <v>860.70678237887955</v>
      </c>
      <c r="N99" s="289">
        <v>892.06988307192069</v>
      </c>
      <c r="O99" s="289">
        <v>923.43298376496159</v>
      </c>
      <c r="P99" s="289">
        <v>954.7960844580025</v>
      </c>
      <c r="Q99" s="290">
        <v>986.15918515104363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361.02656549969356</v>
      </c>
      <c r="F103" s="275">
        <f>G103-$I$87</f>
        <v>0</v>
      </c>
      <c r="G103" s="275">
        <f>H103-$I$87</f>
        <v>2.5000000000000001E-3</v>
      </c>
      <c r="H103" s="276">
        <f>$F$87</f>
        <v>5.0000000000000001E-3</v>
      </c>
      <c r="I103" s="275">
        <f>H103+$I$87</f>
        <v>7.4999999999999997E-3</v>
      </c>
      <c r="J103" s="277">
        <f>I103+$I$87</f>
        <v>0.01</v>
      </c>
      <c r="L103" s="151">
        <f ca="1">N80</f>
        <v>454.04391631589868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65">
        <f>(F95-SUM(Assumptions!$D$19:$D$22))/Assumptions!$D$17*100</f>
        <v>403.71232330935294</v>
      </c>
      <c r="G104" s="266">
        <f>(G95-SUM(Assumptions!$D$19:$D$22))/Assumptions!$D$17*100</f>
        <v>412.25680019610456</v>
      </c>
      <c r="H104" s="267">
        <f>(H95-SUM(Assumptions!$D$19:$D$22))/Assumptions!$D$17*100</f>
        <v>421.41159686048138</v>
      </c>
      <c r="I104" s="266">
        <f>(I95-SUM(Assumptions!$D$19:$D$22))/Assumptions!$D$17*100</f>
        <v>431.2445266111082</v>
      </c>
      <c r="J104" s="268">
        <f>(J95-SUM(Assumptions!$D$19:$D$22))/Assumptions!$D$17*100</f>
        <v>441.83383557332172</v>
      </c>
      <c r="L104" s="27">
        <f>L105-$I$88</f>
        <v>7.4999999999999997E-2</v>
      </c>
      <c r="M104" s="61">
        <f>(M95-SUM(Assumptions!$D$19:$D$22))/Assumptions!$D$17*100</f>
        <v>452.276889885174</v>
      </c>
      <c r="N104" s="62">
        <f>(N95-SUM(Assumptions!$D$19:$D$22))/Assumptions!$D$17*100</f>
        <v>470.88133880206112</v>
      </c>
      <c r="O104" s="66">
        <f>(O95-SUM(Assumptions!$D$19:$D$22))/Assumptions!$D$17*100</f>
        <v>489.48578771894819</v>
      </c>
      <c r="P104" s="62">
        <f>(P95-SUM(Assumptions!$D$19:$D$22))/Assumptions!$D$17*100</f>
        <v>508.09023663583537</v>
      </c>
      <c r="Q104" s="63">
        <f>(Q95-SUM(Assumptions!$D$19:$D$22))/Assumptions!$D$17*100</f>
        <v>526.69468555272249</v>
      </c>
    </row>
    <row r="105" spans="4:20">
      <c r="E105" s="27">
        <f>E106-$I$88</f>
        <v>0.08</v>
      </c>
      <c r="F105" s="269">
        <f>(F96-SUM(Assumptions!$D$19:$D$22))/Assumptions!$D$17*100</f>
        <v>374.3408857989337</v>
      </c>
      <c r="G105" s="270">
        <f>(G96-SUM(Assumptions!$D$19:$D$22))/Assumptions!$D$17*100</f>
        <v>381.52801477746186</v>
      </c>
      <c r="H105" s="267">
        <f>(H96-SUM(Assumptions!$D$19:$D$22))/Assumptions!$D$17*100</f>
        <v>389.19428568789203</v>
      </c>
      <c r="I105" s="270">
        <f>(I96-SUM(Assumptions!$D$19:$D$22))/Assumptions!$D$17*100</f>
        <v>397.38926493697255</v>
      </c>
      <c r="J105" s="271">
        <f>(J96-SUM(Assumptions!$D$19:$D$22))/Assumptions!$D$17*100</f>
        <v>406.16959984670171</v>
      </c>
      <c r="L105" s="27">
        <f>L106-$I$88</f>
        <v>0.08</v>
      </c>
      <c r="M105" s="64">
        <f>(M96-SUM(Assumptions!$D$19:$D$22))/Assumptions!$D$17*100</f>
        <v>435.69563756012127</v>
      </c>
      <c r="N105" s="65">
        <f>(N96-SUM(Assumptions!$D$19:$D$22))/Assumptions!$D$17*100</f>
        <v>453.53910238953227</v>
      </c>
      <c r="O105" s="66">
        <f>(O96-SUM(Assumptions!$D$19:$D$22))/Assumptions!$D$17*100</f>
        <v>471.38256721894328</v>
      </c>
      <c r="P105" s="65">
        <f>(P96-SUM(Assumptions!$D$19:$D$22))/Assumptions!$D$17*100</f>
        <v>489.2260320483544</v>
      </c>
      <c r="Q105" s="67">
        <f>(Q96-SUM(Assumptions!$D$19:$D$22))/Assumptions!$D$17*100</f>
        <v>507.0694968777654</v>
      </c>
    </row>
    <row r="106" spans="4:20">
      <c r="E106" s="150">
        <f>$F$88</f>
        <v>8.5000000000000006E-2</v>
      </c>
      <c r="F106" s="269">
        <f>(F97-SUM(Assumptions!$D$19:$D$22))/Assumptions!$D$17*100</f>
        <v>348.45427617442198</v>
      </c>
      <c r="G106" s="267">
        <f>(G97-SUM(Assumptions!$D$19:$D$22))/Assumptions!$D$17*100</f>
        <v>354.54993160485668</v>
      </c>
      <c r="H106" s="270">
        <f>(H97-SUM(Assumptions!$D$19:$D$22))/Assumptions!$D$17*100</f>
        <v>361.02656549969356</v>
      </c>
      <c r="I106" s="267">
        <f>(I97-SUM(Assumptions!$D$19:$D$22))/Assumptions!$D$17*100</f>
        <v>367.92104674258451</v>
      </c>
      <c r="J106" s="271">
        <f>(J97-SUM(Assumptions!$D$19:$D$22))/Assumptions!$D$17*100</f>
        <v>375.2751600683348</v>
      </c>
      <c r="L106" s="150">
        <f>$M$88</f>
        <v>8.5000000000000006E-2</v>
      </c>
      <c r="M106" s="64">
        <f>(M97-SUM(Assumptions!$D$19:$D$22))/Assumptions!$D$17*100</f>
        <v>419.81009807162127</v>
      </c>
      <c r="N106" s="66">
        <f>(N97-SUM(Assumptions!$D$19:$D$22))/Assumptions!$D$17*100</f>
        <v>436.92700719376001</v>
      </c>
      <c r="O106" s="65">
        <f>(O97-SUM(Assumptions!$D$19:$D$22))/Assumptions!$D$17*100</f>
        <v>454.04391631589868</v>
      </c>
      <c r="P106" s="66">
        <f>(P97-SUM(Assumptions!$D$19:$D$22))/Assumptions!$D$17*100</f>
        <v>471.16082543803736</v>
      </c>
      <c r="Q106" s="67">
        <f>(Q97-SUM(Assumptions!$D$19:$D$22))/Assumptions!$D$17*100</f>
        <v>488.27773456017616</v>
      </c>
    </row>
    <row r="107" spans="4:20">
      <c r="E107" s="127">
        <f>E106+$I$88</f>
        <v>9.0000000000000011E-2</v>
      </c>
      <c r="F107" s="269">
        <f>(F98-SUM(Assumptions!$D$19:$D$22))/Assumptions!$D$17*100</f>
        <v>325.47059838546704</v>
      </c>
      <c r="G107" s="270">
        <f>(G98-SUM(Assumptions!$D$19:$D$22))/Assumptions!$D$17*100</f>
        <v>330.6786092748917</v>
      </c>
      <c r="H107" s="267">
        <f>(H98-SUM(Assumptions!$D$19:$D$22))/Assumptions!$D$17*100</f>
        <v>336.19297374604736</v>
      </c>
      <c r="I107" s="270">
        <f>(I98-SUM(Assumptions!$D$19:$D$22))/Assumptions!$D$17*100</f>
        <v>342.04154212454563</v>
      </c>
      <c r="J107" s="271">
        <f>(J98-SUM(Assumptions!$D$19:$D$22))/Assumptions!$D$17*100</f>
        <v>348.25564602670016</v>
      </c>
      <c r="L107" s="127">
        <f>L106+$I$88</f>
        <v>9.0000000000000011E-2</v>
      </c>
      <c r="M107" s="64">
        <f>(M98-SUM(Assumptions!$D$19:$D$22))/Assumptions!$D$17*100</f>
        <v>404.58703345046274</v>
      </c>
      <c r="N107" s="65">
        <f>(N98-SUM(Assumptions!$D$19:$D$22))/Assumptions!$D$17*100</f>
        <v>421.0101096187019</v>
      </c>
      <c r="O107" s="66">
        <f>(O98-SUM(Assumptions!$D$19:$D$22))/Assumptions!$D$17*100</f>
        <v>437.43318578694101</v>
      </c>
      <c r="P107" s="65">
        <f>(P98-SUM(Assumptions!$D$19:$D$22))/Assumptions!$D$17*100</f>
        <v>453.85626195518023</v>
      </c>
      <c r="Q107" s="67">
        <f>(Q98-SUM(Assumptions!$D$19:$D$22))/Assumptions!$D$17*100</f>
        <v>470.27933812341939</v>
      </c>
    </row>
    <row r="108" spans="4:20">
      <c r="E108" s="128">
        <f>E107+$I$88</f>
        <v>9.5000000000000015E-2</v>
      </c>
      <c r="F108" s="272">
        <f>(F99-SUM(Assumptions!$D$19:$D$22))/Assumptions!$D$17*100</f>
        <v>304.93051122998935</v>
      </c>
      <c r="G108" s="273">
        <f>(G99-SUM(Assumptions!$D$19:$D$22))/Assumptions!$D$17*100</f>
        <v>309.40938184658415</v>
      </c>
      <c r="H108" s="273">
        <f>(H99-SUM(Assumptions!$D$19:$D$22))/Assumptions!$D$17*100</f>
        <v>314.13707860854549</v>
      </c>
      <c r="I108" s="273">
        <f>(I99-SUM(Assumptions!$D$19:$D$22))/Assumptions!$D$17*100</f>
        <v>319.13492947119011</v>
      </c>
      <c r="J108" s="274">
        <f>(J99-SUM(Assumptions!$D$19:$D$22))/Assumptions!$D$17*100</f>
        <v>324.42677156104929</v>
      </c>
      <c r="L108" s="128">
        <f>L107+$I$88</f>
        <v>9.5000000000000015E-2</v>
      </c>
      <c r="M108" s="68">
        <f>(M99-SUM(Assumptions!$D$19:$D$22))/Assumptions!$D$17*100</f>
        <v>389.99495921572588</v>
      </c>
      <c r="N108" s="69">
        <f>(N99-SUM(Assumptions!$D$19:$D$22))/Assumptions!$D$17*100</f>
        <v>405.75531132278178</v>
      </c>
      <c r="O108" s="69">
        <f>(O99-SUM(Assumptions!$D$19:$D$22))/Assumptions!$D$17*100</f>
        <v>421.5156634298375</v>
      </c>
      <c r="P108" s="69">
        <f>(P99-SUM(Assumptions!$D$19:$D$22))/Assumptions!$D$17*100</f>
        <v>437.27601553689323</v>
      </c>
      <c r="Q108" s="70">
        <f>(Q99-SUM(Assumptions!$D$19:$D$22))/Assumptions!$D$17*100</f>
        <v>453.03636764394906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29">F22</f>
        <v>42825</v>
      </c>
      <c r="G111" s="100">
        <f t="shared" si="29"/>
        <v>43190</v>
      </c>
      <c r="H111" s="139">
        <f t="shared" si="29"/>
        <v>43555</v>
      </c>
      <c r="I111" s="139">
        <f t="shared" si="29"/>
        <v>43921</v>
      </c>
      <c r="J111" s="139">
        <f t="shared" si="29"/>
        <v>44286</v>
      </c>
      <c r="K111" s="139">
        <f t="shared" si="29"/>
        <v>44651</v>
      </c>
      <c r="L111" s="139">
        <f t="shared" si="29"/>
        <v>45016</v>
      </c>
      <c r="M111" s="139">
        <f t="shared" si="29"/>
        <v>45382</v>
      </c>
      <c r="N111" s="139">
        <f t="shared" si="29"/>
        <v>45747</v>
      </c>
      <c r="O111" s="139">
        <f t="shared" si="29"/>
        <v>46112</v>
      </c>
      <c r="P111" s="139">
        <f t="shared" si="29"/>
        <v>46477</v>
      </c>
      <c r="Q111" s="139">
        <f t="shared" si="29"/>
        <v>46843</v>
      </c>
      <c r="R111" s="139">
        <f t="shared" si="29"/>
        <v>47208</v>
      </c>
      <c r="S111" s="139">
        <f t="shared" si="29"/>
        <v>47573</v>
      </c>
      <c r="T111" s="139"/>
    </row>
    <row r="112" spans="4:20">
      <c r="D112" s="38" t="s">
        <v>3</v>
      </c>
      <c r="E112" s="93"/>
      <c r="F112" s="115">
        <f t="shared" ref="F112:S112" si="30">F27</f>
        <v>108.7</v>
      </c>
      <c r="G112" s="115">
        <f t="shared" si="30"/>
        <v>109.5</v>
      </c>
      <c r="H112" s="115">
        <f t="shared" si="30"/>
        <v>98.2</v>
      </c>
      <c r="I112" s="115">
        <f t="shared" si="30"/>
        <v>94.147209662938664</v>
      </c>
      <c r="J112" s="115">
        <f t="shared" si="30"/>
        <v>92.625305088518957</v>
      </c>
      <c r="K112" s="115">
        <f t="shared" si="30"/>
        <v>111.79673623719195</v>
      </c>
      <c r="L112" s="115">
        <f t="shared" si="30"/>
        <v>124.39494101920255</v>
      </c>
      <c r="M112" s="115">
        <f t="shared" si="30"/>
        <v>127.56812935492377</v>
      </c>
      <c r="N112" s="115">
        <f t="shared" ca="1" si="30"/>
        <v>130.50500120625895</v>
      </c>
      <c r="O112" s="115">
        <f t="shared" ca="1" si="30"/>
        <v>133.24653965896459</v>
      </c>
      <c r="P112" s="115">
        <f t="shared" ca="1" si="30"/>
        <v>135.77721189939695</v>
      </c>
      <c r="Q112" s="115">
        <f t="shared" ca="1" si="30"/>
        <v>138.08240265835985</v>
      </c>
      <c r="R112" s="115">
        <f t="shared" ca="1" si="30"/>
        <v>140.14855300014</v>
      </c>
      <c r="S112" s="115">
        <f t="shared" ca="1" si="30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31">G112/G$24</f>
        <v>9.6467271606025903E-2</v>
      </c>
      <c r="H113" s="117">
        <f t="shared" si="31"/>
        <v>8.6246267345863353E-2</v>
      </c>
      <c r="I113" s="117">
        <f t="shared" si="31"/>
        <v>8.1921904398916168E-2</v>
      </c>
      <c r="J113" s="117">
        <f t="shared" si="31"/>
        <v>7.3767966132610302E-2</v>
      </c>
      <c r="K113" s="117">
        <f t="shared" si="31"/>
        <v>8.2577669530744205E-2</v>
      </c>
      <c r="L113" s="117">
        <f t="shared" si="31"/>
        <v>8.5968935047082973E-2</v>
      </c>
      <c r="M113" s="117">
        <f t="shared" si="31"/>
        <v>8.8428067672377098E-2</v>
      </c>
      <c r="N113" s="117">
        <f t="shared" ca="1" si="31"/>
        <v>8.8690056393647562E-2</v>
      </c>
      <c r="O113" s="117">
        <f t="shared" ca="1" si="31"/>
        <v>8.8952045114918027E-2</v>
      </c>
      <c r="P113" s="117">
        <f t="shared" ca="1" si="31"/>
        <v>8.9214033836188505E-2</v>
      </c>
      <c r="Q113" s="117">
        <f t="shared" ca="1" si="31"/>
        <v>8.9476022557458998E-2</v>
      </c>
      <c r="R113" s="117">
        <f t="shared" ca="1" si="31"/>
        <v>8.9738011278729504E-2</v>
      </c>
      <c r="S113" s="117">
        <f t="shared" ref="S113" ca="1" si="32">S112/S$24</f>
        <v>0.09</v>
      </c>
      <c r="T113" s="117"/>
    </row>
    <row r="114" spans="4:20">
      <c r="D114" s="38" t="s">
        <v>4</v>
      </c>
      <c r="E114" s="94"/>
      <c r="F114" s="116">
        <f t="shared" ref="F114:S114" si="33">F46</f>
        <v>0</v>
      </c>
      <c r="G114" s="116">
        <f t="shared" si="33"/>
        <v>0</v>
      </c>
      <c r="H114" s="116">
        <f t="shared" si="33"/>
        <v>0</v>
      </c>
      <c r="I114" s="116">
        <f t="shared" si="33"/>
        <v>36.129215400000028</v>
      </c>
      <c r="J114" s="116">
        <f t="shared" si="33"/>
        <v>40.455293523349013</v>
      </c>
      <c r="K114" s="116">
        <f t="shared" si="33"/>
        <v>47.195257615808735</v>
      </c>
      <c r="L114" s="116">
        <f t="shared" si="33"/>
        <v>51.829543587564167</v>
      </c>
      <c r="M114" s="116">
        <f t="shared" si="33"/>
        <v>54.799912142159194</v>
      </c>
      <c r="N114" s="116">
        <f t="shared" ca="1" si="33"/>
        <v>53.583260118465994</v>
      </c>
      <c r="O114" s="116">
        <f t="shared" ca="1" si="33"/>
        <v>52.366608094772801</v>
      </c>
      <c r="P114" s="116">
        <f t="shared" ca="1" si="33"/>
        <v>51.149956071079608</v>
      </c>
      <c r="Q114" s="116">
        <f t="shared" ca="1" si="33"/>
        <v>49.933304047386407</v>
      </c>
      <c r="R114" s="116">
        <f t="shared" ca="1" si="33"/>
        <v>48.7166520236932</v>
      </c>
      <c r="S114" s="116">
        <f t="shared" si="33"/>
        <v>47.5</v>
      </c>
      <c r="T114" s="116"/>
    </row>
    <row r="115" spans="4:20">
      <c r="D115" s="39" t="s">
        <v>37</v>
      </c>
      <c r="E115" s="94"/>
      <c r="F115" s="117">
        <f t="shared" ref="F115:S115" si="34">-F114/F48</f>
        <v>0</v>
      </c>
      <c r="G115" s="117">
        <f t="shared" si="34"/>
        <v>0</v>
      </c>
      <c r="H115" s="117">
        <f t="shared" si="34"/>
        <v>0</v>
      </c>
      <c r="I115" s="117">
        <f t="shared" si="34"/>
        <v>1.0035893166666674</v>
      </c>
      <c r="J115" s="117">
        <f t="shared" si="34"/>
        <v>0.79324104947743168</v>
      </c>
      <c r="K115" s="117">
        <f t="shared" si="34"/>
        <v>0.94390515231617467</v>
      </c>
      <c r="L115" s="117">
        <f t="shared" si="34"/>
        <v>1.0365908717512833</v>
      </c>
      <c r="M115" s="117">
        <f t="shared" si="34"/>
        <v>1.0959982428431838</v>
      </c>
      <c r="N115" s="117">
        <f t="shared" ca="1" si="34"/>
        <v>1.0716652023693198</v>
      </c>
      <c r="O115" s="117">
        <f t="shared" ca="1" si="34"/>
        <v>1.0473321618954561</v>
      </c>
      <c r="P115" s="117">
        <f t="shared" ca="1" si="34"/>
        <v>1.0229991214215921</v>
      </c>
      <c r="Q115" s="117">
        <f t="shared" ca="1" si="34"/>
        <v>0.99866608094772813</v>
      </c>
      <c r="R115" s="117">
        <f t="shared" ca="1" si="34"/>
        <v>0.97433304047386404</v>
      </c>
      <c r="S115" s="117">
        <f t="shared" si="34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35">F35</f>
        <v>77.099999999999994</v>
      </c>
      <c r="G116" s="115">
        <f t="shared" si="35"/>
        <v>74.599999999999994</v>
      </c>
      <c r="H116" s="115">
        <f t="shared" si="35"/>
        <v>62.2</v>
      </c>
      <c r="I116" s="115">
        <f t="shared" si="35"/>
        <v>58.017994262938636</v>
      </c>
      <c r="J116" s="115">
        <f t="shared" si="35"/>
        <v>52.170011565169943</v>
      </c>
      <c r="K116" s="115">
        <f t="shared" si="35"/>
        <v>64.601478621383222</v>
      </c>
      <c r="L116" s="115">
        <f t="shared" si="35"/>
        <v>72.565397431638388</v>
      </c>
      <c r="M116" s="115">
        <f t="shared" si="35"/>
        <v>72.768217212764569</v>
      </c>
      <c r="N116" s="115">
        <f t="shared" ca="1" si="35"/>
        <v>76.921741087792952</v>
      </c>
      <c r="O116" s="115">
        <f t="shared" ca="1" si="35"/>
        <v>80.879931564191793</v>
      </c>
      <c r="P116" s="115">
        <f t="shared" ca="1" si="35"/>
        <v>84.627255828317345</v>
      </c>
      <c r="Q116" s="115">
        <f t="shared" ca="1" si="35"/>
        <v>88.149098610973454</v>
      </c>
      <c r="R116" s="115">
        <f t="shared" ca="1" si="35"/>
        <v>91.431900976446798</v>
      </c>
      <c r="S116" s="115">
        <f t="shared" ca="1" si="35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36">G116/G$24</f>
        <v>6.5721081843009427E-2</v>
      </c>
      <c r="H117" s="117">
        <f t="shared" si="36"/>
        <v>5.4628491129457238E-2</v>
      </c>
      <c r="I117" s="117">
        <f t="shared" si="36"/>
        <v>5.0484178941060394E-2</v>
      </c>
      <c r="J117" s="117">
        <f t="shared" si="36"/>
        <v>4.1548857977843988E-2</v>
      </c>
      <c r="K117" s="117">
        <f t="shared" si="36"/>
        <v>4.7717310293172235E-2</v>
      </c>
      <c r="L117" s="117">
        <f t="shared" si="36"/>
        <v>5.0149707756228443E-2</v>
      </c>
      <c r="M117" s="117">
        <f t="shared" si="36"/>
        <v>5.0441696281252384E-2</v>
      </c>
      <c r="N117" s="117">
        <f t="shared" ca="1" si="36"/>
        <v>5.2275341878980225E-2</v>
      </c>
      <c r="O117" s="117">
        <f t="shared" ca="1" si="36"/>
        <v>5.3993412060104044E-2</v>
      </c>
      <c r="P117" s="117">
        <f t="shared" ca="1" si="36"/>
        <v>5.5605346135147865E-2</v>
      </c>
      <c r="Q117" s="117">
        <f t="shared" ca="1" si="36"/>
        <v>5.7119738532139641E-2</v>
      </c>
      <c r="R117" s="117">
        <f t="shared" ca="1" si="36"/>
        <v>5.8544428646736479E-2</v>
      </c>
      <c r="S117" s="117">
        <f t="shared" ref="S117" ca="1" si="37">S116/S$24</f>
        <v>5.988658159332122E-2</v>
      </c>
      <c r="T117" s="117"/>
    </row>
    <row r="118" spans="4:20">
      <c r="D118" s="38" t="s">
        <v>10</v>
      </c>
      <c r="E118" s="95"/>
      <c r="F118" s="116">
        <f t="shared" ref="F118:S118" si="38">F39</f>
        <v>0</v>
      </c>
      <c r="G118" s="116">
        <f t="shared" si="38"/>
        <v>0</v>
      </c>
      <c r="H118" s="116">
        <f t="shared" si="38"/>
        <v>0</v>
      </c>
      <c r="I118" s="116">
        <f t="shared" si="38"/>
        <v>-11.023418909958341</v>
      </c>
      <c r="J118" s="116">
        <f t="shared" si="38"/>
        <v>-8.8689019660788908</v>
      </c>
      <c r="K118" s="116">
        <f t="shared" si="38"/>
        <v>-10.982251365635149</v>
      </c>
      <c r="L118" s="116">
        <f t="shared" si="38"/>
        <v>-12.336117563378528</v>
      </c>
      <c r="M118" s="116">
        <f t="shared" si="38"/>
        <v>-12.370596926169977</v>
      </c>
      <c r="N118" s="116">
        <f t="shared" ca="1" si="38"/>
        <v>-13.076695984924802</v>
      </c>
      <c r="O118" s="116">
        <f t="shared" ca="1" si="38"/>
        <v>-13.749588365912606</v>
      </c>
      <c r="P118" s="116">
        <f t="shared" ca="1" si="38"/>
        <v>-14.386633490813949</v>
      </c>
      <c r="Q118" s="116">
        <f t="shared" ca="1" si="38"/>
        <v>-14.985346763865488</v>
      </c>
      <c r="R118" s="116">
        <f t="shared" ca="1" si="38"/>
        <v>-15.543423165995957</v>
      </c>
      <c r="S118" s="116">
        <f t="shared" ca="1" si="38"/>
        <v>-16.058759581370406</v>
      </c>
      <c r="T118" s="116"/>
    </row>
    <row r="119" spans="4:20">
      <c r="D119" s="39" t="s">
        <v>65</v>
      </c>
      <c r="E119" s="95"/>
      <c r="F119" s="117">
        <f t="shared" ref="F119:S119" si="39">F40</f>
        <v>0</v>
      </c>
      <c r="G119" s="117">
        <f t="shared" si="39"/>
        <v>0</v>
      </c>
      <c r="H119" s="117">
        <f t="shared" si="39"/>
        <v>0</v>
      </c>
      <c r="I119" s="117">
        <f t="shared" si="39"/>
        <v>0.19</v>
      </c>
      <c r="J119" s="117">
        <f t="shared" si="39"/>
        <v>0.17</v>
      </c>
      <c r="K119" s="117">
        <f t="shared" si="39"/>
        <v>0.17</v>
      </c>
      <c r="L119" s="117">
        <f t="shared" si="39"/>
        <v>0.17</v>
      </c>
      <c r="M119" s="117">
        <f t="shared" si="39"/>
        <v>0.17</v>
      </c>
      <c r="N119" s="117">
        <f t="shared" si="39"/>
        <v>0.17</v>
      </c>
      <c r="O119" s="117">
        <f t="shared" si="39"/>
        <v>0.17</v>
      </c>
      <c r="P119" s="117">
        <f t="shared" si="39"/>
        <v>0.17</v>
      </c>
      <c r="Q119" s="117">
        <f t="shared" si="39"/>
        <v>0.17</v>
      </c>
      <c r="R119" s="117">
        <f t="shared" si="39"/>
        <v>0.17</v>
      </c>
      <c r="S119" s="117">
        <f t="shared" si="39"/>
        <v>0.17</v>
      </c>
      <c r="T119" s="117"/>
    </row>
    <row r="120" spans="4:20">
      <c r="D120" s="38" t="s">
        <v>38</v>
      </c>
      <c r="E120" s="95"/>
      <c r="F120" s="116">
        <f t="shared" ref="F120:S120" si="40">F42</f>
        <v>0</v>
      </c>
      <c r="G120" s="116">
        <f t="shared" si="40"/>
        <v>0</v>
      </c>
      <c r="H120" s="116">
        <f t="shared" si="40"/>
        <v>0</v>
      </c>
      <c r="I120" s="116">
        <f t="shared" si="40"/>
        <v>46.994575352980291</v>
      </c>
      <c r="J120" s="116">
        <f t="shared" si="40"/>
        <v>43.301109599091049</v>
      </c>
      <c r="K120" s="116">
        <f t="shared" si="40"/>
        <v>53.619227255748072</v>
      </c>
      <c r="L120" s="116">
        <f t="shared" si="40"/>
        <v>60.229279868259859</v>
      </c>
      <c r="M120" s="116">
        <f t="shared" si="40"/>
        <v>60.397620286594588</v>
      </c>
      <c r="N120" s="116">
        <f t="shared" ca="1" si="40"/>
        <v>63.845045102868148</v>
      </c>
      <c r="O120" s="116">
        <f t="shared" ca="1" si="40"/>
        <v>67.130343198279192</v>
      </c>
      <c r="P120" s="116">
        <f t="shared" ca="1" si="40"/>
        <v>70.240622337503396</v>
      </c>
      <c r="Q120" s="116">
        <f t="shared" ca="1" si="40"/>
        <v>73.16375184710796</v>
      </c>
      <c r="R120" s="116">
        <f t="shared" ca="1" si="40"/>
        <v>75.888477810450837</v>
      </c>
      <c r="S120" s="116">
        <f t="shared" ca="1" si="40"/>
        <v>78.404532073749621</v>
      </c>
      <c r="T120" s="116"/>
    </row>
    <row r="121" spans="4:20">
      <c r="D121" s="106" t="s">
        <v>71</v>
      </c>
      <c r="E121" s="95"/>
      <c r="F121" s="116">
        <f t="shared" ref="F121:S121" si="41">-F31</f>
        <v>31.600000000000009</v>
      </c>
      <c r="G121" s="116">
        <f t="shared" si="41"/>
        <v>34.900000000000006</v>
      </c>
      <c r="H121" s="116">
        <f t="shared" si="41"/>
        <v>36</v>
      </c>
      <c r="I121" s="116">
        <f t="shared" si="41"/>
        <v>36.129215400000028</v>
      </c>
      <c r="J121" s="116">
        <f t="shared" si="41"/>
        <v>40.455293523349013</v>
      </c>
      <c r="K121" s="116">
        <f t="shared" si="41"/>
        <v>47.195257615808735</v>
      </c>
      <c r="L121" s="116">
        <f t="shared" si="41"/>
        <v>51.829543587564167</v>
      </c>
      <c r="M121" s="116">
        <f t="shared" si="41"/>
        <v>54.799912142159194</v>
      </c>
      <c r="N121" s="116">
        <f t="shared" ca="1" si="41"/>
        <v>53.583260118465994</v>
      </c>
      <c r="O121" s="116">
        <f t="shared" ca="1" si="41"/>
        <v>52.366608094772801</v>
      </c>
      <c r="P121" s="116">
        <f t="shared" ca="1" si="41"/>
        <v>51.149956071079608</v>
      </c>
      <c r="Q121" s="116">
        <f t="shared" ca="1" si="41"/>
        <v>49.933304047386407</v>
      </c>
      <c r="R121" s="116">
        <f t="shared" ca="1" si="41"/>
        <v>48.7166520236932</v>
      </c>
      <c r="S121" s="116">
        <f t="shared" si="41"/>
        <v>47.5</v>
      </c>
      <c r="T121" s="116"/>
    </row>
    <row r="122" spans="4:20">
      <c r="D122" s="106" t="s">
        <v>132</v>
      </c>
      <c r="E122" s="95"/>
      <c r="F122" s="116">
        <f t="shared" ref="F122:S122" si="42">F48</f>
        <v>-36.1</v>
      </c>
      <c r="G122" s="116">
        <f t="shared" si="42"/>
        <v>-37.299999999999997</v>
      </c>
      <c r="H122" s="116">
        <f t="shared" si="42"/>
        <v>-31</v>
      </c>
      <c r="I122" s="116">
        <f t="shared" si="42"/>
        <v>-36</v>
      </c>
      <c r="J122" s="116">
        <f t="shared" si="42"/>
        <v>-51</v>
      </c>
      <c r="K122" s="116">
        <f t="shared" si="42"/>
        <v>-50</v>
      </c>
      <c r="L122" s="116">
        <f t="shared" si="42"/>
        <v>-50</v>
      </c>
      <c r="M122" s="116">
        <f t="shared" si="42"/>
        <v>-50</v>
      </c>
      <c r="N122" s="116">
        <f t="shared" si="42"/>
        <v>-50</v>
      </c>
      <c r="O122" s="116">
        <f t="shared" si="42"/>
        <v>-50</v>
      </c>
      <c r="P122" s="116">
        <f t="shared" si="42"/>
        <v>-50</v>
      </c>
      <c r="Q122" s="116">
        <f t="shared" si="42"/>
        <v>-50</v>
      </c>
      <c r="R122" s="116">
        <f t="shared" si="42"/>
        <v>-50</v>
      </c>
      <c r="S122" s="116">
        <f t="shared" si="42"/>
        <v>-50</v>
      </c>
      <c r="T122" s="116"/>
    </row>
    <row r="123" spans="4:20">
      <c r="D123" s="106" t="s">
        <v>72</v>
      </c>
      <c r="E123" s="95"/>
      <c r="F123" s="116">
        <f t="shared" ref="F123:S123" si="43">F52</f>
        <v>-16.300000000000004</v>
      </c>
      <c r="G123" s="116">
        <f t="shared" si="43"/>
        <v>-12.6</v>
      </c>
      <c r="H123" s="115">
        <f t="shared" si="43"/>
        <v>-10.399999999999999</v>
      </c>
      <c r="I123" s="115">
        <f t="shared" si="43"/>
        <v>6</v>
      </c>
      <c r="J123" s="115">
        <f t="shared" si="43"/>
        <v>16.111954440903407</v>
      </c>
      <c r="K123" s="115">
        <f t="shared" si="43"/>
        <v>15.168892666804709</v>
      </c>
      <c r="L123" s="115">
        <f t="shared" si="43"/>
        <v>11.110216900668604</v>
      </c>
      <c r="M123" s="115">
        <f t="shared" si="43"/>
        <v>3.9548595532390358</v>
      </c>
      <c r="N123" s="115">
        <f t="shared" si="43"/>
        <v>0</v>
      </c>
      <c r="O123" s="115">
        <f t="shared" ca="1" si="43"/>
        <v>0</v>
      </c>
      <c r="P123" s="115">
        <f t="shared" ca="1" si="43"/>
        <v>0</v>
      </c>
      <c r="Q123" s="115">
        <f t="shared" ca="1" si="43"/>
        <v>0</v>
      </c>
      <c r="R123" s="115">
        <f t="shared" ca="1" si="43"/>
        <v>0</v>
      </c>
      <c r="S123" s="115">
        <f t="shared" ca="1" si="43"/>
        <v>0</v>
      </c>
      <c r="T123" s="115"/>
    </row>
    <row r="124" spans="4:20">
      <c r="D124" s="106" t="s">
        <v>133</v>
      </c>
      <c r="E124" s="95"/>
      <c r="F124" s="116">
        <f t="shared" ref="F124:S124" si="44">+F58</f>
        <v>0</v>
      </c>
      <c r="G124" s="116">
        <f t="shared" si="44"/>
        <v>0</v>
      </c>
      <c r="H124" s="116">
        <f t="shared" si="44"/>
        <v>0</v>
      </c>
      <c r="I124" s="116">
        <f t="shared" si="44"/>
        <v>0</v>
      </c>
      <c r="J124" s="116">
        <f t="shared" si="44"/>
        <v>-18.004468664734777</v>
      </c>
      <c r="K124" s="116">
        <f t="shared" si="44"/>
        <v>-6.7527180429793674</v>
      </c>
      <c r="L124" s="116">
        <f t="shared" si="44"/>
        <v>25.138454026318882</v>
      </c>
      <c r="M124" s="116">
        <f t="shared" si="44"/>
        <v>-4.8650405710493061</v>
      </c>
      <c r="N124" s="116">
        <f t="shared" si="44"/>
        <v>0</v>
      </c>
      <c r="O124" s="116">
        <f t="shared" si="44"/>
        <v>0</v>
      </c>
      <c r="P124" s="116">
        <f t="shared" si="44"/>
        <v>0</v>
      </c>
      <c r="Q124" s="116">
        <f t="shared" si="44"/>
        <v>0</v>
      </c>
      <c r="R124" s="116">
        <f t="shared" si="44"/>
        <v>0</v>
      </c>
      <c r="S124" s="116">
        <f t="shared" si="44"/>
        <v>0</v>
      </c>
      <c r="T124" s="115"/>
    </row>
    <row r="125" spans="4:20">
      <c r="D125" s="106" t="s">
        <v>134</v>
      </c>
      <c r="E125" s="95"/>
      <c r="F125" s="116">
        <f t="shared" ref="F125:S125" si="45">+F55</f>
        <v>0</v>
      </c>
      <c r="G125" s="116">
        <f t="shared" si="45"/>
        <v>-1.5</v>
      </c>
      <c r="H125" s="116">
        <f t="shared" si="45"/>
        <v>0.74</v>
      </c>
      <c r="I125" s="116">
        <f t="shared" si="45"/>
        <v>0</v>
      </c>
      <c r="J125" s="116">
        <f t="shared" si="45"/>
        <v>0</v>
      </c>
      <c r="K125" s="116">
        <f t="shared" si="45"/>
        <v>-5</v>
      </c>
      <c r="L125" s="116">
        <f t="shared" si="45"/>
        <v>-5</v>
      </c>
      <c r="M125" s="116">
        <f t="shared" si="45"/>
        <v>-5</v>
      </c>
      <c r="N125" s="116">
        <f t="shared" si="45"/>
        <v>-5</v>
      </c>
      <c r="O125" s="116">
        <f t="shared" si="45"/>
        <v>-5</v>
      </c>
      <c r="P125" s="116">
        <f t="shared" si="45"/>
        <v>-5</v>
      </c>
      <c r="Q125" s="116">
        <f t="shared" si="45"/>
        <v>-5</v>
      </c>
      <c r="R125" s="116">
        <f t="shared" si="45"/>
        <v>-5</v>
      </c>
      <c r="S125" s="116">
        <f t="shared" si="45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46">SUM(G120:G125)</f>
        <v>-16.499999999999993</v>
      </c>
      <c r="H127" s="124">
        <f t="shared" si="46"/>
        <v>-4.6599999999999984</v>
      </c>
      <c r="I127" s="124">
        <f t="shared" si="46"/>
        <v>53.123790752980312</v>
      </c>
      <c r="J127" s="124">
        <f>SUM(J120:J125)</f>
        <v>30.863888898608689</v>
      </c>
      <c r="K127" s="124">
        <f t="shared" si="46"/>
        <v>54.230659495382142</v>
      </c>
      <c r="L127" s="124">
        <f t="shared" si="46"/>
        <v>93.307494382811512</v>
      </c>
      <c r="M127" s="124">
        <f t="shared" si="46"/>
        <v>59.287351410943515</v>
      </c>
      <c r="N127" s="124">
        <f t="shared" ca="1" si="46"/>
        <v>62.428305221334142</v>
      </c>
      <c r="O127" s="124">
        <f t="shared" ca="1" si="46"/>
        <v>64.496951293051993</v>
      </c>
      <c r="P127" s="124">
        <f t="shared" ca="1" si="46"/>
        <v>66.390578408582996</v>
      </c>
      <c r="Q127" s="124">
        <f t="shared" ca="1" si="46"/>
        <v>68.09705589449436</v>
      </c>
      <c r="R127" s="124">
        <f t="shared" ca="1" si="46"/>
        <v>69.605129834144037</v>
      </c>
      <c r="S127" s="124">
        <f t="shared" ca="1" si="46"/>
        <v>70.904532073749621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A25" zoomScaleNormal="100" workbookViewId="0">
      <selection activeCell="N40" sqref="N40"/>
    </sheetView>
  </sheetViews>
  <sheetFormatPr defaultColWidth="8.85546875" defaultRowHeight="12.75"/>
  <cols>
    <col min="1" max="2" width="2.7109375" style="162" customWidth="1"/>
    <col min="3" max="5" width="12" style="162" customWidth="1"/>
    <col min="6" max="7" width="9.140625" style="162"/>
    <col min="8" max="8" width="0.85546875" style="162" customWidth="1"/>
    <col min="9" max="19" width="12.7109375" style="162" customWidth="1"/>
    <col min="20" max="253" width="9.140625" style="162"/>
    <col min="254" max="255" width="2.7109375" style="162" customWidth="1"/>
    <col min="256" max="258" width="12" style="162" customWidth="1"/>
    <col min="259" max="260" width="9.140625" style="162"/>
    <col min="261" max="261" width="0.85546875" style="162" customWidth="1"/>
    <col min="262" max="275" width="7.7109375" style="162" customWidth="1"/>
    <col min="276" max="509" width="9.140625" style="162"/>
    <col min="510" max="511" width="2.7109375" style="162" customWidth="1"/>
    <col min="512" max="514" width="12" style="162" customWidth="1"/>
    <col min="515" max="516" width="9.140625" style="162"/>
    <col min="517" max="517" width="0.85546875" style="162" customWidth="1"/>
    <col min="518" max="531" width="7.7109375" style="162" customWidth="1"/>
    <col min="532" max="765" width="9.140625" style="162"/>
    <col min="766" max="767" width="2.7109375" style="162" customWidth="1"/>
    <col min="768" max="770" width="12" style="162" customWidth="1"/>
    <col min="771" max="772" width="9.140625" style="162"/>
    <col min="773" max="773" width="0.85546875" style="162" customWidth="1"/>
    <col min="774" max="787" width="7.7109375" style="162" customWidth="1"/>
    <col min="788" max="1021" width="9.140625" style="162"/>
    <col min="1022" max="1023" width="2.7109375" style="162" customWidth="1"/>
    <col min="1024" max="1026" width="12" style="162" customWidth="1"/>
    <col min="1027" max="1028" width="9.140625" style="162"/>
    <col min="1029" max="1029" width="0.85546875" style="162" customWidth="1"/>
    <col min="1030" max="1043" width="7.7109375" style="162" customWidth="1"/>
    <col min="1044" max="1277" width="9.140625" style="162"/>
    <col min="1278" max="1279" width="2.7109375" style="162" customWidth="1"/>
    <col min="1280" max="1282" width="12" style="162" customWidth="1"/>
    <col min="1283" max="1284" width="9.140625" style="162"/>
    <col min="1285" max="1285" width="0.85546875" style="162" customWidth="1"/>
    <col min="1286" max="1299" width="7.7109375" style="162" customWidth="1"/>
    <col min="1300" max="1533" width="9.140625" style="162"/>
    <col min="1534" max="1535" width="2.7109375" style="162" customWidth="1"/>
    <col min="1536" max="1538" width="12" style="162" customWidth="1"/>
    <col min="1539" max="1540" width="9.140625" style="162"/>
    <col min="1541" max="1541" width="0.85546875" style="162" customWidth="1"/>
    <col min="1542" max="1555" width="7.7109375" style="162" customWidth="1"/>
    <col min="1556" max="1789" width="9.140625" style="162"/>
    <col min="1790" max="1791" width="2.7109375" style="162" customWidth="1"/>
    <col min="1792" max="1794" width="12" style="162" customWidth="1"/>
    <col min="1795" max="1796" width="9.140625" style="162"/>
    <col min="1797" max="1797" width="0.85546875" style="162" customWidth="1"/>
    <col min="1798" max="1811" width="7.7109375" style="162" customWidth="1"/>
    <col min="1812" max="2045" width="9.140625" style="162"/>
    <col min="2046" max="2047" width="2.7109375" style="162" customWidth="1"/>
    <col min="2048" max="2050" width="12" style="162" customWidth="1"/>
    <col min="2051" max="2052" width="9.140625" style="162"/>
    <col min="2053" max="2053" width="0.85546875" style="162" customWidth="1"/>
    <col min="2054" max="2067" width="7.7109375" style="162" customWidth="1"/>
    <col min="2068" max="2301" width="9.140625" style="162"/>
    <col min="2302" max="2303" width="2.7109375" style="162" customWidth="1"/>
    <col min="2304" max="2306" width="12" style="162" customWidth="1"/>
    <col min="2307" max="2308" width="9.140625" style="162"/>
    <col min="2309" max="2309" width="0.85546875" style="162" customWidth="1"/>
    <col min="2310" max="2323" width="7.7109375" style="162" customWidth="1"/>
    <col min="2324" max="2557" width="9.140625" style="162"/>
    <col min="2558" max="2559" width="2.7109375" style="162" customWidth="1"/>
    <col min="2560" max="2562" width="12" style="162" customWidth="1"/>
    <col min="2563" max="2564" width="9.140625" style="162"/>
    <col min="2565" max="2565" width="0.85546875" style="162" customWidth="1"/>
    <col min="2566" max="2579" width="7.7109375" style="162" customWidth="1"/>
    <col min="2580" max="2813" width="9.140625" style="162"/>
    <col min="2814" max="2815" width="2.7109375" style="162" customWidth="1"/>
    <col min="2816" max="2818" width="12" style="162" customWidth="1"/>
    <col min="2819" max="2820" width="9.140625" style="162"/>
    <col min="2821" max="2821" width="0.85546875" style="162" customWidth="1"/>
    <col min="2822" max="2835" width="7.7109375" style="162" customWidth="1"/>
    <col min="2836" max="3069" width="9.140625" style="162"/>
    <col min="3070" max="3071" width="2.7109375" style="162" customWidth="1"/>
    <col min="3072" max="3074" width="12" style="162" customWidth="1"/>
    <col min="3075" max="3076" width="9.140625" style="162"/>
    <col min="3077" max="3077" width="0.85546875" style="162" customWidth="1"/>
    <col min="3078" max="3091" width="7.7109375" style="162" customWidth="1"/>
    <col min="3092" max="3325" width="9.140625" style="162"/>
    <col min="3326" max="3327" width="2.7109375" style="162" customWidth="1"/>
    <col min="3328" max="3330" width="12" style="162" customWidth="1"/>
    <col min="3331" max="3332" width="9.140625" style="162"/>
    <col min="3333" max="3333" width="0.85546875" style="162" customWidth="1"/>
    <col min="3334" max="3347" width="7.7109375" style="162" customWidth="1"/>
    <col min="3348" max="3581" width="9.140625" style="162"/>
    <col min="3582" max="3583" width="2.7109375" style="162" customWidth="1"/>
    <col min="3584" max="3586" width="12" style="162" customWidth="1"/>
    <col min="3587" max="3588" width="9.140625" style="162"/>
    <col min="3589" max="3589" width="0.85546875" style="162" customWidth="1"/>
    <col min="3590" max="3603" width="7.7109375" style="162" customWidth="1"/>
    <col min="3604" max="3837" width="9.140625" style="162"/>
    <col min="3838" max="3839" width="2.7109375" style="162" customWidth="1"/>
    <col min="3840" max="3842" width="12" style="162" customWidth="1"/>
    <col min="3843" max="3844" width="9.140625" style="162"/>
    <col min="3845" max="3845" width="0.85546875" style="162" customWidth="1"/>
    <col min="3846" max="3859" width="7.7109375" style="162" customWidth="1"/>
    <col min="3860" max="4093" width="9.140625" style="162"/>
    <col min="4094" max="4095" width="2.7109375" style="162" customWidth="1"/>
    <col min="4096" max="4098" width="12" style="162" customWidth="1"/>
    <col min="4099" max="4100" width="9.140625" style="162"/>
    <col min="4101" max="4101" width="0.85546875" style="162" customWidth="1"/>
    <col min="4102" max="4115" width="7.7109375" style="162" customWidth="1"/>
    <col min="4116" max="4349" width="9.140625" style="162"/>
    <col min="4350" max="4351" width="2.7109375" style="162" customWidth="1"/>
    <col min="4352" max="4354" width="12" style="162" customWidth="1"/>
    <col min="4355" max="4356" width="9.140625" style="162"/>
    <col min="4357" max="4357" width="0.85546875" style="162" customWidth="1"/>
    <col min="4358" max="4371" width="7.7109375" style="162" customWidth="1"/>
    <col min="4372" max="4605" width="9.140625" style="162"/>
    <col min="4606" max="4607" width="2.7109375" style="162" customWidth="1"/>
    <col min="4608" max="4610" width="12" style="162" customWidth="1"/>
    <col min="4611" max="4612" width="9.140625" style="162"/>
    <col min="4613" max="4613" width="0.85546875" style="162" customWidth="1"/>
    <col min="4614" max="4627" width="7.7109375" style="162" customWidth="1"/>
    <col min="4628" max="4861" width="9.140625" style="162"/>
    <col min="4862" max="4863" width="2.7109375" style="162" customWidth="1"/>
    <col min="4864" max="4866" width="12" style="162" customWidth="1"/>
    <col min="4867" max="4868" width="9.140625" style="162"/>
    <col min="4869" max="4869" width="0.85546875" style="162" customWidth="1"/>
    <col min="4870" max="4883" width="7.7109375" style="162" customWidth="1"/>
    <col min="4884" max="5117" width="9.140625" style="162"/>
    <col min="5118" max="5119" width="2.7109375" style="162" customWidth="1"/>
    <col min="5120" max="5122" width="12" style="162" customWidth="1"/>
    <col min="5123" max="5124" width="9.140625" style="162"/>
    <col min="5125" max="5125" width="0.85546875" style="162" customWidth="1"/>
    <col min="5126" max="5139" width="7.7109375" style="162" customWidth="1"/>
    <col min="5140" max="5373" width="9.140625" style="162"/>
    <col min="5374" max="5375" width="2.7109375" style="162" customWidth="1"/>
    <col min="5376" max="5378" width="12" style="162" customWidth="1"/>
    <col min="5379" max="5380" width="9.140625" style="162"/>
    <col min="5381" max="5381" width="0.85546875" style="162" customWidth="1"/>
    <col min="5382" max="5395" width="7.7109375" style="162" customWidth="1"/>
    <col min="5396" max="5629" width="9.140625" style="162"/>
    <col min="5630" max="5631" width="2.7109375" style="162" customWidth="1"/>
    <col min="5632" max="5634" width="12" style="162" customWidth="1"/>
    <col min="5635" max="5636" width="9.140625" style="162"/>
    <col min="5637" max="5637" width="0.85546875" style="162" customWidth="1"/>
    <col min="5638" max="5651" width="7.7109375" style="162" customWidth="1"/>
    <col min="5652" max="5885" width="9.140625" style="162"/>
    <col min="5886" max="5887" width="2.7109375" style="162" customWidth="1"/>
    <col min="5888" max="5890" width="12" style="162" customWidth="1"/>
    <col min="5891" max="5892" width="9.140625" style="162"/>
    <col min="5893" max="5893" width="0.85546875" style="162" customWidth="1"/>
    <col min="5894" max="5907" width="7.7109375" style="162" customWidth="1"/>
    <col min="5908" max="6141" width="9.140625" style="162"/>
    <col min="6142" max="6143" width="2.7109375" style="162" customWidth="1"/>
    <col min="6144" max="6146" width="12" style="162" customWidth="1"/>
    <col min="6147" max="6148" width="9.140625" style="162"/>
    <col min="6149" max="6149" width="0.85546875" style="162" customWidth="1"/>
    <col min="6150" max="6163" width="7.7109375" style="162" customWidth="1"/>
    <col min="6164" max="6397" width="9.140625" style="162"/>
    <col min="6398" max="6399" width="2.7109375" style="162" customWidth="1"/>
    <col min="6400" max="6402" width="12" style="162" customWidth="1"/>
    <col min="6403" max="6404" width="9.140625" style="162"/>
    <col min="6405" max="6405" width="0.85546875" style="162" customWidth="1"/>
    <col min="6406" max="6419" width="7.7109375" style="162" customWidth="1"/>
    <col min="6420" max="6653" width="9.140625" style="162"/>
    <col min="6654" max="6655" width="2.7109375" style="162" customWidth="1"/>
    <col min="6656" max="6658" width="12" style="162" customWidth="1"/>
    <col min="6659" max="6660" width="9.140625" style="162"/>
    <col min="6661" max="6661" width="0.85546875" style="162" customWidth="1"/>
    <col min="6662" max="6675" width="7.7109375" style="162" customWidth="1"/>
    <col min="6676" max="6909" width="9.140625" style="162"/>
    <col min="6910" max="6911" width="2.7109375" style="162" customWidth="1"/>
    <col min="6912" max="6914" width="12" style="162" customWidth="1"/>
    <col min="6915" max="6916" width="9.140625" style="162"/>
    <col min="6917" max="6917" width="0.85546875" style="162" customWidth="1"/>
    <col min="6918" max="6931" width="7.7109375" style="162" customWidth="1"/>
    <col min="6932" max="7165" width="9.140625" style="162"/>
    <col min="7166" max="7167" width="2.7109375" style="162" customWidth="1"/>
    <col min="7168" max="7170" width="12" style="162" customWidth="1"/>
    <col min="7171" max="7172" width="9.140625" style="162"/>
    <col min="7173" max="7173" width="0.85546875" style="162" customWidth="1"/>
    <col min="7174" max="7187" width="7.7109375" style="162" customWidth="1"/>
    <col min="7188" max="7421" width="9.140625" style="162"/>
    <col min="7422" max="7423" width="2.7109375" style="162" customWidth="1"/>
    <col min="7424" max="7426" width="12" style="162" customWidth="1"/>
    <col min="7427" max="7428" width="9.140625" style="162"/>
    <col min="7429" max="7429" width="0.85546875" style="162" customWidth="1"/>
    <col min="7430" max="7443" width="7.7109375" style="162" customWidth="1"/>
    <col min="7444" max="7677" width="9.140625" style="162"/>
    <col min="7678" max="7679" width="2.7109375" style="162" customWidth="1"/>
    <col min="7680" max="7682" width="12" style="162" customWidth="1"/>
    <col min="7683" max="7684" width="9.140625" style="162"/>
    <col min="7685" max="7685" width="0.85546875" style="162" customWidth="1"/>
    <col min="7686" max="7699" width="7.7109375" style="162" customWidth="1"/>
    <col min="7700" max="7933" width="9.140625" style="162"/>
    <col min="7934" max="7935" width="2.7109375" style="162" customWidth="1"/>
    <col min="7936" max="7938" width="12" style="162" customWidth="1"/>
    <col min="7939" max="7940" width="9.140625" style="162"/>
    <col min="7941" max="7941" width="0.85546875" style="162" customWidth="1"/>
    <col min="7942" max="7955" width="7.7109375" style="162" customWidth="1"/>
    <col min="7956" max="8189" width="9.140625" style="162"/>
    <col min="8190" max="8191" width="2.7109375" style="162" customWidth="1"/>
    <col min="8192" max="8194" width="12" style="162" customWidth="1"/>
    <col min="8195" max="8196" width="9.140625" style="162"/>
    <col min="8197" max="8197" width="0.85546875" style="162" customWidth="1"/>
    <col min="8198" max="8211" width="7.7109375" style="162" customWidth="1"/>
    <col min="8212" max="8445" width="9.140625" style="162"/>
    <col min="8446" max="8447" width="2.7109375" style="162" customWidth="1"/>
    <col min="8448" max="8450" width="12" style="162" customWidth="1"/>
    <col min="8451" max="8452" width="9.140625" style="162"/>
    <col min="8453" max="8453" width="0.85546875" style="162" customWidth="1"/>
    <col min="8454" max="8467" width="7.7109375" style="162" customWidth="1"/>
    <col min="8468" max="8701" width="9.140625" style="162"/>
    <col min="8702" max="8703" width="2.7109375" style="162" customWidth="1"/>
    <col min="8704" max="8706" width="12" style="162" customWidth="1"/>
    <col min="8707" max="8708" width="9.140625" style="162"/>
    <col min="8709" max="8709" width="0.85546875" style="162" customWidth="1"/>
    <col min="8710" max="8723" width="7.7109375" style="162" customWidth="1"/>
    <col min="8724" max="8957" width="9.140625" style="162"/>
    <col min="8958" max="8959" width="2.7109375" style="162" customWidth="1"/>
    <col min="8960" max="8962" width="12" style="162" customWidth="1"/>
    <col min="8963" max="8964" width="9.140625" style="162"/>
    <col min="8965" max="8965" width="0.85546875" style="162" customWidth="1"/>
    <col min="8966" max="8979" width="7.7109375" style="162" customWidth="1"/>
    <col min="8980" max="9213" width="9.140625" style="162"/>
    <col min="9214" max="9215" width="2.7109375" style="162" customWidth="1"/>
    <col min="9216" max="9218" width="12" style="162" customWidth="1"/>
    <col min="9219" max="9220" width="9.140625" style="162"/>
    <col min="9221" max="9221" width="0.85546875" style="162" customWidth="1"/>
    <col min="9222" max="9235" width="7.7109375" style="162" customWidth="1"/>
    <col min="9236" max="9469" width="9.140625" style="162"/>
    <col min="9470" max="9471" width="2.7109375" style="162" customWidth="1"/>
    <col min="9472" max="9474" width="12" style="162" customWidth="1"/>
    <col min="9475" max="9476" width="9.140625" style="162"/>
    <col min="9477" max="9477" width="0.85546875" style="162" customWidth="1"/>
    <col min="9478" max="9491" width="7.7109375" style="162" customWidth="1"/>
    <col min="9492" max="9725" width="9.140625" style="162"/>
    <col min="9726" max="9727" width="2.7109375" style="162" customWidth="1"/>
    <col min="9728" max="9730" width="12" style="162" customWidth="1"/>
    <col min="9731" max="9732" width="9.140625" style="162"/>
    <col min="9733" max="9733" width="0.85546875" style="162" customWidth="1"/>
    <col min="9734" max="9747" width="7.7109375" style="162" customWidth="1"/>
    <col min="9748" max="9981" width="9.140625" style="162"/>
    <col min="9982" max="9983" width="2.7109375" style="162" customWidth="1"/>
    <col min="9984" max="9986" width="12" style="162" customWidth="1"/>
    <col min="9987" max="9988" width="9.140625" style="162"/>
    <col min="9989" max="9989" width="0.85546875" style="162" customWidth="1"/>
    <col min="9990" max="10003" width="7.7109375" style="162" customWidth="1"/>
    <col min="10004" max="10237" width="9.140625" style="162"/>
    <col min="10238" max="10239" width="2.7109375" style="162" customWidth="1"/>
    <col min="10240" max="10242" width="12" style="162" customWidth="1"/>
    <col min="10243" max="10244" width="9.140625" style="162"/>
    <col min="10245" max="10245" width="0.85546875" style="162" customWidth="1"/>
    <col min="10246" max="10259" width="7.7109375" style="162" customWidth="1"/>
    <col min="10260" max="10493" width="9.140625" style="162"/>
    <col min="10494" max="10495" width="2.7109375" style="162" customWidth="1"/>
    <col min="10496" max="10498" width="12" style="162" customWidth="1"/>
    <col min="10499" max="10500" width="9.140625" style="162"/>
    <col min="10501" max="10501" width="0.85546875" style="162" customWidth="1"/>
    <col min="10502" max="10515" width="7.7109375" style="162" customWidth="1"/>
    <col min="10516" max="10749" width="9.140625" style="162"/>
    <col min="10750" max="10751" width="2.7109375" style="162" customWidth="1"/>
    <col min="10752" max="10754" width="12" style="162" customWidth="1"/>
    <col min="10755" max="10756" width="9.140625" style="162"/>
    <col min="10757" max="10757" width="0.85546875" style="162" customWidth="1"/>
    <col min="10758" max="10771" width="7.7109375" style="162" customWidth="1"/>
    <col min="10772" max="11005" width="9.140625" style="162"/>
    <col min="11006" max="11007" width="2.7109375" style="162" customWidth="1"/>
    <col min="11008" max="11010" width="12" style="162" customWidth="1"/>
    <col min="11011" max="11012" width="9.140625" style="162"/>
    <col min="11013" max="11013" width="0.85546875" style="162" customWidth="1"/>
    <col min="11014" max="11027" width="7.7109375" style="162" customWidth="1"/>
    <col min="11028" max="11261" width="9.140625" style="162"/>
    <col min="11262" max="11263" width="2.7109375" style="162" customWidth="1"/>
    <col min="11264" max="11266" width="12" style="162" customWidth="1"/>
    <col min="11267" max="11268" width="9.140625" style="162"/>
    <col min="11269" max="11269" width="0.85546875" style="162" customWidth="1"/>
    <col min="11270" max="11283" width="7.7109375" style="162" customWidth="1"/>
    <col min="11284" max="11517" width="9.140625" style="162"/>
    <col min="11518" max="11519" width="2.7109375" style="162" customWidth="1"/>
    <col min="11520" max="11522" width="12" style="162" customWidth="1"/>
    <col min="11523" max="11524" width="9.140625" style="162"/>
    <col min="11525" max="11525" width="0.85546875" style="162" customWidth="1"/>
    <col min="11526" max="11539" width="7.7109375" style="162" customWidth="1"/>
    <col min="11540" max="11773" width="9.140625" style="162"/>
    <col min="11774" max="11775" width="2.7109375" style="162" customWidth="1"/>
    <col min="11776" max="11778" width="12" style="162" customWidth="1"/>
    <col min="11779" max="11780" width="9.140625" style="162"/>
    <col min="11781" max="11781" width="0.85546875" style="162" customWidth="1"/>
    <col min="11782" max="11795" width="7.7109375" style="162" customWidth="1"/>
    <col min="11796" max="12029" width="9.140625" style="162"/>
    <col min="12030" max="12031" width="2.7109375" style="162" customWidth="1"/>
    <col min="12032" max="12034" width="12" style="162" customWidth="1"/>
    <col min="12035" max="12036" width="9.140625" style="162"/>
    <col min="12037" max="12037" width="0.85546875" style="162" customWidth="1"/>
    <col min="12038" max="12051" width="7.7109375" style="162" customWidth="1"/>
    <col min="12052" max="12285" width="9.140625" style="162"/>
    <col min="12286" max="12287" width="2.7109375" style="162" customWidth="1"/>
    <col min="12288" max="12290" width="12" style="162" customWidth="1"/>
    <col min="12291" max="12292" width="9.140625" style="162"/>
    <col min="12293" max="12293" width="0.85546875" style="162" customWidth="1"/>
    <col min="12294" max="12307" width="7.7109375" style="162" customWidth="1"/>
    <col min="12308" max="12541" width="9.140625" style="162"/>
    <col min="12542" max="12543" width="2.7109375" style="162" customWidth="1"/>
    <col min="12544" max="12546" width="12" style="162" customWidth="1"/>
    <col min="12547" max="12548" width="9.140625" style="162"/>
    <col min="12549" max="12549" width="0.85546875" style="162" customWidth="1"/>
    <col min="12550" max="12563" width="7.7109375" style="162" customWidth="1"/>
    <col min="12564" max="12797" width="9.140625" style="162"/>
    <col min="12798" max="12799" width="2.7109375" style="162" customWidth="1"/>
    <col min="12800" max="12802" width="12" style="162" customWidth="1"/>
    <col min="12803" max="12804" width="9.140625" style="162"/>
    <col min="12805" max="12805" width="0.85546875" style="162" customWidth="1"/>
    <col min="12806" max="12819" width="7.7109375" style="162" customWidth="1"/>
    <col min="12820" max="13053" width="9.140625" style="162"/>
    <col min="13054" max="13055" width="2.7109375" style="162" customWidth="1"/>
    <col min="13056" max="13058" width="12" style="162" customWidth="1"/>
    <col min="13059" max="13060" width="9.140625" style="162"/>
    <col min="13061" max="13061" width="0.85546875" style="162" customWidth="1"/>
    <col min="13062" max="13075" width="7.7109375" style="162" customWidth="1"/>
    <col min="13076" max="13309" width="9.140625" style="162"/>
    <col min="13310" max="13311" width="2.7109375" style="162" customWidth="1"/>
    <col min="13312" max="13314" width="12" style="162" customWidth="1"/>
    <col min="13315" max="13316" width="9.140625" style="162"/>
    <col min="13317" max="13317" width="0.85546875" style="162" customWidth="1"/>
    <col min="13318" max="13331" width="7.7109375" style="162" customWidth="1"/>
    <col min="13332" max="13565" width="9.140625" style="162"/>
    <col min="13566" max="13567" width="2.7109375" style="162" customWidth="1"/>
    <col min="13568" max="13570" width="12" style="162" customWidth="1"/>
    <col min="13571" max="13572" width="9.140625" style="162"/>
    <col min="13573" max="13573" width="0.85546875" style="162" customWidth="1"/>
    <col min="13574" max="13587" width="7.7109375" style="162" customWidth="1"/>
    <col min="13588" max="13821" width="9.140625" style="162"/>
    <col min="13822" max="13823" width="2.7109375" style="162" customWidth="1"/>
    <col min="13824" max="13826" width="12" style="162" customWidth="1"/>
    <col min="13827" max="13828" width="9.140625" style="162"/>
    <col min="13829" max="13829" width="0.85546875" style="162" customWidth="1"/>
    <col min="13830" max="13843" width="7.7109375" style="162" customWidth="1"/>
    <col min="13844" max="14077" width="9.140625" style="162"/>
    <col min="14078" max="14079" width="2.7109375" style="162" customWidth="1"/>
    <col min="14080" max="14082" width="12" style="162" customWidth="1"/>
    <col min="14083" max="14084" width="9.140625" style="162"/>
    <col min="14085" max="14085" width="0.85546875" style="162" customWidth="1"/>
    <col min="14086" max="14099" width="7.7109375" style="162" customWidth="1"/>
    <col min="14100" max="14333" width="9.140625" style="162"/>
    <col min="14334" max="14335" width="2.7109375" style="162" customWidth="1"/>
    <col min="14336" max="14338" width="12" style="162" customWidth="1"/>
    <col min="14339" max="14340" width="9.140625" style="162"/>
    <col min="14341" max="14341" width="0.85546875" style="162" customWidth="1"/>
    <col min="14342" max="14355" width="7.7109375" style="162" customWidth="1"/>
    <col min="14356" max="14589" width="9.140625" style="162"/>
    <col min="14590" max="14591" width="2.7109375" style="162" customWidth="1"/>
    <col min="14592" max="14594" width="12" style="162" customWidth="1"/>
    <col min="14595" max="14596" width="9.140625" style="162"/>
    <col min="14597" max="14597" width="0.85546875" style="162" customWidth="1"/>
    <col min="14598" max="14611" width="7.7109375" style="162" customWidth="1"/>
    <col min="14612" max="14845" width="9.140625" style="162"/>
    <col min="14846" max="14847" width="2.7109375" style="162" customWidth="1"/>
    <col min="14848" max="14850" width="12" style="162" customWidth="1"/>
    <col min="14851" max="14852" width="9.140625" style="162"/>
    <col min="14853" max="14853" width="0.85546875" style="162" customWidth="1"/>
    <col min="14854" max="14867" width="7.7109375" style="162" customWidth="1"/>
    <col min="14868" max="15101" width="9.140625" style="162"/>
    <col min="15102" max="15103" width="2.7109375" style="162" customWidth="1"/>
    <col min="15104" max="15106" width="12" style="162" customWidth="1"/>
    <col min="15107" max="15108" width="9.140625" style="162"/>
    <col min="15109" max="15109" width="0.85546875" style="162" customWidth="1"/>
    <col min="15110" max="15123" width="7.7109375" style="162" customWidth="1"/>
    <col min="15124" max="15357" width="9.140625" style="162"/>
    <col min="15358" max="15359" width="2.7109375" style="162" customWidth="1"/>
    <col min="15360" max="15362" width="12" style="162" customWidth="1"/>
    <col min="15363" max="15364" width="9.140625" style="162"/>
    <col min="15365" max="15365" width="0.85546875" style="162" customWidth="1"/>
    <col min="15366" max="15379" width="7.7109375" style="162" customWidth="1"/>
    <col min="15380" max="15613" width="9.140625" style="162"/>
    <col min="15614" max="15615" width="2.7109375" style="162" customWidth="1"/>
    <col min="15616" max="15618" width="12" style="162" customWidth="1"/>
    <col min="15619" max="15620" width="9.140625" style="162"/>
    <col min="15621" max="15621" width="0.85546875" style="162" customWidth="1"/>
    <col min="15622" max="15635" width="7.7109375" style="162" customWidth="1"/>
    <col min="15636" max="15869" width="9.140625" style="162"/>
    <col min="15870" max="15871" width="2.7109375" style="162" customWidth="1"/>
    <col min="15872" max="15874" width="12" style="162" customWidth="1"/>
    <col min="15875" max="15876" width="9.140625" style="162"/>
    <col min="15877" max="15877" width="0.85546875" style="162" customWidth="1"/>
    <col min="15878" max="15891" width="7.7109375" style="162" customWidth="1"/>
    <col min="15892" max="16125" width="9.140625" style="162"/>
    <col min="16126" max="16127" width="2.7109375" style="162" customWidth="1"/>
    <col min="16128" max="16130" width="12" style="162" customWidth="1"/>
    <col min="16131" max="16132" width="9.140625" style="162"/>
    <col min="16133" max="16133" width="0.85546875" style="162" customWidth="1"/>
    <col min="16134" max="16147" width="7.7109375" style="162" customWidth="1"/>
    <col min="16148" max="16384" width="9.140625" style="162"/>
  </cols>
  <sheetData>
    <row r="1" spans="1:21" ht="13.5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5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5.9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5.9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1149.2312142121568</v>
      </c>
      <c r="J9" s="213">
        <f>'DCF input'!J24</f>
        <v>1255.6304578332745</v>
      </c>
      <c r="K9" s="213">
        <f>'DCF input'!K24</f>
        <v>1353.8373857301615</v>
      </c>
      <c r="L9" s="213">
        <f>'DCF input'!L24</f>
        <v>1446.9754795854415</v>
      </c>
      <c r="M9" s="213">
        <f>'DCF input'!M24</f>
        <v>1442.6203434361953</v>
      </c>
      <c r="N9" s="213">
        <f>'DCF input'!N24</f>
        <v>1471.4727503049191</v>
      </c>
      <c r="O9" s="213">
        <f ca="1">'DCF input'!O24</f>
        <v>1497.9592598104077</v>
      </c>
      <c r="P9" s="213">
        <f ca="1">'DCF input'!P24</f>
        <v>1521.9266079673744</v>
      </c>
      <c r="Q9" s="213">
        <f ca="1">'DCF input'!Q24</f>
        <v>1543.2335804789177</v>
      </c>
      <c r="R9" s="213">
        <f ca="1">'DCF input'!R24</f>
        <v>1561.7523834446647</v>
      </c>
      <c r="S9" s="213">
        <f ca="1">'DCF input'!S24</f>
        <v>1577.3699072791114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9.2582973996280238E-2</v>
      </c>
      <c r="K10" s="215">
        <f t="shared" si="10"/>
        <v>7.8213241232100827E-2</v>
      </c>
      <c r="L10" s="215">
        <f t="shared" si="10"/>
        <v>6.879562851268739E-2</v>
      </c>
      <c r="M10" s="215">
        <f t="shared" si="10"/>
        <v>-3.0098202842344657E-3</v>
      </c>
      <c r="N10" s="215">
        <f t="shared" si="10"/>
        <v>2.0000000000000018E-2</v>
      </c>
      <c r="O10" s="215">
        <f t="shared" ca="1" si="10"/>
        <v>1.8000000000000016E-2</v>
      </c>
      <c r="P10" s="215">
        <f t="shared" ca="1" si="10"/>
        <v>1.6000000000000014E-2</v>
      </c>
      <c r="Q10" s="215">
        <f t="shared" ca="1" si="10"/>
        <v>1.4000000000000012E-2</v>
      </c>
      <c r="R10" s="215">
        <f t="shared" ca="1" si="10"/>
        <v>1.2000000000000011E-2</v>
      </c>
      <c r="S10" s="215">
        <f t="shared" ca="1" si="10"/>
        <v>1.0000000000000009E-2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94.147209662938664</v>
      </c>
      <c r="J11" s="213">
        <f>'DCF input'!J27</f>
        <v>92.625305088518957</v>
      </c>
      <c r="K11" s="213">
        <f>'DCF input'!K27</f>
        <v>111.79673623719195</v>
      </c>
      <c r="L11" s="213">
        <f>'DCF input'!L27</f>
        <v>124.39494101920255</v>
      </c>
      <c r="M11" s="213">
        <f>'DCF input'!M27</f>
        <v>127.56812935492377</v>
      </c>
      <c r="N11" s="213">
        <f ca="1">'DCF input'!N27</f>
        <v>130.50500120625895</v>
      </c>
      <c r="O11" s="213">
        <f ca="1">'DCF input'!O27</f>
        <v>133.24653965896459</v>
      </c>
      <c r="P11" s="213">
        <f ca="1">'DCF input'!P27</f>
        <v>135.77721189939695</v>
      </c>
      <c r="Q11" s="213">
        <f ca="1">'DCF input'!Q27</f>
        <v>138.08240265835985</v>
      </c>
      <c r="R11" s="213">
        <f ca="1">'DCF input'!R27</f>
        <v>140.14855300014</v>
      </c>
      <c r="S11" s="213">
        <f ca="1">'DCF input'!S27</f>
        <v>141.96329165512003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8.1921904398916168E-2</v>
      </c>
      <c r="J12" s="215">
        <f t="shared" si="11"/>
        <v>7.3767966132610302E-2</v>
      </c>
      <c r="K12" s="215">
        <f t="shared" si="11"/>
        <v>8.2577669530744205E-2</v>
      </c>
      <c r="L12" s="215">
        <f t="shared" si="11"/>
        <v>8.5968935047082973E-2</v>
      </c>
      <c r="M12" s="215">
        <f t="shared" si="11"/>
        <v>8.8428067672377098E-2</v>
      </c>
      <c r="N12" s="215">
        <f t="shared" ca="1" si="11"/>
        <v>8.8690056393647562E-2</v>
      </c>
      <c r="O12" s="215">
        <f t="shared" ca="1" si="11"/>
        <v>8.8952045114918027E-2</v>
      </c>
      <c r="P12" s="215">
        <f t="shared" ca="1" si="11"/>
        <v>8.9214033836188505E-2</v>
      </c>
      <c r="Q12" s="215">
        <f t="shared" ca="1" si="11"/>
        <v>8.9476022557458998E-2</v>
      </c>
      <c r="R12" s="215">
        <f t="shared" ca="1" si="11"/>
        <v>8.9738011278729504E-2</v>
      </c>
      <c r="S12" s="215">
        <f t="shared" ca="1" si="11"/>
        <v>0.09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-1.6165158583757888E-2</v>
      </c>
      <c r="K13" s="215">
        <f t="shared" si="12"/>
        <v>0.20697833200496873</v>
      </c>
      <c r="L13" s="215">
        <f t="shared" si="12"/>
        <v>0.1126884845303695</v>
      </c>
      <c r="M13" s="215">
        <f t="shared" si="12"/>
        <v>2.5508982195918906E-2</v>
      </c>
      <c r="N13" s="215">
        <f t="shared" ca="1" si="12"/>
        <v>2.302198727994309E-2</v>
      </c>
      <c r="O13" s="215">
        <f t="shared" ca="1" si="12"/>
        <v>2.1007152426079978E-2</v>
      </c>
      <c r="P13" s="215">
        <f t="shared" ca="1" si="12"/>
        <v>1.8992404957828057E-2</v>
      </c>
      <c r="Q13" s="215">
        <f t="shared" ca="1" si="12"/>
        <v>1.6977744105328485E-2</v>
      </c>
      <c r="R13" s="215">
        <f t="shared" ca="1" si="12"/>
        <v>1.4963169107740315E-2</v>
      </c>
      <c r="S13" s="215">
        <f t="shared" ca="1" si="12"/>
        <v>1.2948679213107717E-2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-36.129215400000028</v>
      </c>
      <c r="J14" s="217">
        <f>'DCF input'!J31</f>
        <v>-40.455293523349013</v>
      </c>
      <c r="K14" s="217">
        <f>'DCF input'!K31</f>
        <v>-47.195257615808735</v>
      </c>
      <c r="L14" s="217">
        <f>'DCF input'!L31</f>
        <v>-51.829543587564167</v>
      </c>
      <c r="M14" s="217">
        <f>'DCF input'!M31</f>
        <v>-54.799912142159194</v>
      </c>
      <c r="N14" s="217">
        <f ca="1">'DCF input'!N31</f>
        <v>-53.583260118465994</v>
      </c>
      <c r="O14" s="217">
        <f ca="1">'DCF input'!O31</f>
        <v>-52.366608094772801</v>
      </c>
      <c r="P14" s="217">
        <f ca="1">'DCF input'!P31</f>
        <v>-51.149956071079608</v>
      </c>
      <c r="Q14" s="217">
        <f ca="1">'DCF input'!Q31</f>
        <v>-49.933304047386407</v>
      </c>
      <c r="R14" s="217">
        <f ca="1">'DCF input'!R31</f>
        <v>-48.7166520236932</v>
      </c>
      <c r="S14" s="217">
        <f>'DCF input'!S31</f>
        <v>-47.5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3.1437725457855774E-2</v>
      </c>
      <c r="J15" s="215">
        <f t="shared" si="13"/>
        <v>3.2219108154766314E-2</v>
      </c>
      <c r="K15" s="215">
        <f t="shared" si="13"/>
        <v>3.4860359237571983E-2</v>
      </c>
      <c r="L15" s="215">
        <f t="shared" si="13"/>
        <v>3.581922729085453E-2</v>
      </c>
      <c r="M15" s="215">
        <f t="shared" si="13"/>
        <v>3.7986371391124714E-2</v>
      </c>
      <c r="N15" s="215">
        <f t="shared" ca="1" si="13"/>
        <v>3.641471451466733E-2</v>
      </c>
      <c r="O15" s="215">
        <f t="shared" ca="1" si="13"/>
        <v>3.4958633054813976E-2</v>
      </c>
      <c r="P15" s="215">
        <f t="shared" ca="1" si="13"/>
        <v>3.3608687701040647E-2</v>
      </c>
      <c r="Q15" s="215">
        <f t="shared" ca="1" si="13"/>
        <v>3.2356284025319364E-2</v>
      </c>
      <c r="R15" s="215">
        <f t="shared" ca="1" si="13"/>
        <v>3.1193582631993021E-2</v>
      </c>
      <c r="S15" s="215">
        <f t="shared" ca="1" si="13"/>
        <v>3.0113418406678784E-2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0.79324104947743168</v>
      </c>
      <c r="K16" s="215">
        <f>+K14/K21</f>
        <v>0.94390515231617467</v>
      </c>
      <c r="L16" s="215">
        <f t="shared" ref="L16:S16" si="14">+L14/L21</f>
        <v>1.0365908717512833</v>
      </c>
      <c r="M16" s="215">
        <f t="shared" si="14"/>
        <v>1.0959982428431838</v>
      </c>
      <c r="N16" s="215">
        <f t="shared" ca="1" si="14"/>
        <v>1.0716652023693198</v>
      </c>
      <c r="O16" s="215">
        <f t="shared" ca="1" si="14"/>
        <v>1.0473321618954561</v>
      </c>
      <c r="P16" s="215">
        <f t="shared" ca="1" si="14"/>
        <v>1.0229991214215921</v>
      </c>
      <c r="Q16" s="215">
        <f t="shared" ca="1" si="14"/>
        <v>0.99866608094772813</v>
      </c>
      <c r="R16" s="215">
        <f t="shared" ca="1" si="14"/>
        <v>0.97433304047386404</v>
      </c>
      <c r="S16" s="215">
        <f t="shared" si="14"/>
        <v>0.95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58.017994262938636</v>
      </c>
      <c r="J17" s="217">
        <f t="shared" si="15"/>
        <v>52.170011565169943</v>
      </c>
      <c r="K17" s="217">
        <f t="shared" si="15"/>
        <v>64.601478621383222</v>
      </c>
      <c r="L17" s="217">
        <f t="shared" si="15"/>
        <v>72.565397431638388</v>
      </c>
      <c r="M17" s="217">
        <f t="shared" si="15"/>
        <v>72.768217212764569</v>
      </c>
      <c r="N17" s="217">
        <f t="shared" ca="1" si="15"/>
        <v>76.921741087792952</v>
      </c>
      <c r="O17" s="217">
        <f t="shared" ca="1" si="15"/>
        <v>80.879931564191793</v>
      </c>
      <c r="P17" s="217">
        <f t="shared" ca="1" si="15"/>
        <v>84.627255828317345</v>
      </c>
      <c r="Q17" s="217">
        <f t="shared" ca="1" si="15"/>
        <v>88.149098610973454</v>
      </c>
      <c r="R17" s="217">
        <f t="shared" ca="1" si="15"/>
        <v>91.431900976446798</v>
      </c>
      <c r="S17" s="217">
        <f t="shared" ca="1" si="15"/>
        <v>94.463291655120031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5.0484178941060394E-2</v>
      </c>
      <c r="J18" s="215">
        <f t="shared" si="16"/>
        <v>4.1548857977843988E-2</v>
      </c>
      <c r="K18" s="215">
        <f t="shared" si="16"/>
        <v>4.7717310293172235E-2</v>
      </c>
      <c r="L18" s="215">
        <f t="shared" si="16"/>
        <v>5.0149707756228443E-2</v>
      </c>
      <c r="M18" s="215">
        <f t="shared" si="16"/>
        <v>5.0441696281252384E-2</v>
      </c>
      <c r="N18" s="215">
        <f t="shared" ca="1" si="16"/>
        <v>5.2275341878980225E-2</v>
      </c>
      <c r="O18" s="215">
        <f t="shared" ca="1" si="16"/>
        <v>5.3993412060104044E-2</v>
      </c>
      <c r="P18" s="215">
        <f t="shared" ca="1" si="16"/>
        <v>5.5605346135147865E-2</v>
      </c>
      <c r="Q18" s="215">
        <f t="shared" ca="1" si="16"/>
        <v>5.7119738532139641E-2</v>
      </c>
      <c r="R18" s="215">
        <f t="shared" ca="1" si="16"/>
        <v>5.8544428646736479E-2</v>
      </c>
      <c r="S18" s="215">
        <f t="shared" ca="1" si="16"/>
        <v>5.988658159332122E-2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-8.8689019660788908</v>
      </c>
      <c r="K19" s="217">
        <f t="shared" ref="K19:S19" si="17">-K20*K17</f>
        <v>-10.982251365635149</v>
      </c>
      <c r="L19" s="217">
        <f t="shared" si="17"/>
        <v>-12.336117563378528</v>
      </c>
      <c r="M19" s="217">
        <f t="shared" si="17"/>
        <v>-12.370596926169977</v>
      </c>
      <c r="N19" s="217">
        <f t="shared" ca="1" si="17"/>
        <v>-13.076695984924802</v>
      </c>
      <c r="O19" s="217">
        <f t="shared" ca="1" si="17"/>
        <v>-13.749588365912606</v>
      </c>
      <c r="P19" s="217">
        <f t="shared" ca="1" si="17"/>
        <v>-14.386633490813949</v>
      </c>
      <c r="Q19" s="217">
        <f t="shared" ca="1" si="17"/>
        <v>-14.985346763865488</v>
      </c>
      <c r="R19" s="217">
        <f t="shared" ca="1" si="17"/>
        <v>-15.543423165995957</v>
      </c>
      <c r="S19" s="217">
        <f t="shared" ca="1" si="17"/>
        <v>-16.058759581370406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0.17</v>
      </c>
      <c r="K20" s="215">
        <f>'DCF input'!K40</f>
        <v>0.17</v>
      </c>
      <c r="L20" s="215">
        <f>'DCF input'!L40</f>
        <v>0.17</v>
      </c>
      <c r="M20" s="215">
        <f>'DCF input'!M40</f>
        <v>0.17</v>
      </c>
      <c r="N20" s="215">
        <f>'DCF input'!N40</f>
        <v>0.17</v>
      </c>
      <c r="O20" s="215">
        <f>'DCF input'!O40</f>
        <v>0.17</v>
      </c>
      <c r="P20" s="215">
        <f>'DCF input'!P40</f>
        <v>0.17</v>
      </c>
      <c r="Q20" s="215">
        <f>'DCF input'!Q40</f>
        <v>0.17</v>
      </c>
      <c r="R20" s="215">
        <f>'DCF input'!R40</f>
        <v>0.17</v>
      </c>
      <c r="S20" s="215">
        <f>'DCF input'!S40</f>
        <v>0.17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-51</v>
      </c>
      <c r="K21" s="217">
        <f>'DCF input'!K48</f>
        <v>-50</v>
      </c>
      <c r="L21" s="217">
        <f>'DCF input'!L48</f>
        <v>-50</v>
      </c>
      <c r="M21" s="217">
        <f>'DCF input'!M48</f>
        <v>-50</v>
      </c>
      <c r="N21" s="217">
        <f>'DCF input'!N48</f>
        <v>-50</v>
      </c>
      <c r="O21" s="217">
        <f>'DCF input'!O48</f>
        <v>-50</v>
      </c>
      <c r="P21" s="217">
        <f>'DCF input'!P48</f>
        <v>-50</v>
      </c>
      <c r="Q21" s="217">
        <f>'DCF input'!Q48</f>
        <v>-50</v>
      </c>
      <c r="R21" s="217">
        <f>'DCF input'!R48</f>
        <v>-50</v>
      </c>
      <c r="S21" s="217">
        <f>'DCF input'!S48</f>
        <v>-50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4.0617045948380379E-2</v>
      </c>
      <c r="K22" s="215">
        <f t="shared" ref="K22:S22" si="19">-K21/K$9</f>
        <v>3.6932057370415751E-2</v>
      </c>
      <c r="L22" s="215">
        <f t="shared" si="19"/>
        <v>3.4554835728332456E-2</v>
      </c>
      <c r="M22" s="215">
        <f t="shared" si="19"/>
        <v>3.4659153551726836E-2</v>
      </c>
      <c r="N22" s="215">
        <f t="shared" si="19"/>
        <v>3.3979562305614552E-2</v>
      </c>
      <c r="O22" s="215">
        <f t="shared" ca="1" si="19"/>
        <v>3.3378744897460261E-2</v>
      </c>
      <c r="P22" s="215">
        <f t="shared" ca="1" si="19"/>
        <v>3.2853095371516004E-2</v>
      </c>
      <c r="Q22" s="215">
        <f t="shared" ca="1" si="19"/>
        <v>3.239950233877318E-2</v>
      </c>
      <c r="R22" s="215">
        <f t="shared" ca="1" si="19"/>
        <v>3.2015318516574284E-2</v>
      </c>
      <c r="S22" s="215">
        <f t="shared" ca="1" si="19"/>
        <v>3.1698335164925033E-2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16.111954440903407</v>
      </c>
      <c r="K23" s="217">
        <f>'DCF input'!K52</f>
        <v>15.168892666804709</v>
      </c>
      <c r="L23" s="217">
        <f>'DCF input'!L52</f>
        <v>11.110216900668604</v>
      </c>
      <c r="M23" s="217">
        <f>'DCF input'!M52</f>
        <v>3.9548595532390358</v>
      </c>
      <c r="N23" s="217">
        <f>'DCF input'!N52</f>
        <v>0</v>
      </c>
      <c r="O23" s="217">
        <f ca="1">'DCF input'!O52</f>
        <v>0</v>
      </c>
      <c r="P23" s="217">
        <f ca="1">'DCF input'!P52</f>
        <v>0</v>
      </c>
      <c r="Q23" s="217">
        <f ca="1">'DCF input'!Q52</f>
        <v>0</v>
      </c>
      <c r="R23" s="217">
        <f ca="1">'DCF input'!R52</f>
        <v>0</v>
      </c>
      <c r="S23" s="217">
        <f ca="1">'DCF input'!S52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-5</v>
      </c>
      <c r="L24" s="217">
        <f>'DCF input'!L55</f>
        <v>-5</v>
      </c>
      <c r="M24" s="217">
        <f>'DCF input'!M55</f>
        <v>-5</v>
      </c>
      <c r="N24" s="217">
        <f>'DCF input'!N55</f>
        <v>-5</v>
      </c>
      <c r="O24" s="217">
        <f>'DCF input'!O55</f>
        <v>-5</v>
      </c>
      <c r="P24" s="217">
        <f>'DCF input'!P55</f>
        <v>-5</v>
      </c>
      <c r="Q24" s="217">
        <f>'DCF input'!Q55</f>
        <v>-5</v>
      </c>
      <c r="R24" s="217">
        <f>'DCF input'!R55</f>
        <v>-5</v>
      </c>
      <c r="S24" s="217">
        <f>'DCF input'!S55</f>
        <v>-5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3.6932057370415751E-3</v>
      </c>
      <c r="L25" s="215">
        <f t="shared" si="20"/>
        <v>3.4554835728332453E-3</v>
      </c>
      <c r="M25" s="215">
        <f t="shared" si="20"/>
        <v>3.4659153551726838E-3</v>
      </c>
      <c r="N25" s="215">
        <f t="shared" si="20"/>
        <v>3.3979562305614551E-3</v>
      </c>
      <c r="O25" s="215">
        <f t="shared" ca="1" si="20"/>
        <v>3.3378744897460265E-3</v>
      </c>
      <c r="P25" s="215">
        <f t="shared" ca="1" si="20"/>
        <v>3.2853095371516007E-3</v>
      </c>
      <c r="Q25" s="215">
        <f t="shared" ca="1" si="20"/>
        <v>3.2399502338773178E-3</v>
      </c>
      <c r="R25" s="215">
        <f t="shared" ca="1" si="20"/>
        <v>3.2015318516574287E-3</v>
      </c>
      <c r="S25" s="215">
        <f t="shared" ca="1" si="20"/>
        <v>3.1698335164925037E-3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-18.004468664734777</v>
      </c>
      <c r="K26" s="217">
        <f>'DCF input'!K58</f>
        <v>-6.7527180429793674</v>
      </c>
      <c r="L26" s="217">
        <f>'DCF input'!L58</f>
        <v>25.138454026318882</v>
      </c>
      <c r="M26" s="217">
        <f>'DCF input'!M58</f>
        <v>-4.8650405710493061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1.433898688297465E-2</v>
      </c>
      <c r="K27" s="215">
        <f t="shared" si="21"/>
        <v>4.9878354033911108E-3</v>
      </c>
      <c r="L27" s="215">
        <f t="shared" si="21"/>
        <v>-1.737310298687373E-2</v>
      </c>
      <c r="M27" s="215">
        <f t="shared" si="21"/>
        <v>3.3723637637475745E-3</v>
      </c>
      <c r="N27" s="215">
        <f t="shared" si="21"/>
        <v>0</v>
      </c>
      <c r="O27" s="215">
        <f t="shared" ca="1" si="21"/>
        <v>0</v>
      </c>
      <c r="P27" s="215">
        <f t="shared" ca="1" si="21"/>
        <v>0</v>
      </c>
      <c r="Q27" s="215">
        <f t="shared" ca="1" si="21"/>
        <v>0</v>
      </c>
      <c r="R27" s="215">
        <f t="shared" ca="1" si="21"/>
        <v>0</v>
      </c>
      <c r="S27" s="215">
        <f t="shared" ca="1" si="21"/>
        <v>0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30.863888898608689</v>
      </c>
      <c r="K28" s="213">
        <f t="shared" ref="K28:S28" si="22">K17+K19-K14+K21+K23+K24+K26</f>
        <v>54.230659495382142</v>
      </c>
      <c r="L28" s="213">
        <f t="shared" si="22"/>
        <v>93.307494382811512</v>
      </c>
      <c r="M28" s="213">
        <f t="shared" si="22"/>
        <v>59.287351410943515</v>
      </c>
      <c r="N28" s="213">
        <f t="shared" ca="1" si="22"/>
        <v>62.428305221334142</v>
      </c>
      <c r="O28" s="213">
        <f t="shared" ca="1" si="22"/>
        <v>64.496951293051993</v>
      </c>
      <c r="P28" s="213">
        <f t="shared" ca="1" si="22"/>
        <v>66.390578408582996</v>
      </c>
      <c r="Q28" s="213">
        <f t="shared" ca="1" si="22"/>
        <v>68.09705589449436</v>
      </c>
      <c r="R28" s="213">
        <f t="shared" ca="1" si="22"/>
        <v>69.605129834144037</v>
      </c>
      <c r="S28" s="213">
        <f t="shared" ca="1" si="22"/>
        <v>70.904532073749621</v>
      </c>
      <c r="T28" s="213">
        <f ca="1">S28*(1+'DCF input'!F9)/('DCF input'!F11-'DCF input'!F9)</f>
        <v>890.73818417647954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0.92165898617511521</v>
      </c>
      <c r="K30" s="221">
        <f>'DCF input'!K67</f>
        <v>0.84945528679734128</v>
      </c>
      <c r="L30" s="221">
        <f>'DCF input'!L67</f>
        <v>0.78290809843072917</v>
      </c>
      <c r="M30" s="221">
        <f>'DCF input'!M67</f>
        <v>0.72157428426795334</v>
      </c>
      <c r="N30" s="221">
        <f>'DCF input'!N67</f>
        <v>0.66504542328843619</v>
      </c>
      <c r="O30" s="221">
        <f>'DCF input'!O67</f>
        <v>0.6129450905884205</v>
      </c>
      <c r="P30" s="221">
        <f>'DCF input'!P67</f>
        <v>0.56492635077273778</v>
      </c>
      <c r="Q30" s="221">
        <f>'DCF input'!Q67</f>
        <v>0.52066944771680901</v>
      </c>
      <c r="R30" s="221">
        <f>'DCF input'!R67</f>
        <v>0.4798796753150314</v>
      </c>
      <c r="S30" s="221">
        <f>'DCF input'!S67</f>
        <v>0.44228541503689528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28.445980551713077</v>
      </c>
      <c r="K31" s="222">
        <f t="shared" ref="K31:S31" si="25">K30*K28</f>
        <v>46.066520414858793</v>
      </c>
      <c r="L31" s="222">
        <f t="shared" si="25"/>
        <v>73.051192996582898</v>
      </c>
      <c r="M31" s="222">
        <f t="shared" si="25"/>
        <v>42.780228160494197</v>
      </c>
      <c r="N31" s="222">
        <f t="shared" ca="1" si="25"/>
        <v>41.517658671101856</v>
      </c>
      <c r="O31" s="222">
        <f t="shared" ca="1" si="25"/>
        <v>39.533089652996701</v>
      </c>
      <c r="P31" s="222">
        <f t="shared" ca="1" si="25"/>
        <v>37.50578718605211</v>
      </c>
      <c r="Q31" s="222">
        <f t="shared" ca="1" si="25"/>
        <v>35.456056483727053</v>
      </c>
      <c r="R31" s="222">
        <f t="shared" ca="1" si="25"/>
        <v>33.402087105069647</v>
      </c>
      <c r="S31" s="222">
        <f t="shared" ca="1" si="25"/>
        <v>31.360040396235206</v>
      </c>
      <c r="T31" s="222">
        <f ca="1">T28*S30</f>
        <v>393.96050747770471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58" t="str">
        <f>"Value Based on "&amp;TEXT(K40,"#0.0%")&amp;" WACC &amp; "&amp;TEXT(N37,"#0.0%")&amp;" TGR"</f>
        <v>Value Based on 8.5% WACC &amp; 0.5% TGR</v>
      </c>
      <c r="D35" s="358"/>
      <c r="E35" s="358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59"/>
      <c r="D36" s="359"/>
      <c r="E36" s="359"/>
      <c r="F36" s="291" t="s">
        <v>143</v>
      </c>
      <c r="G36" s="171" t="s">
        <v>93</v>
      </c>
      <c r="H36" s="159"/>
      <c r="I36" s="38"/>
      <c r="J36" s="167"/>
      <c r="K36" s="182"/>
      <c r="L36" s="362" t="s">
        <v>94</v>
      </c>
      <c r="M36" s="362"/>
      <c r="N36" s="362"/>
      <c r="O36" s="362"/>
      <c r="P36" s="362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 ca="1">SUM(J31:S31)</f>
        <v>409.11864161883153</v>
      </c>
      <c r="G37" s="224">
        <f ca="1">F37/F$39</f>
        <v>0.50943750946477673</v>
      </c>
      <c r="H37" s="159"/>
      <c r="I37" s="38"/>
      <c r="J37" s="360" t="s">
        <v>60</v>
      </c>
      <c r="K37" s="234"/>
      <c r="L37" s="235">
        <f>'DCF input'!F103</f>
        <v>0</v>
      </c>
      <c r="M37" s="235">
        <f>'DCF input'!G103</f>
        <v>2.5000000000000001E-3</v>
      </c>
      <c r="N37" s="235">
        <f>'DCF input'!H103</f>
        <v>5.0000000000000001E-3</v>
      </c>
      <c r="O37" s="235">
        <f>'DCF input'!I103</f>
        <v>7.4999999999999997E-3</v>
      </c>
      <c r="P37" s="235">
        <f>'DCF input'!J103</f>
        <v>0.01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>
        <f ca="1">T31</f>
        <v>393.96050747770471</v>
      </c>
      <c r="G38" s="224">
        <f ca="1">F38/F$39</f>
        <v>0.49056249053522327</v>
      </c>
      <c r="H38" s="159"/>
      <c r="I38" s="38"/>
      <c r="J38" s="360"/>
      <c r="K38" s="236">
        <f>'DCF input'!E95</f>
        <v>7.4999999999999997E-2</v>
      </c>
      <c r="L38" s="237" t="str">
        <f>CONCATENATE(ROUND('DCF input'!F95,)," / ",ROUND('DCF input'!F104,0),"c")</f>
        <v>888 / 404c</v>
      </c>
      <c r="M38" s="238" t="str">
        <f>CONCATENATE(ROUND('DCF input'!G95,)," / ",ROUND('DCF input'!G104,0),"c")</f>
        <v>905 / 412c</v>
      </c>
      <c r="N38" s="238" t="str">
        <f>CONCATENATE(ROUND('DCF input'!H95,)," / ",ROUND('DCF input'!H104,0),"c")</f>
        <v>923 / 421c</v>
      </c>
      <c r="O38" s="238" t="str">
        <f>CONCATENATE(ROUND('DCF input'!I95,)," / ",ROUND('DCF input'!I104,0),"c")</f>
        <v>943 / 431c</v>
      </c>
      <c r="P38" s="238" t="str">
        <f>CONCATENATE(ROUND('DCF input'!J95,)," / ",ROUND('DCF input'!J104,0),"c")</f>
        <v>964 / 442c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>
        <f ca="1">(F38+F37)</f>
        <v>803.07914909653618</v>
      </c>
      <c r="G39" s="226">
        <f ca="1">F39/F$39</f>
        <v>1</v>
      </c>
      <c r="H39" s="159"/>
      <c r="I39" s="38"/>
      <c r="J39" s="360"/>
      <c r="K39" s="236">
        <f>'DCF input'!E96</f>
        <v>0.08</v>
      </c>
      <c r="L39" s="238" t="str">
        <f>CONCATENATE(ROUND('DCF input'!F96,)," / ",ROUND('DCF input'!F105,0),"c")</f>
        <v>830 / 374c</v>
      </c>
      <c r="M39" s="239" t="str">
        <f>CONCATENATE(ROUND('DCF input'!G96,)," / ",ROUND('DCF input'!G105,0),"c")</f>
        <v>844 / 382c</v>
      </c>
      <c r="N39" s="239" t="str">
        <f>CONCATENATE(ROUND('DCF input'!H96,)," / ",ROUND('DCF input'!H105,0),"c")</f>
        <v>859 / 389c</v>
      </c>
      <c r="O39" s="239" t="str">
        <f>CONCATENATE(ROUND('DCF input'!I96,)," / ",ROUND('DCF input'!I105,0),"c")</f>
        <v>875 / 397c</v>
      </c>
      <c r="P39" s="238" t="str">
        <f>CONCATENATE(ROUND('DCF input'!J96,)," / ",ROUND('DCF input'!J105,0),"c")</f>
        <v>893 / 406c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60"/>
      <c r="K40" s="236">
        <f>'DCF input'!E97</f>
        <v>8.5000000000000006E-2</v>
      </c>
      <c r="L40" s="238" t="str">
        <f>CONCATENATE(ROUND('DCF input'!F97,)," / ",ROUND('DCF input'!F106,0),"c")</f>
        <v>778 / 348c</v>
      </c>
      <c r="M40" s="239" t="str">
        <f>CONCATENATE(ROUND('DCF input'!G97,)," / ",ROUND('DCF input'!G106,0),"c")</f>
        <v>790 / 355c</v>
      </c>
      <c r="N40" s="240" t="str">
        <f>CONCATENATE(ROUND('DCF input'!H97,)," / ",ROUND('DCF input'!H106,0),"c")</f>
        <v>803 / 361c</v>
      </c>
      <c r="O40" s="239" t="str">
        <f>CONCATENATE(ROUND('DCF input'!I97,)," / ",ROUND('DCF input'!I106,0),"c")</f>
        <v>817 / 368c</v>
      </c>
      <c r="P40" s="238" t="str">
        <f>CONCATENATE(ROUND('DCF input'!J97,)," / ",ROUND('DCF input'!J106,0),"c")</f>
        <v>831 / 375c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>
        <f ca="1">+F39+F40</f>
        <v>718.46233555695119</v>
      </c>
      <c r="G41" s="226"/>
      <c r="H41" s="159"/>
      <c r="I41" s="38"/>
      <c r="J41" s="360"/>
      <c r="K41" s="236">
        <f>'DCF input'!E98</f>
        <v>9.0000000000000011E-2</v>
      </c>
      <c r="L41" s="238" t="str">
        <f>CONCATENATE(ROUND('DCF input'!F98,)," / ",ROUND('DCF input'!F107,0),"c")</f>
        <v>732 / 325c</v>
      </c>
      <c r="M41" s="239" t="str">
        <f>CONCATENATE(ROUND('DCF input'!G98,)," / ",ROUND('DCF input'!G107,0),"c")</f>
        <v>743 / 331c</v>
      </c>
      <c r="N41" s="239" t="str">
        <f>CONCATENATE(ROUND('DCF input'!H98,)," / ",ROUND('DCF input'!H107,0),"c")</f>
        <v>754 / 336c</v>
      </c>
      <c r="O41" s="239" t="str">
        <f>CONCATENATE(ROUND('DCF input'!I98,)," / ",ROUND('DCF input'!I107,0),"c")</f>
        <v>765 / 342c</v>
      </c>
      <c r="P41" s="238" t="str">
        <f>CONCATENATE(ROUND('DCF input'!J98,)," / ",ROUND('DCF input'!J107,0),"c")</f>
        <v>778 / 348c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151</v>
      </c>
      <c r="D42" s="185"/>
      <c r="E42" s="185"/>
      <c r="F42" s="227">
        <f ca="1">+F41/Assumptions!D17*100</f>
        <v>361.03634952610611</v>
      </c>
      <c r="G42" s="229"/>
      <c r="H42" s="159"/>
      <c r="I42" s="38"/>
      <c r="J42" s="361"/>
      <c r="K42" s="241">
        <f>'DCF input'!E99</f>
        <v>9.5000000000000015E-2</v>
      </c>
      <c r="L42" s="242" t="str">
        <f>CONCATENATE(ROUND('DCF input'!F99,)," / ",ROUND('DCF input'!F108,0),"c")</f>
        <v>691 / 305c</v>
      </c>
      <c r="M42" s="242" t="str">
        <f>CONCATENATE(ROUND('DCF input'!G99,)," / ",ROUND('DCF input'!G108,0),"c")</f>
        <v>700 / 309c</v>
      </c>
      <c r="N42" s="242" t="str">
        <f>CONCATENATE(ROUND('DCF input'!H99,)," / ",ROUND('DCF input'!H108,0),"c")</f>
        <v>710 / 314c</v>
      </c>
      <c r="O42" s="242" t="str">
        <f>CONCATENATE(ROUND('DCF input'!I99,)," / ",ROUND('DCF input'!I108,0),"c")</f>
        <v>720 / 319c</v>
      </c>
      <c r="P42" s="242" t="str">
        <f>CONCATENATE(ROUND('DCF input'!J99,)," / ",ROUND('DCF input'!J108,0),"c")</f>
        <v>730 / 324c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>
        <f ca="1">+F42/Assumptions!D16-1</f>
        <v>1.1880990880370068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5.9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RK</cp:lastModifiedBy>
  <cp:lastPrinted>2019-02-04T16:32:05Z</cp:lastPrinted>
  <dcterms:created xsi:type="dcterms:W3CDTF">2010-12-03T17:25:22Z</dcterms:created>
  <dcterms:modified xsi:type="dcterms:W3CDTF">2024-09-07T18:00:00Z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