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228a09e0d549a7/Documents/DA Projects/Financial Data Analysis/"/>
    </mc:Choice>
  </mc:AlternateContent>
  <xr:revisionPtr revIDLastSave="13" documentId="8_{9EE514A9-47A4-48C4-A0AE-F1EC86D92871}" xr6:coauthVersionLast="41" xr6:coauthVersionMax="41" xr10:uidLastSave="{A9FD3C8E-ABF2-4606-8847-117435BCAFB5}"/>
  <bookViews>
    <workbookView xWindow="-110" yWindow="-110" windowWidth="19420" windowHeight="10300" activeTab="4" xr2:uid="{EEBFB391-A372-4F45-8B34-7A4B676C295E}"/>
  </bookViews>
  <sheets>
    <sheet name="Income Statement" sheetId="1" r:id="rId1"/>
    <sheet name="Balance Sheet" sheetId="2" r:id="rId2"/>
    <sheet name="Cash Flow" sheetId="3" r:id="rId3"/>
    <sheet name="Ratios" sheetId="4" r:id="rId4"/>
    <sheet name="Z Score Model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B9" i="6"/>
  <c r="B11" i="6" s="1"/>
  <c r="B8" i="6"/>
  <c r="B7" i="6"/>
  <c r="B6" i="6"/>
  <c r="C19" i="3"/>
  <c r="C28" i="4"/>
  <c r="B28" i="4"/>
  <c r="E28" i="4" s="1"/>
  <c r="C27" i="4"/>
  <c r="B27" i="4"/>
  <c r="C26" i="4"/>
  <c r="B26" i="4"/>
  <c r="C25" i="4"/>
  <c r="B25" i="4"/>
  <c r="C24" i="4"/>
  <c r="B24" i="4"/>
  <c r="C23" i="4"/>
  <c r="B23" i="4"/>
  <c r="C21" i="4"/>
  <c r="B21" i="4"/>
  <c r="C20" i="4"/>
  <c r="B20" i="4"/>
  <c r="C18" i="4"/>
  <c r="B18" i="4"/>
  <c r="E18" i="4"/>
  <c r="C17" i="4"/>
  <c r="B17" i="4"/>
  <c r="B16" i="4"/>
  <c r="C16" i="4"/>
  <c r="C15" i="4"/>
  <c r="B15" i="4"/>
  <c r="C14" i="4"/>
  <c r="B14" i="4"/>
  <c r="C12" i="4"/>
  <c r="B12" i="4"/>
  <c r="C11" i="4"/>
  <c r="B11" i="4"/>
  <c r="C10" i="4"/>
  <c r="B10" i="4"/>
  <c r="C9" i="4"/>
  <c r="B9" i="4"/>
  <c r="C8" i="4"/>
  <c r="B8" i="4"/>
  <c r="E8" i="4" s="1"/>
  <c r="C6" i="4"/>
  <c r="B6" i="4"/>
  <c r="B5" i="4"/>
  <c r="C5" i="4"/>
  <c r="C18" i="3"/>
  <c r="C17" i="3"/>
  <c r="C14" i="3"/>
  <c r="C11" i="3"/>
  <c r="C10" i="3"/>
  <c r="C9" i="3"/>
  <c r="C8" i="3"/>
  <c r="C7" i="3"/>
  <c r="C6" i="3"/>
  <c r="D15" i="3"/>
  <c r="D26" i="2"/>
  <c r="C26" i="2"/>
  <c r="D22" i="2"/>
  <c r="D27" i="2" s="1"/>
  <c r="C22" i="2"/>
  <c r="C27" i="2" s="1"/>
  <c r="D20" i="2"/>
  <c r="C20" i="2"/>
  <c r="D14" i="2"/>
  <c r="C14" i="2"/>
  <c r="D11" i="2"/>
  <c r="D15" i="2" s="1"/>
  <c r="C11" i="2"/>
  <c r="C15" i="2" s="1"/>
  <c r="B4" i="1"/>
  <c r="D8" i="1"/>
  <c r="D12" i="1" s="1"/>
  <c r="D14" i="1" s="1"/>
  <c r="C8" i="1"/>
  <c r="C12" i="1" s="1"/>
  <c r="C14" i="1" s="1"/>
  <c r="E27" i="4" l="1"/>
  <c r="E26" i="4"/>
  <c r="C31" i="4"/>
  <c r="E24" i="4"/>
  <c r="E23" i="4"/>
  <c r="E21" i="4"/>
  <c r="E20" i="4"/>
  <c r="E17" i="4"/>
  <c r="E16" i="4"/>
  <c r="E15" i="4"/>
  <c r="E14" i="4"/>
  <c r="E12" i="4"/>
  <c r="B31" i="4"/>
  <c r="E11" i="4"/>
  <c r="E10" i="4"/>
  <c r="E9" i="4"/>
  <c r="E6" i="4"/>
  <c r="E5" i="4"/>
  <c r="D20" i="3"/>
  <c r="D12" i="3"/>
  <c r="E25" i="4"/>
  <c r="D15" i="1"/>
  <c r="D16" i="1" s="1"/>
  <c r="D22" i="1" s="1"/>
  <c r="C15" i="1"/>
  <c r="C16" i="1" s="1"/>
  <c r="C22" i="1" s="1"/>
  <c r="D21" i="3" l="1"/>
</calcChain>
</file>

<file path=xl/sharedStrings.xml><?xml version="1.0" encoding="utf-8"?>
<sst xmlns="http://schemas.openxmlformats.org/spreadsheetml/2006/main" count="102" uniqueCount="97">
  <si>
    <t>Big Rock Candy Mountain Mining Co.</t>
  </si>
  <si>
    <t>Sales</t>
  </si>
  <si>
    <t>Cost of Goods</t>
  </si>
  <si>
    <t>Gross Profit</t>
  </si>
  <si>
    <t>Depreciation</t>
  </si>
  <si>
    <t>Selling &amp; Admin Expense</t>
  </si>
  <si>
    <t>Other Operating Expenses</t>
  </si>
  <si>
    <t>Net Operating Income</t>
  </si>
  <si>
    <t>Interest Expense</t>
  </si>
  <si>
    <t>Earnings Before Taxes</t>
  </si>
  <si>
    <t>Taxes</t>
  </si>
  <si>
    <t>Net Income</t>
  </si>
  <si>
    <t>Notes:</t>
  </si>
  <si>
    <t>Tax Rate</t>
  </si>
  <si>
    <t>Shares</t>
  </si>
  <si>
    <t>Earnings per Share</t>
  </si>
  <si>
    <t>Income Statement</t>
  </si>
  <si>
    <t>Balance Sheet</t>
  </si>
  <si>
    <t>For the Year Ended December 31, 2016</t>
  </si>
  <si>
    <t>Assets</t>
  </si>
  <si>
    <t xml:space="preserve">Cash </t>
  </si>
  <si>
    <t>Marketable Securities</t>
  </si>
  <si>
    <t>Accounts Receivable</t>
  </si>
  <si>
    <t>Inventory</t>
  </si>
  <si>
    <t>Total Current Assets</t>
  </si>
  <si>
    <t>Gross Fixed Assets</t>
  </si>
  <si>
    <t>Accumulated Depreciation</t>
  </si>
  <si>
    <t>Net Plant &amp; Equipment</t>
  </si>
  <si>
    <t>Total Assets</t>
  </si>
  <si>
    <t>Liabilities &amp; Owner's Equity</t>
  </si>
  <si>
    <t>Accounts Payable</t>
  </si>
  <si>
    <t>Acrued Expenses</t>
  </si>
  <si>
    <t>Total Current Liabilities</t>
  </si>
  <si>
    <t>Long-term Debt</t>
  </si>
  <si>
    <t>Total Liabilities</t>
  </si>
  <si>
    <t>Common Stock ($1.00par)</t>
  </si>
  <si>
    <t>Additional Paid-in-Capital</t>
  </si>
  <si>
    <t>Retained Earnings</t>
  </si>
  <si>
    <t>Total Owner's Equity</t>
  </si>
  <si>
    <t>Total Liab. &amp; Owner's Equity</t>
  </si>
  <si>
    <t>Statement of Cash Flows</t>
  </si>
  <si>
    <t>Cash Flows from Operations</t>
  </si>
  <si>
    <t>Depreciation Expense</t>
  </si>
  <si>
    <t xml:space="preserve">Change in Accounts Receivable </t>
  </si>
  <si>
    <t>Change in Inventories</t>
  </si>
  <si>
    <t>Change in Accounts Payable</t>
  </si>
  <si>
    <t>Change in Other Current Liabilities</t>
  </si>
  <si>
    <t>Total Cash Flows from Operations</t>
  </si>
  <si>
    <t>Cash Flows from Investing</t>
  </si>
  <si>
    <t>Change in Plant &amp; Equipment</t>
  </si>
  <si>
    <t>Total Cash Flows from Investing</t>
  </si>
  <si>
    <t>Cash Flows from Financing</t>
  </si>
  <si>
    <t>Change in Long-term Debt</t>
  </si>
  <si>
    <t>Change in Common Stock</t>
  </si>
  <si>
    <t>Cash Dividends Paid to Shareholders</t>
  </si>
  <si>
    <t>Total Cash Flows from Financing</t>
  </si>
  <si>
    <t>Net Change in Cash Balance</t>
  </si>
  <si>
    <t>Ratio Analysis for 2015 and 2016</t>
  </si>
  <si>
    <t>Ratio</t>
  </si>
  <si>
    <t>Industry 2016</t>
  </si>
  <si>
    <t>Analysis</t>
  </si>
  <si>
    <t>Liquidity Ratio</t>
  </si>
  <si>
    <t>Current Ratio</t>
  </si>
  <si>
    <t>Quick Ratio</t>
  </si>
  <si>
    <t>Efficiency Ratio</t>
  </si>
  <si>
    <t>Inventory Turnover</t>
  </si>
  <si>
    <t>A/R Turnover</t>
  </si>
  <si>
    <t>Average Collection Period</t>
  </si>
  <si>
    <t>Fixed Asset Turnover</t>
  </si>
  <si>
    <t>Total Asset Turnover</t>
  </si>
  <si>
    <t>Leverage Ratios</t>
  </si>
  <si>
    <t>Total Debt Ratio</t>
  </si>
  <si>
    <t>Long-term Debt Ratio</t>
  </si>
  <si>
    <t>LTD to Total Capitalisation</t>
  </si>
  <si>
    <t>Debt to Equity</t>
  </si>
  <si>
    <t>LTD to Equity</t>
  </si>
  <si>
    <t>Coverage Ratios</t>
  </si>
  <si>
    <t>Time Interest Earned</t>
  </si>
  <si>
    <t>Cash Coverage Ratio</t>
  </si>
  <si>
    <t>Profitability Ratios</t>
  </si>
  <si>
    <t>Gross Profit Margin</t>
  </si>
  <si>
    <t>Operating Profit Margin</t>
  </si>
  <si>
    <t>Net Profit Margin</t>
  </si>
  <si>
    <t>Return on Total Assets</t>
  </si>
  <si>
    <t>Return on Equity</t>
  </si>
  <si>
    <t>Return on Common Equity</t>
  </si>
  <si>
    <t>Dupoint Analysis</t>
  </si>
  <si>
    <t>X1</t>
  </si>
  <si>
    <t>X2</t>
  </si>
  <si>
    <t>X3</t>
  </si>
  <si>
    <t>X4</t>
  </si>
  <si>
    <t>X5</t>
  </si>
  <si>
    <t>Market Value of Equity</t>
  </si>
  <si>
    <t>No financial distress detected</t>
  </si>
  <si>
    <t>Z score</t>
  </si>
  <si>
    <t>Altman's Z-score Model</t>
  </si>
  <si>
    <t>We will use Altman's Z score model to find if the company is in financial distress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</si>
</sst>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9" formatCode="#,##0.00;\(#,##0.00\)"/>
    <numFmt numFmtId="170" formatCode="0.00&quot;x&quot;"/>
    <numFmt numFmtId="171" formatCode="0.00\ &quot;days&quot;"/>
    <numFmt numFmtId="175" formatCode="_-* #,##0_-;\-* #,##0_-;_-* &quot;-&quot;??_-;_-@_-"/>
    <numFmt numFmtId="178" formatCode="#,##0.00,;\(#,##0.00,\)\,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i/>
      <sz val="10"/>
      <color theme="1"/>
      <name val="Calibri"/>
      <scheme val="minor"/>
    </font>
    <font>
      <sz val="10"/>
      <name val="Arial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/>
    <xf numFmtId="0" fontId="4" fillId="0" borderId="0" xfId="0" applyFont="1"/>
    <xf numFmtId="41" fontId="4" fillId="0" borderId="0" xfId="0" applyNumberFormat="1" applyFont="1"/>
    <xf numFmtId="0" fontId="5" fillId="0" borderId="0" xfId="0" applyFont="1" applyAlignment="1">
      <alignment horizontal="center"/>
    </xf>
    <xf numFmtId="41" fontId="3" fillId="0" borderId="2" xfId="0" applyNumberFormat="1" applyFont="1" applyBorder="1"/>
    <xf numFmtId="41" fontId="3" fillId="0" borderId="3" xfId="0" applyNumberFormat="1" applyFont="1" applyBorder="1"/>
    <xf numFmtId="0" fontId="3" fillId="0" borderId="0" xfId="0" applyFont="1"/>
    <xf numFmtId="10" fontId="4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0" fontId="4" fillId="0" borderId="0" xfId="1" applyNumberFormat="1" applyFont="1"/>
    <xf numFmtId="0" fontId="6" fillId="0" borderId="0" xfId="0" applyFont="1" applyAlignment="1">
      <alignment horizontal="center"/>
    </xf>
    <xf numFmtId="0" fontId="5" fillId="0" borderId="0" xfId="0" applyFont="1"/>
    <xf numFmtId="41" fontId="3" fillId="0" borderId="4" xfId="0" applyNumberFormat="1" applyFont="1" applyBorder="1"/>
    <xf numFmtId="1" fontId="3" fillId="2" borderId="1" xfId="0" applyNumberFormat="1" applyFont="1" applyFill="1" applyBorder="1"/>
    <xf numFmtId="0" fontId="3" fillId="3" borderId="2" xfId="0" applyFont="1" applyFill="1" applyBorder="1" applyAlignment="1">
      <alignment horizontal="left"/>
    </xf>
    <xf numFmtId="0" fontId="7" fillId="0" borderId="2" xfId="0" applyFont="1" applyBorder="1"/>
    <xf numFmtId="0" fontId="3" fillId="2" borderId="1" xfId="0" applyFont="1" applyFill="1" applyBorder="1"/>
    <xf numFmtId="0" fontId="7" fillId="0" borderId="1" xfId="0" applyFont="1" applyBorder="1"/>
    <xf numFmtId="169" fontId="4" fillId="0" borderId="0" xfId="0" applyNumberFormat="1" applyFont="1"/>
    <xf numFmtId="169" fontId="3" fillId="0" borderId="0" xfId="0" applyNumberFormat="1" applyFont="1"/>
    <xf numFmtId="0" fontId="3" fillId="0" borderId="5" xfId="0" applyFont="1" applyBorder="1"/>
    <xf numFmtId="169" fontId="3" fillId="0" borderId="5" xfId="0" applyNumberFormat="1" applyFont="1" applyBorder="1"/>
    <xf numFmtId="0" fontId="3" fillId="0" borderId="0" xfId="0" applyFont="1" applyAlignment="1">
      <alignment horizontal="center" wrapText="1"/>
    </xf>
    <xf numFmtId="170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170" fontId="4" fillId="0" borderId="0" xfId="0" applyNumberFormat="1" applyFont="1"/>
    <xf numFmtId="171" fontId="4" fillId="0" borderId="0" xfId="0" applyNumberFormat="1" applyFont="1"/>
    <xf numFmtId="41" fontId="8" fillId="0" borderId="2" xfId="0" applyNumberFormat="1" applyFont="1" applyBorder="1"/>
    <xf numFmtId="41" fontId="8" fillId="0" borderId="1" xfId="0" applyNumberFormat="1" applyFont="1" applyBorder="1"/>
    <xf numFmtId="175" fontId="4" fillId="0" borderId="0" xfId="0" applyNumberFormat="1" applyFont="1"/>
    <xf numFmtId="4" fontId="0" fillId="0" borderId="0" xfId="0" applyNumberFormat="1"/>
    <xf numFmtId="178" fontId="0" fillId="0" borderId="0" xfId="0" applyNumberFormat="1"/>
    <xf numFmtId="169" fontId="0" fillId="0" borderId="0" xfId="0" applyNumberFormat="1"/>
    <xf numFmtId="169" fontId="3" fillId="0" borderId="4" xfId="0" applyNumberFormat="1" applyFont="1" applyBorder="1"/>
    <xf numFmtId="0" fontId="3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/>
    <xf numFmtId="43" fontId="0" fillId="0" borderId="0" xfId="0" applyNumberFormat="1"/>
    <xf numFmtId="0" fontId="0" fillId="0" borderId="0" xfId="0" applyAlignment="1">
      <alignment horizontal="center" wrapText="1"/>
    </xf>
    <xf numFmtId="0" fontId="9" fillId="4" borderId="0" xfId="0" applyFont="1" applyFill="1" applyAlignment="1">
      <alignment horizontal="center"/>
    </xf>
    <xf numFmtId="0" fontId="2" fillId="0" borderId="6" xfId="0" applyFont="1" applyBorder="1"/>
    <xf numFmtId="43" fontId="2" fillId="0" borderId="6" xfId="0" applyNumberFormat="1" applyFont="1" applyBorder="1"/>
  </cellXfs>
  <cellStyles count="2">
    <cellStyle name="Normal" xfId="0" builtinId="0"/>
    <cellStyle name="Percent" xfId="1" builtinId="5"/>
  </cellStyles>
  <dxfs count="4">
    <dxf>
      <font>
        <color rgb="FFF1C232"/>
      </font>
      <fill>
        <patternFill patternType="solid">
          <fgColor rgb="FFFFFFFF"/>
          <bgColor rgb="FFFFFFFF"/>
        </patternFill>
      </fill>
    </dxf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6AA84F"/>
      </font>
      <fill>
        <patternFill patternType="solid">
          <fgColor rgb="FFFFFFFF"/>
          <bgColor rgb="FFFFFFFF"/>
        </patternFill>
      </fill>
    </dxf>
    <dxf>
      <font>
        <color rgb="FFF1C232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469900</xdr:colOff>
      <xdr:row>1</xdr:row>
      <xdr:rowOff>133350</xdr:rowOff>
    </xdr:from>
    <xdr:to>
      <xdr:col>16</xdr:col>
      <xdr:colOff>584726</xdr:colOff>
      <xdr:row>3</xdr:row>
      <xdr:rowOff>31787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7BF78-B56D-40FD-A69A-AD96E6240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3900" y="330200"/>
          <a:ext cx="3772426" cy="266737"/>
        </a:xfrm>
        <a:prstGeom prst="rect">
          <a:avLst/>
        </a:prstGeom>
      </xdr:spPr>
    </xdr:pic>
    <xdr:clientData/>
  </xdr:twoCellAnchor>
  <xdr:twoCellAnchor editAs="oneCell">
    <xdr:from>
      <xdr:col>10</xdr:col>
      <xdr:colOff>374650</xdr:colOff>
      <xdr:row>10</xdr:row>
      <xdr:rowOff>6350</xdr:rowOff>
    </xdr:from>
    <xdr:to>
      <xdr:col>18</xdr:col>
      <xdr:colOff>327699</xdr:colOff>
      <xdr:row>14</xdr:row>
      <xdr:rowOff>31856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5DF775-48EB-4C1C-A360-B14CBAD4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8650" y="1860550"/>
          <a:ext cx="4829849" cy="762106"/>
        </a:xfrm>
        <a:prstGeom prst="rect">
          <a:avLst/>
        </a:prstGeom>
      </xdr:spPr>
    </xdr:pic>
    <xdr:clientData/>
  </xdr:twoCellAnchor>
  <xdr:twoCellAnchor editAs="oneCell">
    <xdr:from>
      <xdr:col>10</xdr:col>
      <xdr:colOff>374650</xdr:colOff>
      <xdr:row>3</xdr:row>
      <xdr:rowOff>0</xdr:rowOff>
    </xdr:from>
    <xdr:to>
      <xdr:col>17</xdr:col>
      <xdr:colOff>136021</xdr:colOff>
      <xdr:row>9</xdr:row>
      <xdr:rowOff>114148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A6BC49-2C79-4197-833E-3D15B6C25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8650" y="565150"/>
          <a:ext cx="4028571" cy="1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809E-44D9-4E71-A36C-0304C7E9FA97}">
  <dimension ref="B2:D22"/>
  <sheetViews>
    <sheetView showGridLines="0" workbookViewId="0">
      <selection activeCell="D21" sqref="D21"/>
    </sheetView>
  </sheetViews>
  <sheetFormatPr defaultRowHeight="14.5" x14ac:dyDescent="0.35"/>
  <cols>
    <col min="2" max="2" width="20.81640625" bestFit="1" customWidth="1"/>
    <col min="3" max="3" width="9.6328125" style="12" customWidth="1"/>
    <col min="4" max="4" width="10.453125" style="12" customWidth="1"/>
  </cols>
  <sheetData>
    <row r="2" spans="2:4" x14ac:dyDescent="0.35">
      <c r="B2" s="1" t="s">
        <v>0</v>
      </c>
      <c r="C2" s="2"/>
      <c r="D2" s="2"/>
    </row>
    <row r="3" spans="2:4" x14ac:dyDescent="0.35">
      <c r="B3" s="1" t="s">
        <v>16</v>
      </c>
      <c r="C3" s="2"/>
      <c r="D3" s="2"/>
    </row>
    <row r="4" spans="2:4" x14ac:dyDescent="0.35">
      <c r="B4" s="1" t="str">
        <f>"For the Years "&amp;C5&amp;" and "&amp;D5</f>
        <v>For the Years 2016 and 2015</v>
      </c>
      <c r="C4" s="2"/>
      <c r="D4" s="2"/>
    </row>
    <row r="5" spans="2:4" x14ac:dyDescent="0.35">
      <c r="B5" s="3"/>
      <c r="C5" s="17">
        <v>2016</v>
      </c>
      <c r="D5" s="17">
        <v>2015</v>
      </c>
    </row>
    <row r="6" spans="2:4" x14ac:dyDescent="0.35">
      <c r="B6" s="4" t="s">
        <v>1</v>
      </c>
      <c r="C6" s="5">
        <v>369300</v>
      </c>
      <c r="D6" s="5">
        <v>354000</v>
      </c>
    </row>
    <row r="7" spans="2:4" x14ac:dyDescent="0.35">
      <c r="B7" s="4" t="s">
        <v>2</v>
      </c>
      <c r="C7" s="5">
        <v>285400</v>
      </c>
      <c r="D7" s="5">
        <v>281800</v>
      </c>
    </row>
    <row r="8" spans="2:4" x14ac:dyDescent="0.35">
      <c r="B8" s="6" t="s">
        <v>3</v>
      </c>
      <c r="C8" s="7">
        <f t="shared" ref="C8:D8" si="0">C6-C7</f>
        <v>83900</v>
      </c>
      <c r="D8" s="7">
        <f t="shared" si="0"/>
        <v>72200</v>
      </c>
    </row>
    <row r="9" spans="2:4" x14ac:dyDescent="0.35">
      <c r="B9" s="4" t="s">
        <v>4</v>
      </c>
      <c r="C9" s="5">
        <v>26820</v>
      </c>
      <c r="D9" s="5">
        <v>26360</v>
      </c>
    </row>
    <row r="10" spans="2:4" x14ac:dyDescent="0.35">
      <c r="B10" s="4" t="s">
        <v>5</v>
      </c>
      <c r="C10" s="5">
        <v>23340</v>
      </c>
      <c r="D10" s="5">
        <v>21820</v>
      </c>
    </row>
    <row r="11" spans="2:4" x14ac:dyDescent="0.35">
      <c r="B11" s="4" t="s">
        <v>6</v>
      </c>
      <c r="C11" s="5">
        <v>1080</v>
      </c>
      <c r="D11" s="5">
        <v>1080</v>
      </c>
    </row>
    <row r="12" spans="2:4" x14ac:dyDescent="0.35">
      <c r="B12" s="6" t="s">
        <v>7</v>
      </c>
      <c r="C12" s="7">
        <f t="shared" ref="C12:D12" si="1">C8-SUM(C9:C11)</f>
        <v>32660</v>
      </c>
      <c r="D12" s="7">
        <f t="shared" si="1"/>
        <v>22940</v>
      </c>
    </row>
    <row r="13" spans="2:4" x14ac:dyDescent="0.35">
      <c r="B13" s="4" t="s">
        <v>8</v>
      </c>
      <c r="C13" s="5">
        <v>7685</v>
      </c>
      <c r="D13" s="5">
        <v>7505</v>
      </c>
    </row>
    <row r="14" spans="2:4" x14ac:dyDescent="0.35">
      <c r="B14" s="6" t="s">
        <v>9</v>
      </c>
      <c r="C14" s="7">
        <f t="shared" ref="C14:D14" si="2">C12-C13</f>
        <v>24975</v>
      </c>
      <c r="D14" s="7">
        <f t="shared" si="2"/>
        <v>15435</v>
      </c>
    </row>
    <row r="15" spans="2:4" x14ac:dyDescent="0.35">
      <c r="B15" s="4" t="s">
        <v>10</v>
      </c>
      <c r="C15" s="5">
        <f t="shared" ref="C15:D15" si="3">C14*C20</f>
        <v>8741.25</v>
      </c>
      <c r="D15" s="5">
        <f t="shared" si="3"/>
        <v>6174</v>
      </c>
    </row>
    <row r="16" spans="2:4" ht="15" thickBot="1" x14ac:dyDescent="0.4">
      <c r="B16" s="6" t="s">
        <v>11</v>
      </c>
      <c r="C16" s="8">
        <f t="shared" ref="C16:D16" si="4">C14-C15</f>
        <v>16233.75</v>
      </c>
      <c r="D16" s="8">
        <f t="shared" si="4"/>
        <v>9261</v>
      </c>
    </row>
    <row r="17" spans="2:4" x14ac:dyDescent="0.35">
      <c r="C17" s="11"/>
      <c r="D17" s="11"/>
    </row>
    <row r="18" spans="2:4" x14ac:dyDescent="0.35">
      <c r="C18" s="11"/>
      <c r="D18" s="11"/>
    </row>
    <row r="19" spans="2:4" x14ac:dyDescent="0.35">
      <c r="B19" s="9" t="s">
        <v>12</v>
      </c>
      <c r="C19" s="11"/>
      <c r="D19" s="11"/>
    </row>
    <row r="20" spans="2:4" x14ac:dyDescent="0.35">
      <c r="B20" s="4" t="s">
        <v>13</v>
      </c>
      <c r="C20" s="13">
        <v>0.35</v>
      </c>
      <c r="D20" s="13">
        <v>0.4</v>
      </c>
    </row>
    <row r="21" spans="2:4" x14ac:dyDescent="0.35">
      <c r="B21" s="4" t="s">
        <v>14</v>
      </c>
      <c r="C21" s="34">
        <v>52100</v>
      </c>
      <c r="D21" s="34">
        <v>52100</v>
      </c>
    </row>
    <row r="22" spans="2:4" x14ac:dyDescent="0.35">
      <c r="B22" s="4" t="s">
        <v>15</v>
      </c>
      <c r="C22" s="11">
        <f t="shared" ref="C22:D22" si="5">C16/C21</f>
        <v>0.3115882917466411</v>
      </c>
      <c r="D22" s="11">
        <f t="shared" si="5"/>
        <v>0.17775431861804222</v>
      </c>
    </row>
  </sheetData>
  <mergeCells count="3">
    <mergeCell ref="B2:D2"/>
    <mergeCell ref="B3:D3"/>
    <mergeCell ref="B4:D4"/>
  </mergeCells>
  <pageMargins left="0.7" right="0.7" top="0.75" bottom="0.75" header="0.3" footer="0.3"/>
  <ignoredErrors>
    <ignoredError sqref="C15:D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B3C8-9FDC-42D0-8799-7E169B9A7D71}">
  <dimension ref="B2:D27"/>
  <sheetViews>
    <sheetView showGridLines="0" workbookViewId="0">
      <selection activeCell="D22" sqref="D22"/>
    </sheetView>
  </sheetViews>
  <sheetFormatPr defaultRowHeight="14.5" x14ac:dyDescent="0.35"/>
  <cols>
    <col min="2" max="2" width="23.453125" bestFit="1" customWidth="1"/>
    <col min="3" max="3" width="10.1796875" customWidth="1"/>
    <col min="4" max="4" width="10.90625" customWidth="1"/>
  </cols>
  <sheetData>
    <row r="2" spans="2:4" x14ac:dyDescent="0.35">
      <c r="B2" s="1" t="s">
        <v>0</v>
      </c>
      <c r="C2" s="2"/>
      <c r="D2" s="2"/>
    </row>
    <row r="3" spans="2:4" x14ac:dyDescent="0.35">
      <c r="B3" s="1" t="s">
        <v>17</v>
      </c>
      <c r="C3" s="2"/>
      <c r="D3" s="2"/>
    </row>
    <row r="4" spans="2:4" x14ac:dyDescent="0.35">
      <c r="B4" s="1" t="s">
        <v>18</v>
      </c>
      <c r="C4" s="2"/>
      <c r="D4" s="2"/>
    </row>
    <row r="5" spans="2:4" x14ac:dyDescent="0.35">
      <c r="B5" s="3"/>
      <c r="C5" s="3">
        <v>2016</v>
      </c>
      <c r="D5" s="3">
        <v>2015</v>
      </c>
    </row>
    <row r="6" spans="2:4" x14ac:dyDescent="0.35">
      <c r="B6" s="9" t="s">
        <v>19</v>
      </c>
      <c r="C6" s="5"/>
      <c r="D6" s="5"/>
    </row>
    <row r="7" spans="2:4" x14ac:dyDescent="0.35">
      <c r="B7" s="4" t="s">
        <v>20</v>
      </c>
      <c r="C7" s="5">
        <v>14714</v>
      </c>
      <c r="D7" s="5">
        <v>10300</v>
      </c>
    </row>
    <row r="8" spans="2:4" x14ac:dyDescent="0.35">
      <c r="B8" s="4" t="s">
        <v>21</v>
      </c>
      <c r="C8" s="5">
        <v>1841</v>
      </c>
      <c r="D8" s="5">
        <v>550</v>
      </c>
    </row>
    <row r="9" spans="2:4" x14ac:dyDescent="0.35">
      <c r="B9" s="4" t="s">
        <v>22</v>
      </c>
      <c r="C9" s="5">
        <v>41090</v>
      </c>
      <c r="D9" s="5">
        <v>42100</v>
      </c>
    </row>
    <row r="10" spans="2:4" x14ac:dyDescent="0.35">
      <c r="B10" s="4" t="s">
        <v>23</v>
      </c>
      <c r="C10" s="5">
        <v>46910</v>
      </c>
      <c r="D10" s="5">
        <v>48490</v>
      </c>
    </row>
    <row r="11" spans="2:4" x14ac:dyDescent="0.35">
      <c r="B11" s="14" t="s">
        <v>24</v>
      </c>
      <c r="C11" s="32">
        <f t="shared" ref="C11:D11" si="0">SUM(C7:C10)</f>
        <v>104555</v>
      </c>
      <c r="D11" s="32">
        <f t="shared" si="0"/>
        <v>101440</v>
      </c>
    </row>
    <row r="12" spans="2:4" x14ac:dyDescent="0.35">
      <c r="B12" s="4" t="s">
        <v>25</v>
      </c>
      <c r="C12" s="5">
        <v>388000</v>
      </c>
      <c r="D12" s="5">
        <v>352600</v>
      </c>
    </row>
    <row r="13" spans="2:4" x14ac:dyDescent="0.35">
      <c r="B13" s="4" t="s">
        <v>26</v>
      </c>
      <c r="C13" s="5">
        <v>78020</v>
      </c>
      <c r="D13" s="5">
        <v>51200</v>
      </c>
    </row>
    <row r="14" spans="2:4" x14ac:dyDescent="0.35">
      <c r="B14" s="14" t="s">
        <v>27</v>
      </c>
      <c r="C14" s="32">
        <f t="shared" ref="C14:D14" si="1">C12-C13</f>
        <v>309980</v>
      </c>
      <c r="D14" s="32">
        <f t="shared" si="1"/>
        <v>301400</v>
      </c>
    </row>
    <row r="15" spans="2:4" ht="15" thickBot="1" x14ac:dyDescent="0.4">
      <c r="B15" s="15" t="s">
        <v>28</v>
      </c>
      <c r="C15" s="8">
        <f t="shared" ref="C15:D15" si="2">C11+C14</f>
        <v>414535</v>
      </c>
      <c r="D15" s="8">
        <f t="shared" si="2"/>
        <v>402840</v>
      </c>
    </row>
    <row r="16" spans="2:4" x14ac:dyDescent="0.35">
      <c r="C16" s="5"/>
      <c r="D16" s="5"/>
    </row>
    <row r="17" spans="2:4" x14ac:dyDescent="0.35">
      <c r="B17" s="9" t="s">
        <v>29</v>
      </c>
      <c r="C17" s="5"/>
      <c r="D17" s="5"/>
    </row>
    <row r="18" spans="2:4" x14ac:dyDescent="0.35">
      <c r="B18" s="4" t="s">
        <v>30</v>
      </c>
      <c r="C18" s="5">
        <v>35200</v>
      </c>
      <c r="D18" s="5">
        <v>32700</v>
      </c>
    </row>
    <row r="19" spans="2:4" x14ac:dyDescent="0.35">
      <c r="B19" s="4" t="s">
        <v>31</v>
      </c>
      <c r="C19" s="5">
        <v>2850</v>
      </c>
      <c r="D19" s="5">
        <v>2740</v>
      </c>
    </row>
    <row r="20" spans="2:4" x14ac:dyDescent="0.35">
      <c r="B20" s="14" t="s">
        <v>32</v>
      </c>
      <c r="C20" s="32">
        <f t="shared" ref="C20:D20" si="3">C18+C19</f>
        <v>38050</v>
      </c>
      <c r="D20" s="32">
        <f t="shared" si="3"/>
        <v>35440</v>
      </c>
    </row>
    <row r="21" spans="2:4" x14ac:dyDescent="0.35">
      <c r="B21" s="4" t="s">
        <v>33</v>
      </c>
      <c r="C21" s="5">
        <v>152700</v>
      </c>
      <c r="D21" s="5">
        <v>158600</v>
      </c>
    </row>
    <row r="22" spans="2:4" x14ac:dyDescent="0.35">
      <c r="B22" s="14" t="s">
        <v>34</v>
      </c>
      <c r="C22" s="32">
        <f t="shared" ref="C22:D22" si="4">C21+C20</f>
        <v>190750</v>
      </c>
      <c r="D22" s="32">
        <f t="shared" si="4"/>
        <v>194040</v>
      </c>
    </row>
    <row r="23" spans="2:4" x14ac:dyDescent="0.35">
      <c r="B23" s="4" t="s">
        <v>35</v>
      </c>
      <c r="C23" s="5">
        <v>52100</v>
      </c>
      <c r="D23" s="5">
        <v>52100</v>
      </c>
    </row>
    <row r="24" spans="2:4" x14ac:dyDescent="0.35">
      <c r="B24" s="4" t="s">
        <v>36</v>
      </c>
      <c r="C24" s="5">
        <v>121500</v>
      </c>
      <c r="D24" s="5">
        <v>121500</v>
      </c>
    </row>
    <row r="25" spans="2:4" x14ac:dyDescent="0.35">
      <c r="B25" s="4" t="s">
        <v>37</v>
      </c>
      <c r="C25" s="5">
        <v>50185</v>
      </c>
      <c r="D25" s="5">
        <v>35200</v>
      </c>
    </row>
    <row r="26" spans="2:4" x14ac:dyDescent="0.35">
      <c r="B26" s="14" t="s">
        <v>38</v>
      </c>
      <c r="C26" s="33">
        <f t="shared" ref="C26:D26" si="5">SUM(C23:C25)</f>
        <v>223785</v>
      </c>
      <c r="D26" s="33">
        <f t="shared" si="5"/>
        <v>208800</v>
      </c>
    </row>
    <row r="27" spans="2:4" ht="15" thickBot="1" x14ac:dyDescent="0.4">
      <c r="B27" s="15" t="s">
        <v>39</v>
      </c>
      <c r="C27" s="16">
        <f t="shared" ref="C27:D27" si="6">C22+C26</f>
        <v>414535</v>
      </c>
      <c r="D27" s="16">
        <f t="shared" si="6"/>
        <v>402840</v>
      </c>
    </row>
  </sheetData>
  <mergeCells count="3">
    <mergeCell ref="B2:D2"/>
    <mergeCell ref="B3:D3"/>
    <mergeCell ref="B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90EC-DF4D-4345-9979-A9E01575C476}">
  <dimension ref="B2:I21"/>
  <sheetViews>
    <sheetView showGridLines="0" topLeftCell="A4" workbookViewId="0">
      <selection activeCell="D21" sqref="D21"/>
    </sheetView>
  </sheetViews>
  <sheetFormatPr defaultRowHeight="14.5" x14ac:dyDescent="0.35"/>
  <cols>
    <col min="2" max="2" width="29" bestFit="1" customWidth="1"/>
    <col min="3" max="3" width="9.6328125" customWidth="1"/>
    <col min="4" max="4" width="11" customWidth="1"/>
  </cols>
  <sheetData>
    <row r="2" spans="2:9" x14ac:dyDescent="0.35">
      <c r="B2" s="1" t="s">
        <v>0</v>
      </c>
      <c r="C2" s="2"/>
      <c r="D2" s="2"/>
    </row>
    <row r="3" spans="2:9" x14ac:dyDescent="0.35">
      <c r="B3" s="1" t="s">
        <v>40</v>
      </c>
      <c r="C3" s="2"/>
      <c r="D3" s="2"/>
    </row>
    <row r="4" spans="2:9" x14ac:dyDescent="0.35">
      <c r="B4" s="1" t="s">
        <v>18</v>
      </c>
      <c r="C4" s="2"/>
      <c r="D4" s="2"/>
    </row>
    <row r="5" spans="2:9" x14ac:dyDescent="0.35">
      <c r="B5" s="18" t="s">
        <v>41</v>
      </c>
      <c r="C5" s="19"/>
      <c r="D5" s="19"/>
    </row>
    <row r="6" spans="2:9" x14ac:dyDescent="0.35">
      <c r="B6" s="4" t="s">
        <v>11</v>
      </c>
      <c r="C6" s="22">
        <f>'Income Statement'!C16</f>
        <v>16233.75</v>
      </c>
      <c r="D6" s="37"/>
    </row>
    <row r="7" spans="2:9" x14ac:dyDescent="0.35">
      <c r="B7" s="4" t="s">
        <v>42</v>
      </c>
      <c r="C7" s="22">
        <f>'Income Statement'!C9</f>
        <v>26820</v>
      </c>
      <c r="D7" s="37"/>
    </row>
    <row r="8" spans="2:9" x14ac:dyDescent="0.35">
      <c r="B8" s="4" t="s">
        <v>43</v>
      </c>
      <c r="C8" s="22">
        <f>'Balance Sheet'!D9-'Balance Sheet'!C9</f>
        <v>1010</v>
      </c>
      <c r="D8" s="37"/>
      <c r="I8" s="36"/>
    </row>
    <row r="9" spans="2:9" x14ac:dyDescent="0.35">
      <c r="B9" s="4" t="s">
        <v>44</v>
      </c>
      <c r="C9" s="22">
        <f>'Balance Sheet'!C10-'Balance Sheet'!D10</f>
        <v>-1580</v>
      </c>
      <c r="D9" s="37"/>
    </row>
    <row r="10" spans="2:9" x14ac:dyDescent="0.35">
      <c r="B10" s="4" t="s">
        <v>45</v>
      </c>
      <c r="C10" s="22">
        <f>'Balance Sheet'!C18-'Balance Sheet'!D18</f>
        <v>2500</v>
      </c>
      <c r="D10" s="37"/>
    </row>
    <row r="11" spans="2:9" x14ac:dyDescent="0.35">
      <c r="B11" s="4" t="s">
        <v>46</v>
      </c>
      <c r="C11" s="22">
        <f>'Balance Sheet'!C20-'Balance Sheet'!D20</f>
        <v>2610</v>
      </c>
      <c r="D11" s="37"/>
    </row>
    <row r="12" spans="2:9" x14ac:dyDescent="0.35">
      <c r="B12" s="9" t="s">
        <v>47</v>
      </c>
      <c r="C12" s="23"/>
      <c r="D12" s="23">
        <f>SUM(C6:C11)</f>
        <v>47593.75</v>
      </c>
    </row>
    <row r="13" spans="2:9" x14ac:dyDescent="0.35">
      <c r="B13" s="20" t="s">
        <v>48</v>
      </c>
      <c r="C13" s="21"/>
      <c r="D13" s="21"/>
    </row>
    <row r="14" spans="2:9" x14ac:dyDescent="0.35">
      <c r="B14" s="4" t="s">
        <v>49</v>
      </c>
      <c r="C14" s="22">
        <f>'Balance Sheet'!D14-'Balance Sheet'!C14</f>
        <v>-8580</v>
      </c>
      <c r="D14" s="37"/>
    </row>
    <row r="15" spans="2:9" x14ac:dyDescent="0.35">
      <c r="B15" s="9" t="s">
        <v>50</v>
      </c>
      <c r="C15" s="22"/>
      <c r="D15" s="23">
        <f>C14</f>
        <v>-8580</v>
      </c>
    </row>
    <row r="16" spans="2:9" x14ac:dyDescent="0.35">
      <c r="B16" s="20" t="s">
        <v>51</v>
      </c>
      <c r="C16" s="21"/>
      <c r="D16" s="21"/>
    </row>
    <row r="17" spans="2:4" x14ac:dyDescent="0.35">
      <c r="B17" s="4" t="s">
        <v>52</v>
      </c>
      <c r="C17" s="22">
        <f>'Balance Sheet'!C21-'Balance Sheet'!D21</f>
        <v>-5900</v>
      </c>
      <c r="D17" s="22"/>
    </row>
    <row r="18" spans="2:4" x14ac:dyDescent="0.35">
      <c r="B18" s="4" t="s">
        <v>53</v>
      </c>
      <c r="C18" s="22">
        <f>'Balance Sheet'!C23-'Balance Sheet'!D23</f>
        <v>0</v>
      </c>
      <c r="D18" s="22"/>
    </row>
    <row r="19" spans="2:4" x14ac:dyDescent="0.35">
      <c r="B19" s="4" t="s">
        <v>54</v>
      </c>
      <c r="C19" s="22">
        <f>-('Income Statement'!C16-('Balance Sheet'!C25-'Balance Sheet'!D25))</f>
        <v>-1248.75</v>
      </c>
      <c r="D19" s="22"/>
    </row>
    <row r="20" spans="2:4" x14ac:dyDescent="0.35">
      <c r="B20" s="24" t="s">
        <v>55</v>
      </c>
      <c r="C20" s="25"/>
      <c r="D20" s="25">
        <f>SUM(C17:C19)</f>
        <v>-7148.75</v>
      </c>
    </row>
    <row r="21" spans="2:4" ht="15" thickBot="1" x14ac:dyDescent="0.4">
      <c r="B21" s="9" t="s">
        <v>56</v>
      </c>
      <c r="C21" s="23"/>
      <c r="D21" s="38">
        <f>D12+D15+D20</f>
        <v>31865</v>
      </c>
    </row>
  </sheetData>
  <mergeCells count="6">
    <mergeCell ref="B2:D2"/>
    <mergeCell ref="B3:D3"/>
    <mergeCell ref="B4:D4"/>
    <mergeCell ref="B5:D5"/>
    <mergeCell ref="B13:D13"/>
    <mergeCell ref="B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5FCA-2703-4B49-B47E-14CB2322481F}">
  <dimension ref="A1:E31"/>
  <sheetViews>
    <sheetView showGridLines="0" topLeftCell="A10" workbookViewId="0">
      <selection activeCell="D26" sqref="D26:D28"/>
    </sheetView>
  </sheetViews>
  <sheetFormatPr defaultRowHeight="14.5" x14ac:dyDescent="0.35"/>
  <cols>
    <col min="1" max="1" width="21.36328125" bestFit="1" customWidth="1"/>
    <col min="2" max="2" width="9.81640625" customWidth="1"/>
    <col min="3" max="3" width="9.90625" customWidth="1"/>
    <col min="4" max="4" width="8.54296875" customWidth="1"/>
  </cols>
  <sheetData>
    <row r="1" spans="1:5" x14ac:dyDescent="0.35">
      <c r="A1" s="39" t="s">
        <v>0</v>
      </c>
      <c r="B1" s="40"/>
      <c r="C1" s="40"/>
      <c r="D1" s="40"/>
      <c r="E1" s="41"/>
    </row>
    <row r="2" spans="1:5" x14ac:dyDescent="0.35">
      <c r="A2" s="39" t="s">
        <v>57</v>
      </c>
      <c r="B2" s="40"/>
      <c r="C2" s="40"/>
      <c r="D2" s="40"/>
      <c r="E2" s="41"/>
    </row>
    <row r="3" spans="1:5" ht="26.5" x14ac:dyDescent="0.35">
      <c r="A3" s="26" t="s">
        <v>58</v>
      </c>
      <c r="B3" s="26">
        <v>2016</v>
      </c>
      <c r="C3" s="26">
        <v>2015</v>
      </c>
      <c r="D3" s="27" t="s">
        <v>59</v>
      </c>
      <c r="E3" s="28" t="s">
        <v>60</v>
      </c>
    </row>
    <row r="4" spans="1:5" x14ac:dyDescent="0.35">
      <c r="A4" s="29" t="s">
        <v>61</v>
      </c>
      <c r="B4" s="2"/>
      <c r="C4" s="2"/>
      <c r="D4" s="2"/>
      <c r="E4" s="2"/>
    </row>
    <row r="5" spans="1:5" x14ac:dyDescent="0.35">
      <c r="A5" s="4" t="s">
        <v>62</v>
      </c>
      <c r="B5" s="30">
        <f>'Balance Sheet'!C11/'Balance Sheet'!C20</f>
        <v>2.7478318002628122</v>
      </c>
      <c r="C5" s="30">
        <f>'Balance Sheet'!D11/'Balance Sheet'!D20</f>
        <v>2.8623024830699775</v>
      </c>
      <c r="D5" s="30">
        <v>2.7</v>
      </c>
      <c r="E5" s="4" t="str">
        <f>IF(AND(B5/C5&gt;=1,B5/D5&gt;=1),"Good", IF(OR(B5/C5&gt;=1,B5/D5&gt;=1),"Ok","Bad"))</f>
        <v>Ok</v>
      </c>
    </row>
    <row r="6" spans="1:5" x14ac:dyDescent="0.35">
      <c r="A6" s="4" t="s">
        <v>63</v>
      </c>
      <c r="B6" s="30">
        <f>('Balance Sheet'!C11-'Balance Sheet'!C10)/'Balance Sheet'!C20</f>
        <v>1.5149802890932982</v>
      </c>
      <c r="C6" s="30">
        <f>('Balance Sheet'!D11-'Balance Sheet'!D10)/'Balance Sheet'!D20</f>
        <v>1.4940744920993227</v>
      </c>
      <c r="D6" s="30">
        <v>1</v>
      </c>
      <c r="E6" s="4" t="str">
        <f>IF(AND(B6/C6&gt;=1,B6/D6&gt;=1),"Good",IF(OR(B6/C6&gt;=1,B6/D6&gt;=1),"Ok","Bad"))</f>
        <v>Good</v>
      </c>
    </row>
    <row r="7" spans="1:5" x14ac:dyDescent="0.35">
      <c r="A7" s="29" t="s">
        <v>64</v>
      </c>
      <c r="B7" s="2"/>
      <c r="C7" s="2"/>
      <c r="D7" s="2"/>
      <c r="E7" s="2"/>
    </row>
    <row r="8" spans="1:5" x14ac:dyDescent="0.35">
      <c r="A8" s="4" t="s">
        <v>65</v>
      </c>
      <c r="B8" s="30">
        <f>'Income Statement'!C7/'Balance Sheet'!C10</f>
        <v>6.0839906203368148</v>
      </c>
      <c r="C8" s="30">
        <f>'Income Statement'!D7/'Balance Sheet'!D10</f>
        <v>5.8115075273252215</v>
      </c>
      <c r="D8" s="30">
        <v>7</v>
      </c>
      <c r="E8" s="4" t="str">
        <f t="shared" ref="E8:E9" si="0">IF(AND(B8/C8&gt;=1,B8/D8&gt;=1),"Good", IF(OR(B8/C8&gt;=1,B8/D8&gt;=1),"Ok","Bad"))</f>
        <v>Ok</v>
      </c>
    </row>
    <row r="9" spans="1:5" x14ac:dyDescent="0.35">
      <c r="A9" s="4" t="s">
        <v>66</v>
      </c>
      <c r="B9" s="30">
        <f>'Income Statement'!C6/'Balance Sheet'!C9</f>
        <v>8.9875882209783402</v>
      </c>
      <c r="C9" s="30">
        <f>'Income Statement'!D6/'Balance Sheet'!D9</f>
        <v>8.4085510688836109</v>
      </c>
      <c r="D9" s="30">
        <v>10.7</v>
      </c>
      <c r="E9" s="4" t="str">
        <f t="shared" si="0"/>
        <v>Ok</v>
      </c>
    </row>
    <row r="10" spans="1:5" x14ac:dyDescent="0.35">
      <c r="A10" s="4" t="s">
        <v>67</v>
      </c>
      <c r="B10" s="31">
        <f>'Balance Sheet'!C9/('Income Statement'!C6/360)</f>
        <v>40.055239642567024</v>
      </c>
      <c r="C10" s="31">
        <f>'Balance Sheet'!D9/('Income Statement'!D6/360)</f>
        <v>42.813559322033896</v>
      </c>
      <c r="D10" s="30">
        <v>33.64</v>
      </c>
      <c r="E10" s="4" t="str">
        <f>IF(AND(B10/C10&lt;=1,B10/D10&lt;=1),"Good", IF(OR(B10/C10&lt;=1,B10/D10&lt;=1),"Ok","Bad"))</f>
        <v>Ok</v>
      </c>
    </row>
    <row r="11" spans="1:5" x14ac:dyDescent="0.35">
      <c r="A11" s="4" t="s">
        <v>68</v>
      </c>
      <c r="B11" s="30">
        <f>'Income Statement'!C6/'Balance Sheet'!C14</f>
        <v>1.1913671849796761</v>
      </c>
      <c r="C11" s="30">
        <f>'Income Statement'!D6/'Balance Sheet'!D14</f>
        <v>1.1745189117451891</v>
      </c>
      <c r="D11" s="30">
        <v>11.2</v>
      </c>
      <c r="E11" s="4" t="str">
        <f t="shared" ref="E11:E12" si="1">IF(AND(B11/C11&gt;=1,B11/D11&gt;=1),"Good", IF(OR(B11/C11&gt;=1,B11/D11&gt;=1),"Ok","Bad"))</f>
        <v>Ok</v>
      </c>
    </row>
    <row r="12" spans="1:5" x14ac:dyDescent="0.35">
      <c r="A12" s="4" t="s">
        <v>69</v>
      </c>
      <c r="B12" s="30">
        <f>'Income Statement'!C6/'Balance Sheet'!C15</f>
        <v>0.89087773046907981</v>
      </c>
      <c r="C12" s="30">
        <f>'Income Statement'!D6/'Balance Sheet'!D15</f>
        <v>0.87876079833184395</v>
      </c>
      <c r="D12" s="30">
        <v>2.6</v>
      </c>
      <c r="E12" s="4" t="str">
        <f t="shared" si="1"/>
        <v>Ok</v>
      </c>
    </row>
    <row r="13" spans="1:5" x14ac:dyDescent="0.35">
      <c r="A13" s="29" t="s">
        <v>70</v>
      </c>
      <c r="B13" s="2"/>
      <c r="C13" s="2"/>
      <c r="D13" s="2"/>
      <c r="E13" s="2"/>
    </row>
    <row r="14" spans="1:5" x14ac:dyDescent="0.35">
      <c r="A14" s="4" t="s">
        <v>71</v>
      </c>
      <c r="B14" s="10">
        <f>'Balance Sheet'!C22/'Balance Sheet'!C15</f>
        <v>0.46015414862436221</v>
      </c>
      <c r="C14" s="10">
        <f>'Balance Sheet'!D22/'Balance Sheet'!D15</f>
        <v>0.48168007149240394</v>
      </c>
      <c r="D14" s="10">
        <v>0.5</v>
      </c>
      <c r="E14" s="4" t="str">
        <f>IF(AND(B14/C14&lt;=1,B14/D14&lt;=1),"Good",IF(OR(B14/C14&lt;=1,B14/D14&lt;=1),"Ok","Bad"))</f>
        <v>Good</v>
      </c>
    </row>
    <row r="15" spans="1:5" x14ac:dyDescent="0.35">
      <c r="A15" s="4" t="s">
        <v>72</v>
      </c>
      <c r="B15" s="10">
        <f>'Balance Sheet'!C21/'Balance Sheet'!C15</f>
        <v>0.36836455305342131</v>
      </c>
      <c r="C15" s="10">
        <f>'Balance Sheet'!D21/'Balance Sheet'!D15</f>
        <v>0.39370469665375829</v>
      </c>
      <c r="D15" s="10">
        <v>0.2</v>
      </c>
      <c r="E15" s="4" t="str">
        <f>IF(AND(B15/C15&lt;=1,B15/D15&lt;=1),"Good",IF(OR(B15/C15&lt;=1,B15/D15&lt;=1),"Ok","Bad"))</f>
        <v>Ok</v>
      </c>
    </row>
    <row r="16" spans="1:5" x14ac:dyDescent="0.35">
      <c r="A16" s="4" t="s">
        <v>73</v>
      </c>
      <c r="B16" s="10">
        <f>'Balance Sheet'!C21/('Balance Sheet'!C21+'Balance Sheet'!C26)</f>
        <v>0.40559384836049245</v>
      </c>
      <c r="C16" s="10">
        <f>'Balance Sheet'!D21/('Balance Sheet'!D21+'Balance Sheet'!D26)</f>
        <v>0.4316820903647251</v>
      </c>
      <c r="D16" s="10">
        <v>0.28570000000000001</v>
      </c>
      <c r="E16" s="4" t="str">
        <f>IF(AND(B16/C16&lt;=1,B16/D16&lt;=1),"Good",IF(OR(B16/C16&lt;=1,B16/D16&lt;=1),"Ok","Bad"))</f>
        <v>Ok</v>
      </c>
    </row>
    <row r="17" spans="1:5" x14ac:dyDescent="0.35">
      <c r="A17" s="4" t="s">
        <v>74</v>
      </c>
      <c r="B17" s="30">
        <f>'Balance Sheet'!C22/'Balance Sheet'!C26</f>
        <v>0.85238063319704183</v>
      </c>
      <c r="C17" s="30">
        <f>'Balance Sheet'!D22/'Balance Sheet'!D26</f>
        <v>0.92931034482758623</v>
      </c>
      <c r="D17" s="30">
        <v>1</v>
      </c>
      <c r="E17" s="4" t="str">
        <f>IF(AND(B17/C17&lt;=1,B17/D17&lt;=1),"Good",IF(OR(B17/C17&lt;=1,B17/D17&lt;=1),"Ok","Bad"))</f>
        <v>Good</v>
      </c>
    </row>
    <row r="18" spans="1:5" x14ac:dyDescent="0.35">
      <c r="A18" s="4" t="s">
        <v>75</v>
      </c>
      <c r="B18" s="10">
        <f>'Balance Sheet'!C21/'Balance Sheet'!C26</f>
        <v>0.6823513640324419</v>
      </c>
      <c r="C18" s="10">
        <f>'Balance Sheet'!D21/'Balance Sheet'!D26</f>
        <v>0.75957854406130265</v>
      </c>
      <c r="D18" s="10">
        <v>0.4</v>
      </c>
      <c r="E18" s="4" t="str">
        <f>IF(AND(B18/C18&lt;=1,B18/D18&lt;=1),"Good",IF(OR(B18/C18&lt;=1,B18/D18&lt;=1),"Ok","Bad"))</f>
        <v>Ok</v>
      </c>
    </row>
    <row r="19" spans="1:5" x14ac:dyDescent="0.35">
      <c r="A19" s="29" t="s">
        <v>76</v>
      </c>
      <c r="B19" s="2"/>
      <c r="C19" s="2"/>
      <c r="D19" s="2"/>
      <c r="E19" s="2"/>
    </row>
    <row r="20" spans="1:5" x14ac:dyDescent="0.35">
      <c r="A20" s="4" t="s">
        <v>77</v>
      </c>
      <c r="B20" s="30">
        <f>'Income Statement'!C12/'Income Statement'!C13</f>
        <v>4.2498373454782046</v>
      </c>
      <c r="C20" s="30">
        <f>'Income Statement'!D12/'Income Statement'!D13</f>
        <v>3.0566289140572951</v>
      </c>
      <c r="D20" s="30">
        <v>2.5</v>
      </c>
      <c r="E20" s="4" t="str">
        <f t="shared" ref="E20:E21" si="2">IF(AND(B20/C20&gt;=1,B20/D20&gt;=1),"Good", IF(OR(B20/C20&gt;=1,B20/D20&gt;=1),"Ok","Bad"))</f>
        <v>Good</v>
      </c>
    </row>
    <row r="21" spans="1:5" x14ac:dyDescent="0.35">
      <c r="A21" s="4" t="s">
        <v>78</v>
      </c>
      <c r="B21" s="30">
        <f>('Income Statement'!C12+'Income Statement'!C9)/'Income Statement'!C13</f>
        <v>7.7397527651268705</v>
      </c>
      <c r="C21" s="30">
        <f>('Income Statement'!D12+'Income Statement'!D9)/'Income Statement'!D13</f>
        <v>6.5689540306462355</v>
      </c>
      <c r="D21" s="30">
        <v>2.8</v>
      </c>
      <c r="E21" s="4" t="str">
        <f t="shared" si="2"/>
        <v>Good</v>
      </c>
    </row>
    <row r="22" spans="1:5" x14ac:dyDescent="0.35">
      <c r="A22" s="29" t="s">
        <v>79</v>
      </c>
      <c r="B22" s="2"/>
      <c r="C22" s="2"/>
      <c r="D22" s="2"/>
      <c r="E22" s="2"/>
    </row>
    <row r="23" spans="1:5" x14ac:dyDescent="0.35">
      <c r="A23" s="4" t="s">
        <v>80</v>
      </c>
      <c r="B23" s="10">
        <f>'Income Statement'!C8/'Income Statement'!C6</f>
        <v>0.22718656918494448</v>
      </c>
      <c r="C23" s="10">
        <f>'Income Statement'!D8/'Income Statement'!D6</f>
        <v>0.20395480225988702</v>
      </c>
      <c r="D23" s="10">
        <v>0.17499999999999999</v>
      </c>
      <c r="E23" s="4" t="str">
        <f t="shared" ref="E23:E28" si="3">IF(AND(B23/C23&gt;=1,B23/D23&gt;=1),"Good", IF(OR(B23/C23&gt;=1,B23/D23&gt;=1),"Ok","Bad"))</f>
        <v>Good</v>
      </c>
    </row>
    <row r="24" spans="1:5" x14ac:dyDescent="0.35">
      <c r="A24" s="4" t="s">
        <v>81</v>
      </c>
      <c r="B24" s="10">
        <f>'Income Statement'!C12/'Income Statement'!C6</f>
        <v>8.8437584619550508E-2</v>
      </c>
      <c r="C24" s="10">
        <f>'Income Statement'!D12/'Income Statement'!D6</f>
        <v>6.480225988700565E-2</v>
      </c>
      <c r="D24" s="10">
        <v>6.25E-2</v>
      </c>
      <c r="E24" s="4" t="str">
        <f t="shared" si="3"/>
        <v>Good</v>
      </c>
    </row>
    <row r="25" spans="1:5" x14ac:dyDescent="0.35">
      <c r="A25" s="4" t="s">
        <v>82</v>
      </c>
      <c r="B25" s="10">
        <f>'Income Statement'!C16/'Income Statement'!C6</f>
        <v>4.3958164094232331E-2</v>
      </c>
      <c r="C25" s="10">
        <f>'Income Statement'!D16/'Income Statement'!D6</f>
        <v>2.6161016949152543E-2</v>
      </c>
      <c r="D25" s="10">
        <v>3.5000000000000003E-2</v>
      </c>
      <c r="E25" s="4" t="str">
        <f t="shared" si="3"/>
        <v>Good</v>
      </c>
    </row>
    <row r="26" spans="1:5" x14ac:dyDescent="0.35">
      <c r="A26" s="4" t="s">
        <v>83</v>
      </c>
      <c r="B26" s="10">
        <f>'Income Statement'!C16/'Balance Sheet'!C15</f>
        <v>3.916134946385709E-2</v>
      </c>
      <c r="C26" s="10">
        <f>'Income Statement'!D16/'Balance Sheet'!D15</f>
        <v>2.2989276139410188E-2</v>
      </c>
      <c r="D26" s="10">
        <v>9.0999999999999998E-2</v>
      </c>
      <c r="E26" s="4" t="str">
        <f t="shared" si="3"/>
        <v>Ok</v>
      </c>
    </row>
    <row r="27" spans="1:5" x14ac:dyDescent="0.35">
      <c r="A27" s="4" t="s">
        <v>84</v>
      </c>
      <c r="B27" s="10">
        <f>'Income Statement'!C16/'Balance Sheet'!C26</f>
        <v>7.2541725316710229E-2</v>
      </c>
      <c r="C27" s="10">
        <f>'Income Statement'!D16/'Balance Sheet'!D26</f>
        <v>4.4353448275862066E-2</v>
      </c>
      <c r="D27" s="10">
        <v>0.182</v>
      </c>
      <c r="E27" s="4" t="str">
        <f t="shared" si="3"/>
        <v>Ok</v>
      </c>
    </row>
    <row r="28" spans="1:5" x14ac:dyDescent="0.35">
      <c r="A28" s="4" t="s">
        <v>85</v>
      </c>
      <c r="B28" s="10">
        <f>'Income Statement'!C16/'Balance Sheet'!C26</f>
        <v>7.2541725316710229E-2</v>
      </c>
      <c r="C28" s="10">
        <f>'Income Statement'!D16/'Balance Sheet'!D26</f>
        <v>4.4353448275862066E-2</v>
      </c>
      <c r="D28" s="10">
        <v>0.182</v>
      </c>
      <c r="E28" s="4" t="str">
        <f t="shared" si="3"/>
        <v>Ok</v>
      </c>
    </row>
    <row r="29" spans="1:5" x14ac:dyDescent="0.35">
      <c r="B29" s="30"/>
      <c r="C29" s="30"/>
      <c r="D29" s="30"/>
    </row>
    <row r="30" spans="1:5" x14ac:dyDescent="0.35">
      <c r="B30" s="30"/>
      <c r="C30" s="30"/>
      <c r="D30" s="30"/>
    </row>
    <row r="31" spans="1:5" x14ac:dyDescent="0.35">
      <c r="A31" s="4" t="s">
        <v>86</v>
      </c>
      <c r="B31" s="10">
        <f t="shared" ref="B31:C31" si="4">(B25*B12)/(1-B14)</f>
        <v>7.2541725316710229E-2</v>
      </c>
      <c r="C31" s="10">
        <f t="shared" si="4"/>
        <v>4.4353448275862073E-2</v>
      </c>
      <c r="D31" s="30"/>
    </row>
  </sheetData>
  <mergeCells count="7">
    <mergeCell ref="A22:E22"/>
    <mergeCell ref="A1:D1"/>
    <mergeCell ref="A2:D2"/>
    <mergeCell ref="A4:E4"/>
    <mergeCell ref="A7:E7"/>
    <mergeCell ref="A13:E13"/>
    <mergeCell ref="A19:E19"/>
  </mergeCells>
  <pageMargins left="0.7" right="0.7" top="0.75" bottom="0.75" header="0.3" footer="0.3"/>
  <ignoredErrors>
    <ignoredError sqref="E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5AD3-C056-4FFA-BC1A-268AFDF56623}">
  <dimension ref="A1:G13"/>
  <sheetViews>
    <sheetView showGridLines="0" tabSelected="1" workbookViewId="0">
      <selection activeCell="F19" sqref="F19"/>
    </sheetView>
  </sheetViews>
  <sheetFormatPr defaultRowHeight="14.5" x14ac:dyDescent="0.35"/>
  <cols>
    <col min="1" max="1" width="14.36328125" customWidth="1"/>
    <col min="2" max="2" width="10.36328125" customWidth="1"/>
  </cols>
  <sheetData>
    <row r="1" spans="1:7" ht="15.5" x14ac:dyDescent="0.35">
      <c r="E1" s="44" t="s">
        <v>95</v>
      </c>
      <c r="F1" s="44"/>
      <c r="G1" s="44"/>
    </row>
    <row r="2" spans="1:7" ht="14.5" customHeight="1" x14ac:dyDescent="0.35">
      <c r="A2" s="43" t="s">
        <v>96</v>
      </c>
      <c r="B2" s="43"/>
      <c r="C2" s="43"/>
    </row>
    <row r="3" spans="1:7" x14ac:dyDescent="0.35">
      <c r="A3" s="43"/>
      <c r="B3" s="43"/>
      <c r="C3" s="43"/>
    </row>
    <row r="5" spans="1:7" x14ac:dyDescent="0.35">
      <c r="A5" t="s">
        <v>92</v>
      </c>
      <c r="B5" s="35">
        <v>884400</v>
      </c>
    </row>
    <row r="6" spans="1:7" x14ac:dyDescent="0.35">
      <c r="A6" t="s">
        <v>87</v>
      </c>
      <c r="B6" s="42">
        <f>('Balance Sheet'!C11-'Balance Sheet'!C20)/'Balance Sheet'!C15</f>
        <v>0.16043277407215314</v>
      </c>
    </row>
    <row r="7" spans="1:7" x14ac:dyDescent="0.35">
      <c r="A7" t="s">
        <v>88</v>
      </c>
      <c r="B7">
        <f>'Balance Sheet'!C25/'Balance Sheet'!C15</f>
        <v>0.12106336015053011</v>
      </c>
    </row>
    <row r="8" spans="1:7" x14ac:dyDescent="0.35">
      <c r="A8" t="s">
        <v>89</v>
      </c>
      <c r="B8">
        <f>'Income Statement'!C12/'Balance Sheet'!C15</f>
        <v>7.8787074674032356E-2</v>
      </c>
    </row>
    <row r="9" spans="1:7" x14ac:dyDescent="0.35">
      <c r="A9" t="s">
        <v>90</v>
      </c>
      <c r="B9" s="42">
        <f>B5/'Balance Sheet'!C22</f>
        <v>4.6364351245085187</v>
      </c>
    </row>
    <row r="10" spans="1:7" x14ac:dyDescent="0.35">
      <c r="A10" t="s">
        <v>91</v>
      </c>
      <c r="B10">
        <f>'Income Statement'!C6/'Balance Sheet'!C15</f>
        <v>0.89087773046907981</v>
      </c>
    </row>
    <row r="11" spans="1:7" x14ac:dyDescent="0.35">
      <c r="A11" s="45" t="s">
        <v>94</v>
      </c>
      <c r="B11" s="46">
        <f>0.717*B6+0.847*B7+3.107*B8+0.42*B9+0.998*B10</f>
        <v>3.2987611333711704</v>
      </c>
    </row>
    <row r="13" spans="1:7" x14ac:dyDescent="0.35">
      <c r="A13" t="s">
        <v>93</v>
      </c>
    </row>
  </sheetData>
  <mergeCells count="2">
    <mergeCell ref="A2:C3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</vt:lpstr>
      <vt:lpstr>Ratios</vt:lpstr>
      <vt:lpstr>Z Score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Skitah Wambui</dc:creator>
  <cp:lastModifiedBy>Skitah Wambui</cp:lastModifiedBy>
  <dcterms:created xsi:type="dcterms:W3CDTF">2025-01-05T15:46:52Z</dcterms:created>
  <dcterms:modified xsi:type="dcterms:W3CDTF">2025-01-08T13:23:03Z</dcterms:modified>
</cp:coreProperties>
</file>