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81209B5B-C844-944D-90A4-D3757AF13692}" xr6:coauthVersionLast="47" xr6:coauthVersionMax="47" xr10:uidLastSave="{00000000-0000-0000-0000-000000000000}"/>
  <bookViews>
    <workbookView xWindow="0" yWindow="500" windowWidth="20500" windowHeight="7660" tabRatio="601" activeTab="4" xr2:uid="{00000000-000D-0000-FFFF-FFFF00000000}"/>
  </bookViews>
  <sheets>
    <sheet name="DCF" sheetId="1" r:id="rId1"/>
    <sheet name="Income Statement" sheetId="6" r:id="rId2"/>
    <sheet name="Cash Flow" sheetId="7" r:id="rId3"/>
    <sheet name="Balance Sheet &amp; NWC" sheetId="5" r:id="rId4"/>
    <sheet name="Historical &amp; Projections" sheetId="9" r:id="rId5"/>
    <sheet name="Лист1" sheetId="3" state="veryHidden" r:id="rId6"/>
  </sheets>
  <definedNames>
    <definedName name="Cost_of_Equity_Calculation">DCF!$C$17+DCF!$C$20*DCF!$C$18+DCF!$C$19</definedName>
    <definedName name="EBIAT">DCF!A1048573-DCF!A1048576</definedName>
    <definedName name="EBIT">DCF!A2-DCF!A6</definedName>
    <definedName name="Free_Cash_Flow_to_Firm">DCF!A1048573+DCF!A1048574-DCF!A1048576-DCF!A1048575</definedName>
    <definedName name="Market_Capitalization">DCF!$C$7*DCF!$C$8</definedName>
    <definedName name="Net_Debt">DCF!$C$10-DCF!$C$11</definedName>
    <definedName name="Terminal__EV_EBITDA">DCF!$C$6/DCF!$M$8</definedName>
    <definedName name="Total_Enterprise_Value_Calculation">DCF!$C$9+DCF!$C$12+DCF!$C$13</definedName>
    <definedName name="WACC_Calculation">DCF!$C$25*DCF!$C$26+DCF!$C$27*DCF!$C$28*(1-DCF!$C$29)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9" l="1"/>
  <c r="C13" i="9"/>
  <c r="D13" i="9"/>
  <c r="E13" i="9"/>
  <c r="F13" i="9"/>
  <c r="G13" i="9"/>
  <c r="H13" i="9"/>
  <c r="I13" i="9"/>
  <c r="J13" i="9"/>
  <c r="M13" i="9" s="1"/>
  <c r="B16" i="9"/>
  <c r="C16" i="9"/>
  <c r="D16" i="9"/>
  <c r="E16" i="9"/>
  <c r="F16" i="9"/>
  <c r="G16" i="9"/>
  <c r="H16" i="9"/>
  <c r="I16" i="9"/>
  <c r="J16" i="9"/>
  <c r="M16" i="9" s="1"/>
  <c r="B22" i="9"/>
  <c r="C22" i="9"/>
  <c r="D22" i="9"/>
  <c r="E22" i="9"/>
  <c r="F22" i="9"/>
  <c r="G22" i="9"/>
  <c r="H22" i="9"/>
  <c r="I22" i="9"/>
  <c r="J22" i="9"/>
  <c r="M22" i="9" s="1"/>
  <c r="B25" i="9"/>
  <c r="C25" i="9"/>
  <c r="D25" i="9"/>
  <c r="E25" i="9"/>
  <c r="F25" i="9"/>
  <c r="G25" i="9"/>
  <c r="H25" i="9"/>
  <c r="I25" i="9"/>
  <c r="J25" i="9"/>
  <c r="M25" i="9" s="1"/>
  <c r="I23" i="9" l="1"/>
  <c r="E23" i="9"/>
  <c r="H23" i="9"/>
  <c r="D23" i="9"/>
  <c r="K16" i="9"/>
  <c r="G23" i="9"/>
  <c r="C23" i="9"/>
  <c r="F23" i="9"/>
  <c r="L13" i="9"/>
  <c r="L16" i="9"/>
  <c r="L25" i="9"/>
  <c r="K22" i="9"/>
  <c r="K25" i="9"/>
  <c r="J23" i="9"/>
  <c r="B23" i="9"/>
  <c r="K13" i="9"/>
  <c r="L22" i="9"/>
  <c r="K23" i="9" l="1"/>
  <c r="L23" i="9"/>
  <c r="M8" i="1"/>
  <c r="C9" i="1"/>
  <c r="N23" i="9" l="1"/>
  <c r="R23" i="9"/>
  <c r="O23" i="9"/>
  <c r="P23" i="9"/>
  <c r="Q23" i="9"/>
  <c r="X23" i="9"/>
  <c r="U23" i="9"/>
  <c r="Y23" i="9"/>
  <c r="V23" i="9"/>
  <c r="W23" i="9"/>
  <c r="F10" i="1"/>
  <c r="G10" i="1"/>
  <c r="H10" i="1"/>
  <c r="I10" i="1"/>
  <c r="J10" i="1"/>
  <c r="K10" i="1"/>
  <c r="L10" i="1"/>
  <c r="M10" i="1"/>
  <c r="AC23" i="9" l="1"/>
  <c r="AD23" i="9"/>
  <c r="AE23" i="9"/>
  <c r="AF23" i="9"/>
  <c r="AB23" i="9"/>
  <c r="G12" i="1" l="1"/>
  <c r="H12" i="1"/>
  <c r="I12" i="1"/>
  <c r="J12" i="1"/>
  <c r="K12" i="1"/>
  <c r="L12" i="1"/>
  <c r="M12" i="1"/>
  <c r="F12" i="1"/>
  <c r="G9" i="1"/>
  <c r="H9" i="1"/>
  <c r="I9" i="1"/>
  <c r="J9" i="1"/>
  <c r="K9" i="1"/>
  <c r="L9" i="1"/>
  <c r="M9" i="1"/>
  <c r="F9" i="1"/>
  <c r="G13" i="1"/>
  <c r="H13" i="1"/>
  <c r="I13" i="1"/>
  <c r="J13" i="1"/>
  <c r="K13" i="1"/>
  <c r="L13" i="1"/>
  <c r="M13" i="1"/>
  <c r="F13" i="1"/>
  <c r="R9" i="1" l="1"/>
  <c r="O9" i="1"/>
  <c r="N9" i="1"/>
  <c r="P9" i="1"/>
  <c r="Q9" i="1"/>
  <c r="F8" i="1"/>
  <c r="F7" i="1" s="1"/>
  <c r="F11" i="1" s="1"/>
  <c r="G8" i="1"/>
  <c r="G7" i="1" s="1"/>
  <c r="G11" i="1" s="1"/>
  <c r="H8" i="1"/>
  <c r="H7" i="1" s="1"/>
  <c r="H11" i="1" s="1"/>
  <c r="I8" i="1"/>
  <c r="I7" i="1" s="1"/>
  <c r="I11" i="1" s="1"/>
  <c r="J8" i="1"/>
  <c r="J7" i="1" s="1"/>
  <c r="J11" i="1" s="1"/>
  <c r="K8" i="1"/>
  <c r="K7" i="1" s="1"/>
  <c r="K11" i="1" s="1"/>
  <c r="L8" i="1"/>
  <c r="L7" i="1" s="1"/>
  <c r="L11" i="1" s="1"/>
  <c r="C16" i="1"/>
  <c r="S8" i="1" l="1"/>
  <c r="M7" i="1"/>
  <c r="M11" i="1" l="1"/>
  <c r="S7" i="1"/>
  <c r="S11" i="1" l="1"/>
  <c r="C13" i="1"/>
  <c r="C27" i="1" l="1"/>
  <c r="C28" i="1"/>
  <c r="C25" i="1"/>
  <c r="E33" i="7"/>
  <c r="F33" i="7"/>
  <c r="C33" i="7"/>
  <c r="B41" i="5"/>
  <c r="C41" i="5"/>
  <c r="D41" i="5"/>
  <c r="H34" i="5"/>
  <c r="H31" i="9" s="1"/>
  <c r="H36" i="9" s="1"/>
  <c r="I34" i="5"/>
  <c r="I31" i="9" s="1"/>
  <c r="J34" i="5"/>
  <c r="J31" i="9" s="1"/>
  <c r="B34" i="5"/>
  <c r="B31" i="9" s="1"/>
  <c r="C34" i="5"/>
  <c r="C31" i="9" s="1"/>
  <c r="C36" i="9" s="1"/>
  <c r="J41" i="5"/>
  <c r="J42" i="5"/>
  <c r="C10" i="1" s="1"/>
  <c r="I41" i="5"/>
  <c r="I42" i="5"/>
  <c r="H41" i="5"/>
  <c r="B49" i="5"/>
  <c r="E41" i="5"/>
  <c r="E42" i="5" s="1"/>
  <c r="E55" i="5" s="1"/>
  <c r="C8" i="5"/>
  <c r="C20" i="5"/>
  <c r="C25" i="5"/>
  <c r="D8" i="5"/>
  <c r="D16" i="5"/>
  <c r="D28" i="9" s="1"/>
  <c r="D20" i="5"/>
  <c r="D25" i="5" s="1"/>
  <c r="E8" i="5"/>
  <c r="E20" i="5"/>
  <c r="E25" i="5"/>
  <c r="F8" i="5"/>
  <c r="F16" i="5" s="1"/>
  <c r="F20" i="5"/>
  <c r="F25" i="5"/>
  <c r="G8" i="5"/>
  <c r="G20" i="5"/>
  <c r="G25" i="5"/>
  <c r="H8" i="5"/>
  <c r="H20" i="5"/>
  <c r="H25" i="5" s="1"/>
  <c r="I8" i="5"/>
  <c r="I20" i="5"/>
  <c r="I25" i="5"/>
  <c r="J8" i="5"/>
  <c r="C11" i="1" s="1"/>
  <c r="J20" i="5"/>
  <c r="J25" i="5"/>
  <c r="B8" i="5"/>
  <c r="B16" i="5"/>
  <c r="B28" i="9" s="1"/>
  <c r="B20" i="5"/>
  <c r="B25" i="5"/>
  <c r="E25" i="6"/>
  <c r="D24" i="6"/>
  <c r="E24" i="6"/>
  <c r="H24" i="6"/>
  <c r="I24" i="6"/>
  <c r="J24" i="6"/>
  <c r="B24" i="6"/>
  <c r="C24" i="6"/>
  <c r="F24" i="6"/>
  <c r="G20" i="6"/>
  <c r="G24" i="6" s="1"/>
  <c r="D33" i="7"/>
  <c r="C40" i="7"/>
  <c r="B40" i="7"/>
  <c r="D40" i="7"/>
  <c r="E40" i="7"/>
  <c r="F40" i="7"/>
  <c r="G40" i="7"/>
  <c r="H40" i="7"/>
  <c r="I40" i="7"/>
  <c r="J40" i="7"/>
  <c r="B22" i="7"/>
  <c r="B23" i="7" s="1"/>
  <c r="C22" i="7"/>
  <c r="C23" i="7" s="1"/>
  <c r="C42" i="7" s="1"/>
  <c r="D22" i="7"/>
  <c r="E22" i="7"/>
  <c r="F22" i="7"/>
  <c r="F23" i="7" s="1"/>
  <c r="F42" i="7" s="1"/>
  <c r="F44" i="7" s="1"/>
  <c r="G22" i="7"/>
  <c r="H22" i="7"/>
  <c r="I22" i="7"/>
  <c r="J22" i="7"/>
  <c r="G23" i="7"/>
  <c r="E23" i="7"/>
  <c r="D23" i="7"/>
  <c r="B31" i="7"/>
  <c r="B33" i="7" s="1"/>
  <c r="G33" i="7"/>
  <c r="H33" i="7"/>
  <c r="J33" i="7"/>
  <c r="J42" i="7" s="1"/>
  <c r="J44" i="7" s="1"/>
  <c r="I33" i="7"/>
  <c r="I42" i="7" s="1"/>
  <c r="I44" i="7" s="1"/>
  <c r="C49" i="5"/>
  <c r="D49" i="5"/>
  <c r="F49" i="5"/>
  <c r="F53" i="5" s="1"/>
  <c r="G49" i="5"/>
  <c r="G53" i="5" s="1"/>
  <c r="H49" i="5"/>
  <c r="I49" i="5"/>
  <c r="I53" i="5" s="1"/>
  <c r="J49" i="5"/>
  <c r="J53" i="5" s="1"/>
  <c r="E49" i="5"/>
  <c r="E53" i="5" s="1"/>
  <c r="D34" i="5"/>
  <c r="D31" i="9" s="1"/>
  <c r="D42" i="5"/>
  <c r="D55" i="5" s="1"/>
  <c r="E34" i="5"/>
  <c r="E31" i="9" s="1"/>
  <c r="F41" i="5"/>
  <c r="F34" i="5"/>
  <c r="F31" i="9" s="1"/>
  <c r="G41" i="5"/>
  <c r="G34" i="5"/>
  <c r="G31" i="9" s="1"/>
  <c r="G42" i="5"/>
  <c r="G55" i="5" s="1"/>
  <c r="B11" i="5"/>
  <c r="I55" i="5"/>
  <c r="C53" i="5"/>
  <c r="D53" i="5"/>
  <c r="H53" i="5"/>
  <c r="B53" i="5"/>
  <c r="E11" i="5"/>
  <c r="E16" i="5" s="1"/>
  <c r="F11" i="5"/>
  <c r="G11" i="5"/>
  <c r="G16" i="5" s="1"/>
  <c r="H11" i="5"/>
  <c r="H16" i="5" s="1"/>
  <c r="I11" i="5"/>
  <c r="I16" i="5" s="1"/>
  <c r="J11" i="5"/>
  <c r="D11" i="5"/>
  <c r="C11" i="5"/>
  <c r="C16" i="5" s="1"/>
  <c r="C16" i="6"/>
  <c r="C26" i="6" s="1"/>
  <c r="G16" i="6"/>
  <c r="G26" i="6" s="1"/>
  <c r="B16" i="6"/>
  <c r="B26" i="6" s="1"/>
  <c r="C25" i="6"/>
  <c r="D25" i="6"/>
  <c r="F25" i="6"/>
  <c r="G25" i="6"/>
  <c r="H25" i="6"/>
  <c r="I25" i="6"/>
  <c r="J25" i="6"/>
  <c r="B25" i="6"/>
  <c r="D7" i="6"/>
  <c r="D7" i="9" s="1"/>
  <c r="D10" i="6"/>
  <c r="E7" i="6"/>
  <c r="E7" i="9" s="1"/>
  <c r="E10" i="6"/>
  <c r="E10" i="9" s="1"/>
  <c r="E11" i="9" s="1"/>
  <c r="F7" i="6"/>
  <c r="F7" i="9" s="1"/>
  <c r="F10" i="6"/>
  <c r="G7" i="6"/>
  <c r="G7" i="9" s="1"/>
  <c r="G10" i="6"/>
  <c r="G10" i="9" s="1"/>
  <c r="G11" i="9" s="1"/>
  <c r="H7" i="6"/>
  <c r="H7" i="9" s="1"/>
  <c r="H10" i="6"/>
  <c r="I7" i="6"/>
  <c r="I7" i="9" s="1"/>
  <c r="I10" i="6"/>
  <c r="I10" i="9" s="1"/>
  <c r="I11" i="9" s="1"/>
  <c r="J7" i="6"/>
  <c r="J7" i="9" s="1"/>
  <c r="J10" i="6"/>
  <c r="C7" i="6"/>
  <c r="C7" i="9" s="1"/>
  <c r="C10" i="6"/>
  <c r="C10" i="9" s="1"/>
  <c r="C11" i="9" s="1"/>
  <c r="B7" i="6"/>
  <c r="B7" i="9" s="1"/>
  <c r="B10" i="6"/>
  <c r="B10" i="9" s="1"/>
  <c r="N6" i="1"/>
  <c r="O6" i="1" s="1"/>
  <c r="P6" i="1" s="1"/>
  <c r="Q6" i="1" s="1"/>
  <c r="R6" i="1" s="1"/>
  <c r="J6" i="1"/>
  <c r="I6" i="1"/>
  <c r="H6" i="1"/>
  <c r="G6" i="1" s="1"/>
  <c r="F6" i="1" s="1"/>
  <c r="S6" i="1" s="1"/>
  <c r="B30" i="6" l="1"/>
  <c r="B33" i="6"/>
  <c r="G28" i="9"/>
  <c r="G26" i="5"/>
  <c r="G30" i="6"/>
  <c r="G33" i="6"/>
  <c r="C30" i="6"/>
  <c r="C33" i="6"/>
  <c r="I28" i="9"/>
  <c r="I26" i="5"/>
  <c r="E28" i="9"/>
  <c r="E26" i="5"/>
  <c r="B11" i="9"/>
  <c r="J10" i="9"/>
  <c r="J16" i="6"/>
  <c r="J26" i="6" s="1"/>
  <c r="H10" i="9"/>
  <c r="H11" i="9" s="1"/>
  <c r="H16" i="6"/>
  <c r="H26" i="6" s="1"/>
  <c r="F10" i="9"/>
  <c r="F11" i="9" s="1"/>
  <c r="F16" i="6"/>
  <c r="F26" i="6" s="1"/>
  <c r="D10" i="9"/>
  <c r="D11" i="9" s="1"/>
  <c r="D16" i="6"/>
  <c r="D26" i="6" s="1"/>
  <c r="C28" i="9"/>
  <c r="C26" i="5"/>
  <c r="H28" i="9"/>
  <c r="H26" i="5"/>
  <c r="F28" i="9"/>
  <c r="F26" i="5"/>
  <c r="F36" i="9"/>
  <c r="B9" i="9"/>
  <c r="B32" i="9" s="1"/>
  <c r="B14" i="9"/>
  <c r="K7" i="9"/>
  <c r="B17" i="9"/>
  <c r="B26" i="9"/>
  <c r="L7" i="9"/>
  <c r="M7" i="9"/>
  <c r="J26" i="9"/>
  <c r="J14" i="9"/>
  <c r="J17" i="9"/>
  <c r="J8" i="9"/>
  <c r="H14" i="9"/>
  <c r="H26" i="9"/>
  <c r="H9" i="9"/>
  <c r="H32" i="9" s="1"/>
  <c r="H17" i="9"/>
  <c r="H8" i="9"/>
  <c r="F14" i="9"/>
  <c r="F8" i="9"/>
  <c r="F26" i="9"/>
  <c r="F17" i="9"/>
  <c r="D8" i="9"/>
  <c r="D17" i="9"/>
  <c r="D14" i="9"/>
  <c r="D26" i="9"/>
  <c r="D9" i="9"/>
  <c r="D32" i="9" s="1"/>
  <c r="G36" i="9"/>
  <c r="D36" i="9"/>
  <c r="L36" i="9" s="1"/>
  <c r="D42" i="7"/>
  <c r="D44" i="7" s="1"/>
  <c r="D34" i="9"/>
  <c r="D38" i="9" s="1"/>
  <c r="G14" i="1" s="1"/>
  <c r="G15" i="1" s="1"/>
  <c r="D29" i="9"/>
  <c r="K31" i="9"/>
  <c r="L31" i="9"/>
  <c r="I16" i="6"/>
  <c r="I26" i="6" s="1"/>
  <c r="E16" i="6"/>
  <c r="E26" i="6" s="1"/>
  <c r="C42" i="5"/>
  <c r="C55" i="5" s="1"/>
  <c r="B29" i="9"/>
  <c r="D26" i="5"/>
  <c r="H42" i="5"/>
  <c r="H55" i="5" s="1"/>
  <c r="C12" i="1"/>
  <c r="C6" i="1" s="1"/>
  <c r="C14" i="1" s="1"/>
  <c r="M31" i="9"/>
  <c r="J36" i="9"/>
  <c r="M36" i="9" s="1"/>
  <c r="C26" i="9"/>
  <c r="C14" i="9"/>
  <c r="C17" i="9"/>
  <c r="C9" i="9"/>
  <c r="C32" i="9" s="1"/>
  <c r="C8" i="9"/>
  <c r="I8" i="9"/>
  <c r="I17" i="9"/>
  <c r="I14" i="9"/>
  <c r="I26" i="9"/>
  <c r="I9" i="9"/>
  <c r="I32" i="9" s="1"/>
  <c r="G9" i="9"/>
  <c r="G32" i="9" s="1"/>
  <c r="G8" i="9"/>
  <c r="G14" i="9"/>
  <c r="G17" i="9"/>
  <c r="G26" i="9"/>
  <c r="E14" i="9"/>
  <c r="E26" i="9"/>
  <c r="E9" i="9"/>
  <c r="E32" i="9" s="1"/>
  <c r="E8" i="9"/>
  <c r="E17" i="9"/>
  <c r="J55" i="5"/>
  <c r="F42" i="5"/>
  <c r="F55" i="5" s="1"/>
  <c r="E36" i="9"/>
  <c r="B42" i="5"/>
  <c r="B55" i="5" s="1"/>
  <c r="B26" i="5"/>
  <c r="J16" i="5"/>
  <c r="I36" i="9"/>
  <c r="C26" i="1"/>
  <c r="T6" i="1"/>
  <c r="H48" i="1"/>
  <c r="G16" i="1"/>
  <c r="H42" i="7"/>
  <c r="H44" i="7" s="1"/>
  <c r="E42" i="7"/>
  <c r="E44" i="7" s="1"/>
  <c r="G42" i="7"/>
  <c r="G44" i="7" s="1"/>
  <c r="B42" i="7"/>
  <c r="B44" i="7" s="1"/>
  <c r="C43" i="7" s="1"/>
  <c r="C44" i="7" s="1"/>
  <c r="J28" i="9" l="1"/>
  <c r="J26" i="5"/>
  <c r="I30" i="6"/>
  <c r="I33" i="6"/>
  <c r="L26" i="9"/>
  <c r="K26" i="9"/>
  <c r="K36" i="9"/>
  <c r="F34" i="9"/>
  <c r="F38" i="9" s="1"/>
  <c r="I14" i="1" s="1"/>
  <c r="I15" i="1" s="1"/>
  <c r="I16" i="1" s="1"/>
  <c r="F29" i="9"/>
  <c r="C29" i="9"/>
  <c r="C34" i="9"/>
  <c r="M10" i="9"/>
  <c r="J11" i="9"/>
  <c r="X11" i="9" s="1"/>
  <c r="H40" i="1"/>
  <c r="L8" i="9"/>
  <c r="K8" i="9"/>
  <c r="F9" i="9"/>
  <c r="F32" i="9" s="1"/>
  <c r="K32" i="9" s="1"/>
  <c r="J9" i="9"/>
  <c r="J32" i="9" s="1"/>
  <c r="L32" i="9" s="1"/>
  <c r="W17" i="9"/>
  <c r="U17" i="9"/>
  <c r="Y17" i="9"/>
  <c r="X17" i="9"/>
  <c r="V17" i="9"/>
  <c r="L17" i="9"/>
  <c r="K17" i="9"/>
  <c r="AB17" i="9"/>
  <c r="AC17" i="9"/>
  <c r="AE17" i="9"/>
  <c r="AD17" i="9"/>
  <c r="AF17" i="9"/>
  <c r="D30" i="6"/>
  <c r="D33" i="6"/>
  <c r="H30" i="6"/>
  <c r="H33" i="6"/>
  <c r="L10" i="9"/>
  <c r="E34" i="9"/>
  <c r="E38" i="9" s="1"/>
  <c r="H14" i="1" s="1"/>
  <c r="H15" i="1" s="1"/>
  <c r="H16" i="1" s="1"/>
  <c r="E29" i="9"/>
  <c r="G17" i="1"/>
  <c r="C32" i="6"/>
  <c r="C19" i="9" s="1"/>
  <c r="C20" i="9" s="1"/>
  <c r="G34" i="9"/>
  <c r="G38" i="9" s="1"/>
  <c r="J14" i="1" s="1"/>
  <c r="J15" i="1" s="1"/>
  <c r="J16" i="1" s="1"/>
  <c r="G29" i="9"/>
  <c r="H26" i="1"/>
  <c r="H34" i="9"/>
  <c r="H38" i="9" s="1"/>
  <c r="K14" i="1" s="1"/>
  <c r="K15" i="1" s="1"/>
  <c r="K16" i="1" s="1"/>
  <c r="H29" i="9"/>
  <c r="V11" i="9"/>
  <c r="K11" i="9"/>
  <c r="AD11" i="9"/>
  <c r="C29" i="1"/>
  <c r="H33" i="1"/>
  <c r="H54" i="1"/>
  <c r="L28" i="9"/>
  <c r="E30" i="6"/>
  <c r="E33" i="6"/>
  <c r="V14" i="9"/>
  <c r="Y14" i="9"/>
  <c r="W14" i="9"/>
  <c r="U14" i="9"/>
  <c r="K14" i="9"/>
  <c r="X14" i="9"/>
  <c r="L14" i="9"/>
  <c r="AC14" i="9"/>
  <c r="AE14" i="9"/>
  <c r="AB14" i="9"/>
  <c r="AD14" i="9"/>
  <c r="AF14" i="9"/>
  <c r="F30" i="6"/>
  <c r="F33" i="6"/>
  <c r="J30" i="6"/>
  <c r="J32" i="6" s="1"/>
  <c r="J19" i="9" s="1"/>
  <c r="J33" i="6"/>
  <c r="K10" i="9"/>
  <c r="I29" i="9"/>
  <c r="I34" i="9"/>
  <c r="I38" i="9" s="1"/>
  <c r="L14" i="1" s="1"/>
  <c r="L15" i="1" s="1"/>
  <c r="L16" i="1" s="1"/>
  <c r="K17" i="1"/>
  <c r="G32" i="6"/>
  <c r="G19" i="9" s="1"/>
  <c r="G20" i="9" s="1"/>
  <c r="F17" i="1"/>
  <c r="B32" i="6"/>
  <c r="B19" i="9" s="1"/>
  <c r="I40" i="1"/>
  <c r="G40" i="1"/>
  <c r="G48" i="1"/>
  <c r="I48" i="1"/>
  <c r="I54" i="1"/>
  <c r="G54" i="1"/>
  <c r="N32" i="9" l="1"/>
  <c r="V32" i="9"/>
  <c r="Y32" i="9"/>
  <c r="R32" i="9"/>
  <c r="W32" i="9"/>
  <c r="P32" i="9"/>
  <c r="O32" i="9"/>
  <c r="U32" i="9"/>
  <c r="Q32" i="9"/>
  <c r="X32" i="9"/>
  <c r="AD32" i="9"/>
  <c r="AE32" i="9"/>
  <c r="AF32" i="9"/>
  <c r="AC32" i="9"/>
  <c r="AB32" i="9"/>
  <c r="B20" i="9"/>
  <c r="M19" i="9"/>
  <c r="J20" i="9"/>
  <c r="Q14" i="9"/>
  <c r="N14" i="9"/>
  <c r="R14" i="9"/>
  <c r="P14" i="9"/>
  <c r="O14" i="9"/>
  <c r="I17" i="1"/>
  <c r="E32" i="6"/>
  <c r="E19" i="9" s="1"/>
  <c r="E20" i="9" s="1"/>
  <c r="F56" i="1"/>
  <c r="F50" i="1"/>
  <c r="F28" i="1"/>
  <c r="L17" i="1"/>
  <c r="H32" i="6"/>
  <c r="H19" i="9" s="1"/>
  <c r="H20" i="9" s="1"/>
  <c r="M17" i="1"/>
  <c r="I32" i="6"/>
  <c r="I19" i="9" s="1"/>
  <c r="I20" i="9" s="1"/>
  <c r="AE11" i="9"/>
  <c r="AF11" i="9"/>
  <c r="U11" i="9"/>
  <c r="N8" i="9"/>
  <c r="U8" i="9"/>
  <c r="U7" i="9" s="1"/>
  <c r="Y8" i="9"/>
  <c r="W8" i="9"/>
  <c r="X8" i="9"/>
  <c r="V8" i="9"/>
  <c r="AB8" i="9"/>
  <c r="R26" i="9"/>
  <c r="U26" i="9"/>
  <c r="U25" i="9" s="1"/>
  <c r="P26" i="9"/>
  <c r="O26" i="9"/>
  <c r="V26" i="9"/>
  <c r="X26" i="9"/>
  <c r="Q26" i="9"/>
  <c r="Y26" i="9"/>
  <c r="N26" i="9"/>
  <c r="W26" i="9"/>
  <c r="AF26" i="9"/>
  <c r="AB26" i="9"/>
  <c r="AC26" i="9"/>
  <c r="AE26" i="9"/>
  <c r="AD26" i="9"/>
  <c r="J17" i="1"/>
  <c r="F32" i="6"/>
  <c r="F19" i="9" s="1"/>
  <c r="F20" i="9" s="1"/>
  <c r="AB11" i="9"/>
  <c r="L11" i="9"/>
  <c r="W11" i="9"/>
  <c r="H17" i="1"/>
  <c r="D32" i="6"/>
  <c r="D19" i="9" s="1"/>
  <c r="D20" i="9" s="1"/>
  <c r="P17" i="9"/>
  <c r="N17" i="9"/>
  <c r="Q17" i="9"/>
  <c r="R17" i="9"/>
  <c r="O17" i="9"/>
  <c r="K29" i="9"/>
  <c r="L34" i="9"/>
  <c r="C38" i="9"/>
  <c r="M28" i="9"/>
  <c r="J29" i="9"/>
  <c r="L29" i="9" s="1"/>
  <c r="J34" i="9"/>
  <c r="K34" i="9" s="1"/>
  <c r="K28" i="9"/>
  <c r="AC11" i="9"/>
  <c r="Y11" i="9"/>
  <c r="C24" i="1"/>
  <c r="F35" i="1"/>
  <c r="F42" i="1"/>
  <c r="G33" i="1"/>
  <c r="I33" i="1"/>
  <c r="F14" i="1" l="1"/>
  <c r="F15" i="1" s="1"/>
  <c r="F16" i="1" s="1"/>
  <c r="F51" i="1"/>
  <c r="F49" i="1"/>
  <c r="L19" i="9"/>
  <c r="AC8" i="9"/>
  <c r="AD8" i="9" s="1"/>
  <c r="AE8" i="9" s="1"/>
  <c r="AF8" i="9" s="1"/>
  <c r="AB7" i="9"/>
  <c r="F55" i="1"/>
  <c r="F57" i="1"/>
  <c r="K19" i="9"/>
  <c r="F36" i="1"/>
  <c r="F34" i="1"/>
  <c r="AB10" i="9"/>
  <c r="AB9" i="9" s="1"/>
  <c r="AB31" i="9" s="1"/>
  <c r="AB36" i="9" s="1"/>
  <c r="U13" i="9"/>
  <c r="U22" i="9" s="1"/>
  <c r="U10" i="9"/>
  <c r="U9" i="9" s="1"/>
  <c r="U31" i="9" s="1"/>
  <c r="U36" i="9" s="1"/>
  <c r="U16" i="9"/>
  <c r="V7" i="9"/>
  <c r="K20" i="9"/>
  <c r="X20" i="9"/>
  <c r="L20" i="9"/>
  <c r="V20" i="9"/>
  <c r="Y20" i="9"/>
  <c r="W20" i="9"/>
  <c r="U20" i="9"/>
  <c r="U19" i="9" s="1"/>
  <c r="AE20" i="9"/>
  <c r="AD20" i="9"/>
  <c r="AF20" i="9"/>
  <c r="AC20" i="9"/>
  <c r="AB20" i="9"/>
  <c r="AB19" i="9" s="1"/>
  <c r="V25" i="9"/>
  <c r="F41" i="1"/>
  <c r="F43" i="1"/>
  <c r="M34" i="9"/>
  <c r="J38" i="9"/>
  <c r="K38" i="9" s="1"/>
  <c r="O11" i="9"/>
  <c r="P11" i="9"/>
  <c r="N11" i="9"/>
  <c r="Q11" i="9"/>
  <c r="R11" i="9"/>
  <c r="AB25" i="9"/>
  <c r="O29" i="9"/>
  <c r="Y29" i="9"/>
  <c r="P29" i="9"/>
  <c r="W29" i="9"/>
  <c r="N29" i="9"/>
  <c r="Q29" i="9"/>
  <c r="X29" i="9"/>
  <c r="V29" i="9"/>
  <c r="R29" i="9"/>
  <c r="U29" i="9"/>
  <c r="U28" i="9" s="1"/>
  <c r="U34" i="9" s="1"/>
  <c r="AC29" i="9"/>
  <c r="AB29" i="9"/>
  <c r="AB28" i="9" s="1"/>
  <c r="AB34" i="9" s="1"/>
  <c r="AB38" i="9" s="1"/>
  <c r="AD29" i="9"/>
  <c r="AE29" i="9"/>
  <c r="AF29" i="9"/>
  <c r="O8" i="9"/>
  <c r="P8" i="9" s="1"/>
  <c r="Q8" i="9" s="1"/>
  <c r="R8" i="9" s="1"/>
  <c r="N7" i="9"/>
  <c r="N25" i="9" s="1"/>
  <c r="N13" i="1" s="1"/>
  <c r="F29" i="1"/>
  <c r="F27" i="1"/>
  <c r="P20" i="9" l="1"/>
  <c r="O20" i="9"/>
  <c r="Q20" i="9"/>
  <c r="N20" i="9"/>
  <c r="N19" i="9" s="1"/>
  <c r="R20" i="9"/>
  <c r="U38" i="9"/>
  <c r="V13" i="9"/>
  <c r="V22" i="9" s="1"/>
  <c r="W7" i="9"/>
  <c r="V10" i="9"/>
  <c r="V9" i="9" s="1"/>
  <c r="V31" i="9" s="1"/>
  <c r="V36" i="9" s="1"/>
  <c r="V19" i="9"/>
  <c r="V16" i="9"/>
  <c r="N13" i="9"/>
  <c r="N28" i="9"/>
  <c r="N34" i="9" s="1"/>
  <c r="O28" i="9"/>
  <c r="O34" i="9" s="1"/>
  <c r="AC7" i="9"/>
  <c r="AB16" i="9"/>
  <c r="AB13" i="9"/>
  <c r="AB22" i="9" s="1"/>
  <c r="AC19" i="9"/>
  <c r="O7" i="9"/>
  <c r="N10" i="9"/>
  <c r="N9" i="9" s="1"/>
  <c r="N31" i="9" s="1"/>
  <c r="N36" i="9" s="1"/>
  <c r="N16" i="9"/>
  <c r="N7" i="1" s="1"/>
  <c r="V28" i="9"/>
  <c r="V34" i="9" s="1"/>
  <c r="V38" i="9" s="1"/>
  <c r="M38" i="9"/>
  <c r="M14" i="1"/>
  <c r="M15" i="1" s="1"/>
  <c r="L38" i="9"/>
  <c r="W19" i="9" l="1"/>
  <c r="X7" i="9"/>
  <c r="W10" i="9"/>
  <c r="W9" i="9" s="1"/>
  <c r="W31" i="9" s="1"/>
  <c r="W36" i="9" s="1"/>
  <c r="W13" i="9"/>
  <c r="W22" i="9" s="1"/>
  <c r="W16" i="9"/>
  <c r="W25" i="9"/>
  <c r="W28" i="9"/>
  <c r="W34" i="9" s="1"/>
  <c r="N38" i="9"/>
  <c r="N14" i="1" s="1"/>
  <c r="AD7" i="9"/>
  <c r="AC13" i="9"/>
  <c r="AC22" i="9" s="1"/>
  <c r="AC16" i="9"/>
  <c r="AC10" i="9"/>
  <c r="AC9" i="9" s="1"/>
  <c r="AC31" i="9" s="1"/>
  <c r="AC36" i="9" s="1"/>
  <c r="AC25" i="9"/>
  <c r="O13" i="1" s="1"/>
  <c r="N22" i="9"/>
  <c r="N12" i="1" s="1"/>
  <c r="N8" i="1"/>
  <c r="O19" i="9"/>
  <c r="P7" i="9"/>
  <c r="P19" i="9" s="1"/>
  <c r="O10" i="9"/>
  <c r="O9" i="9" s="1"/>
  <c r="O31" i="9" s="1"/>
  <c r="O36" i="9" s="1"/>
  <c r="O38" i="9" s="1"/>
  <c r="O14" i="1" s="1"/>
  <c r="O13" i="9"/>
  <c r="O16" i="9"/>
  <c r="O7" i="1" s="1"/>
  <c r="O25" i="9"/>
  <c r="S15" i="1"/>
  <c r="M16" i="1"/>
  <c r="N10" i="1"/>
  <c r="N11" i="1"/>
  <c r="N15" i="1" s="1"/>
  <c r="N16" i="1" s="1"/>
  <c r="N17" i="1"/>
  <c r="AC28" i="9"/>
  <c r="AC34" i="9" s="1"/>
  <c r="AC38" i="9" s="1"/>
  <c r="O10" i="1" l="1"/>
  <c r="O17" i="1"/>
  <c r="O11" i="1"/>
  <c r="O15" i="1" s="1"/>
  <c r="W38" i="9"/>
  <c r="O22" i="9"/>
  <c r="O12" i="1" s="1"/>
  <c r="O8" i="1"/>
  <c r="X13" i="9"/>
  <c r="X22" i="9" s="1"/>
  <c r="X9" i="9"/>
  <c r="X31" i="9" s="1"/>
  <c r="X36" i="9" s="1"/>
  <c r="X19" i="9"/>
  <c r="X10" i="9"/>
  <c r="Y7" i="9"/>
  <c r="X16" i="9"/>
  <c r="X25" i="9"/>
  <c r="X28" i="9"/>
  <c r="X34" i="9" s="1"/>
  <c r="S16" i="1"/>
  <c r="U16" i="1"/>
  <c r="P10" i="9"/>
  <c r="P9" i="9" s="1"/>
  <c r="P31" i="9" s="1"/>
  <c r="P36" i="9" s="1"/>
  <c r="Q7" i="9"/>
  <c r="P16" i="9"/>
  <c r="P7" i="1" s="1"/>
  <c r="P13" i="9"/>
  <c r="P25" i="9"/>
  <c r="P28" i="9"/>
  <c r="P34" i="9" s="1"/>
  <c r="P38" i="9" s="1"/>
  <c r="P14" i="1" s="1"/>
  <c r="AE7" i="9"/>
  <c r="AD13" i="9"/>
  <c r="AD22" i="9" s="1"/>
  <c r="AD16" i="9"/>
  <c r="AD10" i="9"/>
  <c r="AD9" i="9" s="1"/>
  <c r="AD31" i="9" s="1"/>
  <c r="AD36" i="9" s="1"/>
  <c r="AD25" i="9"/>
  <c r="P13" i="1" s="1"/>
  <c r="AD28" i="9"/>
  <c r="AD34" i="9" s="1"/>
  <c r="AD38" i="9" s="1"/>
  <c r="AD19" i="9"/>
  <c r="P22" i="9" l="1"/>
  <c r="P12" i="1" s="1"/>
  <c r="P8" i="1"/>
  <c r="AF7" i="9"/>
  <c r="AE13" i="9"/>
  <c r="AE22" i="9" s="1"/>
  <c r="AE16" i="9"/>
  <c r="AE25" i="9"/>
  <c r="Q13" i="1" s="1"/>
  <c r="AE10" i="9"/>
  <c r="AE9" i="9" s="1"/>
  <c r="AE31" i="9" s="1"/>
  <c r="AE36" i="9" s="1"/>
  <c r="AE28" i="9"/>
  <c r="AE34" i="9" s="1"/>
  <c r="AE38" i="9" s="1"/>
  <c r="AE19" i="9"/>
  <c r="Y13" i="9"/>
  <c r="Y22" i="9" s="1"/>
  <c r="Y10" i="9"/>
  <c r="Y9" i="9" s="1"/>
  <c r="Y31" i="9" s="1"/>
  <c r="Y36" i="9" s="1"/>
  <c r="Y19" i="9"/>
  <c r="Y16" i="9"/>
  <c r="Z8" i="9"/>
  <c r="Y25" i="9"/>
  <c r="Y28" i="9"/>
  <c r="Y34" i="9" s="1"/>
  <c r="X38" i="9"/>
  <c r="P10" i="1"/>
  <c r="P17" i="1" s="1"/>
  <c r="P11" i="1"/>
  <c r="P15" i="1" s="1"/>
  <c r="P16" i="1" s="1"/>
  <c r="O16" i="1"/>
  <c r="R7" i="9"/>
  <c r="Q10" i="9"/>
  <c r="Q9" i="9" s="1"/>
  <c r="Q31" i="9" s="1"/>
  <c r="Q36" i="9" s="1"/>
  <c r="Q16" i="9"/>
  <c r="Q7" i="1" s="1"/>
  <c r="Q25" i="9"/>
  <c r="Q13" i="9"/>
  <c r="Q28" i="9"/>
  <c r="Q34" i="9" s="1"/>
  <c r="Q38" i="9" s="1"/>
  <c r="Q14" i="1" s="1"/>
  <c r="Q19" i="9"/>
  <c r="I26" i="1"/>
  <c r="G26" i="1"/>
  <c r="Q22" i="9" l="1"/>
  <c r="Q12" i="1" s="1"/>
  <c r="Q8" i="1"/>
  <c r="S8" i="9"/>
  <c r="T8" i="1" s="1"/>
  <c r="R10" i="9"/>
  <c r="R9" i="9" s="1"/>
  <c r="R31" i="9" s="1"/>
  <c r="R36" i="9" s="1"/>
  <c r="R13" i="9"/>
  <c r="R25" i="9"/>
  <c r="R16" i="9"/>
  <c r="R7" i="1" s="1"/>
  <c r="R28" i="9"/>
  <c r="R34" i="9" s="1"/>
  <c r="R38" i="9" s="1"/>
  <c r="R14" i="1" s="1"/>
  <c r="R19" i="9"/>
  <c r="AF13" i="9"/>
  <c r="AF22" i="9" s="1"/>
  <c r="AG8" i="9"/>
  <c r="AF16" i="9"/>
  <c r="AF25" i="9"/>
  <c r="R13" i="1" s="1"/>
  <c r="AF10" i="9"/>
  <c r="AF9" i="9" s="1"/>
  <c r="AF31" i="9" s="1"/>
  <c r="AF36" i="9" s="1"/>
  <c r="AF28" i="9"/>
  <c r="AF34" i="9" s="1"/>
  <c r="AF38" i="9" s="1"/>
  <c r="AF19" i="9"/>
  <c r="Q10" i="1"/>
  <c r="Q11" i="1" s="1"/>
  <c r="Q15" i="1" s="1"/>
  <c r="Q17" i="1"/>
  <c r="Y38" i="9"/>
  <c r="Q16" i="1" l="1"/>
  <c r="R10" i="1"/>
  <c r="R17" i="1" s="1"/>
  <c r="R11" i="1"/>
  <c r="T7" i="1"/>
  <c r="R22" i="9"/>
  <c r="R12" i="1" s="1"/>
  <c r="R8" i="1"/>
  <c r="F22" i="1" l="1"/>
  <c r="T11" i="1"/>
  <c r="R15" i="1"/>
  <c r="I51" i="1" l="1"/>
  <c r="T15" i="1"/>
  <c r="R16" i="1"/>
  <c r="F21" i="1"/>
  <c r="G28" i="1"/>
  <c r="G35" i="1" s="1"/>
  <c r="G42" i="1" s="1"/>
  <c r="G56" i="1" s="1"/>
  <c r="G51" i="1"/>
  <c r="I49" i="1"/>
  <c r="I50" i="1"/>
  <c r="I27" i="1"/>
  <c r="I34" i="1" s="1"/>
  <c r="I41" i="1" s="1"/>
  <c r="I55" i="1" s="1"/>
  <c r="G50" i="1"/>
  <c r="H29" i="1"/>
  <c r="H36" i="1" s="1"/>
  <c r="H43" i="1" s="1"/>
  <c r="H57" i="1" s="1"/>
  <c r="H27" i="1"/>
  <c r="H34" i="1" s="1"/>
  <c r="H41" i="1" s="1"/>
  <c r="H55" i="1" s="1"/>
  <c r="I29" i="1"/>
  <c r="I36" i="1" s="1"/>
  <c r="I43" i="1" s="1"/>
  <c r="I57" i="1" s="1"/>
  <c r="G29" i="1"/>
  <c r="G36" i="1" s="1"/>
  <c r="G43" i="1" s="1"/>
  <c r="G57" i="1" s="1"/>
  <c r="H50" i="1"/>
  <c r="H28" i="1"/>
  <c r="H35" i="1" s="1"/>
  <c r="H42" i="1" s="1"/>
  <c r="H56" i="1" s="1"/>
  <c r="H49" i="1"/>
  <c r="G27" i="1"/>
  <c r="G34" i="1" s="1"/>
  <c r="G41" i="1" s="1"/>
  <c r="G55" i="1" s="1"/>
  <c r="I28" i="1"/>
  <c r="I35" i="1" s="1"/>
  <c r="I42" i="1" s="1"/>
  <c r="I56" i="1" s="1"/>
  <c r="H51" i="1"/>
  <c r="G49" i="1"/>
  <c r="F20" i="1" l="1"/>
  <c r="G22" i="1" s="1"/>
  <c r="G21" i="1"/>
  <c r="G20" i="1" s="1"/>
  <c r="T16" i="1"/>
  <c r="V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 Скляров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https://finance.yahoo.com/quote/GOOG/history?period1=1577750400&amp;period2=1577836800&amp;interval=1d&amp;filter=history&amp;frequency=1d&amp;includeAdjustedClose=true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https://finviz.com/quote.ashx?t=GOOGL</t>
        </r>
      </text>
    </comment>
    <comment ref="C17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https://fred.stlouisfed.org/graph/?g=yoOn
</t>
        </r>
      </text>
    </comment>
    <comment ref="C1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https://cdn1.radikalno.ru/uploads/2020/12/8/31a45c80a5907973bbbf6f10cd4740f3-full.jpg</t>
        </r>
      </text>
    </comment>
    <comment ref="C1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https://cdn1.radikalno.ru/uploads/2020/12/8/31a45c80a5907973bbbf6f10cd4740f3-full.jpg</t>
        </r>
      </text>
    </comment>
    <comment ref="C20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https://finance.yahoo.com/quote/GOOG/?guccounter=1&amp;guce_referrer=aHR0cHM6Ly93d3cuZ29vZ2xlLmNvbS8&amp;guce_referrer_sig=AQAAADsjfW9tTSpEqSQpS_1gLB6g19L5970T6Bvg8eoskMEzgVnZPYQpKWm-wsSWIK1ki9VmSH8BumMxHNFY5uAYMPGJGETiO4JVUA4q7nD-did1J7Owh4FulHxNGZtSvKEkL5uL4-pr
</t>
        </r>
      </text>
    </comment>
  </commentList>
</comments>
</file>

<file path=xl/sharedStrings.xml><?xml version="1.0" encoding="utf-8"?>
<sst xmlns="http://schemas.openxmlformats.org/spreadsheetml/2006/main" count="311" uniqueCount="200">
  <si>
    <t>Cost of Equity</t>
  </si>
  <si>
    <t>MV Equity/Total Capital</t>
  </si>
  <si>
    <t>MV Debt/Total Capital</t>
  </si>
  <si>
    <t>Market Capitalization</t>
  </si>
  <si>
    <t>Shares (millions)</t>
  </si>
  <si>
    <t>Net Debt</t>
  </si>
  <si>
    <t>EBIT</t>
  </si>
  <si>
    <t>EBITDA</t>
  </si>
  <si>
    <t>CAGR</t>
  </si>
  <si>
    <t>Interest On Net Debt</t>
  </si>
  <si>
    <t>Less: Provision for Taxes</t>
  </si>
  <si>
    <t>FCFF Yield</t>
  </si>
  <si>
    <t>Implied P/E</t>
  </si>
  <si>
    <t>Terminal EBITDA Multiple</t>
  </si>
  <si>
    <t>Implied Perpetuity Growth Rate</t>
  </si>
  <si>
    <t>Implied upside from current price</t>
  </si>
  <si>
    <t>Discounted Cash Flow Analysis</t>
  </si>
  <si>
    <t>Cash &amp; Short Term Investments</t>
  </si>
  <si>
    <t>Total Enterprise value</t>
  </si>
  <si>
    <t>Total Equity Value</t>
  </si>
  <si>
    <t>Total Price Per Share</t>
  </si>
  <si>
    <t>Discount rate
(WACC)</t>
  </si>
  <si>
    <t>+ Depreciation and Amortization</t>
  </si>
  <si>
    <t>- CAPEX</t>
  </si>
  <si>
    <t>WACC Calculation</t>
  </si>
  <si>
    <t>Cost of Equity Calculation</t>
  </si>
  <si>
    <t>Total Enterprise Value Calculation</t>
  </si>
  <si>
    <t>Tax Rate</t>
  </si>
  <si>
    <t>Terminal (EV/EBITDA)</t>
  </si>
  <si>
    <t>TEV, Terminal EBITDA Multiple</t>
  </si>
  <si>
    <t>Risk-free rate</t>
  </si>
  <si>
    <t>Market premium</t>
  </si>
  <si>
    <t>Country risk premium</t>
  </si>
  <si>
    <t>Personal required rate of return</t>
  </si>
  <si>
    <t>+/- Change in NWC</t>
  </si>
  <si>
    <t xml:space="preserve">
               </t>
  </si>
  <si>
    <t>Prepaid Exp.</t>
  </si>
  <si>
    <t>Other Current Assets</t>
  </si>
  <si>
    <t>Accrued Exp.</t>
  </si>
  <si>
    <t>Other Current Liabilities</t>
  </si>
  <si>
    <t xml:space="preserve">Balance Sheet as of:
</t>
  </si>
  <si>
    <t>Currency</t>
  </si>
  <si>
    <t>USD</t>
  </si>
  <si>
    <t>ASSETS</t>
  </si>
  <si>
    <t>Cash And Equivalents</t>
  </si>
  <si>
    <t xml:space="preserve">  Total Cash &amp; ST Investments</t>
  </si>
  <si>
    <t xml:space="preserve">  Total Receivables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</si>
  <si>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</si>
  <si>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</si>
  <si>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</si>
  <si>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</si>
  <si>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Goodwill</t>
  </si>
  <si>
    <t>Total Assets</t>
  </si>
  <si>
    <t>Short-term Borrowings</t>
  </si>
  <si>
    <t>Curr. Port. of LT Debt</t>
  </si>
  <si>
    <t xml:space="preserve">  Total Current Liabilities</t>
  </si>
  <si>
    <t>Long-Term Debt</t>
  </si>
  <si>
    <t>Total Liabilities</t>
  </si>
  <si>
    <t xml:space="preserve">  Total Common Equity</t>
  </si>
  <si>
    <t>Minority Interest</t>
  </si>
  <si>
    <t>Total Equity</t>
  </si>
  <si>
    <t>Total Liabilities And Equity</t>
  </si>
  <si>
    <t xml:space="preserve"> </t>
  </si>
  <si>
    <t xml:space="preserve">For the Fiscal Period Ending
</t>
  </si>
  <si>
    <t>Net Income</t>
  </si>
  <si>
    <t>Average :</t>
  </si>
  <si>
    <t>Median :</t>
  </si>
  <si>
    <t>Total Revenue</t>
  </si>
  <si>
    <t>Gross Profit</t>
  </si>
  <si>
    <t xml:space="preserve">  Margin %</t>
  </si>
  <si>
    <t>Key Financials</t>
  </si>
  <si>
    <t xml:space="preserve">  Growth Over Prior Year </t>
  </si>
  <si>
    <t xml:space="preserve">  Margin%</t>
  </si>
  <si>
    <t>Input Data Console (in mUSD)</t>
  </si>
  <si>
    <t>Balance Sheet (in mUSD)</t>
  </si>
  <si>
    <t>Income Statement (in mUSD)</t>
  </si>
  <si>
    <t>Cash Flow (in mUSD)</t>
  </si>
  <si>
    <t>Net Income/Starting Line</t>
  </si>
  <si>
    <t>Depreciation/Depletion</t>
  </si>
  <si>
    <t>Inventories</t>
  </si>
  <si>
    <t>Cash from Operating Activities</t>
  </si>
  <si>
    <t>Cash from Investing Activities</t>
  </si>
  <si>
    <t>Cash from Financing Activities</t>
  </si>
  <si>
    <t>Foreign Exchange Effects</t>
  </si>
  <si>
    <t>Net Change in Cash</t>
  </si>
  <si>
    <t>Net Cash - Beginning Balance</t>
  </si>
  <si>
    <t>Net Cash - Ending Balance</t>
  </si>
  <si>
    <t>Total Debt</t>
  </si>
  <si>
    <t>Optimistic Case</t>
  </si>
  <si>
    <t>Pessimistic Case</t>
  </si>
  <si>
    <t>Base Scenario</t>
  </si>
  <si>
    <t>Stress Case</t>
  </si>
  <si>
    <t>Scenario Switch :</t>
  </si>
  <si>
    <t>[1]</t>
  </si>
  <si>
    <t>PV Terminal Value</t>
  </si>
  <si>
    <t>Optimistic Scenario</t>
  </si>
  <si>
    <t>Total Minority Interest (Non-controlling Interest)</t>
  </si>
  <si>
    <t>Cost of Debt</t>
  </si>
  <si>
    <t xml:space="preserve">Net Working Capital = </t>
  </si>
  <si>
    <t>&lt;&lt; 30% - 50%</t>
  </si>
  <si>
    <t>&lt;&lt; 50% - 70%</t>
  </si>
  <si>
    <t>Base Case</t>
  </si>
  <si>
    <t>Stock-based compensation expense</t>
  </si>
  <si>
    <t>Net recognized gains on investments and derivatives</t>
  </si>
  <si>
    <t>Short Term Investments</t>
  </si>
  <si>
    <t>Non-current assets</t>
  </si>
  <si>
    <t>Non-current liabilities</t>
  </si>
  <si>
    <t>Accounts receivable</t>
  </si>
  <si>
    <t>Accounts payable</t>
  </si>
  <si>
    <t>Goodwill and asset impairments</t>
  </si>
  <si>
    <t>12 months
2011</t>
  </si>
  <si>
    <t>12 months
2012</t>
  </si>
  <si>
    <t>12 months
2013</t>
  </si>
  <si>
    <t>12 months
2014</t>
  </si>
  <si>
    <t>12 months
2015</t>
  </si>
  <si>
    <t>12 months
2016</t>
  </si>
  <si>
    <t>12 months
2017</t>
  </si>
  <si>
    <t>12 months
2018</t>
  </si>
  <si>
    <t>12 months
2019</t>
  </si>
  <si>
    <t>12 months
2020E</t>
  </si>
  <si>
    <t>12 months
2021E</t>
  </si>
  <si>
    <t>13 months
2022E</t>
  </si>
  <si>
    <t>12 months
2023E</t>
  </si>
  <si>
    <t>12 months
2024E</t>
  </si>
  <si>
    <t xml:space="preserve">PV FCFF </t>
  </si>
  <si>
    <t>Revenue (доход)</t>
  </si>
  <si>
    <t xml:space="preserve">  Total Revenue (Общий доход)</t>
  </si>
  <si>
    <t xml:space="preserve">  Gross Profit (валовая прибыль)</t>
  </si>
  <si>
    <t xml:space="preserve">  Operating Income (операционный доход)</t>
  </si>
  <si>
    <t>Interest and Invest. Income (Проценты и инвестиции. Доход)</t>
  </si>
  <si>
    <t>Net losses on derivatives (Чистые убытки по производным финансовым инструментам)</t>
  </si>
  <si>
    <t>Net losses on foreign currency remeasurements (Чистые убытки от переоценки иностранной валюты)</t>
  </si>
  <si>
    <t>Total Other Income/Expenses Net (Итого Прочие Доходы/Расходы Нетто)</t>
  </si>
  <si>
    <t>Cost Of Goods Sold (Фактическая стоимость проданных товаров)</t>
  </si>
  <si>
    <t>Interest Expense (Расходы на выплату процентов)</t>
  </si>
  <si>
    <t>Net recognized gains on investments (Чистая признанная прибыль по инвестициям)</t>
  </si>
  <si>
    <t>-</t>
  </si>
  <si>
    <t xml:space="preserve">  Net Interest Exp. (Чистые Процентные)</t>
  </si>
  <si>
    <t xml:space="preserve">  EBT Incl. Unusual Items (Прибыль до налогов)</t>
  </si>
  <si>
    <t>Income Tax Expense (Расходы по налогу на прибыль)</t>
  </si>
  <si>
    <t xml:space="preserve">  Earnings from Cont. Ops. (Доход от текущей деятельности)</t>
  </si>
  <si>
    <t xml:space="preserve">  Net Income (Чистая прибыль)</t>
  </si>
  <si>
    <t>Other Operating Income or Expenses</t>
  </si>
  <si>
    <t>Research and Development Expenses (Расходы на исследования и разработки)</t>
  </si>
  <si>
    <t>SG&amp;A Expenses (Коммерческие, общехозяйственные и административные расходы)</t>
  </si>
  <si>
    <t>Other long-term liabil</t>
  </si>
  <si>
    <t>Issuance (Retirement) of Debt, Net (Выдача (погашение) долговых ценных бумаг)</t>
  </si>
  <si>
    <t>Other investing activities (Прочая инвестиционная деятельность)</t>
  </si>
  <si>
    <t>Capital Expenditures (Капитальные затраты)</t>
  </si>
  <si>
    <t>Acquisition of Business (Приобретение бизнеса)</t>
  </si>
  <si>
    <t>Purchases of investments (Приобретение инвестиций)</t>
  </si>
  <si>
    <t>Maturities of investments (Погашение инвестиций)</t>
  </si>
  <si>
    <t>Sales of investments (Продажа инвестиций)</t>
  </si>
  <si>
    <t>Securities lending payable (Кредиторская задолженность Ценных бумаг)</t>
  </si>
  <si>
    <t>Purchases of non-marketable investments (Покупка нерыночных инвестиций)</t>
  </si>
  <si>
    <t>Deferred income taxes (Отложенный налог на прибыль)</t>
  </si>
  <si>
    <t>Adjustments:</t>
  </si>
  <si>
    <t>Changes in assets and liabilities, net of effects of acquisitions:</t>
  </si>
  <si>
    <t>Income taxes, net</t>
  </si>
  <si>
    <t>Prepaid revenue share, expenses and other assets</t>
  </si>
  <si>
    <t>Net cash flow from (used in) operating activities</t>
  </si>
  <si>
    <t>Accrued expenses and other liabilities (Начисленные расходы и прочие обязательства)</t>
  </si>
  <si>
    <t>Other</t>
  </si>
  <si>
    <t>Deferred revenue</t>
  </si>
  <si>
    <t xml:space="preserve">Issuance (Retirement) of Stock, Net </t>
  </si>
  <si>
    <t>Total Cash Dividends Paid Общая (Сумма Выплаченных Дивидендов)</t>
  </si>
  <si>
    <t>Repayments of debt</t>
  </si>
  <si>
    <t>Financing Cash Flow Items(Чистые выплаты, связанные с премиальной деятельностью на основе акций)</t>
  </si>
  <si>
    <t>Other, net (Другие доходы/расходы)</t>
  </si>
  <si>
    <t>Common Stock (Обыкновенная акция)</t>
  </si>
  <si>
    <t>Additional Paid In Capital (Добавочный вклад в капитал)</t>
  </si>
  <si>
    <t>Retained earnings (Нераспределенная прибыль)</t>
  </si>
  <si>
    <t>Inventory (Запасы)</t>
  </si>
  <si>
    <t>Accounts Receivable (Дебиторская задолженность)</t>
  </si>
  <si>
    <t>LIABILITIES (обязательства)</t>
  </si>
  <si>
    <t>Accounts Payable (Кредиторская задолженность)</t>
  </si>
  <si>
    <t>Other Non-current assets</t>
  </si>
  <si>
    <t>Long-Term Assets</t>
  </si>
  <si>
    <t>Capital leases (Аренда основных средств)</t>
  </si>
  <si>
    <t>Deferred revenues (Отложенная выручка)</t>
  </si>
  <si>
    <t>Comprehensive Inc. and Other (Полный доход, включая все изменения в чистых активах, за
исключением тех средств, которые являются результатом
операций с собственниками компании)</t>
  </si>
  <si>
    <t>Def. Tax Liability (Обязательства по налогам)</t>
  </si>
  <si>
    <t>Current Share price (on Dec,31)</t>
  </si>
  <si>
    <t>Google</t>
  </si>
  <si>
    <t>Beta for Google</t>
  </si>
  <si>
    <t>CAGR:</t>
  </si>
  <si>
    <t>GAGR:</t>
  </si>
  <si>
    <t>Cost of good</t>
  </si>
  <si>
    <t>CAPEX</t>
  </si>
  <si>
    <t>EBIAT</t>
  </si>
  <si>
    <t>Free Cash Flow to Firm</t>
  </si>
  <si>
    <t>Base scenario</t>
  </si>
  <si>
    <t>Optimistic scenario</t>
  </si>
  <si>
    <t>Pessimistic scenario</t>
  </si>
  <si>
    <t>Depreciation and Amortization</t>
  </si>
  <si>
    <t>Current assets</t>
  </si>
  <si>
    <t>Current liabilities</t>
  </si>
  <si>
    <t>Change in CA</t>
  </si>
  <si>
    <t>Change in CL</t>
  </si>
  <si>
    <t>Change in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</si>
</sst>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0\A"/>
    <numFmt numFmtId="168" formatCode="0\P"/>
    <numFmt numFmtId="169" formatCode="#,##0.0\x"/>
    <numFmt numFmtId="170" formatCode="&quot;$&quot;#,##0.0"/>
    <numFmt numFmtId="171" formatCode="&quot;$&quot;#,##0.0;\-&quot;$&quot;#,##0.0"/>
    <numFmt numFmtId="172" formatCode="#,##0.00;\(#,##0.0\)"/>
    <numFmt numFmtId="173" formatCode="#,##0.0;\(#,##0.0\)"/>
    <numFmt numFmtId="174" formatCode="_(* #,##0.0_);_(* \(#,##0.0\)_)\ ;_(* 0_)"/>
    <numFmt numFmtId="175" formatCode="_(* #,##0.0#_);_(* \(#,##0.0#\)_)\ ;_(* 0_)"/>
    <numFmt numFmtId="176" formatCode="_(#,##0.0%_);_(\(#,##0.0%\)_);_(#,##0.0%_)"/>
    <numFmt numFmtId="177" formatCode="_(#,##0.00%_);_(\(#,##0.00%\)_);_(#,##0.00%_)"/>
    <numFmt numFmtId="178" formatCode="&quot;$&quot;#,##0.00"/>
    <numFmt numFmtId="179" formatCode="&quot;$&quot;#,##0"/>
    <numFmt numFmtId="180" formatCode="#,###"/>
    <numFmt numFmtId="181" formatCode="#,###.0"/>
  </numFmts>
  <fonts count="6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theme="8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3"/>
      <color indexed="8"/>
      <name val="Verdana"/>
      <family val="2"/>
    </font>
    <font>
      <b/>
      <sz val="8"/>
      <color indexed="9"/>
      <name val="Verdana"/>
      <family val="2"/>
    </font>
    <font>
      <sz val="1"/>
      <color indexed="9"/>
      <name val="Symbol"/>
      <family val="1"/>
      <charset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8"/>
      <color theme="0"/>
      <name val="Arial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u val="singleAccounting"/>
      <sz val="8"/>
      <color indexed="8"/>
      <name val="Arial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i/>
      <sz val="10"/>
      <color theme="1"/>
      <name val="Arial"/>
      <family val="2"/>
    </font>
    <font>
      <b/>
      <sz val="8"/>
      <color indexed="9"/>
      <name val="Arial"/>
      <family val="2"/>
    </font>
    <font>
      <sz val="1"/>
      <color indexed="9"/>
      <name val="Arial"/>
      <family val="2"/>
    </font>
    <font>
      <sz val="8"/>
      <color rgb="FF000000"/>
      <name val="Arial"/>
      <family val="2"/>
    </font>
    <font>
      <u/>
      <sz val="10"/>
      <color theme="1"/>
      <name val="Arial"/>
      <family val="2"/>
    </font>
    <font>
      <i/>
      <sz val="8"/>
      <color theme="8"/>
      <name val="Arial"/>
      <family val="2"/>
    </font>
    <font>
      <b/>
      <i/>
      <sz val="10"/>
      <name val="Arial"/>
      <family val="2"/>
    </font>
    <font>
      <b/>
      <sz val="10"/>
      <color theme="8"/>
      <name val="Arial"/>
      <family val="2"/>
    </font>
    <font>
      <b/>
      <sz val="8"/>
      <color theme="0"/>
      <name val="Arial"/>
      <family val="2"/>
    </font>
    <font>
      <b/>
      <sz val="8"/>
      <color rgb="FF000000"/>
      <name val="Arial"/>
      <family val="2"/>
      <charset val="204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i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name val="Arial"/>
      <family val="2"/>
      <charset val="204"/>
    </font>
    <font>
      <sz val="8"/>
      <color rgb="FF333333"/>
      <name val="Arial"/>
      <family val="2"/>
      <charset val="204"/>
    </font>
    <font>
      <sz val="9"/>
      <name val="Calibri"/>
      <family val="3"/>
      <charset val="134"/>
      <scheme val="minor"/>
    </font>
    <font>
      <sz val="8"/>
      <color rgb="FF000000"/>
      <name val="Verdana"/>
      <family val="2"/>
      <charset val="204"/>
    </font>
    <font>
      <sz val="8"/>
      <color indexed="9"/>
      <name val="Arial"/>
      <family val="2"/>
    </font>
    <font>
      <b/>
      <u val="double"/>
      <sz val="8"/>
      <color indexed="8"/>
      <name val="Arial"/>
      <family val="2"/>
      <charset val="204"/>
    </font>
    <font>
      <b/>
      <sz val="10"/>
      <color rgb="FF000000"/>
      <name val="Calibri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8"/>
      <color rgb="FF000000"/>
      <name val="Segoe UI"/>
      <charset val="1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theme="1" tint="4.9989318521683403E-2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tted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0E4E9"/>
      </top>
      <bottom/>
      <diagonal/>
    </border>
  </borders>
  <cellStyleXfs count="27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21" fillId="0" borderId="0" applyAlignment="0"/>
    <xf numFmtId="0" fontId="26" fillId="0" borderId="0" applyAlignment="0"/>
    <xf numFmtId="0" fontId="27" fillId="0" borderId="0" applyAlignment="0"/>
    <xf numFmtId="0" fontId="27" fillId="0" borderId="0" applyAlignment="0"/>
    <xf numFmtId="0" fontId="27" fillId="0" borderId="0" applyAlignment="0"/>
    <xf numFmtId="0" fontId="27" fillId="0" borderId="0" applyAlignment="0"/>
    <xf numFmtId="0" fontId="28" fillId="9" borderId="0" applyAlignment="0"/>
    <xf numFmtId="0" fontId="21" fillId="0" borderId="0" applyAlignment="0"/>
    <xf numFmtId="0" fontId="29" fillId="10" borderId="0" applyAlignment="0"/>
    <xf numFmtId="0" fontId="30" fillId="11" borderId="0" applyAlignment="0"/>
    <xf numFmtId="0" fontId="31" fillId="0" borderId="0" applyAlignment="0"/>
    <xf numFmtId="0" fontId="20" fillId="8" borderId="0" applyAlignment="0"/>
    <xf numFmtId="0" fontId="32" fillId="0" borderId="0" applyAlignment="0"/>
    <xf numFmtId="0" fontId="33" fillId="0" borderId="0" applyAlignment="0"/>
    <xf numFmtId="0" fontId="22" fillId="0" borderId="0" applyAlignment="0"/>
    <xf numFmtId="0" fontId="34" fillId="0" borderId="0" applyAlignment="0"/>
    <xf numFmtId="0" fontId="16" fillId="0" borderId="0" applyAlignment="0"/>
    <xf numFmtId="0" fontId="19" fillId="0" borderId="0" applyAlignment="0"/>
    <xf numFmtId="0" fontId="22" fillId="0" borderId="0" applyAlignment="0">
      <alignment wrapText="1"/>
    </xf>
    <xf numFmtId="0" fontId="5" fillId="0" borderId="0"/>
    <xf numFmtId="0" fontId="5" fillId="0" borderId="0"/>
    <xf numFmtId="43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57">
    <xf numFmtId="0" fontId="0" fillId="0" borderId="0" xfId="0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 indent="1"/>
    </xf>
    <xf numFmtId="164" fontId="6" fillId="0" borderId="0" xfId="1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7" fillId="5" borderId="0" xfId="0" applyFont="1" applyFill="1" applyAlignment="1">
      <alignment horizontal="left" vertical="center" indent="1"/>
    </xf>
    <xf numFmtId="165" fontId="7" fillId="5" borderId="0" xfId="0" applyNumberFormat="1" applyFont="1" applyFill="1" applyAlignment="1">
      <alignment vertical="center"/>
    </xf>
    <xf numFmtId="164" fontId="7" fillId="5" borderId="0" xfId="1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9" fontId="6" fillId="0" borderId="0" xfId="0" applyNumberFormat="1" applyFont="1" applyAlignment="1">
      <alignment horizontal="center" vertical="center"/>
    </xf>
    <xf numFmtId="164" fontId="6" fillId="0" borderId="2" xfId="1" applyNumberFormat="1" applyFont="1" applyBorder="1" applyAlignment="1">
      <alignment horizontal="right" vertical="center"/>
    </xf>
    <xf numFmtId="166" fontId="5" fillId="0" borderId="0" xfId="1" applyNumberFormat="1" applyFont="1" applyFill="1" applyAlignment="1">
      <alignment vertical="center"/>
    </xf>
    <xf numFmtId="164" fontId="5" fillId="0" borderId="2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7" fillId="0" borderId="0" xfId="0" applyNumberFormat="1" applyFont="1" applyAlignment="1">
      <alignment vertical="center"/>
    </xf>
    <xf numFmtId="164" fontId="5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0" xfId="0" applyFont="1"/>
    <xf numFmtId="0" fontId="5" fillId="0" borderId="11" xfId="0" quotePrefix="1" applyFont="1" applyBorder="1"/>
    <xf numFmtId="0" fontId="5" fillId="0" borderId="0" xfId="0" quotePrefix="1" applyFont="1"/>
    <xf numFmtId="0" fontId="17" fillId="0" borderId="0" xfId="2" applyFont="1"/>
    <xf numFmtId="0" fontId="20" fillId="8" borderId="0" xfId="2" applyFont="1" applyFill="1"/>
    <xf numFmtId="0" fontId="21" fillId="0" borderId="0" xfId="3" applyAlignment="1"/>
    <xf numFmtId="0" fontId="16" fillId="0" borderId="0" xfId="2" applyFont="1" applyAlignment="1">
      <alignment horizontal="left" vertical="top"/>
    </xf>
    <xf numFmtId="43" fontId="17" fillId="0" borderId="0" xfId="2" applyNumberFormat="1" applyFont="1"/>
    <xf numFmtId="0" fontId="25" fillId="0" borderId="0" xfId="2" applyFont="1"/>
    <xf numFmtId="174" fontId="22" fillId="0" borderId="0" xfId="2" applyNumberFormat="1" applyFont="1" applyAlignment="1">
      <alignment horizontal="right" vertical="top" wrapText="1"/>
    </xf>
    <xf numFmtId="0" fontId="22" fillId="13" borderId="0" xfId="2" applyFont="1" applyFill="1" applyAlignment="1">
      <alignment wrapText="1"/>
    </xf>
    <xf numFmtId="0" fontId="22" fillId="13" borderId="0" xfId="2" applyFont="1" applyFill="1" applyAlignment="1">
      <alignment horizontal="right" wrapText="1"/>
    </xf>
    <xf numFmtId="0" fontId="23" fillId="13" borderId="0" xfId="2" applyFont="1" applyFill="1" applyAlignment="1">
      <alignment wrapText="1"/>
    </xf>
    <xf numFmtId="0" fontId="23" fillId="13" borderId="0" xfId="2" applyFont="1" applyFill="1" applyAlignment="1">
      <alignment horizontal="right" wrapText="1"/>
    </xf>
    <xf numFmtId="0" fontId="17" fillId="5" borderId="0" xfId="2" applyFont="1" applyFill="1"/>
    <xf numFmtId="0" fontId="20" fillId="5" borderId="0" xfId="2" applyFont="1" applyFill="1"/>
    <xf numFmtId="0" fontId="22" fillId="5" borderId="0" xfId="2" applyFont="1" applyFill="1" applyAlignment="1">
      <alignment horizontal="right" wrapText="1"/>
    </xf>
    <xf numFmtId="0" fontId="22" fillId="7" borderId="0" xfId="2" applyFont="1" applyFill="1" applyAlignment="1">
      <alignment horizontal="right" wrapText="1"/>
    </xf>
    <xf numFmtId="0" fontId="22" fillId="5" borderId="0" xfId="2" applyFont="1" applyFill="1" applyAlignment="1">
      <alignment horizontal="center" vertical="top"/>
    </xf>
    <xf numFmtId="0" fontId="23" fillId="7" borderId="0" xfId="2" applyFont="1" applyFill="1" applyAlignment="1">
      <alignment horizontal="right" wrapText="1"/>
    </xf>
    <xf numFmtId="174" fontId="22" fillId="5" borderId="0" xfId="2" applyNumberFormat="1" applyFont="1" applyFill="1" applyAlignment="1">
      <alignment horizontal="right" vertical="top" wrapText="1"/>
    </xf>
    <xf numFmtId="175" fontId="22" fillId="0" borderId="0" xfId="2" applyNumberFormat="1" applyFont="1" applyAlignment="1">
      <alignment horizontal="right" vertical="top" wrapText="1"/>
    </xf>
    <xf numFmtId="176" fontId="34" fillId="5" borderId="0" xfId="2" applyNumberFormat="1" applyFont="1" applyFill="1" applyAlignment="1">
      <alignment horizontal="right" vertical="top" wrapText="1"/>
    </xf>
    <xf numFmtId="176" fontId="23" fillId="5" borderId="0" xfId="2" applyNumberFormat="1" applyFont="1" applyFill="1" applyAlignment="1">
      <alignment horizontal="right" vertical="top" wrapText="1"/>
    </xf>
    <xf numFmtId="0" fontId="16" fillId="5" borderId="0" xfId="2" applyFont="1" applyFill="1" applyAlignment="1">
      <alignment horizontal="left" vertical="top"/>
    </xf>
    <xf numFmtId="164" fontId="36" fillId="3" borderId="0" xfId="1" applyNumberFormat="1" applyFont="1" applyFill="1" applyAlignment="1">
      <alignment vertical="center"/>
    </xf>
    <xf numFmtId="164" fontId="14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5" fillId="0" borderId="3" xfId="25" applyBorder="1" applyAlignment="1">
      <alignment vertical="center"/>
    </xf>
    <xf numFmtId="0" fontId="22" fillId="4" borderId="0" xfId="2" applyFont="1" applyFill="1" applyAlignment="1">
      <alignment wrapText="1"/>
    </xf>
    <xf numFmtId="0" fontId="23" fillId="4" borderId="0" xfId="2" applyFont="1" applyFill="1" applyAlignment="1">
      <alignment wrapText="1"/>
    </xf>
    <xf numFmtId="0" fontId="23" fillId="4" borderId="0" xfId="2" applyFont="1" applyFill="1" applyAlignment="1">
      <alignment horizontal="right" wrapText="1"/>
    </xf>
    <xf numFmtId="0" fontId="37" fillId="8" borderId="0" xfId="2" applyFont="1" applyFill="1"/>
    <xf numFmtId="0" fontId="38" fillId="0" borderId="0" xfId="3" applyFont="1" applyAlignment="1"/>
    <xf numFmtId="165" fontId="16" fillId="0" borderId="0" xfId="2" applyNumberFormat="1" applyFont="1" applyAlignment="1">
      <alignment horizontal="left" vertical="top"/>
    </xf>
    <xf numFmtId="165" fontId="22" fillId="0" borderId="0" xfId="2" applyNumberFormat="1" applyFont="1" applyAlignment="1">
      <alignment horizontal="left" vertical="top"/>
    </xf>
    <xf numFmtId="165" fontId="16" fillId="5" borderId="0" xfId="2" applyNumberFormat="1" applyFont="1" applyFill="1" applyAlignment="1">
      <alignment horizontal="left" vertical="top"/>
    </xf>
    <xf numFmtId="165" fontId="16" fillId="14" borderId="0" xfId="2" applyNumberFormat="1" applyFont="1" applyFill="1" applyAlignment="1">
      <alignment horizontal="left" vertical="top"/>
    </xf>
    <xf numFmtId="9" fontId="4" fillId="0" borderId="0" xfId="0" applyNumberFormat="1" applyFont="1" applyAlignment="1">
      <alignment vertical="center"/>
    </xf>
    <xf numFmtId="0" fontId="22" fillId="12" borderId="0" xfId="2" applyFont="1" applyFill="1" applyAlignment="1">
      <alignment horizontal="right" wrapText="1"/>
    </xf>
    <xf numFmtId="0" fontId="23" fillId="12" borderId="0" xfId="2" applyFont="1" applyFill="1" applyAlignment="1">
      <alignment horizontal="right" wrapText="1"/>
    </xf>
    <xf numFmtId="4" fontId="4" fillId="0" borderId="0" xfId="0" applyNumberFormat="1" applyFont="1" applyAlignment="1">
      <alignment vertical="center"/>
    </xf>
    <xf numFmtId="164" fontId="17" fillId="0" borderId="0" xfId="2" applyNumberFormat="1" applyFont="1"/>
    <xf numFmtId="0" fontId="18" fillId="0" borderId="0" xfId="2" applyFont="1" applyAlignment="1">
      <alignment horizontal="center"/>
    </xf>
    <xf numFmtId="164" fontId="18" fillId="0" borderId="0" xfId="2" applyNumberFormat="1" applyFont="1"/>
    <xf numFmtId="170" fontId="5" fillId="0" borderId="0" xfId="1" applyNumberFormat="1" applyFont="1" applyFill="1" applyAlignment="1">
      <alignment vertical="center"/>
    </xf>
    <xf numFmtId="179" fontId="5" fillId="0" borderId="0" xfId="1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 indent="4"/>
    </xf>
    <xf numFmtId="169" fontId="43" fillId="0" borderId="0" xfId="0" applyNumberFormat="1" applyFont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4" fillId="5" borderId="0" xfId="2" applyFont="1" applyFill="1" applyAlignment="1">
      <alignment horizontal="right" wrapText="1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right"/>
    </xf>
    <xf numFmtId="178" fontId="17" fillId="0" borderId="0" xfId="2" applyNumberFormat="1" applyFont="1"/>
    <xf numFmtId="16" fontId="17" fillId="0" borderId="0" xfId="2" applyNumberFormat="1" applyFont="1"/>
    <xf numFmtId="0" fontId="22" fillId="5" borderId="0" xfId="2" applyFont="1" applyFill="1" applyAlignment="1">
      <alignment horizontal="left" vertical="top"/>
    </xf>
    <xf numFmtId="0" fontId="34" fillId="5" borderId="0" xfId="2" applyFont="1" applyFill="1" applyAlignment="1">
      <alignment horizontal="left" vertical="top"/>
    </xf>
    <xf numFmtId="177" fontId="41" fillId="5" borderId="0" xfId="2" applyNumberFormat="1" applyFont="1" applyFill="1" applyAlignment="1">
      <alignment horizontal="right" vertical="top" wrapText="1"/>
    </xf>
    <xf numFmtId="10" fontId="41" fillId="5" borderId="0" xfId="2" applyNumberFormat="1" applyFont="1" applyFill="1" applyAlignment="1">
      <alignment horizontal="right" vertical="top" wrapText="1"/>
    </xf>
    <xf numFmtId="0" fontId="21" fillId="5" borderId="0" xfId="3" applyFill="1" applyAlignment="1"/>
    <xf numFmtId="43" fontId="18" fillId="5" borderId="0" xfId="2" applyNumberFormat="1" applyFont="1" applyFill="1"/>
    <xf numFmtId="0" fontId="5" fillId="0" borderId="14" xfId="0" applyFont="1" applyBorder="1" applyAlignment="1">
      <alignment horizontal="left" vertical="center" indent="1"/>
    </xf>
    <xf numFmtId="165" fontId="5" fillId="0" borderId="14" xfId="0" applyNumberFormat="1" applyFont="1" applyBorder="1" applyAlignment="1">
      <alignment vertical="center"/>
    </xf>
    <xf numFmtId="164" fontId="14" fillId="0" borderId="14" xfId="1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3" fontId="39" fillId="0" borderId="0" xfId="0" applyNumberFormat="1" applyFont="1" applyAlignment="1">
      <alignment horizontal="right" vertical="center"/>
    </xf>
    <xf numFmtId="170" fontId="5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71" fontId="3" fillId="3" borderId="8" xfId="1" applyNumberFormat="1" applyFont="1" applyFill="1" applyBorder="1" applyAlignment="1">
      <alignment horizontal="right" vertical="center"/>
    </xf>
    <xf numFmtId="164" fontId="3" fillId="3" borderId="8" xfId="1" applyNumberFormat="1" applyFont="1" applyFill="1" applyBorder="1" applyAlignment="1">
      <alignment horizontal="right" vertical="center"/>
    </xf>
    <xf numFmtId="164" fontId="12" fillId="2" borderId="9" xfId="1" applyNumberFormat="1" applyFont="1" applyFill="1" applyBorder="1" applyAlignment="1">
      <alignment horizontal="right" vertical="center"/>
    </xf>
    <xf numFmtId="164" fontId="12" fillId="2" borderId="10" xfId="1" applyNumberFormat="1" applyFont="1" applyFill="1" applyBorder="1" applyAlignment="1">
      <alignment horizontal="right" vertical="center"/>
    </xf>
    <xf numFmtId="164" fontId="7" fillId="6" borderId="5" xfId="1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2" borderId="0" xfId="1" applyNumberFormat="1" applyFont="1" applyFill="1" applyAlignment="1">
      <alignment horizontal="right" vertical="center"/>
    </xf>
    <xf numFmtId="164" fontId="12" fillId="2" borderId="0" xfId="1" applyNumberFormat="1" applyFont="1" applyFill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168" fontId="10" fillId="18" borderId="0" xfId="0" applyNumberFormat="1" applyFont="1" applyFill="1" applyAlignment="1">
      <alignment horizontal="right" vertical="center"/>
    </xf>
    <xf numFmtId="165" fontId="5" fillId="18" borderId="0" xfId="0" applyNumberFormat="1" applyFont="1" applyFill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5" fontId="10" fillId="18" borderId="0" xfId="0" applyNumberFormat="1" applyFont="1" applyFill="1" applyAlignment="1">
      <alignment horizontal="right" vertical="center"/>
    </xf>
    <xf numFmtId="172" fontId="5" fillId="18" borderId="0" xfId="0" applyNumberFormat="1" applyFont="1" applyFill="1" applyAlignment="1">
      <alignment horizontal="right" vertical="center"/>
    </xf>
    <xf numFmtId="172" fontId="11" fillId="0" borderId="0" xfId="0" applyNumberFormat="1" applyFont="1" applyAlignment="1">
      <alignment horizontal="right" vertical="center"/>
    </xf>
    <xf numFmtId="172" fontId="11" fillId="18" borderId="0" xfId="0" applyNumberFormat="1" applyFont="1" applyFill="1" applyAlignment="1">
      <alignment horizontal="right" vertical="center"/>
    </xf>
    <xf numFmtId="165" fontId="5" fillId="0" borderId="11" xfId="0" applyNumberFormat="1" applyFont="1" applyBorder="1" applyAlignment="1">
      <alignment horizontal="right"/>
    </xf>
    <xf numFmtId="172" fontId="11" fillId="0" borderId="0" xfId="0" applyNumberFormat="1" applyFont="1" applyAlignment="1">
      <alignment horizontal="right"/>
    </xf>
    <xf numFmtId="172" fontId="11" fillId="18" borderId="0" xfId="0" applyNumberFormat="1" applyFont="1" applyFill="1" applyAlignment="1">
      <alignment horizontal="right"/>
    </xf>
    <xf numFmtId="164" fontId="5" fillId="0" borderId="11" xfId="0" applyNumberFormat="1" applyFont="1" applyBorder="1" applyAlignment="1">
      <alignment horizontal="right" vertical="center"/>
    </xf>
    <xf numFmtId="169" fontId="8" fillId="18" borderId="0" xfId="0" applyNumberFormat="1" applyFont="1" applyFill="1" applyAlignment="1">
      <alignment horizontal="right" vertical="center"/>
    </xf>
    <xf numFmtId="2" fontId="12" fillId="0" borderId="0" xfId="1" applyNumberFormat="1" applyFont="1" applyFill="1" applyAlignment="1">
      <alignment horizontal="right"/>
    </xf>
    <xf numFmtId="165" fontId="12" fillId="2" borderId="5" xfId="1" applyNumberFormat="1" applyFont="1" applyFill="1" applyBorder="1" applyAlignment="1">
      <alignment horizontal="right" vertical="center"/>
    </xf>
    <xf numFmtId="165" fontId="12" fillId="2" borderId="4" xfId="1" applyNumberFormat="1" applyFont="1" applyFill="1" applyBorder="1" applyAlignment="1">
      <alignment horizontal="right" vertical="center"/>
    </xf>
    <xf numFmtId="169" fontId="5" fillId="2" borderId="6" xfId="0" applyNumberFormat="1" applyFont="1" applyFill="1" applyBorder="1" applyAlignment="1">
      <alignment horizontal="right" vertical="center"/>
    </xf>
    <xf numFmtId="165" fontId="17" fillId="0" borderId="0" xfId="2" applyNumberFormat="1" applyFont="1" applyAlignment="1">
      <alignment horizontal="right" vertical="top" wrapText="1"/>
    </xf>
    <xf numFmtId="3" fontId="46" fillId="0" borderId="0" xfId="0" applyNumberFormat="1" applyFont="1" applyAlignment="1">
      <alignment horizontal="right" vertical="center"/>
    </xf>
    <xf numFmtId="0" fontId="39" fillId="0" borderId="0" xfId="0" applyFont="1"/>
    <xf numFmtId="165" fontId="48" fillId="0" borderId="0" xfId="2" applyNumberFormat="1" applyFont="1" applyAlignment="1">
      <alignment horizontal="left" vertical="top"/>
    </xf>
    <xf numFmtId="0" fontId="49" fillId="8" borderId="0" xfId="2" applyFont="1" applyFill="1"/>
    <xf numFmtId="0" fontId="48" fillId="13" borderId="0" xfId="2" applyFont="1" applyFill="1" applyAlignment="1">
      <alignment wrapText="1"/>
    </xf>
    <xf numFmtId="0" fontId="50" fillId="13" borderId="0" xfId="2" applyFont="1" applyFill="1" applyAlignment="1">
      <alignment wrapText="1"/>
    </xf>
    <xf numFmtId="0" fontId="52" fillId="0" borderId="0" xfId="0" applyFont="1" applyAlignment="1">
      <alignment horizontal="left" vertical="center" indent="3"/>
    </xf>
    <xf numFmtId="0" fontId="45" fillId="0" borderId="0" xfId="0" applyFont="1" applyAlignment="1">
      <alignment horizontal="left" vertical="center" indent="1"/>
    </xf>
    <xf numFmtId="0" fontId="53" fillId="0" borderId="0" xfId="2" applyFont="1"/>
    <xf numFmtId="0" fontId="52" fillId="0" borderId="0" xfId="0" applyFont="1" applyAlignment="1">
      <alignment horizontal="left" vertical="center" indent="4"/>
    </xf>
    <xf numFmtId="0" fontId="52" fillId="0" borderId="0" xfId="0" applyFont="1" applyAlignment="1">
      <alignment horizontal="left" vertical="center"/>
    </xf>
    <xf numFmtId="0" fontId="52" fillId="0" borderId="0" xfId="0" applyFont="1" applyAlignment="1">
      <alignment horizontal="left"/>
    </xf>
    <xf numFmtId="0" fontId="45" fillId="16" borderId="0" xfId="0" applyFont="1" applyFill="1" applyAlignment="1">
      <alignment horizontal="left" vertical="center" indent="1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4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22" fillId="19" borderId="0" xfId="2" applyFont="1" applyFill="1" applyAlignment="1">
      <alignment horizontal="right" wrapText="1"/>
    </xf>
    <xf numFmtId="0" fontId="23" fillId="19" borderId="0" xfId="2" applyFont="1" applyFill="1" applyAlignment="1">
      <alignment horizontal="right" wrapText="1"/>
    </xf>
    <xf numFmtId="0" fontId="16" fillId="0" borderId="0" xfId="2" applyFont="1" applyAlignment="1">
      <alignment horizontal="left" vertical="top" wrapText="1"/>
    </xf>
    <xf numFmtId="0" fontId="16" fillId="0" borderId="0" xfId="2" applyFont="1" applyAlignment="1">
      <alignment horizontal="center" vertical="center" wrapText="1"/>
    </xf>
    <xf numFmtId="0" fontId="17" fillId="0" borderId="0" xfId="2" applyFont="1" applyAlignment="1">
      <alignment wrapText="1"/>
    </xf>
    <xf numFmtId="3" fontId="17" fillId="0" borderId="0" xfId="2" applyNumberFormat="1" applyFont="1"/>
    <xf numFmtId="2" fontId="17" fillId="0" borderId="0" xfId="2" applyNumberFormat="1" applyFont="1" applyAlignment="1">
      <alignment horizontal="right"/>
    </xf>
    <xf numFmtId="0" fontId="56" fillId="0" borderId="0" xfId="0" applyFont="1"/>
    <xf numFmtId="2" fontId="17" fillId="0" borderId="0" xfId="2" applyNumberFormat="1" applyFont="1"/>
    <xf numFmtId="1" fontId="45" fillId="16" borderId="0" xfId="0" applyNumberFormat="1" applyFont="1" applyFill="1" applyAlignment="1">
      <alignment horizontal="right" vertical="center"/>
    </xf>
    <xf numFmtId="0" fontId="57" fillId="0" borderId="0" xfId="3" applyFont="1" applyAlignment="1"/>
    <xf numFmtId="1" fontId="52" fillId="20" borderId="0" xfId="0" applyNumberFormat="1" applyFont="1" applyFill="1" applyAlignment="1">
      <alignment horizontal="right" vertical="top"/>
    </xf>
    <xf numFmtId="1" fontId="52" fillId="0" borderId="0" xfId="0" applyNumberFormat="1" applyFont="1" applyAlignment="1">
      <alignment horizontal="right" vertical="top"/>
    </xf>
    <xf numFmtId="0" fontId="54" fillId="0" borderId="0" xfId="0" applyFont="1" applyAlignment="1">
      <alignment wrapText="1" indent="4"/>
    </xf>
    <xf numFmtId="3" fontId="18" fillId="0" borderId="0" xfId="2" applyNumberFormat="1" applyFont="1" applyAlignment="1">
      <alignment horizontal="center"/>
    </xf>
    <xf numFmtId="0" fontId="51" fillId="0" borderId="0" xfId="2" applyFont="1" applyAlignment="1">
      <alignment horizontal="left" vertical="top" wrapText="1"/>
    </xf>
    <xf numFmtId="165" fontId="53" fillId="0" borderId="0" xfId="0" applyNumberFormat="1" applyFont="1" applyAlignment="1">
      <alignment horizontal="right" vertical="center"/>
    </xf>
    <xf numFmtId="165" fontId="53" fillId="0" borderId="0" xfId="2" applyNumberFormat="1" applyFont="1" applyAlignment="1">
      <alignment horizontal="right" vertical="top" wrapText="1"/>
    </xf>
    <xf numFmtId="0" fontId="48" fillId="21" borderId="0" xfId="2" applyFont="1" applyFill="1" applyAlignment="1">
      <alignment horizontal="left" vertical="top" wrapText="1"/>
    </xf>
    <xf numFmtId="180" fontId="52" fillId="20" borderId="0" xfId="0" applyNumberFormat="1" applyFont="1" applyFill="1" applyAlignment="1">
      <alignment horizontal="right" vertical="top"/>
    </xf>
    <xf numFmtId="180" fontId="45" fillId="22" borderId="0" xfId="0" applyNumberFormat="1" applyFont="1" applyFill="1" applyAlignment="1">
      <alignment horizontal="right" vertical="top"/>
    </xf>
    <xf numFmtId="0" fontId="49" fillId="8" borderId="0" xfId="2" applyFont="1" applyFill="1" applyAlignment="1">
      <alignment wrapText="1"/>
    </xf>
    <xf numFmtId="0" fontId="48" fillId="13" borderId="0" xfId="2" applyFont="1" applyFill="1" applyAlignment="1">
      <alignment horizontal="right" wrapText="1"/>
    </xf>
    <xf numFmtId="0" fontId="50" fillId="13" borderId="0" xfId="2" applyFont="1" applyFill="1" applyAlignment="1">
      <alignment horizontal="right" wrapText="1"/>
    </xf>
    <xf numFmtId="0" fontId="48" fillId="0" borderId="0" xfId="2" applyFont="1" applyAlignment="1">
      <alignment horizontal="left" vertical="top" wrapText="1"/>
    </xf>
    <xf numFmtId="165" fontId="51" fillId="0" borderId="0" xfId="2" applyNumberFormat="1" applyFont="1" applyAlignment="1">
      <alignment horizontal="left" vertical="top"/>
    </xf>
    <xf numFmtId="2" fontId="51" fillId="0" borderId="0" xfId="2" applyNumberFormat="1" applyFont="1" applyAlignment="1">
      <alignment horizontal="left" vertical="top" wrapText="1"/>
    </xf>
    <xf numFmtId="165" fontId="48" fillId="0" borderId="0" xfId="2" applyNumberFormat="1" applyFont="1" applyAlignment="1">
      <alignment horizontal="right" vertical="top" wrapText="1"/>
    </xf>
    <xf numFmtId="180" fontId="52" fillId="0" borderId="0" xfId="0" applyNumberFormat="1" applyFont="1" applyAlignment="1">
      <alignment horizontal="right" vertical="top"/>
    </xf>
    <xf numFmtId="2" fontId="52" fillId="20" borderId="0" xfId="0" applyNumberFormat="1" applyFont="1" applyFill="1" applyAlignment="1">
      <alignment horizontal="right" vertical="top"/>
    </xf>
    <xf numFmtId="49" fontId="52" fillId="0" borderId="0" xfId="0" applyNumberFormat="1" applyFont="1" applyAlignment="1">
      <alignment horizontal="left" vertical="top" wrapText="1"/>
    </xf>
    <xf numFmtId="0" fontId="53" fillId="0" borderId="0" xfId="0" applyFont="1" applyAlignment="1">
      <alignment horizontal="right" vertical="center"/>
    </xf>
    <xf numFmtId="3" fontId="53" fillId="0" borderId="0" xfId="0" applyNumberFormat="1" applyFont="1" applyAlignment="1">
      <alignment horizontal="right" vertical="center"/>
    </xf>
    <xf numFmtId="3" fontId="52" fillId="0" borderId="0" xfId="0" applyNumberFormat="1" applyFont="1" applyAlignment="1">
      <alignment horizontal="right" vertical="center"/>
    </xf>
    <xf numFmtId="3" fontId="45" fillId="16" borderId="0" xfId="0" applyNumberFormat="1" applyFont="1" applyFill="1" applyAlignment="1">
      <alignment horizontal="right" vertical="center"/>
    </xf>
    <xf numFmtId="3" fontId="45" fillId="0" borderId="0" xfId="0" applyNumberFormat="1" applyFont="1" applyAlignment="1">
      <alignment horizontal="right" vertical="center"/>
    </xf>
    <xf numFmtId="165" fontId="58" fillId="16" borderId="12" xfId="2" applyNumberFormat="1" applyFont="1" applyFill="1" applyBorder="1" applyAlignment="1">
      <alignment horizontal="right" vertical="top" wrapText="1"/>
    </xf>
    <xf numFmtId="0" fontId="45" fillId="0" borderId="0" xfId="0" applyFont="1"/>
    <xf numFmtId="2" fontId="45" fillId="22" borderId="0" xfId="0" applyNumberFormat="1" applyFont="1" applyFill="1" applyAlignment="1">
      <alignment horizontal="right" vertical="top"/>
    </xf>
    <xf numFmtId="165" fontId="16" fillId="0" borderId="0" xfId="2" applyNumberFormat="1" applyFont="1" applyAlignment="1">
      <alignment horizontal="left" vertical="top" wrapText="1"/>
    </xf>
    <xf numFmtId="3" fontId="16" fillId="0" borderId="0" xfId="2" applyNumberFormat="1" applyFont="1" applyAlignment="1">
      <alignment horizontal="right" vertical="top"/>
    </xf>
    <xf numFmtId="3" fontId="52" fillId="20" borderId="0" xfId="0" applyNumberFormat="1" applyFont="1" applyFill="1" applyAlignment="1">
      <alignment horizontal="right" vertical="top"/>
    </xf>
    <xf numFmtId="3" fontId="47" fillId="16" borderId="12" xfId="2" applyNumberFormat="1" applyFont="1" applyFill="1" applyBorder="1" applyAlignment="1">
      <alignment horizontal="right" vertical="top" wrapText="1"/>
    </xf>
    <xf numFmtId="3" fontId="16" fillId="0" borderId="0" xfId="2" applyNumberFormat="1" applyFont="1" applyAlignment="1">
      <alignment horizontal="left" vertical="top"/>
    </xf>
    <xf numFmtId="3" fontId="46" fillId="0" borderId="13" xfId="0" applyNumberFormat="1" applyFont="1" applyBorder="1" applyAlignment="1">
      <alignment horizontal="right" vertical="center"/>
    </xf>
    <xf numFmtId="3" fontId="39" fillId="0" borderId="13" xfId="0" applyNumberFormat="1" applyFont="1" applyBorder="1" applyAlignment="1">
      <alignment horizontal="right" vertical="center"/>
    </xf>
    <xf numFmtId="3" fontId="16" fillId="0" borderId="15" xfId="2" applyNumberFormat="1" applyFont="1" applyBorder="1" applyAlignment="1">
      <alignment horizontal="right" vertical="top" wrapText="1"/>
    </xf>
    <xf numFmtId="3" fontId="22" fillId="16" borderId="12" xfId="2" applyNumberFormat="1" applyFont="1" applyFill="1" applyBorder="1" applyAlignment="1">
      <alignment horizontal="right" vertical="top" wrapText="1"/>
    </xf>
    <xf numFmtId="3" fontId="17" fillId="0" borderId="0" xfId="2" applyNumberFormat="1" applyFont="1" applyAlignment="1">
      <alignment horizontal="right" vertical="top" wrapText="1"/>
    </xf>
    <xf numFmtId="3" fontId="24" fillId="16" borderId="0" xfId="2" applyNumberFormat="1" applyFont="1" applyFill="1" applyAlignment="1">
      <alignment horizontal="right" vertical="top" wrapText="1"/>
    </xf>
    <xf numFmtId="3" fontId="46" fillId="0" borderId="15" xfId="0" applyNumberFormat="1" applyFont="1" applyBorder="1" applyAlignment="1">
      <alignment horizontal="right" vertical="center"/>
    </xf>
    <xf numFmtId="3" fontId="39" fillId="0" borderId="15" xfId="0" applyNumberFormat="1" applyFont="1" applyBorder="1" applyAlignment="1">
      <alignment horizontal="right" vertical="center"/>
    </xf>
    <xf numFmtId="3" fontId="22" fillId="16" borderId="0" xfId="2" applyNumberFormat="1" applyFont="1" applyFill="1" applyAlignment="1">
      <alignment horizontal="right" vertical="top" wrapText="1"/>
    </xf>
    <xf numFmtId="3" fontId="16" fillId="14" borderId="0" xfId="2" applyNumberFormat="1" applyFont="1" applyFill="1" applyAlignment="1">
      <alignment horizontal="right" vertical="top" wrapText="1"/>
    </xf>
    <xf numFmtId="2" fontId="0" fillId="0" borderId="0" xfId="0" applyNumberFormat="1" applyAlignment="1">
      <alignment horizontal="right"/>
    </xf>
    <xf numFmtId="0" fontId="4" fillId="24" borderId="0" xfId="0" applyFont="1" applyFill="1" applyAlignment="1">
      <alignment vertical="center"/>
    </xf>
    <xf numFmtId="170" fontId="4" fillId="24" borderId="0" xfId="1" applyNumberFormat="1" applyFont="1" applyFill="1" applyAlignment="1">
      <alignment horizontal="right" vertical="center"/>
    </xf>
    <xf numFmtId="0" fontId="4" fillId="24" borderId="0" xfId="0" applyFont="1" applyFill="1"/>
    <xf numFmtId="170" fontId="4" fillId="24" borderId="0" xfId="1" applyNumberFormat="1" applyFont="1" applyFill="1" applyAlignment="1">
      <alignment horizontal="right"/>
    </xf>
    <xf numFmtId="0" fontId="35" fillId="15" borderId="0" xfId="25" applyFill="1" applyAlignment="1">
      <alignment horizontal="center" vertical="center"/>
    </xf>
    <xf numFmtId="180" fontId="59" fillId="20" borderId="0" xfId="0" applyNumberFormat="1" applyFont="1" applyFill="1" applyAlignment="1">
      <alignment horizontal="right" vertical="top"/>
    </xf>
    <xf numFmtId="0" fontId="22" fillId="21" borderId="0" xfId="2" applyFont="1" applyFill="1" applyAlignment="1">
      <alignment horizontal="right" vertical="top"/>
    </xf>
    <xf numFmtId="0" fontId="17" fillId="21" borderId="0" xfId="2" applyFont="1" applyFill="1"/>
    <xf numFmtId="174" fontId="22" fillId="21" borderId="0" xfId="2" applyNumberFormat="1" applyFont="1" applyFill="1" applyAlignment="1">
      <alignment horizontal="right" vertical="top" wrapText="1"/>
    </xf>
    <xf numFmtId="10" fontId="22" fillId="21" borderId="0" xfId="1" applyNumberFormat="1" applyFont="1" applyFill="1" applyAlignment="1">
      <alignment horizontal="right" vertical="top" wrapText="1"/>
    </xf>
    <xf numFmtId="164" fontId="34" fillId="21" borderId="0" xfId="2" applyNumberFormat="1" applyFont="1" applyFill="1" applyAlignment="1">
      <alignment horizontal="right" vertical="top" wrapText="1"/>
    </xf>
    <xf numFmtId="164" fontId="16" fillId="21" borderId="0" xfId="2" applyNumberFormat="1" applyFont="1" applyFill="1" applyAlignment="1">
      <alignment horizontal="left" vertical="top"/>
    </xf>
    <xf numFmtId="164" fontId="22" fillId="21" borderId="0" xfId="2" applyNumberFormat="1" applyFont="1" applyFill="1" applyAlignment="1">
      <alignment horizontal="right" vertical="top" wrapText="1"/>
    </xf>
    <xf numFmtId="0" fontId="16" fillId="21" borderId="0" xfId="2" applyFont="1" applyFill="1" applyAlignment="1">
      <alignment horizontal="left" vertical="top"/>
    </xf>
    <xf numFmtId="0" fontId="16" fillId="21" borderId="0" xfId="2" applyFont="1" applyFill="1" applyAlignment="1">
      <alignment horizontal="center" vertical="top"/>
    </xf>
    <xf numFmtId="10" fontId="17" fillId="0" borderId="0" xfId="1" applyNumberFormat="1" applyFont="1"/>
    <xf numFmtId="10" fontId="23" fillId="14" borderId="0" xfId="1" applyNumberFormat="1" applyFont="1" applyFill="1" applyAlignment="1">
      <alignment horizontal="right" vertical="top" wrapText="1"/>
    </xf>
    <xf numFmtId="174" fontId="16" fillId="19" borderId="0" xfId="2" applyNumberFormat="1" applyFont="1" applyFill="1" applyAlignment="1">
      <alignment horizontal="left" vertical="top"/>
    </xf>
    <xf numFmtId="177" fontId="41" fillId="0" borderId="0" xfId="2" applyNumberFormat="1" applyFont="1" applyAlignment="1">
      <alignment horizontal="right" vertical="top" wrapText="1"/>
    </xf>
    <xf numFmtId="181" fontId="59" fillId="20" borderId="0" xfId="0" applyNumberFormat="1" applyFont="1" applyFill="1" applyAlignment="1">
      <alignment horizontal="right" vertical="top"/>
    </xf>
    <xf numFmtId="177" fontId="23" fillId="14" borderId="0" xfId="2" applyNumberFormat="1" applyFont="1" applyFill="1" applyAlignment="1">
      <alignment horizontal="right" vertical="top" wrapText="1"/>
    </xf>
    <xf numFmtId="0" fontId="60" fillId="0" borderId="0" xfId="2" applyFont="1"/>
    <xf numFmtId="1" fontId="53" fillId="0" borderId="0" xfId="2" applyNumberFormat="1" applyFont="1"/>
    <xf numFmtId="0" fontId="5" fillId="7" borderId="0" xfId="0" applyFont="1" applyFill="1" applyAlignment="1">
      <alignment vertical="center"/>
    </xf>
    <xf numFmtId="165" fontId="5" fillId="7" borderId="0" xfId="0" applyNumberFormat="1" applyFont="1" applyFill="1" applyAlignment="1">
      <alignment horizontal="right" vertical="center"/>
    </xf>
    <xf numFmtId="172" fontId="5" fillId="7" borderId="0" xfId="0" applyNumberFormat="1" applyFont="1" applyFill="1" applyAlignment="1">
      <alignment horizontal="right" vertical="center"/>
    </xf>
    <xf numFmtId="0" fontId="6" fillId="21" borderId="0" xfId="0" applyFont="1" applyFill="1" applyAlignment="1">
      <alignment horizontal="left" vertical="center" indent="1"/>
    </xf>
    <xf numFmtId="165" fontId="6" fillId="21" borderId="0" xfId="0" applyNumberFormat="1" applyFont="1" applyFill="1" applyAlignment="1">
      <alignment horizontal="right" vertical="center"/>
    </xf>
    <xf numFmtId="173" fontId="6" fillId="21" borderId="0" xfId="0" applyNumberFormat="1" applyFont="1" applyFill="1" applyAlignment="1">
      <alignment horizontal="right" vertical="center"/>
    </xf>
    <xf numFmtId="172" fontId="5" fillId="7" borderId="0" xfId="0" applyNumberFormat="1" applyFont="1" applyFill="1" applyAlignment="1">
      <alignment horizontal="right"/>
    </xf>
    <xf numFmtId="169" fontId="5" fillId="7" borderId="0" xfId="0" applyNumberFormat="1" applyFont="1" applyFill="1" applyAlignment="1">
      <alignment horizontal="right" vertical="center"/>
    </xf>
    <xf numFmtId="10" fontId="17" fillId="0" borderId="0" xfId="2" applyNumberFormat="1" applyFont="1"/>
    <xf numFmtId="166" fontId="18" fillId="21" borderId="0" xfId="2" applyNumberFormat="1" applyFont="1" applyFill="1"/>
    <xf numFmtId="181" fontId="60" fillId="21" borderId="0" xfId="2" applyNumberFormat="1" applyFont="1" applyFill="1"/>
    <xf numFmtId="165" fontId="5" fillId="21" borderId="11" xfId="0" applyNumberFormat="1" applyFont="1" applyFill="1" applyBorder="1" applyAlignment="1">
      <alignment horizontal="right"/>
    </xf>
    <xf numFmtId="172" fontId="5" fillId="21" borderId="0" xfId="0" applyNumberFormat="1" applyFont="1" applyFill="1" applyAlignment="1">
      <alignment horizontal="right"/>
    </xf>
    <xf numFmtId="10" fontId="22" fillId="3" borderId="0" xfId="2" applyNumberFormat="1" applyFont="1" applyFill="1" applyAlignment="1">
      <alignment horizontal="right" vertical="top" wrapText="1"/>
    </xf>
    <xf numFmtId="10" fontId="6" fillId="0" borderId="0" xfId="1" applyNumberFormat="1" applyFont="1" applyAlignment="1">
      <alignment vertical="center"/>
    </xf>
    <xf numFmtId="164" fontId="5" fillId="2" borderId="11" xfId="0" applyNumberFormat="1" applyFont="1" applyFill="1" applyBorder="1" applyAlignment="1">
      <alignment horizontal="right" vertical="center"/>
    </xf>
    <xf numFmtId="164" fontId="4" fillId="25" borderId="0" xfId="0" applyNumberFormat="1" applyFont="1" applyFill="1" applyAlignment="1">
      <alignment horizontal="center" vertical="center"/>
    </xf>
    <xf numFmtId="164" fontId="4" fillId="25" borderId="0" xfId="0" applyNumberFormat="1" applyFont="1" applyFill="1" applyAlignment="1">
      <alignment vertical="center"/>
    </xf>
    <xf numFmtId="2" fontId="35" fillId="23" borderId="16" xfId="25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 wrapText="1"/>
    </xf>
    <xf numFmtId="0" fontId="3" fillId="17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17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5" fillId="5" borderId="0" xfId="2" applyFill="1" applyAlignment="1">
      <alignment horizontal="center"/>
    </xf>
  </cellXfs>
  <cellStyles count="27">
    <cellStyle name="ChartingText" xfId="4" xr:uid="{00000000-0005-0000-0000-000000000000}"/>
    <cellStyle name="CHPAboveAverage" xfId="5" xr:uid="{00000000-0005-0000-0000-000001000000}"/>
    <cellStyle name="CHPBelowAverage" xfId="6" xr:uid="{00000000-0005-0000-0000-000002000000}"/>
    <cellStyle name="CHPBottom" xfId="7" xr:uid="{00000000-0005-0000-0000-000003000000}"/>
    <cellStyle name="CHPTop" xfId="8" xr:uid="{00000000-0005-0000-0000-000004000000}"/>
    <cellStyle name="ColumnHeaderNormal" xfId="9" xr:uid="{00000000-0005-0000-0000-000005000000}"/>
    <cellStyle name="Hyperlink" xfId="25" builtinId="8"/>
    <cellStyle name="Invisible" xfId="3" xr:uid="{00000000-0005-0000-0000-000006000000}"/>
    <cellStyle name="Invisible 2" xfId="10" xr:uid="{00000000-0005-0000-0000-000007000000}"/>
    <cellStyle name="NewColumnHeaderNormal" xfId="11" xr:uid="{00000000-0005-0000-0000-000008000000}"/>
    <cellStyle name="NewSectionHeaderNormal" xfId="12" xr:uid="{00000000-0005-0000-0000-000009000000}"/>
    <cellStyle name="NewTitleNormal" xfId="13" xr:uid="{00000000-0005-0000-0000-00000A000000}"/>
    <cellStyle name="Normal" xfId="0" builtinId="0"/>
    <cellStyle name="Per cent" xfId="1" builtinId="5"/>
    <cellStyle name="SectionHeaderNormal" xfId="14" xr:uid="{00000000-0005-0000-0000-00000B000000}"/>
    <cellStyle name="SubScript" xfId="15" xr:uid="{00000000-0005-0000-0000-00000C000000}"/>
    <cellStyle name="SuperScript" xfId="16" xr:uid="{00000000-0005-0000-0000-00000D000000}"/>
    <cellStyle name="TextBold" xfId="17" xr:uid="{00000000-0005-0000-0000-00000E000000}"/>
    <cellStyle name="TextItalic" xfId="18" xr:uid="{00000000-0005-0000-0000-00000F000000}"/>
    <cellStyle name="TextNormal" xfId="19" xr:uid="{00000000-0005-0000-0000-000010000000}"/>
    <cellStyle name="TitleNormal" xfId="20" xr:uid="{00000000-0005-0000-0000-000011000000}"/>
    <cellStyle name="Total" xfId="21" xr:uid="{00000000-0005-0000-0000-000012000000}"/>
    <cellStyle name="Обычный 2" xfId="2" xr:uid="{00000000-0005-0000-0000-000015000000}"/>
    <cellStyle name="Обычный 3" xfId="22" xr:uid="{00000000-0005-0000-0000-000016000000}"/>
    <cellStyle name="Обычный 4" xfId="23" xr:uid="{00000000-0005-0000-0000-000017000000}"/>
    <cellStyle name="Финансовый 2" xfId="24" xr:uid="{00000000-0005-0000-0000-000019000000}"/>
    <cellStyle name="Финансовый 2 2" xfId="26" xr:uid="{00000000-0005-0000-0000-00001A000000}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Per Share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DCF!$G$40</c:f>
              <c:strCache>
                <c:ptCount val="1"/>
                <c:pt idx="0">
                  <c:v>18,7x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DCF!$F$41:$F$43</c:f>
              <c:numCache>
                <c:formatCode>0.0%</c:formatCode>
                <c:ptCount val="3"/>
                <c:pt idx="0">
                  <c:v>0.10256384904637672</c:v>
                </c:pt>
                <c:pt idx="1">
                  <c:v>0.11256384904637672</c:v>
                </c:pt>
                <c:pt idx="2">
                  <c:v>0.12256384904637671</c:v>
                </c:pt>
              </c:numCache>
            </c:numRef>
          </c:cat>
          <c:val>
            <c:numRef>
              <c:f>DCF!$G$41:$G$43</c:f>
              <c:numCache>
                <c:formatCode>"$"#,##0.0</c:formatCode>
                <c:ptCount val="3"/>
                <c:pt idx="0">
                  <c:v>2259.0435454790445</c:v>
                </c:pt>
                <c:pt idx="1">
                  <c:v>2167.7502121923621</c:v>
                </c:pt>
                <c:pt idx="2">
                  <c:v>2081.1410694127926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8-450A-8B87-BB1870BF2D05}"/>
            </c:ext>
          </c:extLst>
        </c:ser>
        <c:ser>
          <c:idx val="1"/>
          <c:order val="1"/>
          <c:tx>
            <c:strRef>
              <c:f>DCF!$H$40</c:f>
              <c:strCache>
                <c:ptCount val="1"/>
                <c:pt idx="0">
                  <c:v>19,2x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DCF!$F$41:$F$43</c:f>
              <c:numCache>
                <c:formatCode>0.0%</c:formatCode>
                <c:ptCount val="3"/>
                <c:pt idx="0">
                  <c:v>0.10256384904637672</c:v>
                </c:pt>
                <c:pt idx="1">
                  <c:v>0.11256384904637672</c:v>
                </c:pt>
                <c:pt idx="2">
                  <c:v>0.12256384904637671</c:v>
                </c:pt>
              </c:numCache>
            </c:numRef>
          </c:cat>
          <c:val>
            <c:numRef>
              <c:f>DCF!$H$41:$H$43</c:f>
              <c:numCache>
                <c:formatCode>"$"#,##0.0</c:formatCode>
                <c:ptCount val="3"/>
                <c:pt idx="0">
                  <c:v>2307.4078069641769</c:v>
                </c:pt>
                <c:pt idx="1">
                  <c:v>2213.979646941008</c:v>
                </c:pt>
                <c:pt idx="2">
                  <c:v>2125.3477640243955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8-450A-8B87-BB1870BF2D05}"/>
            </c:ext>
          </c:extLst>
        </c:ser>
        <c:ser>
          <c:idx val="2"/>
          <c:order val="2"/>
          <c:tx>
            <c:strRef>
              <c:f>DCF!$I$40</c:f>
              <c:strCache>
                <c:ptCount val="1"/>
                <c:pt idx="0">
                  <c:v>19,7x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DCF!$F$41:$F$43</c:f>
              <c:numCache>
                <c:formatCode>0.0%</c:formatCode>
                <c:ptCount val="3"/>
                <c:pt idx="0">
                  <c:v>0.10256384904637672</c:v>
                </c:pt>
                <c:pt idx="1">
                  <c:v>0.11256384904637672</c:v>
                </c:pt>
                <c:pt idx="2">
                  <c:v>0.12256384904637671</c:v>
                </c:pt>
              </c:numCache>
            </c:numRef>
          </c:cat>
          <c:val>
            <c:numRef>
              <c:f>DCF!$I$41:$I$43</c:f>
              <c:numCache>
                <c:formatCode>"$"#,##0.0</c:formatCode>
                <c:ptCount val="3"/>
                <c:pt idx="0">
                  <c:v>2355.7720684493083</c:v>
                </c:pt>
                <c:pt idx="1">
                  <c:v>2260.2090816896539</c:v>
                </c:pt>
                <c:pt idx="2">
                  <c:v>2169.5544586359979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8-450A-8B87-BB1870BF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7704224"/>
        <c:axId val="507703896"/>
      </c:barChart>
      <c:lineChart>
        <c:grouping val="standard"/>
        <c:varyColors val="0"/>
        <c:ser>
          <c:idx val="3"/>
          <c:order val="3"/>
          <c:tx>
            <c:strRef>
              <c:f>DCF!$B$7</c:f>
              <c:strCache>
                <c:ptCount val="1"/>
                <c:pt idx="0">
                  <c:v>Current Share price (on Dec,31)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(DCF!$C$7,DCF!$C$7,DCF!$C$7)</c:f>
              <c:numCache>
                <c:formatCode>0.00</c:formatCode>
                <c:ptCount val="3"/>
                <c:pt idx="0">
                  <c:v>1339.39</c:v>
                </c:pt>
                <c:pt idx="1">
                  <c:v>1339.39</c:v>
                </c:pt>
                <c:pt idx="2">
                  <c:v>1339.39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D-4F4A-80FB-C9806981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04224"/>
        <c:axId val="507703896"/>
      </c:lineChart>
      <c:catAx>
        <c:axId val="507704224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7703896"/>
        <c:crosses val="autoZero"/>
        <c:auto val="1"/>
        <c:lblAlgn val="ctr"/>
        <c:lblOffset val="100"/>
        <c:noMultiLvlLbl val="0"/>
      </c:catAx>
      <c:valAx>
        <c:axId val="507703896"/>
        <c:scaling>
          <c:orientation val="minMax"/>
        </c:scaling>
        <c:delete val="0"/>
        <c:axPos val="l"/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77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2895888013998"/>
          <c:y val="0.89409667541557303"/>
          <c:w val="0.89471045028277352"/>
          <c:h val="9.2635664778486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upside from current price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DCF!$G$54</c:f>
              <c:strCache>
                <c:ptCount val="1"/>
                <c:pt idx="0">
                  <c:v>18,7x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DCF!$F$55:$F$57</c:f>
              <c:numCache>
                <c:formatCode>0.0%</c:formatCode>
                <c:ptCount val="3"/>
                <c:pt idx="0">
                  <c:v>0.10256384904637672</c:v>
                </c:pt>
                <c:pt idx="1">
                  <c:v>0.11256384904637672</c:v>
                </c:pt>
                <c:pt idx="2">
                  <c:v>0.12256384904637671</c:v>
                </c:pt>
              </c:numCache>
            </c:numRef>
          </c:cat>
          <c:val>
            <c:numRef>
              <c:f>DCF!$G$55:$I$55</c:f>
              <c:numCache>
                <c:formatCode>0.0%</c:formatCode>
                <c:ptCount val="3"/>
                <c:pt idx="0">
                  <c:v>0.6866211823882844</c:v>
                </c:pt>
                <c:pt idx="1">
                  <c:v>0.72273035259646301</c:v>
                </c:pt>
                <c:pt idx="2">
                  <c:v>0.75883952280464095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0-472C-BD09-5668D80649ED}"/>
            </c:ext>
          </c:extLst>
        </c:ser>
        <c:ser>
          <c:idx val="1"/>
          <c:order val="1"/>
          <c:tx>
            <c:strRef>
              <c:f>DCF!$H$54</c:f>
              <c:strCache>
                <c:ptCount val="1"/>
                <c:pt idx="0">
                  <c:v>19,2x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DCF!$F$55:$F$57</c:f>
              <c:numCache>
                <c:formatCode>0.0%</c:formatCode>
                <c:ptCount val="3"/>
                <c:pt idx="0">
                  <c:v>0.10256384904637672</c:v>
                </c:pt>
                <c:pt idx="1">
                  <c:v>0.11256384904637672</c:v>
                </c:pt>
                <c:pt idx="2">
                  <c:v>0.12256384904637671</c:v>
                </c:pt>
              </c:numCache>
            </c:numRef>
          </c:cat>
          <c:val>
            <c:numRef>
              <c:f>DCF!$G$56:$I$56</c:f>
              <c:numCache>
                <c:formatCode>0.0%</c:formatCode>
                <c:ptCount val="3"/>
                <c:pt idx="0">
                  <c:v>0.61846080095592915</c:v>
                </c:pt>
                <c:pt idx="1">
                  <c:v>0.65297609131097567</c:v>
                </c:pt>
                <c:pt idx="2">
                  <c:v>0.68749138166602242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0-472C-BD09-5668D80649ED}"/>
            </c:ext>
          </c:extLst>
        </c:ser>
        <c:ser>
          <c:idx val="2"/>
          <c:order val="2"/>
          <c:tx>
            <c:strRef>
              <c:f>DCF!$I$54</c:f>
              <c:strCache>
                <c:ptCount val="1"/>
                <c:pt idx="0">
                  <c:v>19,7x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DCF!$F$55:$F$57</c:f>
              <c:numCache>
                <c:formatCode>0.0%</c:formatCode>
                <c:ptCount val="3"/>
                <c:pt idx="0">
                  <c:v>0.10256384904637672</c:v>
                </c:pt>
                <c:pt idx="1">
                  <c:v>0.11256384904637672</c:v>
                </c:pt>
                <c:pt idx="2">
                  <c:v>0.12256384904637671</c:v>
                </c:pt>
              </c:numCache>
            </c:numRef>
          </c:cat>
          <c:val>
            <c:numRef>
              <c:f>DCF!$G$57:$I$57</c:f>
              <c:numCache>
                <c:formatCode>0.0%</c:formatCode>
                <c:ptCount val="3"/>
                <c:pt idx="0">
                  <c:v>0.55379767611583808</c:v>
                </c:pt>
                <c:pt idx="1">
                  <c:v>0.58680277142907999</c:v>
                </c:pt>
                <c:pt idx="2">
                  <c:v>0.61980786674232125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0-472C-BD09-5668D806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52736"/>
        <c:axId val="327160608"/>
      </c:barChart>
      <c:catAx>
        <c:axId val="327152736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160608"/>
        <c:crosses val="autoZero"/>
        <c:auto val="1"/>
        <c:lblAlgn val="ctr"/>
        <c:lblOffset val="100"/>
        <c:noMultiLvlLbl val="0"/>
      </c:catAx>
      <c:valAx>
        <c:axId val="3271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1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8423265273659E-2"/>
          <c:y val="7.6653908214191907E-2"/>
          <c:w val="0.90197202622399475"/>
          <c:h val="0.8420556559897403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[0]!GrafData</c:f>
            </c:multiLvlStrRef>
          </c:cat>
          <c:val>
            <c:numRef>
              <c:f>[0]!GrafMarket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4731-BD05-51CD8CC4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12032"/>
        <c:axId val="134813568"/>
      </c:lineChart>
      <c:lineChart>
        <c:grouping val="standard"/>
        <c:varyColors val="0"/>
        <c:ser>
          <c:idx val="1"/>
          <c:order val="1"/>
          <c:tx>
            <c:v>Corporation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[0]!GrafData</c:f>
            </c:multiLvlStrRef>
          </c:cat>
          <c:val>
            <c:numRef>
              <c:f>[0]!GrafCorp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4731-BD05-51CD8CC4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25088"/>
        <c:axId val="134815104"/>
      </c:lineChart>
      <c:catAx>
        <c:axId val="13481203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813568"/>
        <c:crosses val="autoZero"/>
        <c:auto val="1"/>
        <c:lblAlgn val="ctr"/>
        <c:lblOffset val="100"/>
        <c:noMultiLvlLbl val="1"/>
      </c:catAx>
      <c:valAx>
        <c:axId val="134813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812032"/>
        <c:crosses val="autoZero"/>
        <c:crossBetween val="between"/>
      </c:valAx>
      <c:valAx>
        <c:axId val="134815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825088"/>
        <c:crosses val="max"/>
        <c:crossBetween val="between"/>
      </c:valAx>
      <c:catAx>
        <c:axId val="1348250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crossAx val="13481510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54716001725412"/>
          <c:y val="1.366710664057166E-2"/>
          <c:w val="0.31792877561613991"/>
          <c:h val="6.336541708882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223097112858E-2"/>
          <c:y val="4.6296296296296294E-2"/>
          <c:w val="0.91339588801399829"/>
          <c:h val="0.925925925925925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8575" cap="rnd">
                <a:solidFill>
                  <a:srgbClr val="FF0000">
                    <a:alpha val="70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67760279965004"/>
                  <c:y val="-0.41527923592884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[0]!d_Market</c:f>
            </c:numRef>
          </c:xVal>
          <c:yVal>
            <c:numRef>
              <c:f>[0]!d_Corp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D-452A-98BB-6C0E8BB6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5952"/>
        <c:axId val="134847488"/>
      </c:scatterChart>
      <c:valAx>
        <c:axId val="1348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847488"/>
        <c:crosses val="autoZero"/>
        <c:crossBetween val="midCat"/>
      </c:valAx>
      <c:valAx>
        <c:axId val="1348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8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Radio" checked="Checked" firstButton="1" fmlaLink="$B$37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20</xdr:row>
          <xdr:rowOff>152400</xdr:rowOff>
        </xdr:from>
        <xdr:to>
          <xdr:col>1</xdr:col>
          <xdr:colOff>1638300</xdr:colOff>
          <xdr:row>23</xdr:row>
          <xdr:rowOff>25400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CAPM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1778000</xdr:colOff>
          <xdr:row>21</xdr:row>
          <xdr:rowOff>25400</xdr:rowOff>
        </xdr:from>
        <xdr:to>
          <xdr:col>2</xdr:col>
          <xdr:colOff>558800</xdr:colOff>
          <xdr:row>22</xdr:row>
          <xdr:rowOff>139700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Personal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338665</xdr:colOff>
      <xdr:row>27</xdr:row>
      <xdr:rowOff>10583</xdr:rowOff>
    </xdr:from>
    <xdr:to>
      <xdr:col>15</xdr:col>
      <xdr:colOff>84664</xdr:colOff>
      <xdr:row>40</xdr:row>
      <xdr:rowOff>122764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380998</xdr:colOff>
      <xdr:row>42</xdr:row>
      <xdr:rowOff>0</xdr:rowOff>
    </xdr:from>
    <xdr:to>
      <xdr:col>15</xdr:col>
      <xdr:colOff>31750</xdr:colOff>
      <xdr:row>55</xdr:row>
      <xdr:rowOff>91016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123825</xdr:rowOff>
    </xdr:from>
    <xdr:to>
      <xdr:col>12</xdr:col>
      <xdr:colOff>142875</xdr:colOff>
      <xdr:row>34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6</xdr:col>
      <xdr:colOff>600075</xdr:colOff>
      <xdr:row>14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s://finance.yahoo.com/quote/GOOG/?guccounter=1&amp;guce_referrer=aHR0cHM6Ly93d3cuZ29vZ2xlLmNvbS8&amp;guce_referrer_sig=AQAAADsjfW9tTSpEqSQpS_1gLB6g19L5970T6Bvg8eoskMEzgVnZPYQpKWm-wsSWIK1ki9VmSH8BumMxHNFY5uAYMPGJGETiO4JVUA4q7nD-did1J7Owh4FulHxNGZtSvKEkL5uL4-pr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http://www.bloomberg.com/markets/rates-bonds/government-bonds/us" TargetMode="External"/><Relationship Id="rId1" Type="http://schemas.openxmlformats.org/officeDocument/2006/relationships/hyperlink" Target="http://pages.stern.nyu.edu/~adamodar/New_Home_Page/datafile/ctryprem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499984740745262"/>
    <outlinePr summaryRight="0"/>
  </sheetPr>
  <dimension ref="B1:X85"/>
  <sheetViews>
    <sheetView showGridLines="0" topLeftCell="A4" zoomScale="90" zoomScaleNormal="90" workbookViewId="0">
      <selection activeCell="K20" sqref="K20:L20"/>
    </sheetView>
  </sheetViews>
  <sheetFormatPr baseColWidth="10" defaultColWidth="10.6640625" defaultRowHeight="14" customHeight="1"/>
  <cols>
    <col min="1" max="1" width="2.33203125" style="1" customWidth="1"/>
    <col min="2" max="2" width="45.6640625" style="1" customWidth="1"/>
    <col min="3" max="3" width="13.1640625" style="103" customWidth="1"/>
    <col min="4" max="4" width="13.83203125" style="1" customWidth="1"/>
    <col min="5" max="5" width="31.5" style="1" customWidth="1"/>
    <col min="6" max="7" width="11.5" style="1" customWidth="1"/>
    <col min="8" max="8" width="12.1640625" style="1" customWidth="1"/>
    <col min="9" max="9" width="14.5" style="1" customWidth="1"/>
    <col min="10" max="13" width="11.5" style="1" customWidth="1"/>
    <col min="14" max="14" width="12.83203125" style="1" customWidth="1"/>
    <col min="15" max="16" width="11.5" style="1" customWidth="1"/>
    <col min="17" max="18" width="14.1640625" style="1" customWidth="1"/>
    <col min="19" max="16384" width="10.6640625" style="1"/>
  </cols>
  <sheetData>
    <row r="1" spans="2:22" ht="7.5" customHeight="1"/>
    <row r="2" spans="2:22" ht="14" customHeight="1">
      <c r="E2" s="61" t="s">
        <v>183</v>
      </c>
      <c r="L2" s="75"/>
    </row>
    <row r="3" spans="2:22" ht="7.5" customHeight="1"/>
    <row r="4" spans="2:22" ht="14" customHeight="1">
      <c r="B4" s="30" t="s">
        <v>73</v>
      </c>
      <c r="E4" s="30" t="s">
        <v>16</v>
      </c>
      <c r="K4"/>
    </row>
    <row r="5" spans="2:22" ht="14" customHeight="1">
      <c r="S5" s="250" t="s">
        <v>8</v>
      </c>
      <c r="T5" s="250"/>
    </row>
    <row r="6" spans="2:22" ht="14.25" customHeight="1" thickBot="1">
      <c r="B6" s="29" t="s">
        <v>26</v>
      </c>
      <c r="C6" s="104">
        <f>Total_Enterprise_Value_Calculation</f>
        <v>884875.27839999995</v>
      </c>
      <c r="E6" s="3"/>
      <c r="F6" s="113">
        <f>G6-1</f>
        <v>2012</v>
      </c>
      <c r="G6" s="113">
        <f>H6-1</f>
        <v>2013</v>
      </c>
      <c r="H6" s="113">
        <f>I6-1</f>
        <v>2014</v>
      </c>
      <c r="I6" s="113">
        <f>J6-1</f>
        <v>2015</v>
      </c>
      <c r="J6" s="113">
        <f>K6-1</f>
        <v>2016</v>
      </c>
      <c r="K6" s="113">
        <v>2017</v>
      </c>
      <c r="L6" s="113">
        <v>2018</v>
      </c>
      <c r="M6" s="113">
        <v>2019</v>
      </c>
      <c r="N6" s="114">
        <f t="shared" ref="N6:R6" si="0">M6+1</f>
        <v>2020</v>
      </c>
      <c r="O6" s="114">
        <f t="shared" si="0"/>
        <v>2021</v>
      </c>
      <c r="P6" s="114">
        <f t="shared" si="0"/>
        <v>2022</v>
      </c>
      <c r="Q6" s="114">
        <f t="shared" si="0"/>
        <v>2023</v>
      </c>
      <c r="R6" s="114">
        <f t="shared" si="0"/>
        <v>2024</v>
      </c>
      <c r="S6" s="28" t="str">
        <f>F6&amp;"-"&amp;M6</f>
        <v>2012-2019</v>
      </c>
      <c r="T6" s="28" t="str">
        <f>N6&amp;"-"&amp;R6</f>
        <v>2020-2024</v>
      </c>
      <c r="V6" s="1" t="s">
        <v>191</v>
      </c>
    </row>
    <row r="7" spans="2:22" ht="16.5" customHeight="1">
      <c r="B7" s="1" t="s">
        <v>182</v>
      </c>
      <c r="C7" s="205">
        <v>1339.39</v>
      </c>
      <c r="D7" s="247"/>
      <c r="E7" s="229" t="s">
        <v>6</v>
      </c>
      <c r="F7" s="230">
        <f t="shared" ref="F7:M7" si="1">EBIT</f>
        <v>13834</v>
      </c>
      <c r="G7" s="230">
        <f t="shared" si="1"/>
        <v>15403</v>
      </c>
      <c r="H7" s="230">
        <f t="shared" si="1"/>
        <v>16496</v>
      </c>
      <c r="I7" s="230">
        <f t="shared" si="1"/>
        <v>19360</v>
      </c>
      <c r="J7" s="230">
        <f t="shared" si="1"/>
        <v>23716</v>
      </c>
      <c r="K7" s="230">
        <f t="shared" si="1"/>
        <v>26178</v>
      </c>
      <c r="L7" s="230">
        <f t="shared" si="1"/>
        <v>27524</v>
      </c>
      <c r="M7" s="230">
        <f t="shared" si="1"/>
        <v>34231</v>
      </c>
      <c r="N7" s="115">
        <f>IF(K20="Base scenario",'Historical &amp; Projections'!N16,IF(K20="Optimistic scenario",'Historical &amp; Projections'!U16,'Historical &amp; Projections'!AB16))</f>
        <v>50347.170857646648</v>
      </c>
      <c r="O7" s="115">
        <f>IF(K20="Base scenario",'Historical &amp; Projections'!O16,IF(K20="Optimistic scenario",'Historical &amp; Projections'!V16,'Historical &amp; Projections'!AC16))</f>
        <v>60620.903857332392</v>
      </c>
      <c r="P7" s="115">
        <f>IF(K20="Base scenario",'Historical &amp; Projections'!P16,IF(K20="Optimistic scenario",'Historical &amp; Projections'!W16,'Historical &amp; Projections'!AD16))</f>
        <v>72942.575503603133</v>
      </c>
      <c r="Q7" s="115">
        <f>IF(K20="Base scenario",'Historical &amp; Projections'!Q16,IF(K20="Optimistic scenario",'Historical &amp; Projections'!X16,'Historical &amp; Projections'!AE16))</f>
        <v>87710.368979764855</v>
      </c>
      <c r="R7" s="115">
        <f>IF(K20="Base scenario",'Historical &amp; Projections'!R16,IF(K20="Optimistic scenario",'Historical &amp; Projections'!Y13,'Historical &amp; Projections'!AF16))</f>
        <v>105397.84916173313</v>
      </c>
      <c r="S7" s="5">
        <f>(M7/F7)^(1/7)-1</f>
        <v>0.1381781899829071</v>
      </c>
      <c r="T7" s="5">
        <f>(R7/N7)^(1/4)-1</f>
        <v>0.20285746901272317</v>
      </c>
      <c r="V7" s="1" t="s">
        <v>192</v>
      </c>
    </row>
    <row r="8" spans="2:22" ht="14" customHeight="1">
      <c r="B8" s="1" t="s">
        <v>4</v>
      </c>
      <c r="C8" s="205">
        <v>698.56</v>
      </c>
      <c r="E8" s="6" t="s">
        <v>7</v>
      </c>
      <c r="F8" s="116">
        <f>'Historical &amp; Projections'!C13</f>
        <v>16796</v>
      </c>
      <c r="G8" s="116">
        <f>'Historical &amp; Projections'!D13</f>
        <v>19342</v>
      </c>
      <c r="H8" s="116">
        <f>'Historical &amp; Projections'!E13</f>
        <v>21475</v>
      </c>
      <c r="I8" s="116">
        <f>'Historical &amp; Projections'!F13</f>
        <v>24423</v>
      </c>
      <c r="J8" s="116">
        <f>'Historical &amp; Projections'!G13</f>
        <v>29860</v>
      </c>
      <c r="K8" s="116">
        <f>'Historical &amp; Projections'!H13</f>
        <v>33093</v>
      </c>
      <c r="L8" s="116">
        <f>'Historical &amp; Projections'!I13</f>
        <v>36559</v>
      </c>
      <c r="M8" s="116">
        <f>'Historical &amp; Projections'!J13</f>
        <v>46012</v>
      </c>
      <c r="N8" s="117">
        <f>IF(K20="Base scenario",'Historical &amp; Projections'!N13,IF(K20="Optimistic scenario",'Historical &amp; Projections'!U13,'Historical &amp; Projections'!AB13))</f>
        <v>63513.892244643808</v>
      </c>
      <c r="O8" s="117">
        <f>IF(K20="Base scenario",'Historical &amp; Projections'!O13,IF(K20="Optimistic scenario",'Historical &amp; Projections'!V13,'Historical &amp; Projections'!AC13))</f>
        <v>76474.39746423703</v>
      </c>
      <c r="P8" s="117">
        <f>IF(K20="Base scenario",'Historical &amp; Projections'!P13,IF(K20="Optimistic scenario",'Historical &amp; Projections'!W13,'Historical &amp; Projections'!AD13))</f>
        <v>92018.415368000991</v>
      </c>
      <c r="Q8" s="117">
        <f>IF(K20="Base scenario",'Historical &amp; Projections'!Q13,IF(K20="Optimistic scenario",'Historical &amp; Projections'!X13,'Historical &amp; Projections'!AE13))</f>
        <v>110648.26144590894</v>
      </c>
      <c r="R8" s="117">
        <f>IF(K20="Base scenario",'Historical &amp; Projections'!R13,IF(K20="Optimistic scenario",'Historical &amp; Projections'!Y13,'Historical &amp; Projections'!AF13))</f>
        <v>132961.3465948868</v>
      </c>
      <c r="S8" s="7">
        <f>(M8/F8)^(1/7)-1</f>
        <v>0.15484475556445743</v>
      </c>
      <c r="T8" s="7">
        <f>IF(K20="Base scenario",'Historical &amp; Projections'!S8,IF(K20="Optimistic scenario",'Historical &amp; Projections'!Z8,'Historical &amp; Projections'!AG8))</f>
        <v>0.20285746901272317</v>
      </c>
      <c r="V8" s="1" t="s">
        <v>193</v>
      </c>
    </row>
    <row r="9" spans="2:22" ht="14" customHeight="1">
      <c r="B9" s="206" t="s">
        <v>3</v>
      </c>
      <c r="C9" s="207">
        <f>Market_Capitalization</f>
        <v>935644.27839999995</v>
      </c>
      <c r="E9" s="229" t="s">
        <v>9</v>
      </c>
      <c r="F9" s="231">
        <f>'Income Statement'!C18</f>
        <v>-85</v>
      </c>
      <c r="G9" s="231">
        <f>'Income Statement'!D18</f>
        <v>-81</v>
      </c>
      <c r="H9" s="231">
        <f>'Income Statement'!E18</f>
        <v>-101</v>
      </c>
      <c r="I9" s="231">
        <f>'Income Statement'!F18</f>
        <v>-104</v>
      </c>
      <c r="J9" s="231">
        <f>'Income Statement'!G18</f>
        <v>-124</v>
      </c>
      <c r="K9" s="231">
        <f>'Income Statement'!H18</f>
        <v>-109</v>
      </c>
      <c r="L9" s="231">
        <f>'Income Statement'!I18</f>
        <v>-114</v>
      </c>
      <c r="M9" s="231">
        <f>'Income Statement'!J18</f>
        <v>-100</v>
      </c>
      <c r="N9" s="118">
        <f>$M$9</f>
        <v>-100</v>
      </c>
      <c r="O9" s="118">
        <f t="shared" ref="O9:R9" si="2">$M$9</f>
        <v>-100</v>
      </c>
      <c r="P9" s="118">
        <f t="shared" si="2"/>
        <v>-100</v>
      </c>
      <c r="Q9" s="118">
        <f t="shared" si="2"/>
        <v>-100</v>
      </c>
      <c r="R9" s="118">
        <f t="shared" si="2"/>
        <v>-100</v>
      </c>
      <c r="S9" s="5"/>
      <c r="T9" s="5"/>
    </row>
    <row r="10" spans="2:22" ht="14" customHeight="1">
      <c r="B10" s="1" t="s">
        <v>87</v>
      </c>
      <c r="C10" s="128">
        <f>'Balance Sheet &amp; NWC'!J42-'Balance Sheet &amp; NWC'!J29</f>
        <v>68906</v>
      </c>
      <c r="E10" s="3" t="s">
        <v>10</v>
      </c>
      <c r="F10" s="119">
        <f>'Income Statement'!C29</f>
        <v>2916</v>
      </c>
      <c r="G10" s="119">
        <f>'Income Statement'!D29</f>
        <v>2739</v>
      </c>
      <c r="H10" s="119">
        <f>'Income Statement'!E29</f>
        <v>3639</v>
      </c>
      <c r="I10" s="119">
        <f>'Income Statement'!F29</f>
        <v>3303</v>
      </c>
      <c r="J10" s="119">
        <f>'Income Statement'!G29</f>
        <v>4672</v>
      </c>
      <c r="K10" s="119">
        <f>'Income Statement'!H29</f>
        <v>14531</v>
      </c>
      <c r="L10" s="119">
        <f>'Income Statement'!I29</f>
        <v>4177</v>
      </c>
      <c r="M10" s="119">
        <f>'Income Statement'!J29</f>
        <v>5282</v>
      </c>
      <c r="N10" s="120">
        <f>(N7+N9)*$C$29</f>
        <v>10910.47223118175</v>
      </c>
      <c r="O10" s="120">
        <f t="shared" ref="O10:R10" si="3">(O7+O9)*$C$29</f>
        <v>13141.270039106268</v>
      </c>
      <c r="P10" s="120">
        <f t="shared" si="3"/>
        <v>15816.749156512498</v>
      </c>
      <c r="Q10" s="120">
        <f t="shared" si="3"/>
        <v>19023.369507217667</v>
      </c>
      <c r="R10" s="120">
        <f t="shared" si="3"/>
        <v>22863.959098055791</v>
      </c>
      <c r="S10" s="3"/>
      <c r="T10" s="3"/>
    </row>
    <row r="11" spans="2:22" ht="14" customHeight="1">
      <c r="B11" s="1" t="s">
        <v>17</v>
      </c>
      <c r="C11" s="127">
        <f>'Balance Sheet &amp; NWC'!J8</f>
        <v>119675</v>
      </c>
      <c r="E11" s="232" t="s">
        <v>189</v>
      </c>
      <c r="F11" s="233">
        <f t="shared" ref="F11:R11" si="4">EBIAT</f>
        <v>10918</v>
      </c>
      <c r="G11" s="233">
        <f t="shared" si="4"/>
        <v>12664</v>
      </c>
      <c r="H11" s="233">
        <f t="shared" si="4"/>
        <v>12857</v>
      </c>
      <c r="I11" s="233">
        <f t="shared" si="4"/>
        <v>16057</v>
      </c>
      <c r="J11" s="233">
        <f t="shared" si="4"/>
        <v>19044</v>
      </c>
      <c r="K11" s="233">
        <f t="shared" si="4"/>
        <v>11647</v>
      </c>
      <c r="L11" s="233">
        <f t="shared" si="4"/>
        <v>23347</v>
      </c>
      <c r="M11" s="233">
        <f>EBIAT</f>
        <v>28949</v>
      </c>
      <c r="N11" s="233">
        <f t="shared" si="4"/>
        <v>39436.698626464902</v>
      </c>
      <c r="O11" s="233">
        <f t="shared" si="4"/>
        <v>47479.633818226124</v>
      </c>
      <c r="P11" s="233">
        <f t="shared" si="4"/>
        <v>57125.826347090639</v>
      </c>
      <c r="Q11" s="233">
        <f t="shared" si="4"/>
        <v>68686.999472547192</v>
      </c>
      <c r="R11" s="233">
        <f t="shared" si="4"/>
        <v>82533.890063677332</v>
      </c>
      <c r="S11" s="7">
        <f>(M11/F11)^(1/7)-1</f>
        <v>0.14947264242274416</v>
      </c>
      <c r="T11" s="7">
        <f>(R11/N11)^(1/4)-1</f>
        <v>0.20277097952440259</v>
      </c>
    </row>
    <row r="12" spans="2:22" ht="14.25" customHeight="1">
      <c r="B12" s="208" t="s">
        <v>5</v>
      </c>
      <c r="C12" s="209">
        <f>Net_Debt</f>
        <v>-50769</v>
      </c>
      <c r="D12" s="34"/>
      <c r="E12" s="35" t="s">
        <v>22</v>
      </c>
      <c r="F12" s="121">
        <f>'Cash Flow'!C8+'Cash Flow'!C9</f>
        <v>2962</v>
      </c>
      <c r="G12" s="121">
        <f>'Cash Flow'!D8+'Cash Flow'!D9</f>
        <v>3939</v>
      </c>
      <c r="H12" s="121">
        <f>'Cash Flow'!E8+'Cash Flow'!E9</f>
        <v>4979</v>
      </c>
      <c r="I12" s="121">
        <f>'Cash Flow'!F8+'Cash Flow'!F9</f>
        <v>5063</v>
      </c>
      <c r="J12" s="121">
        <f>'Cash Flow'!G8+'Cash Flow'!G9</f>
        <v>6144</v>
      </c>
      <c r="K12" s="121">
        <f>'Cash Flow'!H8+'Cash Flow'!H9</f>
        <v>6915</v>
      </c>
      <c r="L12" s="121">
        <f>'Cash Flow'!I8+'Cash Flow'!I9</f>
        <v>9035</v>
      </c>
      <c r="M12" s="121">
        <f>'Cash Flow'!J8+'Cash Flow'!J9</f>
        <v>11781</v>
      </c>
      <c r="N12" s="240">
        <f>IF(K20="Base scenario",'Historical &amp; Projections'!N22,IF(K20="Optimistic scenario",'Historical &amp; Projections'!U22,'Historical &amp; Projections'!AB22))</f>
        <v>13166.721386997158</v>
      </c>
      <c r="O12" s="240">
        <f>IF(K20="Base scenario",'Historical &amp; Projections'!O22,IF(K20="Optimistic scenario",'Historical &amp; Projections'!V22,'Historical &amp; Projections'!AC22))</f>
        <v>15853.493606904642</v>
      </c>
      <c r="P12" s="240">
        <f>IF(K20="Base scenario",'Historical &amp; Projections'!P22,IF(K20="Optimistic scenario",'Historical &amp; Projections'!W22,'Historical &amp; Projections'!AD22))</f>
        <v>19075.839864397862</v>
      </c>
      <c r="Q12" s="240">
        <f>IF(K20="Base scenario",'Historical &amp; Projections'!Q22,IF(K20="Optimistic scenario",'Historical &amp; Projections'!X22,'Historical &amp; Projections'!AE22))</f>
        <v>22937.892466144083</v>
      </c>
      <c r="R12" s="240">
        <f>IF(K20="Base scenario",'Historical &amp; Projections'!R22,IF(K20="Optimistic scenario",'Historical &amp; Projections'!Y22,'Historical &amp; Projections'!AF22))</f>
        <v>27563.497433153658</v>
      </c>
      <c r="S12" s="3"/>
      <c r="T12" s="3"/>
    </row>
    <row r="13" spans="2:22" ht="14" customHeight="1">
      <c r="B13" s="1" t="s">
        <v>96</v>
      </c>
      <c r="C13" s="128">
        <f>'Balance Sheet &amp; NWC'!J51</f>
        <v>0</v>
      </c>
      <c r="D13" s="72"/>
      <c r="E13" s="229" t="s">
        <v>23</v>
      </c>
      <c r="F13" s="235">
        <f>'Cash Flow'!C6</f>
        <v>-3273</v>
      </c>
      <c r="G13" s="235">
        <f>'Cash Flow'!D6</f>
        <v>-7358</v>
      </c>
      <c r="H13" s="235">
        <f>'Cash Flow'!E6</f>
        <v>-10959</v>
      </c>
      <c r="I13" s="235">
        <f>'Cash Flow'!F6</f>
        <v>-9915</v>
      </c>
      <c r="J13" s="235">
        <f>'Cash Flow'!G6</f>
        <v>-9972</v>
      </c>
      <c r="K13" s="235">
        <f>'Cash Flow'!H6</f>
        <v>-13184</v>
      </c>
      <c r="L13" s="235">
        <f>'Cash Flow'!I6</f>
        <v>-25139</v>
      </c>
      <c r="M13" s="235">
        <f>'Cash Flow'!J6</f>
        <v>-23548</v>
      </c>
      <c r="N13" s="241">
        <f>IF(K20="Base scenario",'Historical &amp; Projections'!N25,IF(K20="Optimistic scenario",'Historical &amp; Projections'!U25,'Historical &amp; Projections'!AB25))</f>
        <v>-24944.709892422932</v>
      </c>
      <c r="O13" s="241">
        <f>IF(L20="Base scenario",'Historical &amp; Projections'!O25,IF(L20="Optimistic scenario",'Historical &amp; Projections'!V25,'Historical &amp; Projections'!AC25))</f>
        <v>-30017.411256553703</v>
      </c>
      <c r="P13" s="241">
        <f>IF(M20="Base scenario",'Historical &amp; Projections'!P25,IF(M20="Optimistic scenario",'Historical &amp; Projections'!W25,'Historical &amp; Projections'!AD25))</f>
        <v>-36076.659901150342</v>
      </c>
      <c r="Q13" s="241">
        <f>IF(N20="Base scenario",'Historical &amp; Projections'!Q25,IF(N20="Optimistic scenario",'Historical &amp; Projections'!X25,'Historical &amp; Projections'!AE25))</f>
        <v>-43304.900166363877</v>
      </c>
      <c r="R13" s="241">
        <f>IF(O20="Base scenario",'Historical &amp; Projections'!R25,IF(O20="Optimistic scenario",'Historical &amp; Projections'!Y25,'Historical &amp; Projections'!AF25))</f>
        <v>-51916.417409971698</v>
      </c>
      <c r="S13" s="5"/>
      <c r="T13" s="5"/>
    </row>
    <row r="14" spans="2:22" ht="14" customHeight="1">
      <c r="B14" s="1" t="s">
        <v>28</v>
      </c>
      <c r="C14" s="129">
        <f>Terminal__EV_EBITDA</f>
        <v>19.231402208119619</v>
      </c>
      <c r="E14" s="36" t="s">
        <v>34</v>
      </c>
      <c r="F14" s="122">
        <f>'Historical &amp; Projections'!C38</f>
        <v>1495</v>
      </c>
      <c r="G14" s="122">
        <f>'Historical &amp; Projections'!D38</f>
        <v>5170</v>
      </c>
      <c r="H14" s="122">
        <f>'Historical &amp; Projections'!E38</f>
        <v>8885</v>
      </c>
      <c r="I14" s="122">
        <f>'Historical &amp; Projections'!F38</f>
        <v>9522</v>
      </c>
      <c r="J14" s="122">
        <f>'Historical &amp; Projections'!G38</f>
        <v>22375</v>
      </c>
      <c r="K14" s="122">
        <f>'Historical &amp; Projections'!H38</f>
        <v>11952</v>
      </c>
      <c r="L14" s="122">
        <f>'Historical &amp; Projections'!I38</f>
        <v>-5055</v>
      </c>
      <c r="M14" s="122">
        <f>'Historical &amp; Projections'!J38</f>
        <v>4504</v>
      </c>
      <c r="N14" s="123">
        <f>IF(K20="Base scenario",'Historical &amp; Projections'!N38,IF(K20="Optimistic scenario",'Historical &amp; Projections'!U38,'Historical &amp; Projections'!AB38))</f>
        <v>55087.936599386951</v>
      </c>
      <c r="O14" s="123">
        <f>IF(K20="Base scenario",'Historical &amp; Projections'!O38,IF(K20="Optimistic scenario",'Historical &amp; Projections'!V38,'Historical &amp; Projections'!AC38))</f>
        <v>29373.495422934662</v>
      </c>
      <c r="P14" s="123">
        <f>IF(K20="Base scenario",'Historical &amp; Projections'!P38,IF(K20="Optimistic scenario",'Historical &amp; Projections'!W38,'Historical &amp; Projections'!AD38))</f>
        <v>35228.729977283634</v>
      </c>
      <c r="Q14" s="123">
        <f>IF(K20="Base scenario",'Historical &amp; Projections'!Q38,IF(K20="Optimistic scenario",'Historical &amp; Projections'!X38,'Historical &amp; Projections'!AE38))</f>
        <v>42222.404854413631</v>
      </c>
      <c r="R14" s="123">
        <f>IF(K20="Base scenario",'Historical &amp; Projections'!R38,IF(K20="Optimistic scenario",'Historical &amp; Projections'!Y38,'Historical &amp; Projections'!AF38))</f>
        <v>50570.042864086921</v>
      </c>
      <c r="S14" s="3"/>
      <c r="T14" s="3"/>
    </row>
    <row r="15" spans="2:22" ht="14" customHeight="1">
      <c r="E15" s="232" t="s">
        <v>190</v>
      </c>
      <c r="F15" s="234">
        <f>Free_Cash_Flow_to_Firm</f>
        <v>15658</v>
      </c>
      <c r="G15" s="234">
        <f t="shared" ref="G15:Q15" si="5">Free_Cash_Flow_to_Firm</f>
        <v>18791</v>
      </c>
      <c r="H15" s="234">
        <f t="shared" si="5"/>
        <v>19910</v>
      </c>
      <c r="I15" s="234">
        <f t="shared" si="5"/>
        <v>21513</v>
      </c>
      <c r="J15" s="234">
        <f t="shared" si="5"/>
        <v>12785</v>
      </c>
      <c r="K15" s="234">
        <f t="shared" si="5"/>
        <v>19794</v>
      </c>
      <c r="L15" s="234">
        <f t="shared" si="5"/>
        <v>62576</v>
      </c>
      <c r="M15" s="234">
        <f t="shared" si="5"/>
        <v>59774</v>
      </c>
      <c r="N15" s="234">
        <f t="shared" si="5"/>
        <v>22460.193306498044</v>
      </c>
      <c r="O15" s="234">
        <f t="shared" si="5"/>
        <v>63977.043258749807</v>
      </c>
      <c r="P15" s="234">
        <f t="shared" si="5"/>
        <v>77049.596135355212</v>
      </c>
      <c r="Q15" s="234">
        <f t="shared" si="5"/>
        <v>92707.387250641521</v>
      </c>
      <c r="R15" s="234">
        <f>Free_Cash_Flow_to_Firm</f>
        <v>111443.76204271577</v>
      </c>
      <c r="S15" s="7">
        <f>(M15/F15)^(1/7)-1</f>
        <v>0.21090720001023411</v>
      </c>
      <c r="T15" s="243">
        <f>(R15/N15)^(1/4)-1</f>
        <v>0.49248704002531252</v>
      </c>
    </row>
    <row r="16" spans="2:22" ht="14" customHeight="1">
      <c r="B16" s="29" t="s">
        <v>25</v>
      </c>
      <c r="C16" s="105">
        <f>Cost_of_Equity_Calculation</f>
        <v>0.12076999999999999</v>
      </c>
      <c r="E16" s="33" t="s">
        <v>11</v>
      </c>
      <c r="F16" s="124">
        <f>F15/$C$6</f>
        <v>1.769514911560445E-2</v>
      </c>
      <c r="G16" s="124">
        <f t="shared" ref="G16:R16" si="6">G15/$C$6</f>
        <v>2.1235761082598236E-2</v>
      </c>
      <c r="H16" s="124">
        <f t="shared" si="6"/>
        <v>2.2500346078150758E-2</v>
      </c>
      <c r="I16" s="124">
        <f t="shared" si="6"/>
        <v>2.4311900812619653E-2</v>
      </c>
      <c r="J16" s="124">
        <f t="shared" si="6"/>
        <v>1.4448363867863257E-2</v>
      </c>
      <c r="K16" s="124">
        <f t="shared" si="6"/>
        <v>2.2369254157253448E-2</v>
      </c>
      <c r="L16" s="124">
        <f t="shared" si="6"/>
        <v>7.0717310707501854E-2</v>
      </c>
      <c r="M16" s="124">
        <f t="shared" si="6"/>
        <v>6.7550762756171945E-2</v>
      </c>
      <c r="N16" s="244">
        <f t="shared" si="6"/>
        <v>2.5382326588567112E-2</v>
      </c>
      <c r="O16" s="244">
        <f t="shared" si="6"/>
        <v>7.2300633569999634E-2</v>
      </c>
      <c r="P16" s="244">
        <f t="shared" si="6"/>
        <v>8.7073961739188327E-2</v>
      </c>
      <c r="Q16" s="244">
        <f t="shared" si="6"/>
        <v>0.10476887479359998</v>
      </c>
      <c r="R16" s="244">
        <f t="shared" si="6"/>
        <v>0.12594290377760856</v>
      </c>
      <c r="S16" s="7">
        <f>(M16/F16)^(1/7)-1</f>
        <v>0.21090720001023411</v>
      </c>
      <c r="T16" s="243">
        <f>(R16/N16)^(1/4)-1</f>
        <v>0.49248704002531252</v>
      </c>
      <c r="U16" s="245">
        <f>AVERAGE(F16:M16)</f>
        <v>3.2603606072220452E-2</v>
      </c>
      <c r="V16" s="246">
        <f>AVERAGE(N16:R16)</f>
        <v>8.3093740093792709E-2</v>
      </c>
    </row>
    <row r="17" spans="2:23" ht="14" customHeight="1">
      <c r="B17" s="62" t="s">
        <v>30</v>
      </c>
      <c r="C17" s="106">
        <v>1.6899999999999998E-2</v>
      </c>
      <c r="E17" s="229" t="s">
        <v>12</v>
      </c>
      <c r="F17" s="236">
        <f>$C$9/'Income Statement'!B30</f>
        <v>96.091637917222954</v>
      </c>
      <c r="G17" s="236">
        <f>$C$9/'Income Statement'!C30</f>
        <v>87.142058154046751</v>
      </c>
      <c r="H17" s="236">
        <f>$C$9/'Income Statement'!D30</f>
        <v>73.481840760229318</v>
      </c>
      <c r="I17" s="236">
        <f>$C$9/'Income Statement'!E30</f>
        <v>66.18875766836446</v>
      </c>
      <c r="J17" s="236">
        <f>$C$9/'Income Statement'!F30</f>
        <v>57.232950721800826</v>
      </c>
      <c r="K17" s="236">
        <f>$C$9/'Income Statement'!G30</f>
        <v>48.035952274360817</v>
      </c>
      <c r="L17" s="236">
        <f>$C$9/'Income Statement'!H30</f>
        <v>73.893877618069808</v>
      </c>
      <c r="M17" s="236">
        <f>$C$9/'Income Statement'!I30</f>
        <v>30.441315668922435</v>
      </c>
      <c r="N17" s="125">
        <f>$C$9/(N7-N9-N10)</f>
        <v>23.665210068240309</v>
      </c>
      <c r="O17" s="125">
        <f t="shared" ref="O17:R17" si="7">$C$9/(O7-O9-O10)</f>
        <v>19.66480620625514</v>
      </c>
      <c r="P17" s="125">
        <f t="shared" si="7"/>
        <v>16.350035257246542</v>
      </c>
      <c r="Q17" s="125">
        <f t="shared" si="7"/>
        <v>13.602051049972232</v>
      </c>
      <c r="R17" s="125">
        <f t="shared" si="7"/>
        <v>11.322766938346922</v>
      </c>
      <c r="S17" s="3"/>
      <c r="T17" s="3"/>
    </row>
    <row r="18" spans="2:23" ht="14" customHeight="1" thickBot="1">
      <c r="B18" s="62" t="s">
        <v>31</v>
      </c>
      <c r="C18" s="106">
        <v>6.1519999999999998E-2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2:23" ht="14" customHeight="1" thickTop="1">
      <c r="B19" s="32" t="s">
        <v>32</v>
      </c>
      <c r="C19" s="107">
        <v>4.2349999999999999E-2</v>
      </c>
      <c r="D19" s="11"/>
      <c r="E19" s="3"/>
      <c r="V19" s="11" t="s">
        <v>95</v>
      </c>
      <c r="W19" s="11"/>
    </row>
    <row r="20" spans="2:23" ht="14" customHeight="1">
      <c r="B20" s="62" t="s">
        <v>184</v>
      </c>
      <c r="C20" s="126">
        <v>1</v>
      </c>
      <c r="D20" s="210"/>
      <c r="E20" s="2" t="s">
        <v>29</v>
      </c>
      <c r="F20" s="9">
        <f>F21+F22</f>
        <v>1495828.6221671104</v>
      </c>
      <c r="G20" s="59">
        <f>G21+G22</f>
        <v>1</v>
      </c>
      <c r="I20" s="81" t="s">
        <v>92</v>
      </c>
      <c r="J20" s="2"/>
      <c r="K20" s="253" t="s">
        <v>191</v>
      </c>
      <c r="L20" s="253"/>
      <c r="M20" s="10"/>
      <c r="V20" s="11" t="s">
        <v>90</v>
      </c>
      <c r="W20" s="11"/>
    </row>
    <row r="21" spans="2:23" ht="14" customHeight="1">
      <c r="B21" s="31" t="s">
        <v>33</v>
      </c>
      <c r="C21" s="108">
        <v>0.13</v>
      </c>
      <c r="D21" s="11"/>
      <c r="E21" s="12" t="s">
        <v>124</v>
      </c>
      <c r="F21" s="4">
        <f>((N15/(1+$C$24))+(DCF!O15/(1+$C$24)^2)+(DCF!P15/(1+$C$24)^3)+(DCF!Q15/(1+$C$24)^4)+(DCF!R15/(1+$C$24)^5))</f>
        <v>253709.51099787781</v>
      </c>
      <c r="G21" s="60">
        <f>F21/F20</f>
        <v>0.16961134934716737</v>
      </c>
      <c r="H21" s="1" t="s">
        <v>99</v>
      </c>
      <c r="I21" s="13"/>
      <c r="J21" s="10"/>
      <c r="K21" s="14"/>
      <c r="L21" s="15"/>
      <c r="M21" s="10"/>
      <c r="V21" s="11" t="s">
        <v>91</v>
      </c>
      <c r="W21" s="11"/>
    </row>
    <row r="22" spans="2:23" ht="14" customHeight="1" thickBot="1">
      <c r="D22" s="11"/>
      <c r="E22" s="97" t="s">
        <v>94</v>
      </c>
      <c r="F22" s="98">
        <f>((R8-R10)*C14)/((1+C24)^5)</f>
        <v>1242119.1111692328</v>
      </c>
      <c r="G22" s="99">
        <f>F22/F20</f>
        <v>0.83038865065283274</v>
      </c>
      <c r="H22" s="100" t="s">
        <v>100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3"/>
      <c r="V22" s="11"/>
      <c r="W22" s="11"/>
    </row>
    <row r="23" spans="2:23" ht="14" customHeight="1" thickTop="1">
      <c r="C23" s="109"/>
      <c r="D23" s="11"/>
      <c r="E23" s="3"/>
      <c r="F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3" ht="14" customHeight="1">
      <c r="B24" s="29" t="s">
        <v>24</v>
      </c>
      <c r="C24" s="105">
        <f>WACC_Calculation</f>
        <v>0.11256384904637672</v>
      </c>
      <c r="E24" s="249" t="s">
        <v>21</v>
      </c>
      <c r="G24" s="251" t="s">
        <v>18</v>
      </c>
      <c r="H24" s="251"/>
      <c r="I24" s="251"/>
      <c r="U24" s="3"/>
    </row>
    <row r="25" spans="2:23" ht="14" customHeight="1">
      <c r="B25" s="1" t="s">
        <v>0</v>
      </c>
      <c r="C25" s="110">
        <f>CHOOSE(B37,C16,C21)</f>
        <v>0.12076999999999999</v>
      </c>
      <c r="E25" s="249"/>
      <c r="G25" s="252" t="s">
        <v>13</v>
      </c>
      <c r="H25" s="252"/>
      <c r="I25" s="252"/>
      <c r="U25" s="3"/>
    </row>
    <row r="26" spans="2:23" ht="14" customHeight="1">
      <c r="B26" s="1" t="s">
        <v>1</v>
      </c>
      <c r="C26" s="110">
        <f>C9/(C9+C10)</f>
        <v>0.93140612124487165</v>
      </c>
      <c r="E26" s="249"/>
      <c r="G26" s="18">
        <f>H26-0.5</f>
        <v>18.731402208119619</v>
      </c>
      <c r="H26" s="82">
        <f>Terminal__EV_EBITDA</f>
        <v>19.231402208119619</v>
      </c>
      <c r="I26" s="18">
        <f>H26+0.5</f>
        <v>19.731402208119619</v>
      </c>
      <c r="U26" s="3"/>
    </row>
    <row r="27" spans="2:23" ht="14" customHeight="1">
      <c r="B27" s="1" t="s">
        <v>97</v>
      </c>
      <c r="C27" s="111">
        <f>-'Income Statement'!J18/DCF!C10</f>
        <v>1.4512524308478217E-3</v>
      </c>
      <c r="E27" s="19"/>
      <c r="F27" s="19">
        <f>F28-1%</f>
        <v>0.10256384904637672</v>
      </c>
      <c r="G27" s="80">
        <f t="shared" ref="G27:I29" si="8">NPV($F27,$N$15:$R$15)+((($R$8-$R$10)*G$26)/((1+$F27)^5))</f>
        <v>1527308.4591298413</v>
      </c>
      <c r="H27" s="80">
        <f t="shared" si="8"/>
        <v>1561093.7976328952</v>
      </c>
      <c r="I27" s="80">
        <f t="shared" si="8"/>
        <v>1594879.1361359488</v>
      </c>
      <c r="U27" s="3"/>
    </row>
    <row r="28" spans="2:23" ht="14" customHeight="1">
      <c r="B28" s="1" t="s">
        <v>2</v>
      </c>
      <c r="C28" s="110">
        <f>C10/(C9+C10)</f>
        <v>6.8593878755128318E-2</v>
      </c>
      <c r="E28" s="19"/>
      <c r="F28" s="19">
        <f>WACC_Calculation</f>
        <v>0.11256384904637672</v>
      </c>
      <c r="G28" s="80">
        <f t="shared" si="8"/>
        <v>1463534.5882290963</v>
      </c>
      <c r="H28" s="80">
        <f t="shared" si="8"/>
        <v>1495828.6221671104</v>
      </c>
      <c r="I28" s="80">
        <f t="shared" si="8"/>
        <v>1528122.6561051246</v>
      </c>
      <c r="U28" s="3"/>
    </row>
    <row r="29" spans="2:23" ht="14" customHeight="1">
      <c r="B29" s="1" t="s">
        <v>27</v>
      </c>
      <c r="C29" s="112">
        <f>AVERAGE('Income Statement'!B33:J33)</f>
        <v>0.21713605054684162</v>
      </c>
      <c r="E29" s="19"/>
      <c r="F29" s="19">
        <f>F28+1%</f>
        <v>0.12256384904637671</v>
      </c>
      <c r="G29" s="80">
        <f t="shared" si="8"/>
        <v>1403032.9054490004</v>
      </c>
      <c r="H29" s="80">
        <f t="shared" si="8"/>
        <v>1433913.9340368814</v>
      </c>
      <c r="I29" s="80">
        <f t="shared" si="8"/>
        <v>1464794.9626247624</v>
      </c>
      <c r="U29" s="3"/>
    </row>
    <row r="30" spans="2:23" ht="14" customHeight="1">
      <c r="D30" s="11"/>
      <c r="E30" s="19"/>
      <c r="G30" s="20"/>
      <c r="H30" s="20"/>
      <c r="I30" s="20"/>
      <c r="L30" s="3"/>
      <c r="M30" s="3"/>
      <c r="U30" s="3"/>
    </row>
    <row r="31" spans="2:23" ht="14" customHeight="1">
      <c r="E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23" ht="14" customHeight="1">
      <c r="E32" s="21"/>
      <c r="G32" s="251" t="s">
        <v>19</v>
      </c>
      <c r="H32" s="251"/>
      <c r="I32" s="25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4" ht="14" customHeight="1">
      <c r="E33" s="21"/>
      <c r="G33" s="18">
        <f>H33-0.5</f>
        <v>18.731402208119619</v>
      </c>
      <c r="H33" s="82">
        <f>Terminal__EV_EBITDA</f>
        <v>19.231402208119619</v>
      </c>
      <c r="I33" s="18">
        <f>H33+0.5</f>
        <v>19.731402208119619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4" ht="14" customHeight="1">
      <c r="E34" s="19"/>
      <c r="F34" s="19">
        <f>F35-1%</f>
        <v>0.10256384904637672</v>
      </c>
      <c r="G34" s="80">
        <f t="shared" ref="G34:I36" si="9">G27-$C$12-$C$13</f>
        <v>1578077.4591298413</v>
      </c>
      <c r="H34" s="80">
        <f t="shared" si="9"/>
        <v>1611862.7976328952</v>
      </c>
      <c r="I34" s="80">
        <f t="shared" si="9"/>
        <v>1645648.1361359488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4" ht="14" customHeight="1">
      <c r="E35" s="19"/>
      <c r="F35" s="19">
        <f>WACC_Calculation</f>
        <v>0.11256384904637672</v>
      </c>
      <c r="G35" s="80">
        <f t="shared" si="9"/>
        <v>1514303.5882290963</v>
      </c>
      <c r="H35" s="80">
        <f t="shared" si="9"/>
        <v>1546597.6221671104</v>
      </c>
      <c r="I35" s="80">
        <f t="shared" si="9"/>
        <v>1578891.6561051246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4" ht="14" customHeight="1">
      <c r="E36" s="19"/>
      <c r="F36" s="19">
        <f>F35+1%</f>
        <v>0.12256384904637671</v>
      </c>
      <c r="G36" s="80">
        <f t="shared" si="9"/>
        <v>1453801.9054490004</v>
      </c>
      <c r="H36" s="80">
        <f t="shared" si="9"/>
        <v>1484682.9340368814</v>
      </c>
      <c r="I36" s="80">
        <f t="shared" si="9"/>
        <v>1515563.9626247624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4" ht="14" customHeight="1">
      <c r="B37" s="1">
        <v>1</v>
      </c>
      <c r="E37" s="19"/>
      <c r="G37" s="20"/>
      <c r="H37" s="20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4" ht="14" customHeight="1">
      <c r="E38" s="2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4" ht="14" customHeight="1">
      <c r="E39" s="21"/>
      <c r="G39" s="251" t="s">
        <v>20</v>
      </c>
      <c r="H39" s="251"/>
      <c r="I39" s="251"/>
      <c r="J39" s="3"/>
      <c r="L39" s="3"/>
      <c r="M39" s="3"/>
      <c r="N39" s="23"/>
      <c r="O39" s="3"/>
      <c r="P39" s="3"/>
      <c r="S39" s="3"/>
      <c r="T39" s="3"/>
      <c r="U39" s="3"/>
    </row>
    <row r="40" spans="2:24" ht="14" customHeight="1">
      <c r="E40" s="21"/>
      <c r="G40" s="18">
        <f>H40-0.5</f>
        <v>18.731402208119619</v>
      </c>
      <c r="H40" s="18">
        <f>Terminal__EV_EBITDA</f>
        <v>19.231402208119619</v>
      </c>
      <c r="I40" s="18">
        <f>H40+0.5</f>
        <v>19.731402208119619</v>
      </c>
      <c r="J40" s="11"/>
      <c r="K40" s="24"/>
      <c r="N40" s="24"/>
      <c r="O40" s="3"/>
      <c r="Q40" s="24"/>
      <c r="R40" s="24"/>
      <c r="S40" s="3"/>
      <c r="U40" s="3"/>
      <c r="V40" s="3"/>
      <c r="W40" s="3"/>
      <c r="X40" s="3"/>
    </row>
    <row r="41" spans="2:24" ht="14" customHeight="1">
      <c r="E41" s="19"/>
      <c r="F41" s="19">
        <f>F42-1%</f>
        <v>0.10256384904637672</v>
      </c>
      <c r="G41" s="79">
        <f t="shared" ref="G41:I43" si="10">G34/$C$8</f>
        <v>2259.0435454790445</v>
      </c>
      <c r="H41" s="79">
        <f t="shared" si="10"/>
        <v>2307.4078069641769</v>
      </c>
      <c r="I41" s="79">
        <f t="shared" si="10"/>
        <v>2355.7720684493083</v>
      </c>
      <c r="J41" s="2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3"/>
      <c r="V41" s="102"/>
      <c r="W41" s="102"/>
      <c r="X41" s="102"/>
    </row>
    <row r="42" spans="2:24" ht="14" customHeight="1">
      <c r="E42" s="19"/>
      <c r="F42" s="19">
        <f>WACC_Calculation</f>
        <v>0.11256384904637672</v>
      </c>
      <c r="G42" s="79">
        <f t="shared" si="10"/>
        <v>2167.7502121923621</v>
      </c>
      <c r="H42" s="79">
        <f t="shared" si="10"/>
        <v>2213.979646941008</v>
      </c>
      <c r="I42" s="79">
        <f t="shared" si="10"/>
        <v>2260.2090816896539</v>
      </c>
      <c r="J42" s="25"/>
      <c r="K42" s="3"/>
      <c r="M42" s="3"/>
      <c r="N42" s="3"/>
      <c r="O42" s="3"/>
      <c r="P42" s="3"/>
      <c r="Q42" s="3"/>
      <c r="R42" s="3"/>
      <c r="S42" s="3"/>
      <c r="T42" s="3"/>
      <c r="U42" s="3"/>
      <c r="V42" s="102"/>
      <c r="W42" s="102"/>
      <c r="X42" s="102"/>
    </row>
    <row r="43" spans="2:24" ht="14" customHeight="1">
      <c r="E43" s="19"/>
      <c r="F43" s="19">
        <f>F42+1%</f>
        <v>0.12256384904637671</v>
      </c>
      <c r="G43" s="79">
        <f t="shared" si="10"/>
        <v>2081.1410694127926</v>
      </c>
      <c r="H43" s="79">
        <f t="shared" si="10"/>
        <v>2125.3477640243955</v>
      </c>
      <c r="I43" s="79">
        <f t="shared" si="10"/>
        <v>2169.5544586359979</v>
      </c>
      <c r="J43" s="25"/>
      <c r="K43" s="3"/>
      <c r="M43" s="3"/>
      <c r="N43" s="3"/>
      <c r="O43" s="3"/>
      <c r="P43" s="3"/>
      <c r="Q43" s="3"/>
      <c r="R43" s="3"/>
      <c r="S43" s="3"/>
      <c r="T43" s="3"/>
      <c r="U43" s="3"/>
      <c r="V43" s="102"/>
      <c r="W43" s="102"/>
      <c r="X43" s="102"/>
    </row>
    <row r="44" spans="2:24" ht="14" customHeight="1">
      <c r="E44" s="19"/>
      <c r="G44" s="20"/>
      <c r="H44" s="20"/>
      <c r="I44" s="20"/>
      <c r="J44" s="25"/>
      <c r="K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14" customHeight="1">
      <c r="E45" s="21"/>
      <c r="G45" s="3"/>
      <c r="H45" s="3"/>
      <c r="I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14" customHeight="1">
      <c r="E46" s="21"/>
      <c r="F46" s="83" t="s">
        <v>93</v>
      </c>
      <c r="G46" s="251" t="s">
        <v>14</v>
      </c>
      <c r="H46" s="251"/>
      <c r="I46" s="251"/>
      <c r="M46" s="23"/>
      <c r="N46" s="3"/>
      <c r="O46" s="3"/>
      <c r="P46" s="23"/>
      <c r="Q46" s="3"/>
      <c r="R46" s="3"/>
      <c r="S46" s="23"/>
      <c r="T46" s="3"/>
      <c r="U46" s="3"/>
      <c r="V46" s="3"/>
      <c r="W46" s="3"/>
      <c r="X46" s="3"/>
    </row>
    <row r="47" spans="2:24" ht="14" customHeight="1">
      <c r="E47" s="21"/>
      <c r="G47" s="18"/>
      <c r="H47" s="18"/>
      <c r="I47" s="18"/>
      <c r="M47" s="3"/>
      <c r="N47" s="3"/>
      <c r="P47" s="3"/>
      <c r="S47" s="3"/>
      <c r="T47" s="3"/>
      <c r="V47" s="3"/>
      <c r="W47" s="3"/>
      <c r="X47" s="3"/>
    </row>
    <row r="48" spans="2:24" ht="14" customHeight="1">
      <c r="E48" s="19"/>
      <c r="G48" s="18">
        <f>H48-0.5</f>
        <v>18.731402208119619</v>
      </c>
      <c r="H48" s="82">
        <f>Terminal__EV_EBITDA</f>
        <v>19.231402208119619</v>
      </c>
      <c r="I48" s="18">
        <f>H48+0.5</f>
        <v>19.731402208119619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5:24" ht="14" customHeight="1">
      <c r="E49" s="19"/>
      <c r="F49" s="19">
        <f>F50-1%</f>
        <v>0.10256384904637672</v>
      </c>
      <c r="G49" s="26">
        <f t="shared" ref="G49:I51" si="11">($R$8*G$48*$F49-$R$15)/($R$8*G$48+$R$15)</f>
        <v>5.5340927609235174E-2</v>
      </c>
      <c r="H49" s="26">
        <f t="shared" si="11"/>
        <v>5.6517408326112087E-2</v>
      </c>
      <c r="I49" s="26">
        <f t="shared" si="11"/>
        <v>5.7636693837445817E-2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5:24" ht="14" customHeight="1">
      <c r="E50" s="19"/>
      <c r="F50" s="19">
        <f>WACC_Calculation</f>
        <v>0.11256384904637672</v>
      </c>
      <c r="G50" s="26">
        <f t="shared" si="11"/>
        <v>6.4912626595393805E-2</v>
      </c>
      <c r="H50" s="26">
        <f t="shared" si="11"/>
        <v>6.6099777721226119E-2</v>
      </c>
      <c r="I50" s="26">
        <f t="shared" si="11"/>
        <v>6.7229214894182904E-2</v>
      </c>
      <c r="J50" s="3"/>
      <c r="K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5:24" ht="14" customHeight="1">
      <c r="E51" s="19"/>
      <c r="F51" s="19">
        <f>F50+1%</f>
        <v>0.12256384904637671</v>
      </c>
      <c r="G51" s="26">
        <f t="shared" si="11"/>
        <v>7.4484325581552407E-2</v>
      </c>
      <c r="H51" s="26">
        <f t="shared" si="11"/>
        <v>7.5682147116340137E-2</v>
      </c>
      <c r="I51" s="26">
        <f t="shared" si="11"/>
        <v>7.6821735950919998E-2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5:24" ht="14" customHeight="1">
      <c r="E52" s="2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5:24" ht="14" customHeight="1">
      <c r="E53" s="21"/>
      <c r="G53" s="251" t="s">
        <v>15</v>
      </c>
      <c r="H53" s="251"/>
      <c r="I53" s="25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5:24" ht="14" customHeight="1">
      <c r="E54" s="21"/>
      <c r="G54" s="18">
        <f>H54-0.5</f>
        <v>18.731402208119619</v>
      </c>
      <c r="H54" s="82">
        <f>Terminal__EV_EBITDA</f>
        <v>19.231402208119619</v>
      </c>
      <c r="I54" s="18">
        <f>H54+0.5</f>
        <v>19.731402208119619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5:24" ht="14" customHeight="1">
      <c r="E55" s="19"/>
      <c r="F55" s="19">
        <f>F56-1%</f>
        <v>0.10256384904637672</v>
      </c>
      <c r="G55" s="26">
        <f>(G41/$C$7)-1</f>
        <v>0.6866211823882844</v>
      </c>
      <c r="H55" s="26">
        <f t="shared" ref="H55:I57" si="12">(H41/$C$7)-1</f>
        <v>0.72273035259646301</v>
      </c>
      <c r="I55" s="26">
        <f t="shared" si="12"/>
        <v>0.75883952280464095</v>
      </c>
    </row>
    <row r="56" spans="5:24" ht="14" customHeight="1">
      <c r="E56" s="19"/>
      <c r="F56" s="19">
        <f>WACC_Calculation</f>
        <v>0.11256384904637672</v>
      </c>
      <c r="G56" s="26">
        <f>(G42/$C$7)-1</f>
        <v>0.61846080095592915</v>
      </c>
      <c r="H56" s="26">
        <f t="shared" si="12"/>
        <v>0.65297609131097567</v>
      </c>
      <c r="I56" s="26">
        <f t="shared" si="12"/>
        <v>0.68749138166602242</v>
      </c>
    </row>
    <row r="57" spans="5:24" ht="14" customHeight="1">
      <c r="E57" s="19"/>
      <c r="F57" s="19">
        <f>F56+1%</f>
        <v>0.12256384904637671</v>
      </c>
      <c r="G57" s="26">
        <f>(G43/$C$7)-1</f>
        <v>0.55379767611583808</v>
      </c>
      <c r="H57" s="26">
        <f t="shared" si="12"/>
        <v>0.58680277142907999</v>
      </c>
      <c r="I57" s="26">
        <f t="shared" si="12"/>
        <v>0.61980786674232125</v>
      </c>
    </row>
    <row r="58" spans="5:24" ht="14" customHeight="1" thickBot="1"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5:24" ht="14" customHeight="1" thickTop="1">
      <c r="E59" s="3"/>
    </row>
    <row r="60" spans="5:24" ht="14" customHeight="1">
      <c r="E60" s="27"/>
    </row>
    <row r="61" spans="5:24" ht="14" customHeight="1">
      <c r="E61" s="27"/>
    </row>
    <row r="62" spans="5:24" ht="14" customHeight="1">
      <c r="E62" s="27"/>
      <c r="F62" s="144"/>
      <c r="G62" s="3"/>
      <c r="H62" s="3"/>
      <c r="I62" s="3"/>
    </row>
    <row r="63" spans="5:24" ht="14" customHeight="1">
      <c r="E63" s="3"/>
      <c r="F63" s="3"/>
      <c r="G63" s="3"/>
      <c r="H63" s="3"/>
      <c r="I63" s="3"/>
    </row>
    <row r="64" spans="5:24" ht="14" customHeight="1">
      <c r="E64" s="3"/>
      <c r="F64" s="3"/>
      <c r="G64" s="3"/>
      <c r="H64" s="3"/>
      <c r="I64" s="3"/>
    </row>
    <row r="65" spans="3:20" ht="14" customHeight="1">
      <c r="E65" s="145"/>
      <c r="F65" s="146"/>
      <c r="G65" s="146"/>
      <c r="H65" s="146"/>
      <c r="I65" s="146"/>
    </row>
    <row r="66" spans="3:20" ht="14" customHeight="1">
      <c r="E66" s="3"/>
      <c r="H66" s="147"/>
    </row>
    <row r="67" spans="3:20" ht="14" customHeight="1">
      <c r="E67" s="3"/>
    </row>
    <row r="68" spans="3:20" ht="14" customHeight="1">
      <c r="E68" s="144"/>
      <c r="F68" s="148"/>
      <c r="H68" s="148"/>
    </row>
    <row r="69" spans="3:20" ht="14" customHeight="1">
      <c r="E69" s="27"/>
    </row>
    <row r="70" spans="3:20" ht="14" customHeight="1">
      <c r="E70" s="27"/>
    </row>
    <row r="71" spans="3:20" ht="14" customHeight="1">
      <c r="E71" s="145"/>
      <c r="F71" s="146"/>
      <c r="G71" s="146"/>
      <c r="H71" s="146"/>
    </row>
    <row r="72" spans="3:20" ht="14" customHeight="1">
      <c r="C72" s="27"/>
      <c r="D72" s="3"/>
      <c r="E72" s="3"/>
    </row>
    <row r="73" spans="3:20" ht="14" customHeight="1">
      <c r="C73" s="27"/>
      <c r="D73" s="3"/>
      <c r="E73" s="145"/>
      <c r="F73" s="146"/>
      <c r="G73" s="146"/>
      <c r="H73" s="146"/>
      <c r="I73" s="146"/>
      <c r="J73" s="146"/>
      <c r="K73" s="146"/>
      <c r="L73" s="146"/>
      <c r="M73" s="147"/>
    </row>
    <row r="74" spans="3:20" ht="14" customHeight="1">
      <c r="C74" s="27"/>
      <c r="D74" s="3"/>
      <c r="E74" s="3"/>
      <c r="G74" s="248"/>
      <c r="H74" s="248"/>
    </row>
    <row r="75" spans="3:20" ht="14" customHeight="1">
      <c r="C75" s="27"/>
      <c r="D75" s="3"/>
      <c r="E75" s="3"/>
    </row>
    <row r="76" spans="3:20" ht="14" customHeight="1">
      <c r="C76" s="27"/>
      <c r="D76" s="3"/>
      <c r="E76" s="3"/>
    </row>
    <row r="77" spans="3:20" ht="14" customHeight="1">
      <c r="C77" s="27"/>
      <c r="D77" s="3"/>
      <c r="E77" s="3"/>
    </row>
    <row r="78" spans="3:20" ht="14" customHeight="1">
      <c r="C78" s="27"/>
      <c r="D78" s="3"/>
      <c r="E78" s="149"/>
      <c r="F78" s="150"/>
    </row>
    <row r="79" spans="3:20" ht="14" customHeight="1">
      <c r="C79" s="27"/>
      <c r="D79" s="3"/>
      <c r="E79" s="3"/>
    </row>
    <row r="80" spans="3:20" ht="14" customHeight="1">
      <c r="S80" s="11"/>
      <c r="T80" s="17"/>
    </row>
    <row r="81" spans="5:21" ht="14" customHeight="1">
      <c r="E81" s="3"/>
      <c r="T81" s="17"/>
    </row>
    <row r="82" spans="5:21" ht="14" customHeight="1">
      <c r="E82" s="3"/>
      <c r="T82" s="17"/>
    </row>
    <row r="83" spans="5:21" ht="14" customHeight="1">
      <c r="U83" s="84"/>
    </row>
    <row r="84" spans="5:21" ht="14" customHeight="1">
      <c r="T84" s="85"/>
    </row>
    <row r="85" spans="5:21" ht="14" customHeight="1">
      <c r="F85" s="248"/>
      <c r="G85" s="248"/>
    </row>
  </sheetData>
  <dataConsolidate/>
  <mergeCells count="11">
    <mergeCell ref="G74:H74"/>
    <mergeCell ref="F85:G85"/>
    <mergeCell ref="E24:E26"/>
    <mergeCell ref="S5:T5"/>
    <mergeCell ref="G53:I53"/>
    <mergeCell ref="G46:I46"/>
    <mergeCell ref="G25:I25"/>
    <mergeCell ref="G24:I24"/>
    <mergeCell ref="G32:I32"/>
    <mergeCell ref="G39:I39"/>
    <mergeCell ref="K20:L20"/>
  </mergeCells>
  <phoneticPr fontId="55" type="noConversion"/>
  <conditionalFormatting sqref="G27:I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I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I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I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ntainsText" dxfId="4" priority="6" operator="containsText" text="Stress Case">
      <formula>NOT(ISERROR(SEARCH("Stress Case",K20)))</formula>
    </cfRule>
    <cfRule type="containsText" dxfId="3" priority="7" operator="containsText" text="Bull Case">
      <formula>NOT(ISERROR(SEARCH("Bull Case",K20)))</formula>
    </cfRule>
    <cfRule type="containsText" dxfId="2" priority="8" operator="containsText" text="Base Scenario">
      <formula>NOT(ISERROR(SEARCH("Base Scenario",K20)))</formula>
    </cfRule>
    <cfRule type="cellIs" dxfId="1" priority="9" operator="equal">
      <formula>"""Base Case"""</formula>
    </cfRule>
  </conditionalFormatting>
  <conditionalFormatting sqref="K20:L20">
    <cfRule type="containsText" dxfId="0" priority="5" operator="containsText" text="Optimistic Scenario">
      <formula>NOT(ISERROR(SEARCH("Optimistic Scenario",K20)))</formula>
    </cfRule>
  </conditionalFormatting>
  <dataValidations count="1">
    <dataValidation type="list" allowBlank="1" showInputMessage="1" showErrorMessage="1" sqref="K20:L20 V10" xr:uid="{00000000-0002-0000-0000-000000000000}">
      <formula1>$V$6:$V$8</formula1>
    </dataValidation>
  </dataValidations>
  <hyperlinks>
    <hyperlink ref="B18" r:id="rId1" xr:uid="{00000000-0004-0000-0000-000000000000}"/>
    <hyperlink ref="B17" r:id="rId2" xr:uid="{00000000-0004-0000-0000-000001000000}"/>
    <hyperlink ref="B20" r:id="rId3" xr:uid="{00000000-0004-0000-0000-000002000000}"/>
  </hyperlinks>
  <pageMargins left="0.7" right="0.7" top="0.75" bottom="0.75" header="0.3" footer="0.3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7" name="Option Button 1">
              <controlPr defaultSize="0" autoFill="0" autoLine="0" autoPict="0">
                <anchor moveWithCells="1">
                  <from>
                    <xdr:col>1</xdr:col>
                    <xdr:colOff>177800</xdr:colOff>
                    <xdr:row>20</xdr:row>
                    <xdr:rowOff>152400</xdr:rowOff>
                  </from>
                  <to>
                    <xdr:col>1</xdr:col>
                    <xdr:colOff>1638300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8" name="Option Button 2">
              <controlPr defaultSize="0" autoFill="0" autoLine="0" autoPict="0">
                <anchor moveWithCells="1">
                  <from>
                    <xdr:col>1</xdr:col>
                    <xdr:colOff>1778000</xdr:colOff>
                    <xdr:row>21</xdr:row>
                    <xdr:rowOff>25400</xdr:rowOff>
                  </from>
                  <to>
                    <xdr:col>2</xdr:col>
                    <xdr:colOff>558800</xdr:colOff>
                    <xdr:row>22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5"/>
    <outlinePr summaryBelow="0" summaryRight="0"/>
    <pageSetUpPr autoPageBreaks="0"/>
  </sheetPr>
  <dimension ref="A2:IU34"/>
  <sheetViews>
    <sheetView showGridLines="0" topLeftCell="A4" zoomScale="80" zoomScaleNormal="80" workbookViewId="0">
      <selection activeCell="A18" sqref="A18"/>
    </sheetView>
  </sheetViews>
  <sheetFormatPr baseColWidth="10" defaultColWidth="9.1640625" defaultRowHeight="11"/>
  <cols>
    <col min="1" max="1" width="58" style="155" bestFit="1" customWidth="1"/>
    <col min="2" max="2" width="17" style="37" customWidth="1"/>
    <col min="3" max="3" width="16.33203125" style="37" customWidth="1"/>
    <col min="4" max="9" width="14.83203125" style="37" customWidth="1"/>
    <col min="10" max="10" width="16.83203125" style="37" customWidth="1"/>
    <col min="11" max="16384" width="9.1640625" style="37"/>
  </cols>
  <sheetData>
    <row r="2" spans="1:255" ht="12">
      <c r="A2" s="172" t="s">
        <v>75</v>
      </c>
      <c r="B2" s="134"/>
      <c r="C2" s="134"/>
      <c r="D2" s="134"/>
      <c r="E2" s="134"/>
      <c r="F2" s="134"/>
      <c r="G2" s="134"/>
      <c r="H2" s="134"/>
      <c r="I2" s="134"/>
      <c r="J2" s="134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</row>
    <row r="3" spans="1:255" ht="24">
      <c r="A3" s="135" t="s">
        <v>63</v>
      </c>
      <c r="B3" s="173" t="s">
        <v>110</v>
      </c>
      <c r="C3" s="173" t="s">
        <v>111</v>
      </c>
      <c r="D3" s="173" t="s">
        <v>112</v>
      </c>
      <c r="E3" s="173" t="s">
        <v>113</v>
      </c>
      <c r="F3" s="173" t="s">
        <v>114</v>
      </c>
      <c r="G3" s="173" t="s">
        <v>115</v>
      </c>
      <c r="H3" s="173" t="s">
        <v>116</v>
      </c>
      <c r="I3" s="173" t="s">
        <v>117</v>
      </c>
      <c r="J3" s="173" t="s">
        <v>118</v>
      </c>
    </row>
    <row r="4" spans="1:255" ht="12">
      <c r="A4" s="136" t="s">
        <v>41</v>
      </c>
      <c r="B4" s="174" t="s">
        <v>42</v>
      </c>
      <c r="C4" s="174" t="s">
        <v>42</v>
      </c>
      <c r="D4" s="174" t="s">
        <v>42</v>
      </c>
      <c r="E4" s="174" t="s">
        <v>42</v>
      </c>
      <c r="F4" s="174" t="s">
        <v>42</v>
      </c>
      <c r="G4" s="174" t="s">
        <v>42</v>
      </c>
      <c r="H4" s="174" t="s">
        <v>42</v>
      </c>
      <c r="I4" s="174" t="s">
        <v>42</v>
      </c>
      <c r="J4" s="174" t="s">
        <v>42</v>
      </c>
    </row>
    <row r="5" spans="1:255" ht="12">
      <c r="A5" s="175" t="s">
        <v>62</v>
      </c>
      <c r="B5" s="176"/>
      <c r="C5" s="176"/>
      <c r="D5" s="176"/>
      <c r="E5" s="176"/>
      <c r="F5" s="176"/>
      <c r="G5" s="176"/>
      <c r="H5" s="176"/>
      <c r="I5" s="176"/>
      <c r="J5" s="139"/>
    </row>
    <row r="6" spans="1:255" ht="12">
      <c r="A6" s="166" t="s">
        <v>125</v>
      </c>
      <c r="B6" s="170">
        <v>37905</v>
      </c>
      <c r="C6" s="170">
        <v>46039</v>
      </c>
      <c r="D6" s="170">
        <v>55519</v>
      </c>
      <c r="E6" s="170">
        <v>66001</v>
      </c>
      <c r="F6" s="170">
        <v>74989</v>
      </c>
      <c r="G6" s="170">
        <v>90272</v>
      </c>
      <c r="H6" s="170">
        <v>110855</v>
      </c>
      <c r="I6" s="170">
        <v>136819</v>
      </c>
      <c r="J6" s="170">
        <v>161857</v>
      </c>
    </row>
    <row r="7" spans="1:255" ht="12">
      <c r="A7" s="169" t="s">
        <v>126</v>
      </c>
      <c r="B7" s="171">
        <f>SUM(B6)</f>
        <v>37905</v>
      </c>
      <c r="C7" s="171">
        <f t="shared" ref="C7:J7" si="0">SUM(C6)</f>
        <v>46039</v>
      </c>
      <c r="D7" s="171">
        <f t="shared" si="0"/>
        <v>55519</v>
      </c>
      <c r="E7" s="171">
        <f t="shared" si="0"/>
        <v>66001</v>
      </c>
      <c r="F7" s="171">
        <f t="shared" si="0"/>
        <v>74989</v>
      </c>
      <c r="G7" s="171">
        <f t="shared" si="0"/>
        <v>90272</v>
      </c>
      <c r="H7" s="171">
        <f t="shared" si="0"/>
        <v>110855</v>
      </c>
      <c r="I7" s="171">
        <f t="shared" si="0"/>
        <v>136819</v>
      </c>
      <c r="J7" s="171">
        <f t="shared" si="0"/>
        <v>161857</v>
      </c>
    </row>
    <row r="8" spans="1:255">
      <c r="A8" s="166"/>
      <c r="B8" s="176"/>
      <c r="C8" s="176"/>
      <c r="D8" s="176"/>
      <c r="E8" s="176"/>
      <c r="F8" s="176"/>
      <c r="G8" s="176"/>
      <c r="H8" s="176"/>
      <c r="I8" s="176"/>
      <c r="J8" s="176"/>
    </row>
    <row r="9" spans="1:255" ht="12">
      <c r="A9" s="166" t="s">
        <v>133</v>
      </c>
      <c r="B9" s="170">
        <v>-13188</v>
      </c>
      <c r="C9" s="170">
        <v>-17176</v>
      </c>
      <c r="D9" s="170">
        <v>-21993</v>
      </c>
      <c r="E9" s="170">
        <v>-25691</v>
      </c>
      <c r="F9" s="170">
        <v>-28164</v>
      </c>
      <c r="G9" s="170">
        <v>-35138</v>
      </c>
      <c r="H9" s="170">
        <v>-45583</v>
      </c>
      <c r="I9" s="170">
        <v>-59549</v>
      </c>
      <c r="J9" s="170">
        <v>-71896</v>
      </c>
    </row>
    <row r="10" spans="1:255" ht="12">
      <c r="A10" s="169" t="s">
        <v>127</v>
      </c>
      <c r="B10" s="171">
        <f>SUM(B7:B9)</f>
        <v>24717</v>
      </c>
      <c r="C10" s="171">
        <f>SUM(C7:C9)</f>
        <v>28863</v>
      </c>
      <c r="D10" s="171">
        <f t="shared" ref="D10:J10" si="1">SUM(D7:D9)</f>
        <v>33526</v>
      </c>
      <c r="E10" s="171">
        <f t="shared" si="1"/>
        <v>40310</v>
      </c>
      <c r="F10" s="171">
        <f t="shared" si="1"/>
        <v>46825</v>
      </c>
      <c r="G10" s="171">
        <f t="shared" si="1"/>
        <v>55134</v>
      </c>
      <c r="H10" s="171">
        <f t="shared" si="1"/>
        <v>65272</v>
      </c>
      <c r="I10" s="171">
        <f t="shared" si="1"/>
        <v>77270</v>
      </c>
      <c r="J10" s="171">
        <f t="shared" si="1"/>
        <v>89961</v>
      </c>
    </row>
    <row r="11" spans="1:255">
      <c r="A11" s="166"/>
      <c r="B11" s="176"/>
      <c r="C11" s="176"/>
      <c r="D11" s="176"/>
      <c r="E11" s="176"/>
      <c r="F11" s="176"/>
      <c r="G11" s="176"/>
      <c r="H11" s="176"/>
      <c r="I11" s="176"/>
      <c r="J11" s="176"/>
    </row>
    <row r="12" spans="1:255" ht="12">
      <c r="A12" s="166" t="s">
        <v>143</v>
      </c>
      <c r="B12" s="170">
        <v>5162</v>
      </c>
      <c r="C12" s="170">
        <v>6083</v>
      </c>
      <c r="D12" s="170">
        <v>7137</v>
      </c>
      <c r="E12" s="170">
        <v>9832</v>
      </c>
      <c r="F12" s="170">
        <v>12282</v>
      </c>
      <c r="G12" s="170">
        <v>13948</v>
      </c>
      <c r="H12" s="170">
        <v>16625</v>
      </c>
      <c r="I12" s="170">
        <v>21419</v>
      </c>
      <c r="J12" s="170">
        <v>26018</v>
      </c>
    </row>
    <row r="13" spans="1:255" ht="12">
      <c r="A13" s="166" t="s">
        <v>144</v>
      </c>
      <c r="B13" s="179">
        <v>7313</v>
      </c>
      <c r="C13" s="179">
        <v>8946</v>
      </c>
      <c r="D13" s="179">
        <v>10986</v>
      </c>
      <c r="E13" s="179">
        <v>13982</v>
      </c>
      <c r="F13" s="179">
        <v>15183</v>
      </c>
      <c r="G13" s="179">
        <v>17740</v>
      </c>
      <c r="H13" s="179">
        <v>19733</v>
      </c>
      <c r="I13" s="179">
        <v>23256</v>
      </c>
      <c r="J13" s="179">
        <v>28015</v>
      </c>
    </row>
    <row r="14" spans="1:255" s="159" customFormat="1" ht="12">
      <c r="A14" s="177" t="s">
        <v>142</v>
      </c>
      <c r="B14" s="180">
        <v>-500</v>
      </c>
      <c r="C14" s="180">
        <v>-453</v>
      </c>
      <c r="D14" s="180">
        <v>496</v>
      </c>
      <c r="E14" s="180">
        <v>763</v>
      </c>
      <c r="F14" s="180">
        <v>291</v>
      </c>
      <c r="G14" s="180">
        <v>434</v>
      </c>
      <c r="H14" s="180">
        <v>-2736</v>
      </c>
      <c r="I14" s="180">
        <v>-7717</v>
      </c>
      <c r="J14" s="180">
        <v>-1697</v>
      </c>
    </row>
    <row r="15" spans="1:255">
      <c r="A15" s="181"/>
      <c r="B15" s="179"/>
      <c r="C15" s="179"/>
      <c r="D15" s="179"/>
      <c r="E15" s="179"/>
      <c r="F15" s="179"/>
      <c r="G15" s="179"/>
      <c r="H15" s="179"/>
      <c r="I15" s="179"/>
      <c r="J15" s="179"/>
    </row>
    <row r="16" spans="1:255" ht="12">
      <c r="A16" s="169" t="s">
        <v>128</v>
      </c>
      <c r="B16" s="171">
        <f>B10-B12-B13+B14</f>
        <v>11742</v>
      </c>
      <c r="C16" s="171">
        <f t="shared" ref="C16:J16" si="2">C10-C12-C13+C14</f>
        <v>13381</v>
      </c>
      <c r="D16" s="171">
        <f t="shared" si="2"/>
        <v>15899</v>
      </c>
      <c r="E16" s="171">
        <f t="shared" si="2"/>
        <v>17259</v>
      </c>
      <c r="F16" s="171">
        <f t="shared" si="2"/>
        <v>19651</v>
      </c>
      <c r="G16" s="171">
        <f t="shared" si="2"/>
        <v>23880</v>
      </c>
      <c r="H16" s="171">
        <f t="shared" si="2"/>
        <v>26178</v>
      </c>
      <c r="I16" s="171">
        <f t="shared" si="2"/>
        <v>24878</v>
      </c>
      <c r="J16" s="171">
        <f t="shared" si="2"/>
        <v>34231</v>
      </c>
    </row>
    <row r="17" spans="1:10">
      <c r="A17" s="166"/>
      <c r="B17" s="176"/>
      <c r="C17" s="176"/>
      <c r="D17" s="176"/>
      <c r="E17" s="176"/>
      <c r="F17" s="176"/>
      <c r="G17" s="176"/>
      <c r="H17" s="176"/>
      <c r="I17" s="176"/>
      <c r="J17" s="176"/>
    </row>
    <row r="18" spans="1:10" ht="12">
      <c r="A18" s="166" t="s">
        <v>134</v>
      </c>
      <c r="B18" s="170">
        <v>-78</v>
      </c>
      <c r="C18" s="170">
        <v>-85</v>
      </c>
      <c r="D18" s="170">
        <v>-81</v>
      </c>
      <c r="E18" s="170">
        <v>-101</v>
      </c>
      <c r="F18" s="170">
        <v>-104</v>
      </c>
      <c r="G18" s="170">
        <v>-124</v>
      </c>
      <c r="H18" s="170">
        <v>-109</v>
      </c>
      <c r="I18" s="170">
        <v>-114</v>
      </c>
      <c r="J18" s="170">
        <v>-100</v>
      </c>
    </row>
    <row r="19" spans="1:10" ht="12">
      <c r="A19" s="166" t="s">
        <v>129</v>
      </c>
      <c r="B19" s="167">
        <v>680</v>
      </c>
      <c r="C19" s="167">
        <v>700</v>
      </c>
      <c r="D19" s="167">
        <v>766</v>
      </c>
      <c r="E19" s="167">
        <v>746</v>
      </c>
      <c r="F19" s="167">
        <v>999</v>
      </c>
      <c r="G19" s="167">
        <v>1220</v>
      </c>
      <c r="H19" s="167">
        <v>1312</v>
      </c>
      <c r="I19" s="167">
        <v>1878</v>
      </c>
      <c r="J19" s="168">
        <v>2427</v>
      </c>
    </row>
    <row r="20" spans="1:10" ht="12">
      <c r="A20" s="166" t="s">
        <v>135</v>
      </c>
      <c r="B20" s="170">
        <v>242</v>
      </c>
      <c r="C20" s="170">
        <v>282</v>
      </c>
      <c r="D20" s="170">
        <v>158</v>
      </c>
      <c r="E20" s="170">
        <v>153</v>
      </c>
      <c r="F20" s="170">
        <v>-208</v>
      </c>
      <c r="G20" s="170">
        <f>-210</f>
        <v>-210</v>
      </c>
      <c r="H20" s="170">
        <v>73</v>
      </c>
      <c r="I20" s="170">
        <v>5460</v>
      </c>
      <c r="J20" s="170">
        <v>2649</v>
      </c>
    </row>
    <row r="21" spans="1:10" ht="12">
      <c r="A21" s="166" t="s">
        <v>130</v>
      </c>
      <c r="B21" s="167">
        <v>-105</v>
      </c>
      <c r="C21" s="167">
        <v>-188</v>
      </c>
      <c r="D21" s="167">
        <v>-57</v>
      </c>
      <c r="E21" s="167">
        <v>237</v>
      </c>
      <c r="F21" s="167">
        <v>-126</v>
      </c>
      <c r="G21" s="167">
        <v>-65</v>
      </c>
      <c r="H21" s="167">
        <v>-110</v>
      </c>
      <c r="I21" s="167">
        <v>1190</v>
      </c>
      <c r="J21" s="167">
        <v>149</v>
      </c>
    </row>
    <row r="22" spans="1:10" ht="24">
      <c r="A22" s="166" t="s">
        <v>131</v>
      </c>
      <c r="B22" s="170">
        <v>-413</v>
      </c>
      <c r="C22" s="170">
        <v>-514</v>
      </c>
      <c r="D22" s="170">
        <v>-379</v>
      </c>
      <c r="E22" s="170">
        <v>-402</v>
      </c>
      <c r="F22" s="170">
        <v>-422</v>
      </c>
      <c r="G22" s="170">
        <v>-475</v>
      </c>
      <c r="H22" s="170">
        <v>-121</v>
      </c>
      <c r="I22" s="170">
        <v>-80</v>
      </c>
      <c r="J22" s="170">
        <v>103</v>
      </c>
    </row>
    <row r="23" spans="1:10" ht="12">
      <c r="A23" s="166" t="s">
        <v>168</v>
      </c>
      <c r="B23" s="167">
        <v>258</v>
      </c>
      <c r="C23" s="167">
        <v>77</v>
      </c>
      <c r="D23" s="167">
        <v>-834</v>
      </c>
      <c r="E23" s="167">
        <v>-117</v>
      </c>
      <c r="F23" s="167">
        <v>-139</v>
      </c>
      <c r="G23" s="167">
        <v>-76</v>
      </c>
      <c r="H23" s="167">
        <v>-30</v>
      </c>
      <c r="I23" s="167">
        <v>1701</v>
      </c>
      <c r="J23" s="167">
        <v>166</v>
      </c>
    </row>
    <row r="24" spans="1:10" ht="12">
      <c r="A24" s="169" t="s">
        <v>137</v>
      </c>
      <c r="B24" s="171">
        <f t="shared" ref="B24:G24" si="3">SUM(B20:B23)</f>
        <v>-18</v>
      </c>
      <c r="C24" s="171">
        <f t="shared" si="3"/>
        <v>-343</v>
      </c>
      <c r="D24" s="171">
        <f>SUM(D20:D23)</f>
        <v>-1112</v>
      </c>
      <c r="E24" s="171">
        <f>SUM(E20:E23)</f>
        <v>-129</v>
      </c>
      <c r="F24" s="171">
        <f t="shared" si="3"/>
        <v>-895</v>
      </c>
      <c r="G24" s="171">
        <f t="shared" si="3"/>
        <v>-826</v>
      </c>
      <c r="H24" s="171">
        <f t="shared" ref="H24" si="4">SUM(H20:H23)</f>
        <v>-188</v>
      </c>
      <c r="I24" s="171">
        <f t="shared" ref="I24" si="5">SUM(I20:I23)</f>
        <v>8271</v>
      </c>
      <c r="J24" s="171">
        <f t="shared" ref="J24" si="6">SUM(J20:J23)</f>
        <v>3067</v>
      </c>
    </row>
    <row r="25" spans="1:10" ht="12">
      <c r="A25" s="169" t="s">
        <v>132</v>
      </c>
      <c r="B25" s="171">
        <f>SUM(B18:B23)</f>
        <v>584</v>
      </c>
      <c r="C25" s="171">
        <f t="shared" ref="C25:J25" si="7">SUM(C18:C23)</f>
        <v>272</v>
      </c>
      <c r="D25" s="171">
        <f t="shared" si="7"/>
        <v>-427</v>
      </c>
      <c r="E25" s="171">
        <f>SUM(E18:E23)</f>
        <v>516</v>
      </c>
      <c r="F25" s="189">
        <f t="shared" si="7"/>
        <v>0</v>
      </c>
      <c r="G25" s="171">
        <f t="shared" si="7"/>
        <v>270</v>
      </c>
      <c r="H25" s="171">
        <f t="shared" si="7"/>
        <v>1015</v>
      </c>
      <c r="I25" s="171">
        <f t="shared" si="7"/>
        <v>10035</v>
      </c>
      <c r="J25" s="171">
        <f t="shared" si="7"/>
        <v>5394</v>
      </c>
    </row>
    <row r="26" spans="1:10" ht="12">
      <c r="A26" s="169" t="s">
        <v>138</v>
      </c>
      <c r="B26" s="171">
        <f>B16+B25</f>
        <v>12326</v>
      </c>
      <c r="C26" s="171">
        <f t="shared" ref="C26:J26" si="8">C16+C25</f>
        <v>13653</v>
      </c>
      <c r="D26" s="171">
        <f t="shared" si="8"/>
        <v>15472</v>
      </c>
      <c r="E26" s="171">
        <f t="shared" si="8"/>
        <v>17775</v>
      </c>
      <c r="F26" s="171">
        <f t="shared" si="8"/>
        <v>19651</v>
      </c>
      <c r="G26" s="171">
        <f t="shared" si="8"/>
        <v>24150</v>
      </c>
      <c r="H26" s="171">
        <f t="shared" si="8"/>
        <v>27193</v>
      </c>
      <c r="I26" s="171">
        <f t="shared" si="8"/>
        <v>34913</v>
      </c>
      <c r="J26" s="171">
        <f t="shared" si="8"/>
        <v>39625</v>
      </c>
    </row>
    <row r="27" spans="1:10">
      <c r="A27" s="175"/>
      <c r="B27" s="178"/>
      <c r="C27" s="178"/>
      <c r="D27" s="178"/>
      <c r="E27" s="178"/>
      <c r="F27" s="178"/>
      <c r="G27" s="178"/>
      <c r="H27" s="178"/>
      <c r="I27" s="178"/>
      <c r="J27" s="178"/>
    </row>
    <row r="28" spans="1:10" s="157" customFormat="1" ht="12">
      <c r="A28" s="177" t="s">
        <v>7</v>
      </c>
      <c r="B28" s="170">
        <v>13593</v>
      </c>
      <c r="C28" s="170">
        <v>16796</v>
      </c>
      <c r="D28" s="170">
        <v>19342</v>
      </c>
      <c r="E28" s="170">
        <v>21475</v>
      </c>
      <c r="F28" s="170">
        <v>24423</v>
      </c>
      <c r="G28" s="170">
        <v>29860</v>
      </c>
      <c r="H28" s="170">
        <v>33093</v>
      </c>
      <c r="I28" s="170">
        <v>36559</v>
      </c>
      <c r="J28" s="170">
        <v>46012</v>
      </c>
    </row>
    <row r="29" spans="1:10" ht="12">
      <c r="A29" s="166" t="s">
        <v>139</v>
      </c>
      <c r="B29" s="179">
        <v>2589</v>
      </c>
      <c r="C29" s="179">
        <v>2916</v>
      </c>
      <c r="D29" s="179">
        <v>2739</v>
      </c>
      <c r="E29" s="179">
        <v>3639</v>
      </c>
      <c r="F29" s="179">
        <v>3303</v>
      </c>
      <c r="G29" s="179">
        <v>4672</v>
      </c>
      <c r="H29" s="179">
        <v>14531</v>
      </c>
      <c r="I29" s="179">
        <v>4177</v>
      </c>
      <c r="J29" s="179">
        <v>5282</v>
      </c>
    </row>
    <row r="30" spans="1:10" ht="12">
      <c r="A30" s="169" t="s">
        <v>140</v>
      </c>
      <c r="B30" s="171">
        <f>B26-B29</f>
        <v>9737</v>
      </c>
      <c r="C30" s="171">
        <f t="shared" ref="C30:J30" si="9">C26-C29</f>
        <v>10737</v>
      </c>
      <c r="D30" s="171">
        <f t="shared" si="9"/>
        <v>12733</v>
      </c>
      <c r="E30" s="171">
        <f t="shared" si="9"/>
        <v>14136</v>
      </c>
      <c r="F30" s="171">
        <f t="shared" si="9"/>
        <v>16348</v>
      </c>
      <c r="G30" s="171">
        <f t="shared" si="9"/>
        <v>19478</v>
      </c>
      <c r="H30" s="171">
        <f t="shared" si="9"/>
        <v>12662</v>
      </c>
      <c r="I30" s="171">
        <f t="shared" si="9"/>
        <v>30736</v>
      </c>
      <c r="J30" s="171">
        <f t="shared" si="9"/>
        <v>34343</v>
      </c>
    </row>
    <row r="31" spans="1:10" ht="12">
      <c r="A31" s="166" t="s">
        <v>6</v>
      </c>
      <c r="B31" s="170">
        <v>11742</v>
      </c>
      <c r="C31" s="170">
        <v>13834</v>
      </c>
      <c r="D31" s="170">
        <v>15403</v>
      </c>
      <c r="E31" s="170">
        <v>16496</v>
      </c>
      <c r="F31" s="170">
        <v>19360</v>
      </c>
      <c r="G31" s="170">
        <v>23716</v>
      </c>
      <c r="H31" s="170">
        <v>26178</v>
      </c>
      <c r="I31" s="170">
        <v>27524</v>
      </c>
      <c r="J31" s="170">
        <v>34231</v>
      </c>
    </row>
    <row r="32" spans="1:10" ht="12">
      <c r="A32" s="169" t="s">
        <v>141</v>
      </c>
      <c r="B32" s="187">
        <f>B30</f>
        <v>9737</v>
      </c>
      <c r="C32" s="187">
        <f t="shared" ref="C32:J32" si="10">C30</f>
        <v>10737</v>
      </c>
      <c r="D32" s="187">
        <f t="shared" si="10"/>
        <v>12733</v>
      </c>
      <c r="E32" s="187">
        <f t="shared" si="10"/>
        <v>14136</v>
      </c>
      <c r="F32" s="187">
        <f t="shared" si="10"/>
        <v>16348</v>
      </c>
      <c r="G32" s="187">
        <f t="shared" si="10"/>
        <v>19478</v>
      </c>
      <c r="H32" s="187">
        <f t="shared" si="10"/>
        <v>12662</v>
      </c>
      <c r="I32" s="187">
        <f t="shared" si="10"/>
        <v>30736</v>
      </c>
      <c r="J32" s="187">
        <f t="shared" si="10"/>
        <v>34343</v>
      </c>
    </row>
    <row r="33" spans="1:10" ht="12">
      <c r="A33" s="153" t="s">
        <v>27</v>
      </c>
      <c r="B33" s="37">
        <f t="shared" ref="B33:I33" si="11">B29/B26</f>
        <v>0.2100438098328736</v>
      </c>
      <c r="C33" s="37">
        <f t="shared" si="11"/>
        <v>0.21357943309162822</v>
      </c>
      <c r="D33" s="37">
        <f t="shared" si="11"/>
        <v>0.17702947259565668</v>
      </c>
      <c r="E33" s="37">
        <f t="shared" si="11"/>
        <v>0.20472573839662447</v>
      </c>
      <c r="F33" s="37">
        <f t="shared" si="11"/>
        <v>0.16808304920869166</v>
      </c>
      <c r="G33" s="37">
        <f t="shared" si="11"/>
        <v>0.19345755693581781</v>
      </c>
      <c r="H33" s="37">
        <f t="shared" si="11"/>
        <v>0.53436546169970212</v>
      </c>
      <c r="I33" s="37">
        <f t="shared" si="11"/>
        <v>0.1196402486179933</v>
      </c>
      <c r="J33" s="37">
        <f>J29/J26</f>
        <v>0.13329968454258675</v>
      </c>
    </row>
    <row r="34" spans="1:10" ht="72">
      <c r="A34" s="154" t="s">
        <v>35</v>
      </c>
    </row>
  </sheetData>
  <phoneticPr fontId="55" type="noConversion"/>
  <pageMargins left="0.2" right="0.2" top="0.5" bottom="0.5" header="0.5" footer="0.5"/>
  <pageSetup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tabColor theme="5"/>
    <outlinePr summaryBelow="0" summaryRight="0"/>
    <pageSetUpPr autoPageBreaks="0"/>
  </sheetPr>
  <dimension ref="A2:IW46"/>
  <sheetViews>
    <sheetView showGridLines="0" topLeftCell="A13" zoomScale="80" zoomScaleNormal="80" workbookViewId="0">
      <pane xSplit="1" topLeftCell="B1" activePane="topRight" state="frozen"/>
      <selection pane="topRight" activeCell="M25" sqref="M25"/>
    </sheetView>
  </sheetViews>
  <sheetFormatPr baseColWidth="10" defaultColWidth="9.1640625" defaultRowHeight="11"/>
  <cols>
    <col min="1" max="1" width="71" style="139" bestFit="1" customWidth="1"/>
    <col min="2" max="9" width="14.83203125" style="37" customWidth="1"/>
    <col min="10" max="10" width="16.83203125" style="37" customWidth="1"/>
    <col min="11" max="16384" width="9.1640625" style="37"/>
  </cols>
  <sheetData>
    <row r="2" spans="1:257">
      <c r="A2" s="134" t="s">
        <v>76</v>
      </c>
      <c r="B2" s="134"/>
      <c r="C2" s="134"/>
      <c r="D2" s="134"/>
      <c r="E2" s="134"/>
      <c r="F2" s="134"/>
      <c r="G2" s="134"/>
      <c r="H2" s="134"/>
      <c r="I2" s="134"/>
      <c r="J2" s="134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1"/>
      <c r="DI2" s="161"/>
      <c r="DJ2" s="161"/>
      <c r="DK2" s="161"/>
      <c r="DL2" s="161"/>
      <c r="DM2" s="161"/>
      <c r="DN2" s="161"/>
      <c r="DO2" s="161"/>
      <c r="DP2" s="161"/>
      <c r="DQ2" s="161"/>
      <c r="DR2" s="161"/>
      <c r="DS2" s="161"/>
      <c r="DT2" s="161"/>
      <c r="DU2" s="161"/>
      <c r="DV2" s="161"/>
      <c r="DW2" s="161"/>
      <c r="DX2" s="161"/>
      <c r="DY2" s="161"/>
      <c r="DZ2" s="161"/>
      <c r="EA2" s="161"/>
      <c r="EB2" s="161"/>
      <c r="EC2" s="161"/>
      <c r="ED2" s="161"/>
      <c r="EE2" s="161"/>
      <c r="EF2" s="161"/>
      <c r="EG2" s="161"/>
      <c r="EH2" s="161"/>
      <c r="EI2" s="161"/>
      <c r="EJ2" s="161"/>
      <c r="EK2" s="161"/>
      <c r="EL2" s="161"/>
      <c r="EM2" s="161"/>
      <c r="EN2" s="161"/>
      <c r="EO2" s="161"/>
      <c r="EP2" s="161"/>
      <c r="EQ2" s="161"/>
      <c r="ER2" s="161"/>
      <c r="ES2" s="161"/>
      <c r="ET2" s="161"/>
      <c r="EU2" s="161"/>
      <c r="EV2" s="161"/>
      <c r="EW2" s="161"/>
      <c r="EX2" s="161"/>
      <c r="EY2" s="161"/>
      <c r="EZ2" s="161"/>
      <c r="FA2" s="161"/>
      <c r="FB2" s="161"/>
      <c r="FC2" s="161"/>
      <c r="FD2" s="161"/>
      <c r="FE2" s="161"/>
      <c r="FF2" s="161"/>
      <c r="FG2" s="161"/>
      <c r="FH2" s="161"/>
      <c r="FI2" s="161"/>
      <c r="FJ2" s="161"/>
      <c r="FK2" s="161"/>
      <c r="FL2" s="161"/>
      <c r="FM2" s="161"/>
      <c r="FN2" s="161"/>
      <c r="FO2" s="161"/>
      <c r="FP2" s="161"/>
      <c r="FQ2" s="161"/>
      <c r="FR2" s="161"/>
      <c r="FS2" s="161"/>
      <c r="FT2" s="161"/>
      <c r="FU2" s="161"/>
      <c r="FV2" s="161"/>
      <c r="FW2" s="161"/>
      <c r="FX2" s="161"/>
      <c r="FY2" s="161"/>
      <c r="FZ2" s="161"/>
      <c r="GA2" s="161"/>
      <c r="GB2" s="161"/>
      <c r="GC2" s="161"/>
      <c r="GD2" s="161"/>
      <c r="GE2" s="161"/>
      <c r="GF2" s="161"/>
      <c r="GG2" s="161"/>
      <c r="GH2" s="161"/>
      <c r="GI2" s="161"/>
      <c r="GJ2" s="161"/>
      <c r="GK2" s="161"/>
      <c r="GL2" s="161"/>
      <c r="GM2" s="161"/>
      <c r="GN2" s="161"/>
      <c r="GO2" s="161"/>
      <c r="GP2" s="161"/>
      <c r="GQ2" s="161"/>
      <c r="GR2" s="161"/>
      <c r="GS2" s="161"/>
      <c r="GT2" s="161"/>
      <c r="GU2" s="161"/>
      <c r="GV2" s="161"/>
      <c r="GW2" s="161"/>
      <c r="GX2" s="161"/>
      <c r="GY2" s="161"/>
      <c r="GZ2" s="161"/>
      <c r="HA2" s="161"/>
      <c r="HB2" s="161"/>
      <c r="HC2" s="161"/>
      <c r="HD2" s="161"/>
      <c r="HE2" s="161"/>
      <c r="HF2" s="161"/>
      <c r="HG2" s="161"/>
      <c r="HH2" s="161"/>
      <c r="HI2" s="161"/>
      <c r="HJ2" s="161"/>
      <c r="HK2" s="161"/>
      <c r="HL2" s="161"/>
      <c r="HM2" s="161"/>
      <c r="HN2" s="161"/>
      <c r="HO2" s="161"/>
      <c r="HP2" s="161"/>
      <c r="HQ2" s="161"/>
      <c r="HR2" s="161"/>
      <c r="HS2" s="161"/>
      <c r="HT2" s="161"/>
      <c r="HU2" s="161"/>
      <c r="HV2" s="161"/>
      <c r="HW2" s="161"/>
      <c r="HX2" s="161"/>
      <c r="HY2" s="161"/>
      <c r="HZ2" s="161"/>
      <c r="IA2" s="161"/>
      <c r="IB2" s="161"/>
      <c r="IC2" s="161"/>
      <c r="ID2" s="161"/>
      <c r="IE2" s="161"/>
      <c r="IF2" s="161"/>
      <c r="IG2" s="161"/>
      <c r="IH2" s="161"/>
      <c r="II2" s="161"/>
      <c r="IJ2" s="161"/>
      <c r="IK2" s="161"/>
      <c r="IL2" s="161"/>
      <c r="IM2" s="161"/>
      <c r="IN2" s="161"/>
      <c r="IO2" s="161"/>
      <c r="IP2" s="161"/>
      <c r="IQ2" s="161"/>
      <c r="IR2" s="161"/>
      <c r="IS2" s="161"/>
      <c r="IT2" s="161"/>
      <c r="IU2" s="161"/>
      <c r="IV2" s="161"/>
      <c r="IW2" s="161"/>
    </row>
    <row r="3" spans="1:257" ht="24">
      <c r="A3" s="135" t="s">
        <v>63</v>
      </c>
      <c r="B3" s="173" t="s">
        <v>110</v>
      </c>
      <c r="C3" s="173" t="s">
        <v>111</v>
      </c>
      <c r="D3" s="173" t="s">
        <v>112</v>
      </c>
      <c r="E3" s="173" t="s">
        <v>113</v>
      </c>
      <c r="F3" s="173" t="s">
        <v>114</v>
      </c>
      <c r="G3" s="173" t="s">
        <v>115</v>
      </c>
      <c r="H3" s="173" t="s">
        <v>116</v>
      </c>
      <c r="I3" s="173" t="s">
        <v>117</v>
      </c>
      <c r="J3" s="173" t="s">
        <v>118</v>
      </c>
    </row>
    <row r="4" spans="1:257" ht="12">
      <c r="A4" s="136" t="s">
        <v>41</v>
      </c>
      <c r="B4" s="174" t="s">
        <v>42</v>
      </c>
      <c r="C4" s="174" t="s">
        <v>42</v>
      </c>
      <c r="D4" s="174" t="s">
        <v>42</v>
      </c>
      <c r="E4" s="174" t="s">
        <v>42</v>
      </c>
      <c r="F4" s="174" t="s">
        <v>42</v>
      </c>
      <c r="G4" s="174" t="s">
        <v>42</v>
      </c>
      <c r="H4" s="174" t="s">
        <v>42</v>
      </c>
      <c r="I4" s="174" t="s">
        <v>42</v>
      </c>
      <c r="J4" s="174" t="s">
        <v>42</v>
      </c>
    </row>
    <row r="5" spans="1:257">
      <c r="A5" s="141" t="s">
        <v>77</v>
      </c>
      <c r="B5" s="163">
        <v>9737</v>
      </c>
      <c r="C5" s="163">
        <v>10737</v>
      </c>
      <c r="D5" s="163">
        <v>12733</v>
      </c>
      <c r="E5" s="163">
        <v>14136</v>
      </c>
      <c r="F5" s="163">
        <v>16348</v>
      </c>
      <c r="G5" s="163">
        <v>19478</v>
      </c>
      <c r="H5" s="163">
        <v>12662</v>
      </c>
      <c r="I5" s="163">
        <v>30736</v>
      </c>
      <c r="J5" s="163">
        <v>34343</v>
      </c>
    </row>
    <row r="6" spans="1:257">
      <c r="A6" s="227" t="s">
        <v>188</v>
      </c>
      <c r="B6" s="162">
        <v>-3438</v>
      </c>
      <c r="C6" s="162">
        <v>-3273</v>
      </c>
      <c r="D6" s="162">
        <v>-7358</v>
      </c>
      <c r="E6" s="162">
        <v>-10959</v>
      </c>
      <c r="F6" s="162">
        <v>-9915</v>
      </c>
      <c r="G6" s="162">
        <v>-9972</v>
      </c>
      <c r="H6" s="162">
        <v>-13184</v>
      </c>
      <c r="I6" s="162">
        <v>-25139</v>
      </c>
      <c r="J6" s="162">
        <v>-23548</v>
      </c>
      <c r="K6" s="156"/>
    </row>
    <row r="7" spans="1:257">
      <c r="A7" s="188" t="s">
        <v>156</v>
      </c>
      <c r="B7" s="139"/>
      <c r="C7" s="139"/>
      <c r="D7" s="139"/>
      <c r="E7" s="139"/>
      <c r="F7" s="139"/>
      <c r="G7" s="139"/>
      <c r="H7" s="139"/>
      <c r="I7" s="139"/>
      <c r="J7" s="139"/>
    </row>
    <row r="8" spans="1:257">
      <c r="A8" s="141" t="s">
        <v>109</v>
      </c>
      <c r="B8" s="163">
        <v>455</v>
      </c>
      <c r="C8" s="163">
        <v>974</v>
      </c>
      <c r="D8" s="163">
        <v>1158</v>
      </c>
      <c r="E8" s="163">
        <v>1456</v>
      </c>
      <c r="F8" s="163">
        <v>931</v>
      </c>
      <c r="G8" s="163">
        <v>877</v>
      </c>
      <c r="H8" s="163">
        <v>812</v>
      </c>
      <c r="I8" s="163">
        <v>871</v>
      </c>
      <c r="J8" s="163">
        <v>925</v>
      </c>
    </row>
    <row r="9" spans="1:257">
      <c r="A9" s="141" t="s">
        <v>78</v>
      </c>
      <c r="B9" s="162">
        <v>1396</v>
      </c>
      <c r="C9" s="162">
        <v>1988</v>
      </c>
      <c r="D9" s="162">
        <v>2781</v>
      </c>
      <c r="E9" s="162">
        <v>3523</v>
      </c>
      <c r="F9" s="162">
        <v>4132</v>
      </c>
      <c r="G9" s="162">
        <v>5267</v>
      </c>
      <c r="H9" s="162">
        <v>6103</v>
      </c>
      <c r="I9" s="162">
        <v>8164</v>
      </c>
      <c r="J9" s="162">
        <v>10856</v>
      </c>
      <c r="K9" s="77" t="s">
        <v>65</v>
      </c>
      <c r="L9" s="77" t="s">
        <v>66</v>
      </c>
    </row>
    <row r="10" spans="1:257">
      <c r="A10" s="141" t="s">
        <v>102</v>
      </c>
      <c r="B10" s="163">
        <v>1974</v>
      </c>
      <c r="C10" s="163">
        <v>2692</v>
      </c>
      <c r="D10" s="163">
        <v>3343</v>
      </c>
      <c r="E10" s="163">
        <v>4279</v>
      </c>
      <c r="F10" s="163">
        <v>5203</v>
      </c>
      <c r="G10" s="163">
        <v>6703</v>
      </c>
      <c r="H10" s="163">
        <v>7679</v>
      </c>
      <c r="I10" s="163">
        <v>9353</v>
      </c>
      <c r="J10" s="163">
        <v>10794</v>
      </c>
      <c r="K10" s="77"/>
      <c r="L10" s="77"/>
    </row>
    <row r="11" spans="1:257">
      <c r="A11" s="142" t="s">
        <v>103</v>
      </c>
      <c r="B11" s="162">
        <v>-55</v>
      </c>
      <c r="C11" s="162">
        <v>-132</v>
      </c>
      <c r="D11" s="162">
        <v>-166</v>
      </c>
      <c r="E11" s="162">
        <v>-390</v>
      </c>
      <c r="F11" s="162">
        <v>334</v>
      </c>
      <c r="G11" s="162">
        <v>275</v>
      </c>
      <c r="H11" s="162">
        <v>37</v>
      </c>
      <c r="I11" s="162">
        <v>-6650</v>
      </c>
      <c r="J11" s="162">
        <v>-2798</v>
      </c>
      <c r="K11" s="77"/>
      <c r="L11" s="77"/>
    </row>
    <row r="12" spans="1:257">
      <c r="A12" s="141" t="s">
        <v>155</v>
      </c>
      <c r="B12" s="163">
        <v>-343</v>
      </c>
      <c r="C12" s="163">
        <v>-266</v>
      </c>
      <c r="D12" s="163">
        <v>-437</v>
      </c>
      <c r="E12" s="163">
        <v>-104</v>
      </c>
      <c r="F12" s="163">
        <v>-179</v>
      </c>
      <c r="G12" s="163">
        <v>-38</v>
      </c>
      <c r="H12" s="163">
        <v>258</v>
      </c>
      <c r="I12" s="163">
        <v>778</v>
      </c>
      <c r="J12" s="163">
        <v>173</v>
      </c>
      <c r="K12" s="77"/>
      <c r="L12" s="77"/>
    </row>
    <row r="13" spans="1:257">
      <c r="A13" s="141" t="s">
        <v>162</v>
      </c>
      <c r="B13" s="162">
        <v>1141</v>
      </c>
      <c r="C13" s="162">
        <v>-509</v>
      </c>
      <c r="D13" s="162">
        <v>272</v>
      </c>
      <c r="E13" s="162">
        <v>192</v>
      </c>
      <c r="F13" s="162">
        <v>212</v>
      </c>
      <c r="G13" s="162">
        <v>174</v>
      </c>
      <c r="H13" s="162">
        <v>294</v>
      </c>
      <c r="I13" s="162">
        <v>-189</v>
      </c>
      <c r="J13" s="162">
        <v>-592</v>
      </c>
      <c r="K13" s="165"/>
      <c r="L13" s="77"/>
    </row>
    <row r="14" spans="1:257">
      <c r="A14" s="188" t="s">
        <v>157</v>
      </c>
      <c r="B14" s="182"/>
      <c r="C14" s="183"/>
      <c r="D14" s="182"/>
      <c r="E14" s="182"/>
      <c r="F14" s="139"/>
      <c r="G14" s="182"/>
      <c r="H14" s="182"/>
      <c r="I14" s="182"/>
      <c r="J14" s="184"/>
    </row>
    <row r="15" spans="1:257" ht="12">
      <c r="A15" s="164" t="s">
        <v>107</v>
      </c>
      <c r="B15" s="163">
        <v>-1156</v>
      </c>
      <c r="C15" s="163">
        <v>-787</v>
      </c>
      <c r="D15" s="163">
        <v>-1307</v>
      </c>
      <c r="E15" s="163">
        <v>-1641</v>
      </c>
      <c r="F15" s="163">
        <v>-2094</v>
      </c>
      <c r="G15" s="163">
        <v>-2578</v>
      </c>
      <c r="H15" s="163">
        <v>-3768</v>
      </c>
      <c r="I15" s="163">
        <v>-2169</v>
      </c>
      <c r="J15" s="163">
        <v>-4340</v>
      </c>
    </row>
    <row r="16" spans="1:257" ht="12">
      <c r="A16" s="164" t="s">
        <v>159</v>
      </c>
      <c r="B16" s="162">
        <v>-232</v>
      </c>
      <c r="C16" s="162">
        <v>-845</v>
      </c>
      <c r="D16" s="162">
        <v>-930</v>
      </c>
      <c r="E16" s="162">
        <v>459</v>
      </c>
      <c r="F16" s="162">
        <v>-318</v>
      </c>
      <c r="G16" s="162">
        <v>312</v>
      </c>
      <c r="H16" s="162">
        <v>955</v>
      </c>
      <c r="I16" s="162">
        <v>483</v>
      </c>
      <c r="J16" s="162">
        <v>1273</v>
      </c>
    </row>
    <row r="17" spans="1:12" ht="12">
      <c r="A17" s="164" t="s">
        <v>79</v>
      </c>
      <c r="B17" s="163">
        <v>30</v>
      </c>
      <c r="C17" s="163">
        <v>300</v>
      </c>
      <c r="D17" s="163">
        <v>291</v>
      </c>
      <c r="E17" s="163">
        <v>279</v>
      </c>
      <c r="F17" s="163">
        <v>339</v>
      </c>
      <c r="G17" s="163">
        <v>593</v>
      </c>
      <c r="H17" s="163">
        <v>731</v>
      </c>
      <c r="I17" s="163">
        <v>1067</v>
      </c>
      <c r="J17" s="163">
        <v>428</v>
      </c>
    </row>
    <row r="18" spans="1:12" ht="12">
      <c r="A18" s="164" t="s">
        <v>161</v>
      </c>
      <c r="B18" s="162">
        <v>660</v>
      </c>
      <c r="C18" s="162">
        <v>704</v>
      </c>
      <c r="D18" s="162">
        <v>713</v>
      </c>
      <c r="E18" s="162">
        <v>757</v>
      </c>
      <c r="F18" s="162">
        <v>1597</v>
      </c>
      <c r="G18" s="162">
        <v>1515</v>
      </c>
      <c r="H18" s="162">
        <v>4891</v>
      </c>
      <c r="I18" s="162">
        <v>8614</v>
      </c>
      <c r="J18" s="162">
        <v>7170</v>
      </c>
    </row>
    <row r="19" spans="1:12" ht="12">
      <c r="A19" s="164" t="s">
        <v>108</v>
      </c>
      <c r="B19" s="163">
        <v>101</v>
      </c>
      <c r="C19" s="163">
        <v>499</v>
      </c>
      <c r="D19" s="163">
        <v>605</v>
      </c>
      <c r="E19" s="163">
        <v>436</v>
      </c>
      <c r="F19" s="163">
        <v>203</v>
      </c>
      <c r="G19" s="163">
        <v>110</v>
      </c>
      <c r="H19" s="163">
        <v>731</v>
      </c>
      <c r="I19" s="163">
        <v>1067</v>
      </c>
      <c r="J19" s="163">
        <v>428</v>
      </c>
    </row>
    <row r="20" spans="1:12" ht="12">
      <c r="A20" s="164" t="s">
        <v>158</v>
      </c>
      <c r="B20" s="162">
        <v>731</v>
      </c>
      <c r="C20" s="162">
        <v>1492</v>
      </c>
      <c r="D20" s="162">
        <v>588</v>
      </c>
      <c r="E20" s="162">
        <v>591</v>
      </c>
      <c r="F20" s="162">
        <v>-179</v>
      </c>
      <c r="G20" s="162">
        <v>3125</v>
      </c>
      <c r="H20" s="162">
        <v>8211</v>
      </c>
      <c r="I20" s="162">
        <v>-2251</v>
      </c>
      <c r="J20" s="162">
        <v>-3128</v>
      </c>
    </row>
    <row r="21" spans="1:12" ht="12">
      <c r="A21" s="164" t="s">
        <v>163</v>
      </c>
      <c r="B21" s="163">
        <v>126</v>
      </c>
      <c r="C21" s="163">
        <v>-228</v>
      </c>
      <c r="D21" s="163">
        <v>233</v>
      </c>
      <c r="E21" s="163">
        <v>-175</v>
      </c>
      <c r="F21" s="163">
        <v>43</v>
      </c>
      <c r="G21" s="163">
        <v>223</v>
      </c>
      <c r="H21" s="163">
        <v>390</v>
      </c>
      <c r="I21" s="163">
        <v>371</v>
      </c>
      <c r="J21" s="163">
        <v>37</v>
      </c>
    </row>
    <row r="22" spans="1:12">
      <c r="A22" s="143" t="s">
        <v>80</v>
      </c>
      <c r="B22" s="185">
        <f t="shared" ref="B22:C22" si="0">SUM(B8:B21)</f>
        <v>4828</v>
      </c>
      <c r="C22" s="185">
        <f t="shared" si="0"/>
        <v>5882</v>
      </c>
      <c r="D22" s="185">
        <f t="shared" ref="D22:J22" si="1">SUM(D8:D21)</f>
        <v>7144</v>
      </c>
      <c r="E22" s="185">
        <f t="shared" si="1"/>
        <v>9662</v>
      </c>
      <c r="F22" s="185">
        <f t="shared" si="1"/>
        <v>10224</v>
      </c>
      <c r="G22" s="185">
        <f t="shared" si="1"/>
        <v>16558</v>
      </c>
      <c r="H22" s="185">
        <f t="shared" si="1"/>
        <v>27324</v>
      </c>
      <c r="I22" s="185">
        <f t="shared" si="1"/>
        <v>19509</v>
      </c>
      <c r="J22" s="185">
        <f t="shared" si="1"/>
        <v>21226</v>
      </c>
    </row>
    <row r="23" spans="1:12">
      <c r="A23" s="143" t="s">
        <v>160</v>
      </c>
      <c r="B23" s="185">
        <f t="shared" ref="B23:C23" si="2">B5+B22</f>
        <v>14565</v>
      </c>
      <c r="C23" s="185">
        <f t="shared" si="2"/>
        <v>16619</v>
      </c>
      <c r="D23" s="185">
        <f>D5+D22</f>
        <v>19877</v>
      </c>
      <c r="E23" s="185">
        <f>E5+E22</f>
        <v>23798</v>
      </c>
      <c r="F23" s="185">
        <f>F5+F22</f>
        <v>26572</v>
      </c>
      <c r="G23" s="185">
        <f>G5+G22</f>
        <v>36036</v>
      </c>
      <c r="H23" s="185">
        <v>37091</v>
      </c>
      <c r="I23" s="185">
        <v>47971</v>
      </c>
      <c r="J23" s="185">
        <v>54520</v>
      </c>
    </row>
    <row r="24" spans="1:12">
      <c r="A24" s="227"/>
      <c r="B24" s="228"/>
      <c r="C24" s="228"/>
      <c r="D24" s="228"/>
      <c r="E24" s="228"/>
      <c r="F24" s="228"/>
      <c r="G24" s="228"/>
      <c r="H24" s="228"/>
      <c r="I24" s="228"/>
      <c r="J24" s="228"/>
      <c r="K24" s="76"/>
      <c r="L24" s="78"/>
    </row>
    <row r="25" spans="1:12">
      <c r="A25" s="137" t="s">
        <v>148</v>
      </c>
      <c r="B25" s="162">
        <v>-3438</v>
      </c>
      <c r="C25" s="162">
        <v>-3273</v>
      </c>
      <c r="D25" s="162">
        <v>-7358</v>
      </c>
      <c r="E25" s="162">
        <v>-10959</v>
      </c>
      <c r="F25" s="162">
        <v>-9915</v>
      </c>
      <c r="G25" s="162">
        <v>-10212</v>
      </c>
      <c r="H25" s="162">
        <v>-13184</v>
      </c>
      <c r="I25" s="162">
        <v>-25139</v>
      </c>
      <c r="J25" s="162">
        <v>-23548</v>
      </c>
    </row>
    <row r="26" spans="1:12">
      <c r="A26" s="140" t="s">
        <v>149</v>
      </c>
      <c r="B26" s="163">
        <v>-1900</v>
      </c>
      <c r="C26" s="163">
        <v>-10568</v>
      </c>
      <c r="D26" s="163">
        <v>-2185</v>
      </c>
      <c r="E26" s="163">
        <v>-4888</v>
      </c>
      <c r="F26" s="163">
        <v>-236</v>
      </c>
      <c r="G26" s="163">
        <v>-986</v>
      </c>
      <c r="H26" s="163">
        <v>-287</v>
      </c>
      <c r="I26" s="163">
        <v>-1491</v>
      </c>
      <c r="J26" s="163">
        <v>-2515</v>
      </c>
    </row>
    <row r="27" spans="1:12">
      <c r="A27" s="140" t="s">
        <v>150</v>
      </c>
      <c r="B27" s="162">
        <v>-61672</v>
      </c>
      <c r="C27" s="162">
        <v>-36701</v>
      </c>
      <c r="D27" s="162">
        <v>-45444</v>
      </c>
      <c r="E27" s="162">
        <v>-57084</v>
      </c>
      <c r="F27" s="162">
        <v>-74368</v>
      </c>
      <c r="G27" s="162">
        <v>-84509</v>
      </c>
      <c r="H27" s="162">
        <v>-92195</v>
      </c>
      <c r="I27" s="162">
        <v>-50158</v>
      </c>
      <c r="J27" s="162">
        <v>-100315</v>
      </c>
    </row>
    <row r="28" spans="1:12">
      <c r="A28" s="140" t="s">
        <v>151</v>
      </c>
      <c r="B28" s="163">
        <v>48746</v>
      </c>
      <c r="C28" s="163">
        <v>35180</v>
      </c>
      <c r="D28" s="163">
        <v>38314</v>
      </c>
      <c r="E28" s="163">
        <v>51315</v>
      </c>
      <c r="F28" s="163">
        <v>62905</v>
      </c>
      <c r="G28" s="163">
        <v>66895</v>
      </c>
      <c r="H28" s="163">
        <v>73959</v>
      </c>
      <c r="I28" s="163">
        <v>48507</v>
      </c>
      <c r="J28" s="163">
        <v>97825</v>
      </c>
    </row>
    <row r="29" spans="1:12">
      <c r="A29" s="140" t="s">
        <v>152</v>
      </c>
      <c r="B29" s="162">
        <v>413</v>
      </c>
      <c r="C29" s="162">
        <v>53</v>
      </c>
      <c r="D29" s="162">
        <v>2525</v>
      </c>
      <c r="E29" s="162">
        <v>386</v>
      </c>
      <c r="F29" s="162">
        <v>-47</v>
      </c>
      <c r="G29" s="162">
        <v>494</v>
      </c>
      <c r="H29" s="162">
        <v>533</v>
      </c>
      <c r="I29" s="162">
        <v>1752</v>
      </c>
      <c r="J29" s="162">
        <v>405</v>
      </c>
    </row>
    <row r="30" spans="1:12">
      <c r="A30" s="140" t="s">
        <v>153</v>
      </c>
      <c r="B30" s="163">
        <v>-354</v>
      </c>
      <c r="C30" s="163">
        <v>-334</v>
      </c>
      <c r="D30" s="163">
        <v>-299</v>
      </c>
      <c r="E30" s="163">
        <v>1403</v>
      </c>
      <c r="F30" s="163">
        <v>-350</v>
      </c>
      <c r="G30" s="163">
        <v>-2428</v>
      </c>
      <c r="H30" s="163">
        <v>1419</v>
      </c>
      <c r="I30" s="163">
        <v>0</v>
      </c>
      <c r="J30" s="163">
        <v>0</v>
      </c>
    </row>
    <row r="31" spans="1:12">
      <c r="A31" s="140" t="s">
        <v>154</v>
      </c>
      <c r="B31" s="162">
        <f>-1649</f>
        <v>-1649</v>
      </c>
      <c r="C31" s="162">
        <v>-1054</v>
      </c>
      <c r="D31" s="162">
        <v>-569</v>
      </c>
      <c r="E31" s="162">
        <v>-1227</v>
      </c>
      <c r="F31" s="162">
        <v>-2172</v>
      </c>
      <c r="G31" s="162">
        <v>-1109</v>
      </c>
      <c r="H31" s="162">
        <v>-1745</v>
      </c>
      <c r="I31" s="162">
        <v>-2073</v>
      </c>
      <c r="J31" s="162">
        <v>-1932</v>
      </c>
    </row>
    <row r="32" spans="1:12">
      <c r="A32" s="140" t="s">
        <v>147</v>
      </c>
      <c r="B32" s="163">
        <v>435</v>
      </c>
      <c r="C32" s="163">
        <v>778</v>
      </c>
      <c r="D32" s="163">
        <v>600</v>
      </c>
      <c r="E32" s="163">
        <v>-775</v>
      </c>
      <c r="F32" s="163">
        <v>425</v>
      </c>
      <c r="G32" s="163">
        <v>690</v>
      </c>
      <c r="H32" s="163">
        <v>99</v>
      </c>
      <c r="I32" s="163">
        <v>98</v>
      </c>
      <c r="J32" s="163">
        <v>589</v>
      </c>
    </row>
    <row r="33" spans="1:10">
      <c r="A33" s="138" t="s">
        <v>81</v>
      </c>
      <c r="B33" s="160">
        <f t="shared" ref="B33:G33" si="3">SUM(B25:B32)</f>
        <v>-19419</v>
      </c>
      <c r="C33" s="160">
        <f t="shared" si="3"/>
        <v>-15919</v>
      </c>
      <c r="D33" s="160">
        <f t="shared" si="3"/>
        <v>-14416</v>
      </c>
      <c r="E33" s="160">
        <f t="shared" si="3"/>
        <v>-21829</v>
      </c>
      <c r="F33" s="160">
        <f t="shared" si="3"/>
        <v>-23758</v>
      </c>
      <c r="G33" s="160">
        <f t="shared" si="3"/>
        <v>-31165</v>
      </c>
      <c r="H33" s="160">
        <f>SUM(H25:H32)</f>
        <v>-31401</v>
      </c>
      <c r="I33" s="160">
        <f>SUM(I25:I32)</f>
        <v>-28504</v>
      </c>
      <c r="J33" s="160">
        <f>SUM(J25:J32)</f>
        <v>-29491</v>
      </c>
    </row>
    <row r="34" spans="1:10">
      <c r="B34" s="139"/>
      <c r="C34" s="139"/>
      <c r="D34" s="139"/>
      <c r="E34" s="139"/>
      <c r="F34" s="139"/>
      <c r="G34" s="139"/>
      <c r="H34" s="139"/>
      <c r="I34" s="139"/>
      <c r="J34" s="139"/>
    </row>
    <row r="35" spans="1:10">
      <c r="A35" s="137" t="s">
        <v>167</v>
      </c>
      <c r="B35" s="162">
        <v>0</v>
      </c>
      <c r="C35" s="162">
        <v>0</v>
      </c>
      <c r="D35" s="162">
        <v>0</v>
      </c>
      <c r="E35" s="162">
        <v>0</v>
      </c>
      <c r="F35" s="162">
        <v>0</v>
      </c>
      <c r="G35" s="162">
        <v>0</v>
      </c>
      <c r="H35" s="162">
        <v>800</v>
      </c>
      <c r="I35" s="162">
        <v>950</v>
      </c>
      <c r="J35" s="162">
        <v>220</v>
      </c>
    </row>
    <row r="36" spans="1:10">
      <c r="A36" s="137" t="s">
        <v>165</v>
      </c>
      <c r="B36" s="163">
        <v>0</v>
      </c>
      <c r="C36" s="163">
        <v>0</v>
      </c>
      <c r="D36" s="163">
        <v>0</v>
      </c>
      <c r="E36" s="163">
        <v>0</v>
      </c>
      <c r="F36" s="163">
        <v>-1780</v>
      </c>
      <c r="G36" s="163">
        <v>-3693</v>
      </c>
      <c r="H36" s="163">
        <v>-4846</v>
      </c>
      <c r="I36" s="163">
        <v>-9075</v>
      </c>
      <c r="J36" s="163">
        <v>-18396</v>
      </c>
    </row>
    <row r="37" spans="1:10">
      <c r="A37" s="137" t="s">
        <v>164</v>
      </c>
      <c r="B37" s="162">
        <v>-5</v>
      </c>
      <c r="C37" s="162">
        <v>-287</v>
      </c>
      <c r="D37" s="162">
        <v>-781</v>
      </c>
      <c r="E37" s="162">
        <v>-2069</v>
      </c>
      <c r="F37" s="162">
        <v>-2375</v>
      </c>
      <c r="G37" s="162">
        <v>-3304</v>
      </c>
      <c r="H37" s="162">
        <v>-4166</v>
      </c>
      <c r="I37" s="162">
        <v>-4993</v>
      </c>
      <c r="J37" s="162">
        <v>-4765</v>
      </c>
    </row>
    <row r="38" spans="1:10">
      <c r="A38" s="137" t="s">
        <v>146</v>
      </c>
      <c r="B38" s="163">
        <v>10905</v>
      </c>
      <c r="C38" s="163">
        <v>16109</v>
      </c>
      <c r="D38" s="163">
        <v>10768</v>
      </c>
      <c r="E38" s="163">
        <v>11625</v>
      </c>
      <c r="F38" s="163">
        <v>13705</v>
      </c>
      <c r="G38" s="163">
        <v>8729</v>
      </c>
      <c r="H38" s="163">
        <v>4291</v>
      </c>
      <c r="I38" s="163">
        <v>6766</v>
      </c>
      <c r="J38" s="163">
        <v>317</v>
      </c>
    </row>
    <row r="39" spans="1:10">
      <c r="A39" s="137" t="s">
        <v>166</v>
      </c>
      <c r="B39" s="162">
        <v>-9671</v>
      </c>
      <c r="C39" s="162">
        <v>-15015</v>
      </c>
      <c r="D39" s="162">
        <v>-11325</v>
      </c>
      <c r="E39" s="162">
        <v>-11643</v>
      </c>
      <c r="F39" s="162">
        <v>-13728</v>
      </c>
      <c r="G39" s="162">
        <v>-10064</v>
      </c>
      <c r="H39" s="162">
        <v>-4377</v>
      </c>
      <c r="I39" s="162">
        <v>-6827</v>
      </c>
      <c r="J39" s="162">
        <v>-585</v>
      </c>
    </row>
    <row r="40" spans="1:10">
      <c r="A40" s="138" t="s">
        <v>82</v>
      </c>
      <c r="B40" s="185">
        <f t="shared" ref="B40:I40" si="4">SUM(B35:B39)</f>
        <v>1229</v>
      </c>
      <c r="C40" s="185">
        <f>SUM(C35:C39)</f>
        <v>807</v>
      </c>
      <c r="D40" s="185">
        <f t="shared" si="4"/>
        <v>-1338</v>
      </c>
      <c r="E40" s="185">
        <f t="shared" si="4"/>
        <v>-2087</v>
      </c>
      <c r="F40" s="185">
        <f t="shared" si="4"/>
        <v>-4178</v>
      </c>
      <c r="G40" s="185">
        <f t="shared" si="4"/>
        <v>-8332</v>
      </c>
      <c r="H40" s="185">
        <f t="shared" si="4"/>
        <v>-8298</v>
      </c>
      <c r="I40" s="185">
        <f t="shared" si="4"/>
        <v>-13179</v>
      </c>
      <c r="J40" s="185">
        <f>SUM(J35:J39)</f>
        <v>-23209</v>
      </c>
    </row>
    <row r="41" spans="1:10">
      <c r="A41" s="137" t="s">
        <v>83</v>
      </c>
      <c r="B41" s="163">
        <v>-22</v>
      </c>
      <c r="C41" s="163">
        <v>-563</v>
      </c>
      <c r="D41" s="163">
        <v>-3</v>
      </c>
      <c r="E41" s="163">
        <v>-433</v>
      </c>
      <c r="F41" s="163">
        <v>-434</v>
      </c>
      <c r="G41" s="163">
        <v>-170</v>
      </c>
      <c r="H41" s="163">
        <v>405</v>
      </c>
      <c r="I41" s="163">
        <v>-302</v>
      </c>
      <c r="J41" s="163">
        <v>-23</v>
      </c>
    </row>
    <row r="42" spans="1:10">
      <c r="A42" s="138" t="s">
        <v>84</v>
      </c>
      <c r="B42" s="186">
        <f t="shared" ref="B42:J42" si="5">B23+B33+B40+B41</f>
        <v>-3647</v>
      </c>
      <c r="C42" s="186">
        <f t="shared" si="5"/>
        <v>944</v>
      </c>
      <c r="D42" s="186">
        <f t="shared" si="5"/>
        <v>4120</v>
      </c>
      <c r="E42" s="186">
        <f t="shared" si="5"/>
        <v>-551</v>
      </c>
      <c r="F42" s="186">
        <f t="shared" si="5"/>
        <v>-1798</v>
      </c>
      <c r="G42" s="186">
        <f t="shared" si="5"/>
        <v>-3631</v>
      </c>
      <c r="H42" s="186">
        <f t="shared" si="5"/>
        <v>-2203</v>
      </c>
      <c r="I42" s="186">
        <f t="shared" si="5"/>
        <v>5986</v>
      </c>
      <c r="J42" s="186">
        <f t="shared" si="5"/>
        <v>1797</v>
      </c>
    </row>
    <row r="43" spans="1:10">
      <c r="A43" s="138" t="s">
        <v>85</v>
      </c>
      <c r="B43" s="186">
        <v>17481</v>
      </c>
      <c r="C43" s="186">
        <f>B44</f>
        <v>13834</v>
      </c>
      <c r="D43" s="186">
        <v>14778</v>
      </c>
      <c r="E43" s="186">
        <v>18898</v>
      </c>
      <c r="F43" s="186">
        <v>18347</v>
      </c>
      <c r="G43" s="186">
        <v>18347</v>
      </c>
      <c r="H43" s="186">
        <v>12918</v>
      </c>
      <c r="I43" s="186">
        <v>10715</v>
      </c>
      <c r="J43" s="186">
        <v>16701</v>
      </c>
    </row>
    <row r="44" spans="1:10">
      <c r="A44" s="138" t="s">
        <v>86</v>
      </c>
      <c r="B44" s="187">
        <f t="shared" ref="B44:G44" si="6">B43+B42</f>
        <v>13834</v>
      </c>
      <c r="C44" s="187">
        <f t="shared" si="6"/>
        <v>14778</v>
      </c>
      <c r="D44" s="187">
        <f t="shared" si="6"/>
        <v>18898</v>
      </c>
      <c r="E44" s="187">
        <f t="shared" si="6"/>
        <v>18347</v>
      </c>
      <c r="F44" s="187">
        <f t="shared" si="6"/>
        <v>16549</v>
      </c>
      <c r="G44" s="187">
        <f t="shared" si="6"/>
        <v>14716</v>
      </c>
      <c r="H44" s="187">
        <f t="shared" ref="H44:I44" si="7">H42+H43</f>
        <v>10715</v>
      </c>
      <c r="I44" s="187">
        <f t="shared" si="7"/>
        <v>16701</v>
      </c>
      <c r="J44" s="187">
        <f>J42+J43</f>
        <v>18498</v>
      </c>
    </row>
    <row r="46" spans="1:10">
      <c r="B46" s="156"/>
      <c r="C46" s="156"/>
      <c r="D46" s="156"/>
      <c r="E46" s="156"/>
      <c r="F46" s="156"/>
      <c r="G46" s="156"/>
      <c r="H46" s="156"/>
      <c r="I46" s="156"/>
      <c r="J46" s="156"/>
    </row>
  </sheetData>
  <phoneticPr fontId="55" type="noConversion"/>
  <pageMargins left="0.2" right="0.2" top="0.5" bottom="0.5" header="0.5" footer="0.5"/>
  <pageSetup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>
    <tabColor theme="5"/>
    <outlinePr summaryBelow="0" summaryRight="0"/>
    <pageSetUpPr autoPageBreaks="0"/>
  </sheetPr>
  <dimension ref="A2:IW114"/>
  <sheetViews>
    <sheetView showGridLines="0" zoomScale="80" zoomScaleNormal="80" workbookViewId="0">
      <selection activeCell="A8" sqref="A8"/>
    </sheetView>
  </sheetViews>
  <sheetFormatPr baseColWidth="10" defaultColWidth="9.1640625" defaultRowHeight="11"/>
  <cols>
    <col min="1" max="1" width="41.83203125" style="37" bestFit="1" customWidth="1"/>
    <col min="2" max="4" width="14.83203125" style="37" customWidth="1"/>
    <col min="5" max="5" width="16.83203125" style="37" customWidth="1"/>
    <col min="6" max="9" width="14.83203125" style="37" customWidth="1"/>
    <col min="10" max="10" width="15.83203125" style="37" customWidth="1"/>
    <col min="11" max="11" width="10" style="37" bestFit="1" customWidth="1"/>
    <col min="12" max="12" width="9.5" style="37" bestFit="1" customWidth="1"/>
    <col min="13" max="16" width="9.33203125" style="37" bestFit="1" customWidth="1"/>
    <col min="17" max="16384" width="9.1640625" style="37"/>
  </cols>
  <sheetData>
    <row r="2" spans="1:257">
      <c r="A2" s="66" t="s">
        <v>74</v>
      </c>
      <c r="B2" s="66"/>
      <c r="C2" s="66"/>
      <c r="D2" s="66"/>
      <c r="E2" s="66"/>
      <c r="F2" s="66"/>
      <c r="G2" s="66"/>
      <c r="H2" s="66"/>
      <c r="I2" s="66"/>
      <c r="J2" s="66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</row>
    <row r="3" spans="1:257" ht="25">
      <c r="A3" s="44" t="s">
        <v>40</v>
      </c>
      <c r="B3" s="45" t="s">
        <v>110</v>
      </c>
      <c r="C3" s="45" t="s">
        <v>111</v>
      </c>
      <c r="D3" s="45" t="s">
        <v>112</v>
      </c>
      <c r="E3" s="45" t="s">
        <v>113</v>
      </c>
      <c r="F3" s="45" t="s">
        <v>114</v>
      </c>
      <c r="G3" s="45" t="s">
        <v>115</v>
      </c>
      <c r="H3" s="45" t="s">
        <v>116</v>
      </c>
      <c r="I3" s="45" t="s">
        <v>117</v>
      </c>
      <c r="J3" s="45" t="s">
        <v>118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57" ht="12">
      <c r="A4" s="46" t="s">
        <v>41</v>
      </c>
      <c r="B4" s="47" t="s">
        <v>42</v>
      </c>
      <c r="C4" s="47" t="s">
        <v>42</v>
      </c>
      <c r="D4" s="47" t="s">
        <v>42</v>
      </c>
      <c r="E4" s="47" t="s">
        <v>42</v>
      </c>
      <c r="F4" s="47" t="s">
        <v>42</v>
      </c>
      <c r="G4" s="47" t="s">
        <v>42</v>
      </c>
      <c r="H4" s="47" t="s">
        <v>42</v>
      </c>
      <c r="I4" s="47" t="s">
        <v>42</v>
      </c>
      <c r="J4" s="47" t="s">
        <v>42</v>
      </c>
    </row>
    <row r="5" spans="1:257">
      <c r="A5" s="69" t="s">
        <v>43</v>
      </c>
      <c r="B5" s="68"/>
      <c r="C5" s="68"/>
      <c r="D5" s="68"/>
      <c r="E5" s="68"/>
      <c r="F5" s="68"/>
      <c r="G5" s="68"/>
      <c r="H5" s="68"/>
      <c r="I5" s="68"/>
      <c r="J5" s="68"/>
    </row>
    <row r="6" spans="1:257">
      <c r="A6" s="132" t="s">
        <v>104</v>
      </c>
      <c r="B6" s="191">
        <v>30792</v>
      </c>
      <c r="C6" s="191">
        <v>33310</v>
      </c>
      <c r="D6" s="191">
        <v>39819</v>
      </c>
      <c r="E6" s="191">
        <v>46048</v>
      </c>
      <c r="F6" s="191">
        <v>56517</v>
      </c>
      <c r="G6" s="191">
        <v>73415</v>
      </c>
      <c r="H6" s="191">
        <v>91156</v>
      </c>
      <c r="I6" s="191">
        <v>92439</v>
      </c>
      <c r="J6" s="191">
        <v>101177</v>
      </c>
    </row>
    <row r="7" spans="1:257">
      <c r="A7" s="68" t="s">
        <v>44</v>
      </c>
      <c r="B7" s="192">
        <v>13834</v>
      </c>
      <c r="C7" s="192">
        <v>14778</v>
      </c>
      <c r="D7" s="192">
        <v>18898</v>
      </c>
      <c r="E7" s="192">
        <v>18347</v>
      </c>
      <c r="F7" s="192">
        <v>16549</v>
      </c>
      <c r="G7" s="192">
        <v>12918</v>
      </c>
      <c r="H7" s="192">
        <v>10715</v>
      </c>
      <c r="I7" s="192">
        <v>16701</v>
      </c>
      <c r="J7" s="192">
        <v>18498</v>
      </c>
    </row>
    <row r="8" spans="1:257">
      <c r="A8" s="69" t="s">
        <v>45</v>
      </c>
      <c r="B8" s="193">
        <f>SUM(B6:B7)</f>
        <v>44626</v>
      </c>
      <c r="C8" s="193">
        <f>SUM(C6:C7)</f>
        <v>48088</v>
      </c>
      <c r="D8" s="193">
        <f t="shared" ref="D8:J8" si="0">SUM(D6:D7)</f>
        <v>58717</v>
      </c>
      <c r="E8" s="193">
        <f t="shared" si="0"/>
        <v>64395</v>
      </c>
      <c r="F8" s="193">
        <f t="shared" si="0"/>
        <v>73066</v>
      </c>
      <c r="G8" s="193">
        <f t="shared" si="0"/>
        <v>86333</v>
      </c>
      <c r="H8" s="193">
        <f t="shared" si="0"/>
        <v>101871</v>
      </c>
      <c r="I8" s="193">
        <f t="shared" si="0"/>
        <v>109140</v>
      </c>
      <c r="J8" s="193">
        <f t="shared" si="0"/>
        <v>119675</v>
      </c>
    </row>
    <row r="9" spans="1:257">
      <c r="A9" s="68"/>
      <c r="B9" s="194"/>
      <c r="C9" s="194"/>
      <c r="D9" s="194"/>
      <c r="E9" s="194"/>
      <c r="F9" s="194"/>
      <c r="G9" s="194"/>
      <c r="H9" s="194"/>
      <c r="I9" s="194"/>
      <c r="J9" s="194"/>
    </row>
    <row r="10" spans="1:257">
      <c r="A10" s="68" t="s">
        <v>173</v>
      </c>
      <c r="B10" s="195">
        <v>6172</v>
      </c>
      <c r="C10" s="195">
        <v>7885</v>
      </c>
      <c r="D10" s="195">
        <v>8882</v>
      </c>
      <c r="E10" s="195">
        <v>9383</v>
      </c>
      <c r="F10" s="196">
        <v>11556</v>
      </c>
      <c r="G10" s="196">
        <v>14137</v>
      </c>
      <c r="H10" s="196">
        <v>18336</v>
      </c>
      <c r="I10" s="197">
        <v>20838</v>
      </c>
      <c r="J10" s="196">
        <v>25326</v>
      </c>
    </row>
    <row r="11" spans="1:257">
      <c r="A11" s="69" t="s">
        <v>46</v>
      </c>
      <c r="B11" s="198">
        <f>B10</f>
        <v>6172</v>
      </c>
      <c r="C11" s="198">
        <f>C10</f>
        <v>7885</v>
      </c>
      <c r="D11" s="198">
        <f t="shared" ref="D11:J11" si="1">D10</f>
        <v>8882</v>
      </c>
      <c r="E11" s="198">
        <f t="shared" si="1"/>
        <v>9383</v>
      </c>
      <c r="F11" s="198">
        <f t="shared" si="1"/>
        <v>11556</v>
      </c>
      <c r="G11" s="198">
        <f t="shared" si="1"/>
        <v>14137</v>
      </c>
      <c r="H11" s="198">
        <f t="shared" si="1"/>
        <v>18336</v>
      </c>
      <c r="I11" s="198">
        <f t="shared" si="1"/>
        <v>20838</v>
      </c>
      <c r="J11" s="198">
        <f t="shared" si="1"/>
        <v>25326</v>
      </c>
    </row>
    <row r="12" spans="1:257">
      <c r="A12" s="68"/>
      <c r="B12" s="194"/>
      <c r="C12" s="194"/>
      <c r="D12" s="194"/>
      <c r="E12" s="194"/>
      <c r="F12" s="194"/>
      <c r="G12" s="194"/>
      <c r="H12" s="194"/>
      <c r="I12" s="194"/>
      <c r="J12" s="194"/>
    </row>
    <row r="13" spans="1:257">
      <c r="A13" s="68" t="s">
        <v>172</v>
      </c>
      <c r="B13" s="131">
        <v>35</v>
      </c>
      <c r="C13" s="131">
        <v>505</v>
      </c>
      <c r="D13" s="131">
        <v>426</v>
      </c>
      <c r="E13" s="101">
        <v>217</v>
      </c>
      <c r="F13" s="101">
        <v>491</v>
      </c>
      <c r="G13" s="101">
        <v>268</v>
      </c>
      <c r="H13" s="101">
        <v>749</v>
      </c>
      <c r="I13" s="101">
        <v>1107</v>
      </c>
      <c r="J13" s="101">
        <v>999</v>
      </c>
    </row>
    <row r="14" spans="1:257">
      <c r="A14" s="68" t="s">
        <v>36</v>
      </c>
      <c r="B14" s="192">
        <v>1710</v>
      </c>
      <c r="C14" s="192">
        <v>2132</v>
      </c>
      <c r="D14" s="192">
        <v>3253</v>
      </c>
      <c r="E14" s="192">
        <v>3412</v>
      </c>
      <c r="F14" s="192">
        <v>2648</v>
      </c>
      <c r="G14" s="192">
        <v>4575</v>
      </c>
      <c r="H14" s="192">
        <v>369</v>
      </c>
      <c r="I14" s="192">
        <v>355</v>
      </c>
      <c r="J14" s="192">
        <v>2166</v>
      </c>
    </row>
    <row r="15" spans="1:257">
      <c r="A15" s="68" t="s">
        <v>37</v>
      </c>
      <c r="B15" s="131">
        <v>215</v>
      </c>
      <c r="C15" s="195">
        <v>2011</v>
      </c>
      <c r="D15" s="195">
        <v>1976</v>
      </c>
      <c r="E15" s="195">
        <v>3280</v>
      </c>
      <c r="F15" s="196">
        <v>3181</v>
      </c>
      <c r="G15" s="196">
        <v>1819</v>
      </c>
      <c r="H15" s="196">
        <v>2983</v>
      </c>
      <c r="I15" s="101">
        <v>4236</v>
      </c>
      <c r="J15" s="101">
        <v>4412</v>
      </c>
    </row>
    <row r="16" spans="1:257">
      <c r="A16" s="69" t="s">
        <v>47</v>
      </c>
      <c r="B16" s="198">
        <f>B8+B11+SUM(B13:B15)</f>
        <v>52758</v>
      </c>
      <c r="C16" s="198">
        <f>C8+C11+SUM(C13:C15)</f>
        <v>60621</v>
      </c>
      <c r="D16" s="198">
        <f>D8+D11+SUM(D13:D15)</f>
        <v>73254</v>
      </c>
      <c r="E16" s="198">
        <f t="shared" ref="E16:J16" si="2">E8+E11+SUM(E13:E15)</f>
        <v>80687</v>
      </c>
      <c r="F16" s="198">
        <f t="shared" si="2"/>
        <v>90942</v>
      </c>
      <c r="G16" s="198">
        <f t="shared" si="2"/>
        <v>107132</v>
      </c>
      <c r="H16" s="198">
        <f t="shared" si="2"/>
        <v>124308</v>
      </c>
      <c r="I16" s="198">
        <f t="shared" si="2"/>
        <v>135676</v>
      </c>
      <c r="J16" s="198">
        <f t="shared" si="2"/>
        <v>152578</v>
      </c>
    </row>
    <row r="17" spans="1:12">
      <c r="A17" s="68"/>
      <c r="B17" s="194"/>
      <c r="C17" s="194"/>
      <c r="D17" s="194"/>
      <c r="E17" s="194"/>
      <c r="F17" s="194"/>
      <c r="G17" s="194"/>
      <c r="H17" s="194"/>
      <c r="I17" s="194"/>
      <c r="J17" s="194"/>
    </row>
    <row r="18" spans="1:12">
      <c r="A18" s="68" t="s">
        <v>48</v>
      </c>
      <c r="B18" s="199">
        <v>9603</v>
      </c>
      <c r="C18" s="199">
        <v>11854</v>
      </c>
      <c r="D18" s="199">
        <v>16524</v>
      </c>
      <c r="E18" s="199">
        <v>23883</v>
      </c>
      <c r="F18" s="199">
        <v>29016</v>
      </c>
      <c r="G18" s="199">
        <v>34234</v>
      </c>
      <c r="H18" s="199">
        <v>42383</v>
      </c>
      <c r="I18" s="199">
        <v>59719</v>
      </c>
      <c r="J18" s="199">
        <v>73646</v>
      </c>
    </row>
    <row r="19" spans="1:12">
      <c r="A19" s="68" t="s">
        <v>49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L19" s="130"/>
    </row>
    <row r="20" spans="1:12">
      <c r="A20" s="69" t="s">
        <v>50</v>
      </c>
      <c r="B20" s="198">
        <f>SUM(B18:B19)</f>
        <v>9603</v>
      </c>
      <c r="C20" s="198">
        <f>SUM(C18:C19)</f>
        <v>11854</v>
      </c>
      <c r="D20" s="198">
        <f t="shared" ref="D20:J20" si="3">SUM(D18:D19)</f>
        <v>16524</v>
      </c>
      <c r="E20" s="198">
        <f t="shared" si="3"/>
        <v>23883</v>
      </c>
      <c r="F20" s="198">
        <f t="shared" si="3"/>
        <v>29016</v>
      </c>
      <c r="G20" s="198">
        <f t="shared" si="3"/>
        <v>34234</v>
      </c>
      <c r="H20" s="198">
        <f t="shared" si="3"/>
        <v>42383</v>
      </c>
      <c r="I20" s="198">
        <f t="shared" si="3"/>
        <v>59719</v>
      </c>
      <c r="J20" s="198">
        <f t="shared" si="3"/>
        <v>73646</v>
      </c>
    </row>
    <row r="21" spans="1:12">
      <c r="A21" s="68"/>
      <c r="B21" s="194"/>
      <c r="C21" s="194"/>
      <c r="D21" s="194"/>
      <c r="E21" s="194"/>
      <c r="F21" s="194"/>
      <c r="G21" s="194"/>
      <c r="H21" s="194"/>
      <c r="I21" s="194"/>
      <c r="J21" s="194"/>
    </row>
    <row r="22" spans="1:12">
      <c r="A22" s="68" t="s">
        <v>51</v>
      </c>
      <c r="B22" s="131">
        <v>8924</v>
      </c>
      <c r="C22" s="131">
        <v>10537</v>
      </c>
      <c r="D22" s="131">
        <v>11492</v>
      </c>
      <c r="E22" s="131">
        <v>15599</v>
      </c>
      <c r="F22" s="101">
        <v>15869</v>
      </c>
      <c r="G22" s="101">
        <v>16468</v>
      </c>
      <c r="H22" s="101">
        <v>16747</v>
      </c>
      <c r="I22" s="101">
        <v>17888</v>
      </c>
      <c r="J22" s="101">
        <v>20624</v>
      </c>
    </row>
    <row r="23" spans="1:12">
      <c r="A23" s="68" t="s">
        <v>177</v>
      </c>
      <c r="B23" s="199">
        <v>499</v>
      </c>
      <c r="C23" s="199">
        <v>2011</v>
      </c>
      <c r="D23" s="199">
        <v>1976</v>
      </c>
      <c r="E23" s="199">
        <v>3187</v>
      </c>
      <c r="F23" s="199">
        <v>3181</v>
      </c>
      <c r="G23" s="199">
        <v>1819</v>
      </c>
      <c r="H23" s="199">
        <v>2672</v>
      </c>
      <c r="I23" s="199">
        <v>2693</v>
      </c>
      <c r="J23" s="199">
        <v>2342</v>
      </c>
    </row>
    <row r="24" spans="1:12">
      <c r="A24" s="68" t="s">
        <v>176</v>
      </c>
      <c r="B24" s="131">
        <v>790</v>
      </c>
      <c r="C24" s="131">
        <v>7546</v>
      </c>
      <c r="D24" s="131">
        <v>7674</v>
      </c>
      <c r="E24" s="131">
        <v>7777</v>
      </c>
      <c r="F24" s="131">
        <v>8453</v>
      </c>
      <c r="G24" s="131">
        <v>7844</v>
      </c>
      <c r="H24" s="131">
        <v>11158</v>
      </c>
      <c r="I24" s="131">
        <v>16816</v>
      </c>
      <c r="J24" s="131">
        <v>26719</v>
      </c>
    </row>
    <row r="25" spans="1:12">
      <c r="A25" s="68" t="s">
        <v>105</v>
      </c>
      <c r="B25" s="198">
        <f>SUM(B22:B24)+B20</f>
        <v>19816</v>
      </c>
      <c r="C25" s="198">
        <f t="shared" ref="C25:J25" si="4">SUM(C22:C24)+C20</f>
        <v>31948</v>
      </c>
      <c r="D25" s="198">
        <f t="shared" si="4"/>
        <v>37666</v>
      </c>
      <c r="E25" s="198">
        <f t="shared" si="4"/>
        <v>50446</v>
      </c>
      <c r="F25" s="198">
        <f t="shared" si="4"/>
        <v>56519</v>
      </c>
      <c r="G25" s="198">
        <f t="shared" si="4"/>
        <v>60365</v>
      </c>
      <c r="H25" s="198">
        <f t="shared" si="4"/>
        <v>72960</v>
      </c>
      <c r="I25" s="198">
        <f t="shared" si="4"/>
        <v>97116</v>
      </c>
      <c r="J25" s="198">
        <f t="shared" si="4"/>
        <v>123331</v>
      </c>
    </row>
    <row r="26" spans="1:12">
      <c r="A26" s="69" t="s">
        <v>52</v>
      </c>
      <c r="B26" s="200">
        <f>B16+B25</f>
        <v>72574</v>
      </c>
      <c r="C26" s="200">
        <f t="shared" ref="C26:J26" si="5">C16+C25</f>
        <v>92569</v>
      </c>
      <c r="D26" s="200">
        <f t="shared" si="5"/>
        <v>110920</v>
      </c>
      <c r="E26" s="200">
        <f t="shared" si="5"/>
        <v>131133</v>
      </c>
      <c r="F26" s="200">
        <f t="shared" si="5"/>
        <v>147461</v>
      </c>
      <c r="G26" s="200">
        <f t="shared" si="5"/>
        <v>167497</v>
      </c>
      <c r="H26" s="200">
        <f t="shared" si="5"/>
        <v>197268</v>
      </c>
      <c r="I26" s="200">
        <f t="shared" si="5"/>
        <v>232792</v>
      </c>
      <c r="J26" s="200">
        <f t="shared" si="5"/>
        <v>275909</v>
      </c>
    </row>
    <row r="27" spans="1:12">
      <c r="A27" s="68"/>
      <c r="B27" s="194"/>
      <c r="C27" s="194"/>
      <c r="D27" s="194"/>
      <c r="E27" s="194"/>
      <c r="F27" s="194"/>
      <c r="G27" s="194"/>
      <c r="H27" s="194"/>
      <c r="I27" s="194"/>
      <c r="J27" s="194"/>
    </row>
    <row r="28" spans="1:12">
      <c r="A28" s="69" t="s">
        <v>174</v>
      </c>
      <c r="B28" s="194"/>
      <c r="C28" s="194"/>
      <c r="D28" s="194"/>
      <c r="E28" s="194"/>
      <c r="F28" s="194"/>
      <c r="G28" s="194"/>
      <c r="H28" s="194"/>
      <c r="I28" s="194"/>
      <c r="J28" s="194"/>
      <c r="K28" s="41"/>
    </row>
    <row r="29" spans="1:12">
      <c r="A29" s="68" t="s">
        <v>175</v>
      </c>
      <c r="B29" s="131">
        <v>1337</v>
      </c>
      <c r="C29" s="131">
        <v>2012</v>
      </c>
      <c r="D29" s="131">
        <v>2453</v>
      </c>
      <c r="E29" s="131">
        <v>1715</v>
      </c>
      <c r="F29" s="101">
        <v>1931</v>
      </c>
      <c r="G29" s="101">
        <v>2041</v>
      </c>
      <c r="H29" s="101">
        <v>3137</v>
      </c>
      <c r="I29" s="101">
        <v>4378</v>
      </c>
      <c r="J29" s="101">
        <v>5561</v>
      </c>
    </row>
    <row r="30" spans="1:12">
      <c r="A30" s="68" t="s">
        <v>38</v>
      </c>
      <c r="B30" s="192">
        <v>2103</v>
      </c>
      <c r="C30" s="192">
        <v>3383</v>
      </c>
      <c r="D30" s="192">
        <v>3755</v>
      </c>
      <c r="E30" s="192">
        <v>4434</v>
      </c>
      <c r="F30" s="192">
        <v>4768</v>
      </c>
      <c r="G30" s="192">
        <v>6144</v>
      </c>
      <c r="H30" s="192">
        <v>10177</v>
      </c>
      <c r="I30" s="192">
        <v>16958</v>
      </c>
      <c r="J30" s="192">
        <v>23067</v>
      </c>
    </row>
    <row r="31" spans="1:12">
      <c r="A31" s="70" t="s">
        <v>53</v>
      </c>
      <c r="B31" s="131">
        <v>1693</v>
      </c>
      <c r="C31" s="131">
        <v>2710</v>
      </c>
      <c r="D31" s="131">
        <v>3009</v>
      </c>
      <c r="E31" s="131">
        <v>2009</v>
      </c>
      <c r="F31" s="101">
        <v>3225</v>
      </c>
      <c r="G31" s="101">
        <v>0</v>
      </c>
      <c r="H31" s="101">
        <v>0</v>
      </c>
      <c r="I31" s="101">
        <v>0</v>
      </c>
      <c r="J31" s="101">
        <v>0</v>
      </c>
    </row>
    <row r="32" spans="1:12">
      <c r="A32" s="70" t="s">
        <v>54</v>
      </c>
      <c r="B32" s="192">
        <v>3743</v>
      </c>
      <c r="C32" s="192">
        <v>6021</v>
      </c>
      <c r="D32" s="192">
        <v>6691</v>
      </c>
      <c r="E32" s="192">
        <v>7529</v>
      </c>
      <c r="F32" s="192">
        <v>7564</v>
      </c>
      <c r="G32" s="192">
        <v>5906</v>
      </c>
      <c r="H32" s="192">
        <v>7837</v>
      </c>
      <c r="I32" s="192">
        <v>9742</v>
      </c>
      <c r="J32" s="192">
        <v>12731</v>
      </c>
    </row>
    <row r="33" spans="1:10">
      <c r="A33" s="68" t="s">
        <v>39</v>
      </c>
      <c r="B33" s="131">
        <v>37</v>
      </c>
      <c r="C33" s="131">
        <v>211</v>
      </c>
      <c r="D33" s="201">
        <v>1772</v>
      </c>
      <c r="E33" s="201">
        <v>1092</v>
      </c>
      <c r="F33" s="202">
        <v>1822</v>
      </c>
      <c r="G33" s="202">
        <v>2665</v>
      </c>
      <c r="H33" s="131">
        <v>3032</v>
      </c>
      <c r="I33" s="131">
        <v>3542</v>
      </c>
      <c r="J33" s="131">
        <v>3862</v>
      </c>
    </row>
    <row r="34" spans="1:10">
      <c r="A34" s="69" t="s">
        <v>55</v>
      </c>
      <c r="B34" s="198">
        <f t="shared" ref="B34:C34" si="6">SUM(B29:B33)</f>
        <v>8913</v>
      </c>
      <c r="C34" s="198">
        <f t="shared" si="6"/>
        <v>14337</v>
      </c>
      <c r="D34" s="198">
        <f>SUM(D29:D33)</f>
        <v>17680</v>
      </c>
      <c r="E34" s="198">
        <f t="shared" ref="E34:J34" si="7">SUM(E29:E33)</f>
        <v>16779</v>
      </c>
      <c r="F34" s="198">
        <f t="shared" si="7"/>
        <v>19310</v>
      </c>
      <c r="G34" s="198">
        <f t="shared" si="7"/>
        <v>16756</v>
      </c>
      <c r="H34" s="198">
        <f t="shared" si="7"/>
        <v>24183</v>
      </c>
      <c r="I34" s="198">
        <f t="shared" si="7"/>
        <v>34620</v>
      </c>
      <c r="J34" s="198">
        <f t="shared" si="7"/>
        <v>45221</v>
      </c>
    </row>
    <row r="35" spans="1:10">
      <c r="A35" s="68"/>
      <c r="B35" s="194"/>
      <c r="C35" s="194"/>
      <c r="D35" s="194"/>
      <c r="E35" s="194"/>
      <c r="F35" s="194"/>
      <c r="G35" s="194"/>
      <c r="H35" s="194"/>
      <c r="I35" s="194"/>
      <c r="J35" s="194"/>
    </row>
    <row r="36" spans="1:10">
      <c r="A36" s="158" t="s">
        <v>179</v>
      </c>
      <c r="B36" s="191">
        <v>75</v>
      </c>
      <c r="C36" s="191">
        <v>86</v>
      </c>
      <c r="D36" s="191">
        <v>99</v>
      </c>
      <c r="E36" s="191">
        <v>104</v>
      </c>
      <c r="F36" s="191">
        <v>151</v>
      </c>
      <c r="G36" s="191">
        <v>202</v>
      </c>
      <c r="H36" s="191">
        <v>340</v>
      </c>
      <c r="I36" s="191">
        <v>396</v>
      </c>
      <c r="J36" s="191">
        <v>358</v>
      </c>
    </row>
    <row r="37" spans="1:10">
      <c r="A37" s="158" t="s">
        <v>178</v>
      </c>
      <c r="B37" s="192" t="s">
        <v>136</v>
      </c>
      <c r="C37" s="192">
        <v>46</v>
      </c>
      <c r="D37" s="192">
        <v>49</v>
      </c>
      <c r="E37" s="192">
        <v>1213</v>
      </c>
      <c r="F37" s="192" t="s">
        <v>136</v>
      </c>
      <c r="G37" s="192" t="s">
        <v>136</v>
      </c>
      <c r="H37" s="192">
        <v>26</v>
      </c>
      <c r="I37" s="192">
        <v>62</v>
      </c>
      <c r="J37" s="192">
        <v>10810</v>
      </c>
    </row>
    <row r="38" spans="1:10">
      <c r="A38" s="68" t="s">
        <v>56</v>
      </c>
      <c r="B38" s="131">
        <v>2986</v>
      </c>
      <c r="C38" s="131">
        <v>2988</v>
      </c>
      <c r="D38" s="131">
        <v>2236</v>
      </c>
      <c r="E38" s="131">
        <v>3228</v>
      </c>
      <c r="F38" s="101">
        <v>1995</v>
      </c>
      <c r="G38" s="101">
        <v>3935</v>
      </c>
      <c r="H38" s="101">
        <v>3943</v>
      </c>
      <c r="I38" s="101">
        <v>3950</v>
      </c>
      <c r="J38" s="131">
        <v>3958</v>
      </c>
    </row>
    <row r="39" spans="1:10">
      <c r="A39" s="68" t="s">
        <v>181</v>
      </c>
      <c r="B39" s="192">
        <v>34</v>
      </c>
      <c r="C39" s="192">
        <v>756</v>
      </c>
      <c r="D39" s="192">
        <v>498</v>
      </c>
      <c r="E39" s="192">
        <v>1971</v>
      </c>
      <c r="F39" s="192">
        <v>189</v>
      </c>
      <c r="G39" s="192">
        <v>226</v>
      </c>
      <c r="H39" s="192">
        <v>430</v>
      </c>
      <c r="I39" s="192">
        <v>1264</v>
      </c>
      <c r="J39" s="192">
        <v>1701</v>
      </c>
    </row>
    <row r="40" spans="1:10">
      <c r="A40" s="158" t="s">
        <v>145</v>
      </c>
      <c r="B40" s="131">
        <v>2448</v>
      </c>
      <c r="C40" s="131">
        <v>2786</v>
      </c>
      <c r="D40" s="131">
        <v>3381</v>
      </c>
      <c r="E40" s="131">
        <v>3978</v>
      </c>
      <c r="F40" s="131">
        <v>5485</v>
      </c>
      <c r="G40" s="131">
        <v>7342</v>
      </c>
      <c r="H40" s="131">
        <v>15871</v>
      </c>
      <c r="I40" s="131">
        <v>14872</v>
      </c>
      <c r="J40" s="101">
        <v>12419</v>
      </c>
    </row>
    <row r="41" spans="1:10">
      <c r="A41" s="133" t="s">
        <v>106</v>
      </c>
      <c r="B41" s="203">
        <f t="shared" ref="B41:J41" si="8">SUM(B36:B40)</f>
        <v>5543</v>
      </c>
      <c r="C41" s="203">
        <f t="shared" si="8"/>
        <v>6662</v>
      </c>
      <c r="D41" s="203">
        <f t="shared" si="8"/>
        <v>6263</v>
      </c>
      <c r="E41" s="203">
        <f t="shared" si="8"/>
        <v>10494</v>
      </c>
      <c r="F41" s="203">
        <f t="shared" si="8"/>
        <v>7820</v>
      </c>
      <c r="G41" s="203">
        <f t="shared" si="8"/>
        <v>11705</v>
      </c>
      <c r="H41" s="203">
        <f t="shared" si="8"/>
        <v>20610</v>
      </c>
      <c r="I41" s="203">
        <f t="shared" si="8"/>
        <v>20544</v>
      </c>
      <c r="J41" s="203">
        <f t="shared" si="8"/>
        <v>29246</v>
      </c>
    </row>
    <row r="42" spans="1:10">
      <c r="A42" s="69" t="s">
        <v>57</v>
      </c>
      <c r="B42" s="203">
        <f t="shared" ref="B42:J42" si="9">B34+B41</f>
        <v>14456</v>
      </c>
      <c r="C42" s="203">
        <f t="shared" si="9"/>
        <v>20999</v>
      </c>
      <c r="D42" s="203">
        <f t="shared" si="9"/>
        <v>23943</v>
      </c>
      <c r="E42" s="203">
        <f t="shared" si="9"/>
        <v>27273</v>
      </c>
      <c r="F42" s="203">
        <f t="shared" si="9"/>
        <v>27130</v>
      </c>
      <c r="G42" s="203">
        <f t="shared" si="9"/>
        <v>28461</v>
      </c>
      <c r="H42" s="203">
        <f t="shared" si="9"/>
        <v>44793</v>
      </c>
      <c r="I42" s="203">
        <f t="shared" si="9"/>
        <v>55164</v>
      </c>
      <c r="J42" s="203">
        <f t="shared" si="9"/>
        <v>74467</v>
      </c>
    </row>
    <row r="43" spans="1:10">
      <c r="A43" s="69"/>
      <c r="B43" s="192"/>
      <c r="C43" s="192"/>
      <c r="D43" s="192"/>
      <c r="E43" s="192"/>
      <c r="F43" s="192"/>
      <c r="G43" s="192"/>
      <c r="H43" s="192"/>
      <c r="I43" s="192"/>
      <c r="J43" s="192"/>
    </row>
    <row r="44" spans="1:10">
      <c r="A44" s="68"/>
      <c r="B44" s="194"/>
      <c r="C44" s="194"/>
      <c r="D44" s="194"/>
      <c r="E44" s="194"/>
      <c r="F44" s="194"/>
      <c r="G44" s="194"/>
      <c r="H44" s="194"/>
      <c r="I44" s="194"/>
      <c r="J44" s="194"/>
    </row>
    <row r="45" spans="1:10">
      <c r="A45" s="68" t="s">
        <v>169</v>
      </c>
      <c r="B45" s="131">
        <v>582</v>
      </c>
      <c r="C45" s="131">
        <v>1174</v>
      </c>
      <c r="D45" s="131">
        <v>465</v>
      </c>
      <c r="E45" s="131">
        <v>664</v>
      </c>
      <c r="F45" s="101">
        <v>298</v>
      </c>
      <c r="G45" s="101">
        <v>212</v>
      </c>
      <c r="H45" s="101">
        <v>148</v>
      </c>
      <c r="I45" s="101">
        <v>202</v>
      </c>
      <c r="J45" s="101">
        <v>210</v>
      </c>
    </row>
    <row r="46" spans="1:10">
      <c r="A46" s="68" t="s">
        <v>170</v>
      </c>
      <c r="B46" s="192">
        <v>19655</v>
      </c>
      <c r="C46" s="192">
        <v>21516</v>
      </c>
      <c r="D46" s="192">
        <v>25457</v>
      </c>
      <c r="E46" s="192">
        <v>28103</v>
      </c>
      <c r="F46" s="192">
        <v>28936</v>
      </c>
      <c r="G46" s="192">
        <v>31291</v>
      </c>
      <c r="H46" s="192">
        <v>38088</v>
      </c>
      <c r="I46" s="192">
        <v>40235</v>
      </c>
      <c r="J46" s="192">
        <v>47878</v>
      </c>
    </row>
    <row r="47" spans="1:10">
      <c r="A47" s="68" t="s">
        <v>171</v>
      </c>
      <c r="B47" s="131">
        <v>37605</v>
      </c>
      <c r="C47" s="131">
        <v>48342</v>
      </c>
      <c r="D47" s="131">
        <v>60930</v>
      </c>
      <c r="E47" s="131">
        <v>75066</v>
      </c>
      <c r="F47" s="101">
        <v>89223</v>
      </c>
      <c r="G47" s="101">
        <v>105131</v>
      </c>
      <c r="H47" s="101">
        <v>113247</v>
      </c>
      <c r="I47" s="101">
        <v>134885</v>
      </c>
      <c r="J47" s="101">
        <v>152122</v>
      </c>
    </row>
    <row r="48" spans="1:10" ht="12" customHeight="1">
      <c r="A48" s="190" t="s">
        <v>180</v>
      </c>
      <c r="B48" s="192">
        <v>276</v>
      </c>
      <c r="C48" s="192">
        <v>538</v>
      </c>
      <c r="D48" s="192">
        <v>125</v>
      </c>
      <c r="E48" s="192">
        <v>27</v>
      </c>
      <c r="F48" s="192">
        <v>1874</v>
      </c>
      <c r="G48" s="192">
        <v>2402</v>
      </c>
      <c r="H48" s="192">
        <v>992</v>
      </c>
      <c r="I48" s="192">
        <v>2306</v>
      </c>
      <c r="J48" s="192">
        <v>1232</v>
      </c>
    </row>
    <row r="49" spans="1:10">
      <c r="A49" s="69" t="s">
        <v>58</v>
      </c>
      <c r="B49" s="200">
        <f t="shared" ref="B49:D49" si="10">SUM(B45:B48)</f>
        <v>58118</v>
      </c>
      <c r="C49" s="200">
        <f t="shared" si="10"/>
        <v>71570</v>
      </c>
      <c r="D49" s="200">
        <f t="shared" si="10"/>
        <v>86977</v>
      </c>
      <c r="E49" s="200">
        <f>SUM(E45:E48)</f>
        <v>103860</v>
      </c>
      <c r="F49" s="200">
        <f t="shared" ref="F49:J49" si="11">SUM(F45:F48)</f>
        <v>120331</v>
      </c>
      <c r="G49" s="200">
        <f t="shared" si="11"/>
        <v>139036</v>
      </c>
      <c r="H49" s="200">
        <f t="shared" si="11"/>
        <v>152475</v>
      </c>
      <c r="I49" s="200">
        <f t="shared" si="11"/>
        <v>177628</v>
      </c>
      <c r="J49" s="200">
        <f t="shared" si="11"/>
        <v>201442</v>
      </c>
    </row>
    <row r="50" spans="1:10">
      <c r="A50" s="68"/>
      <c r="B50" s="194"/>
      <c r="C50" s="194"/>
      <c r="D50" s="194"/>
      <c r="E50" s="194"/>
      <c r="F50" s="194"/>
      <c r="G50" s="194"/>
      <c r="H50" s="194"/>
      <c r="I50" s="194"/>
      <c r="J50" s="194"/>
    </row>
    <row r="51" spans="1:10">
      <c r="A51" s="71" t="s">
        <v>59</v>
      </c>
      <c r="B51" s="204">
        <v>0</v>
      </c>
      <c r="C51" s="204">
        <v>0</v>
      </c>
      <c r="D51" s="204">
        <v>0</v>
      </c>
      <c r="E51" s="204">
        <v>0</v>
      </c>
      <c r="F51" s="204">
        <v>0</v>
      </c>
      <c r="G51" s="204">
        <v>0</v>
      </c>
      <c r="H51" s="204">
        <v>0</v>
      </c>
      <c r="I51" s="204">
        <v>0</v>
      </c>
      <c r="J51" s="204">
        <v>0</v>
      </c>
    </row>
    <row r="52" spans="1:10">
      <c r="A52" s="68"/>
      <c r="B52" s="194"/>
      <c r="C52" s="194"/>
      <c r="D52" s="194"/>
      <c r="E52" s="194"/>
      <c r="F52" s="194"/>
      <c r="G52" s="194"/>
      <c r="H52" s="194"/>
      <c r="I52" s="194"/>
      <c r="J52" s="156"/>
    </row>
    <row r="53" spans="1:10">
      <c r="A53" s="69" t="s">
        <v>60</v>
      </c>
      <c r="B53" s="200">
        <f>B49</f>
        <v>58118</v>
      </c>
      <c r="C53" s="200">
        <f t="shared" ref="C53:J53" si="12">C49</f>
        <v>71570</v>
      </c>
      <c r="D53" s="200">
        <f t="shared" si="12"/>
        <v>86977</v>
      </c>
      <c r="E53" s="200">
        <f t="shared" si="12"/>
        <v>103860</v>
      </c>
      <c r="F53" s="200">
        <f t="shared" si="12"/>
        <v>120331</v>
      </c>
      <c r="G53" s="200">
        <f t="shared" si="12"/>
        <v>139036</v>
      </c>
      <c r="H53" s="200">
        <f t="shared" si="12"/>
        <v>152475</v>
      </c>
      <c r="I53" s="200">
        <f t="shared" si="12"/>
        <v>177628</v>
      </c>
      <c r="J53" s="200">
        <f t="shared" si="12"/>
        <v>201442</v>
      </c>
    </row>
    <row r="54" spans="1:10">
      <c r="A54" s="68"/>
      <c r="B54" s="194"/>
      <c r="C54" s="194"/>
      <c r="D54" s="194"/>
      <c r="E54" s="194"/>
      <c r="F54" s="194"/>
      <c r="G54" s="194"/>
      <c r="H54" s="194"/>
      <c r="I54" s="156"/>
      <c r="J54" s="156"/>
    </row>
    <row r="55" spans="1:10">
      <c r="A55" s="69" t="s">
        <v>61</v>
      </c>
      <c r="B55" s="200">
        <f>B42+B49</f>
        <v>72574</v>
      </c>
      <c r="C55" s="200">
        <f t="shared" ref="C55:J55" si="13">C42+C49</f>
        <v>92569</v>
      </c>
      <c r="D55" s="200">
        <f t="shared" si="13"/>
        <v>110920</v>
      </c>
      <c r="E55" s="200">
        <f t="shared" si="13"/>
        <v>131133</v>
      </c>
      <c r="F55" s="200">
        <f t="shared" si="13"/>
        <v>147461</v>
      </c>
      <c r="G55" s="200">
        <f t="shared" si="13"/>
        <v>167497</v>
      </c>
      <c r="H55" s="200">
        <f t="shared" si="13"/>
        <v>197268</v>
      </c>
      <c r="I55" s="200">
        <f t="shared" si="13"/>
        <v>232792</v>
      </c>
      <c r="J55" s="200">
        <f t="shared" si="13"/>
        <v>275909</v>
      </c>
    </row>
    <row r="57" spans="1:10">
      <c r="A57" s="42"/>
      <c r="B57" s="42"/>
    </row>
    <row r="68" hidden="1"/>
    <row r="78" hidden="1"/>
    <row r="83" spans="1:9">
      <c r="A83" s="96"/>
    </row>
    <row r="84" spans="1:9">
      <c r="A84" s="87"/>
    </row>
    <row r="85" spans="1:9">
      <c r="A85" s="87" t="s">
        <v>98</v>
      </c>
    </row>
    <row r="87" spans="1:9">
      <c r="A87" s="88"/>
    </row>
    <row r="90" spans="1:9">
      <c r="A90" s="88"/>
      <c r="F90" s="89"/>
    </row>
    <row r="91" spans="1:9">
      <c r="A91" s="88"/>
      <c r="G91" s="89"/>
      <c r="H91" s="89"/>
      <c r="I91" s="89"/>
    </row>
    <row r="97" spans="1:6">
      <c r="B97" s="254"/>
      <c r="C97" s="254"/>
      <c r="D97" s="254"/>
      <c r="E97" s="254"/>
      <c r="F97" s="254"/>
    </row>
    <row r="99" spans="1:6">
      <c r="A99" s="90"/>
    </row>
    <row r="102" spans="1:6">
      <c r="A102" s="90"/>
    </row>
    <row r="105" spans="1:6">
      <c r="A105" s="90"/>
    </row>
    <row r="108" spans="1:6">
      <c r="A108" s="90"/>
    </row>
    <row r="111" spans="1:6">
      <c r="A111" s="90"/>
    </row>
    <row r="114" spans="1:1">
      <c r="A114" s="90"/>
    </row>
  </sheetData>
  <mergeCells count="1">
    <mergeCell ref="B97:F97"/>
  </mergeCells>
  <phoneticPr fontId="55" type="noConversion"/>
  <pageMargins left="0.2" right="0.2" top="0.5" bottom="0.5" header="0.5" footer="0.5"/>
  <pageSetup fitToWidth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outlinePr summaryBelow="0" summaryRight="0"/>
    <pageSetUpPr autoPageBreaks="0"/>
  </sheetPr>
  <dimension ref="A1:IU38"/>
  <sheetViews>
    <sheetView showGridLines="0" tabSelected="1" topLeftCell="B1" zoomScale="80" zoomScaleNormal="80" workbookViewId="0">
      <selection activeCell="B1" sqref="B1:M1048576"/>
    </sheetView>
  </sheetViews>
  <sheetFormatPr baseColWidth="10" defaultColWidth="9.1640625" defaultRowHeight="11" outlineLevelCol="1"/>
  <cols>
    <col min="1" max="1" width="45.83203125" style="37" customWidth="1"/>
    <col min="2" max="10" width="14.83203125" style="37" customWidth="1"/>
    <col min="11" max="11" width="9.5" style="48" bestFit="1" customWidth="1"/>
    <col min="12" max="13" width="8.5" style="48" customWidth="1"/>
    <col min="14" max="18" width="14.83203125" style="37" customWidth="1" outlineLevel="1"/>
    <col min="19" max="19" width="9.1640625" style="37" customWidth="1" outlineLevel="1"/>
    <col min="20" max="20" width="4.5" style="37" customWidth="1"/>
    <col min="21" max="25" width="14.83203125" style="37" customWidth="1" outlineLevel="1"/>
    <col min="26" max="26" width="9.1640625" style="37" customWidth="1" outlineLevel="1"/>
    <col min="27" max="27" width="4.33203125" style="37" customWidth="1"/>
    <col min="28" max="32" width="14.83203125" style="37" customWidth="1" outlineLevel="1"/>
    <col min="33" max="33" width="9.1640625" style="37" customWidth="1" outlineLevel="1"/>
    <col min="34" max="35" width="9.1640625" style="37"/>
    <col min="36" max="40" width="9.1640625" style="37" customWidth="1"/>
    <col min="41" max="16384" width="9.1640625" style="37"/>
  </cols>
  <sheetData>
    <row r="1" spans="1:255">
      <c r="N1" s="221">
        <v>8.0000000000000004E-4</v>
      </c>
      <c r="AB1" s="221">
        <v>1.5E-3</v>
      </c>
    </row>
    <row r="2" spans="1:255" ht="13">
      <c r="N2" s="256" t="s">
        <v>101</v>
      </c>
      <c r="O2" s="256"/>
      <c r="P2" s="256"/>
      <c r="Q2" s="256"/>
      <c r="R2" s="256"/>
      <c r="S2" s="48"/>
      <c r="U2" s="255" t="s">
        <v>88</v>
      </c>
      <c r="V2" s="255"/>
      <c r="W2" s="255"/>
      <c r="X2" s="255"/>
      <c r="Y2" s="255"/>
      <c r="AB2" s="255" t="s">
        <v>89</v>
      </c>
      <c r="AC2" s="255"/>
      <c r="AD2" s="255"/>
      <c r="AE2" s="255"/>
      <c r="AF2" s="255"/>
    </row>
    <row r="3" spans="1:255">
      <c r="A3" s="38" t="s">
        <v>70</v>
      </c>
      <c r="B3" s="38"/>
      <c r="C3" s="38"/>
      <c r="D3" s="38"/>
      <c r="E3" s="38"/>
      <c r="F3" s="38"/>
      <c r="G3" s="38"/>
      <c r="H3" s="38"/>
      <c r="I3" s="38"/>
      <c r="J3" s="38"/>
      <c r="K3" s="49"/>
      <c r="L3" s="37"/>
      <c r="M3" s="86"/>
      <c r="N3" s="38"/>
      <c r="O3" s="38"/>
      <c r="P3" s="38"/>
      <c r="Q3" s="38"/>
      <c r="R3" s="38"/>
      <c r="S3" s="95"/>
      <c r="T3" s="39"/>
      <c r="U3" s="38"/>
      <c r="V3" s="38"/>
      <c r="W3" s="38"/>
      <c r="X3" s="38"/>
      <c r="Y3" s="38"/>
      <c r="Z3" s="39"/>
      <c r="AA3" s="39"/>
      <c r="AB3" s="38"/>
      <c r="AC3" s="38"/>
      <c r="AD3" s="38"/>
      <c r="AE3" s="38"/>
      <c r="AF3" s="38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</row>
    <row r="4" spans="1:255" ht="24">
      <c r="A4" s="63" t="s">
        <v>63</v>
      </c>
      <c r="B4" s="45" t="s">
        <v>110</v>
      </c>
      <c r="C4" s="45" t="s">
        <v>111</v>
      </c>
      <c r="D4" s="45" t="s">
        <v>112</v>
      </c>
      <c r="E4" s="45" t="s">
        <v>113</v>
      </c>
      <c r="F4" s="45" t="s">
        <v>114</v>
      </c>
      <c r="G4" s="45" t="s">
        <v>115</v>
      </c>
      <c r="H4" s="45" t="s">
        <v>116</v>
      </c>
      <c r="I4" s="45" t="s">
        <v>117</v>
      </c>
      <c r="J4" s="45" t="s">
        <v>118</v>
      </c>
      <c r="K4" s="50"/>
      <c r="L4" s="86"/>
      <c r="N4" s="51" t="s">
        <v>119</v>
      </c>
      <c r="O4" s="51" t="s">
        <v>120</v>
      </c>
      <c r="P4" s="51" t="s">
        <v>121</v>
      </c>
      <c r="Q4" s="51" t="s">
        <v>122</v>
      </c>
      <c r="R4" s="51" t="s">
        <v>123</v>
      </c>
      <c r="U4" s="73" t="s">
        <v>119</v>
      </c>
      <c r="V4" s="73" t="s">
        <v>120</v>
      </c>
      <c r="W4" s="73" t="s">
        <v>121</v>
      </c>
      <c r="X4" s="73" t="s">
        <v>122</v>
      </c>
      <c r="Y4" s="73" t="s">
        <v>123</v>
      </c>
      <c r="AB4" s="151" t="s">
        <v>119</v>
      </c>
      <c r="AC4" s="151" t="s">
        <v>120</v>
      </c>
      <c r="AD4" s="151" t="s">
        <v>121</v>
      </c>
      <c r="AE4" s="151" t="s">
        <v>122</v>
      </c>
      <c r="AF4" s="151" t="s">
        <v>123</v>
      </c>
    </row>
    <row r="5" spans="1:255" ht="12">
      <c r="A5" s="64" t="s">
        <v>41</v>
      </c>
      <c r="B5" s="65" t="s">
        <v>42</v>
      </c>
      <c r="C5" s="65" t="s">
        <v>42</v>
      </c>
      <c r="D5" s="65" t="s">
        <v>42</v>
      </c>
      <c r="E5" s="65" t="s">
        <v>42</v>
      </c>
      <c r="F5" s="65" t="s">
        <v>42</v>
      </c>
      <c r="G5" s="65" t="s">
        <v>42</v>
      </c>
      <c r="H5" s="65" t="s">
        <v>42</v>
      </c>
      <c r="I5" s="65" t="s">
        <v>42</v>
      </c>
      <c r="J5" s="65" t="s">
        <v>42</v>
      </c>
      <c r="K5" s="212" t="s">
        <v>65</v>
      </c>
      <c r="L5" s="212" t="s">
        <v>66</v>
      </c>
      <c r="M5" s="212" t="s">
        <v>185</v>
      </c>
      <c r="N5" s="53" t="s">
        <v>42</v>
      </c>
      <c r="O5" s="53" t="s">
        <v>42</v>
      </c>
      <c r="P5" s="51" t="s">
        <v>42</v>
      </c>
      <c r="Q5" s="51" t="s">
        <v>42</v>
      </c>
      <c r="R5" s="51" t="s">
        <v>42</v>
      </c>
      <c r="S5" s="52"/>
      <c r="U5" s="74" t="s">
        <v>42</v>
      </c>
      <c r="V5" s="74" t="s">
        <v>42</v>
      </c>
      <c r="W5" s="73" t="s">
        <v>42</v>
      </c>
      <c r="X5" s="74" t="s">
        <v>42</v>
      </c>
      <c r="Y5" s="74" t="s">
        <v>42</v>
      </c>
      <c r="Z5" s="52"/>
      <c r="AB5" s="152" t="s">
        <v>42</v>
      </c>
      <c r="AC5" s="152" t="s">
        <v>42</v>
      </c>
      <c r="AD5" s="151" t="s">
        <v>42</v>
      </c>
      <c r="AE5" s="152" t="s">
        <v>42</v>
      </c>
      <c r="AF5" s="152" t="s">
        <v>42</v>
      </c>
      <c r="AG5" s="52"/>
    </row>
    <row r="6" spans="1:255">
      <c r="A6" s="91"/>
      <c r="B6" s="58"/>
      <c r="C6" s="58"/>
      <c r="D6" s="58"/>
      <c r="E6" s="58"/>
      <c r="F6" s="58"/>
      <c r="G6" s="58"/>
      <c r="H6" s="58"/>
      <c r="I6" s="58"/>
      <c r="J6" s="58"/>
      <c r="K6" s="213"/>
      <c r="L6" s="213"/>
      <c r="M6" s="213"/>
      <c r="N6" s="58"/>
      <c r="O6" s="58"/>
      <c r="P6" s="48"/>
      <c r="Q6" s="48"/>
      <c r="R6" s="48"/>
      <c r="S6" s="48"/>
    </row>
    <row r="7" spans="1:255" ht="14">
      <c r="A7" s="91" t="s">
        <v>67</v>
      </c>
      <c r="B7" s="211">
        <f>'Income Statement'!B7</f>
        <v>37905</v>
      </c>
      <c r="C7" s="211">
        <f>'Income Statement'!C7</f>
        <v>46039</v>
      </c>
      <c r="D7" s="211">
        <f>'Income Statement'!D7</f>
        <v>55519</v>
      </c>
      <c r="E7" s="211">
        <f>'Income Statement'!E7</f>
        <v>66001</v>
      </c>
      <c r="F7" s="211">
        <f>'Income Statement'!F7</f>
        <v>74989</v>
      </c>
      <c r="G7" s="211">
        <f>'Income Statement'!G7</f>
        <v>90272</v>
      </c>
      <c r="H7" s="211">
        <f>'Income Statement'!H7</f>
        <v>110855</v>
      </c>
      <c r="I7" s="211">
        <f>'Income Statement'!I7</f>
        <v>136819</v>
      </c>
      <c r="J7" s="211">
        <f>'Income Statement'!J7</f>
        <v>161857</v>
      </c>
      <c r="K7" s="214">
        <f>AVERAGE(B7:J7)</f>
        <v>86695.111111111109</v>
      </c>
      <c r="L7" s="214">
        <f>MEDIAN(B7:J7)</f>
        <v>74989</v>
      </c>
      <c r="M7" s="215">
        <f>(J7/B7)^(1/8)-1</f>
        <v>0.19895911352147699</v>
      </c>
      <c r="N7" s="225">
        <f>J7*N8+J7</f>
        <v>195014.66918616035</v>
      </c>
      <c r="O7" s="225">
        <f>N7*O8+N7</f>
        <v>234808.93385111046</v>
      </c>
      <c r="P7" s="225">
        <f t="shared" ref="P7:R7" si="0">O7*P8+O7</f>
        <v>282535.68153097597</v>
      </c>
      <c r="Q7" s="225">
        <f t="shared" si="0"/>
        <v>339737.23447435879</v>
      </c>
      <c r="R7" s="225">
        <f t="shared" si="0"/>
        <v>408247.89828456636</v>
      </c>
      <c r="S7" s="54" t="s">
        <v>186</v>
      </c>
      <c r="U7" s="225">
        <f>J7*U8+J7</f>
        <v>195014.66918616035</v>
      </c>
      <c r="V7" s="225">
        <f>U7*V8+U7</f>
        <v>234964.94558645939</v>
      </c>
      <c r="W7" s="225">
        <f t="shared" ref="W7:Y7" si="1">V7*W8+V7</f>
        <v>283099.34778160689</v>
      </c>
      <c r="X7" s="225">
        <f t="shared" si="1"/>
        <v>341094.45778957859</v>
      </c>
      <c r="Y7" s="225">
        <f t="shared" si="1"/>
        <v>410970.3185346782</v>
      </c>
      <c r="Z7" s="54" t="s">
        <v>186</v>
      </c>
      <c r="AB7" s="225">
        <f>J7*AB8+J7</f>
        <v>195014.66918616035</v>
      </c>
      <c r="AC7" s="225">
        <f>AB7*AC8+AB7</f>
        <v>234672.42358268017</v>
      </c>
      <c r="AD7" s="225">
        <f t="shared" ref="AD7:AF7" si="2">AC7*AD8+AC7</f>
        <v>282042.8830924792</v>
      </c>
      <c r="AE7" s="225">
        <f t="shared" si="2"/>
        <v>338552.37509290042</v>
      </c>
      <c r="AF7" s="225">
        <f t="shared" si="2"/>
        <v>405876.15611483209</v>
      </c>
      <c r="AG7" s="54" t="s">
        <v>186</v>
      </c>
    </row>
    <row r="8" spans="1:255">
      <c r="A8" s="92" t="s">
        <v>71</v>
      </c>
      <c r="B8" s="56"/>
      <c r="C8" s="56">
        <f>C7/B7-1</f>
        <v>0.21458910433979694</v>
      </c>
      <c r="D8" s="56">
        <f t="shared" ref="D8:J8" si="3">D7/C7-1</f>
        <v>0.2059123786355046</v>
      </c>
      <c r="E8" s="56">
        <f t="shared" si="3"/>
        <v>0.18880023055170292</v>
      </c>
      <c r="F8" s="56">
        <f t="shared" si="3"/>
        <v>0.13617975485219924</v>
      </c>
      <c r="G8" s="56">
        <f t="shared" si="3"/>
        <v>0.20380322447292265</v>
      </c>
      <c r="H8" s="56">
        <f t="shared" si="3"/>
        <v>0.22801090038993266</v>
      </c>
      <c r="I8" s="56">
        <f t="shared" si="3"/>
        <v>0.23421586757475987</v>
      </c>
      <c r="J8" s="56">
        <f t="shared" si="3"/>
        <v>0.18300089899794614</v>
      </c>
      <c r="K8" s="242">
        <f>AVERAGE(B8:J8)</f>
        <v>0.19931404497684563</v>
      </c>
      <c r="L8" s="242">
        <f>MEDIAN(B8:J8)</f>
        <v>0.20485780155421363</v>
      </c>
      <c r="M8" s="216"/>
      <c r="N8" s="93">
        <f>L8</f>
        <v>0.20485780155421363</v>
      </c>
      <c r="O8" s="93">
        <f>N8-$N$1</f>
        <v>0.20405780155421363</v>
      </c>
      <c r="P8" s="93">
        <f t="shared" ref="P8:R8" si="4">O8-$N$1</f>
        <v>0.20325780155421364</v>
      </c>
      <c r="Q8" s="93">
        <f t="shared" si="4"/>
        <v>0.20245780155421364</v>
      </c>
      <c r="R8" s="93">
        <f t="shared" si="4"/>
        <v>0.20165780155421364</v>
      </c>
      <c r="S8" s="222">
        <f>((R7/N7)^(1/4))-1</f>
        <v>0.20285746901272317</v>
      </c>
      <c r="U8" s="224">
        <f>$L$8</f>
        <v>0.20485780155421363</v>
      </c>
      <c r="V8" s="224">
        <f t="shared" ref="V8:Y8" si="5">$L$8</f>
        <v>0.20485780155421363</v>
      </c>
      <c r="W8" s="224">
        <f t="shared" si="5"/>
        <v>0.20485780155421363</v>
      </c>
      <c r="X8" s="224">
        <f t="shared" si="5"/>
        <v>0.20485780155421363</v>
      </c>
      <c r="Y8" s="224">
        <f t="shared" si="5"/>
        <v>0.20485780155421363</v>
      </c>
      <c r="Z8" s="226">
        <f>((Y7/U7)^(1/4))-1</f>
        <v>0.20485780155421351</v>
      </c>
      <c r="AB8" s="224">
        <f>L8</f>
        <v>0.20485780155421363</v>
      </c>
      <c r="AC8" s="224">
        <f>AB8-$AB$1</f>
        <v>0.20335780155421362</v>
      </c>
      <c r="AD8" s="224">
        <f t="shared" ref="AD8:AF8" si="6">AC8-$AB$1</f>
        <v>0.20185780155421362</v>
      </c>
      <c r="AE8" s="224">
        <f t="shared" si="6"/>
        <v>0.20035780155421362</v>
      </c>
      <c r="AF8" s="224">
        <f t="shared" si="6"/>
        <v>0.19885780155421362</v>
      </c>
      <c r="AG8" s="226">
        <f>((AF7/AB7)^(1/4))-1</f>
        <v>0.20110663075875235</v>
      </c>
    </row>
    <row r="9" spans="1:255">
      <c r="A9" s="58" t="s">
        <v>187</v>
      </c>
      <c r="B9" s="223">
        <f>B7-B10</f>
        <v>13188</v>
      </c>
      <c r="C9" s="223">
        <f t="shared" ref="C9:J9" si="7">C7-C10</f>
        <v>17176</v>
      </c>
      <c r="D9" s="223">
        <f t="shared" si="7"/>
        <v>21993</v>
      </c>
      <c r="E9" s="223">
        <f t="shared" si="7"/>
        <v>25691</v>
      </c>
      <c r="F9" s="223">
        <f t="shared" si="7"/>
        <v>28164</v>
      </c>
      <c r="G9" s="223">
        <f t="shared" si="7"/>
        <v>35138</v>
      </c>
      <c r="H9" s="223">
        <f t="shared" si="7"/>
        <v>45583</v>
      </c>
      <c r="I9" s="223">
        <f t="shared" si="7"/>
        <v>59549</v>
      </c>
      <c r="J9" s="223">
        <f t="shared" si="7"/>
        <v>71896</v>
      </c>
      <c r="K9" s="217"/>
      <c r="L9" s="217"/>
      <c r="M9" s="217"/>
      <c r="N9" s="223">
        <f>N7-N10</f>
        <v>75909.787216279234</v>
      </c>
      <c r="O9" s="223">
        <f t="shared" ref="O9:R9" si="8">O7-O10</f>
        <v>91399.771512081323</v>
      </c>
      <c r="P9" s="223">
        <f t="shared" si="8"/>
        <v>109977.4881321844</v>
      </c>
      <c r="Q9" s="223">
        <f t="shared" si="8"/>
        <v>132243.28859988108</v>
      </c>
      <c r="R9" s="223">
        <f t="shared" si="8"/>
        <v>158911.1794492325</v>
      </c>
      <c r="S9" s="48"/>
      <c r="U9" s="223">
        <f>U7-U10</f>
        <v>67849.979085267987</v>
      </c>
      <c r="V9" s="223">
        <f t="shared" ref="V9:Y9" si="9">V7-V10</f>
        <v>81749.576636175363</v>
      </c>
      <c r="W9" s="223">
        <f t="shared" si="9"/>
        <v>98496.615183849935</v>
      </c>
      <c r="X9" s="223">
        <f t="shared" si="9"/>
        <v>118674.41523094481</v>
      </c>
      <c r="Y9" s="223">
        <f t="shared" si="9"/>
        <v>142985.79503588803</v>
      </c>
      <c r="AB9" s="223">
        <f>AB7-AB10</f>
        <v>86624.456500541753</v>
      </c>
      <c r="AC9" s="223">
        <f t="shared" ref="AC9:AF9" si="10">AC7-AC10</f>
        <v>104240.21553532053</v>
      </c>
      <c r="AD9" s="223">
        <f t="shared" si="10"/>
        <v>125281.91627681773</v>
      </c>
      <c r="AE9" s="223">
        <f t="shared" si="10"/>
        <v>150383.12559653999</v>
      </c>
      <c r="AF9" s="223">
        <f t="shared" si="10"/>
        <v>180287.9833435191</v>
      </c>
    </row>
    <row r="10" spans="1:255" ht="14">
      <c r="A10" s="91" t="s">
        <v>68</v>
      </c>
      <c r="B10" s="211">
        <f>'Income Statement'!B10</f>
        <v>24717</v>
      </c>
      <c r="C10" s="211">
        <f>'Income Statement'!C10</f>
        <v>28863</v>
      </c>
      <c r="D10" s="211">
        <f>'Income Statement'!D10</f>
        <v>33526</v>
      </c>
      <c r="E10" s="211">
        <f>'Income Statement'!E10</f>
        <v>40310</v>
      </c>
      <c r="F10" s="211">
        <f>'Income Statement'!F10</f>
        <v>46825</v>
      </c>
      <c r="G10" s="211">
        <f>'Income Statement'!G10</f>
        <v>55134</v>
      </c>
      <c r="H10" s="211">
        <f>'Income Statement'!H10</f>
        <v>65272</v>
      </c>
      <c r="I10" s="211">
        <f>'Income Statement'!I10</f>
        <v>77270</v>
      </c>
      <c r="J10" s="211">
        <f>'Income Statement'!J10</f>
        <v>89961</v>
      </c>
      <c r="K10" s="214">
        <f>AVERAGE(B10:J10)</f>
        <v>51319.777777777781</v>
      </c>
      <c r="L10" s="214">
        <f>MEDIAN(B10:J10)</f>
        <v>46825</v>
      </c>
      <c r="M10" s="218">
        <f>(J10/B10)^(1/8)-1</f>
        <v>0.17525556037101531</v>
      </c>
      <c r="N10" s="54">
        <f>N7*N11</f>
        <v>119104.88196988111</v>
      </c>
      <c r="O10" s="54">
        <f t="shared" ref="O10:R10" si="11">O7*O11</f>
        <v>143409.16233902914</v>
      </c>
      <c r="P10" s="54">
        <f t="shared" si="11"/>
        <v>172558.19339879157</v>
      </c>
      <c r="Q10" s="54">
        <f t="shared" si="11"/>
        <v>207493.94587447771</v>
      </c>
      <c r="R10" s="54">
        <f t="shared" si="11"/>
        <v>249336.71883533386</v>
      </c>
      <c r="S10" s="48"/>
      <c r="U10" s="43">
        <f>U7*U11</f>
        <v>127164.69010089236</v>
      </c>
      <c r="V10" s="43">
        <f t="shared" ref="V10:Y10" si="12">V7*V11</f>
        <v>153215.36895028403</v>
      </c>
      <c r="W10" s="43">
        <f t="shared" si="12"/>
        <v>184602.73259775696</v>
      </c>
      <c r="X10" s="43">
        <f t="shared" si="12"/>
        <v>222420.04255863378</v>
      </c>
      <c r="Y10" s="43">
        <f t="shared" si="12"/>
        <v>267984.52349879016</v>
      </c>
      <c r="AB10" s="225">
        <f>AB11*AB7</f>
        <v>108390.21268561859</v>
      </c>
      <c r="AC10" s="225">
        <f t="shared" ref="AC10:AF10" si="13">AC11*AC7</f>
        <v>130432.20804735964</v>
      </c>
      <c r="AD10" s="225">
        <f t="shared" si="13"/>
        <v>156760.96681566146</v>
      </c>
      <c r="AE10" s="225">
        <f t="shared" si="13"/>
        <v>188169.24949636043</v>
      </c>
      <c r="AF10" s="225">
        <f t="shared" si="13"/>
        <v>225588.17277131299</v>
      </c>
    </row>
    <row r="11" spans="1:255">
      <c r="A11" s="92" t="s">
        <v>72</v>
      </c>
      <c r="B11" s="56">
        <f>B10/B7</f>
        <v>0.65207756232686975</v>
      </c>
      <c r="C11" s="56">
        <f t="shared" ref="C11:J11" si="14">C10/C7</f>
        <v>0.6269249983709464</v>
      </c>
      <c r="D11" s="56">
        <f t="shared" si="14"/>
        <v>0.60386534339595455</v>
      </c>
      <c r="E11" s="56">
        <f t="shared" si="14"/>
        <v>0.6107483219951213</v>
      </c>
      <c r="F11" s="56">
        <f t="shared" si="14"/>
        <v>0.62442491565429592</v>
      </c>
      <c r="G11" s="56">
        <f t="shared" si="14"/>
        <v>0.61075416518964909</v>
      </c>
      <c r="H11" s="56">
        <f t="shared" si="14"/>
        <v>0.58880519597672631</v>
      </c>
      <c r="I11" s="56">
        <f t="shared" si="14"/>
        <v>0.5647607422945643</v>
      </c>
      <c r="J11" s="56">
        <f t="shared" si="14"/>
        <v>0.5558054331910266</v>
      </c>
      <c r="K11" s="242">
        <f>AVERAGE(B11:J11)</f>
        <v>0.60424074204390599</v>
      </c>
      <c r="L11" s="242">
        <f>MEDIAN(B11:J11)</f>
        <v>0.6107483219951213</v>
      </c>
      <c r="M11" s="216"/>
      <c r="N11" s="94">
        <f>$L$11</f>
        <v>0.6107483219951213</v>
      </c>
      <c r="O11" s="94">
        <f t="shared" ref="O11:R11" si="15">$L$11</f>
        <v>0.6107483219951213</v>
      </c>
      <c r="P11" s="94">
        <f t="shared" si="15"/>
        <v>0.6107483219951213</v>
      </c>
      <c r="Q11" s="94">
        <f t="shared" si="15"/>
        <v>0.6107483219951213</v>
      </c>
      <c r="R11" s="94">
        <f t="shared" si="15"/>
        <v>0.6107483219951213</v>
      </c>
      <c r="S11" s="57"/>
      <c r="U11" s="224">
        <f>MAX($B$11:$J$11)</f>
        <v>0.65207756232686975</v>
      </c>
      <c r="V11" s="224">
        <f t="shared" ref="V11:Y11" si="16">MAX($B$11:$J$11)</f>
        <v>0.65207756232686975</v>
      </c>
      <c r="W11" s="224">
        <f t="shared" si="16"/>
        <v>0.65207756232686975</v>
      </c>
      <c r="X11" s="224">
        <f t="shared" si="16"/>
        <v>0.65207756232686975</v>
      </c>
      <c r="Y11" s="224">
        <f t="shared" si="16"/>
        <v>0.65207756232686975</v>
      </c>
      <c r="Z11" s="57"/>
      <c r="AB11" s="224">
        <f>MIN($B$11:$J$11)</f>
        <v>0.5558054331910266</v>
      </c>
      <c r="AC11" s="224">
        <f t="shared" ref="AC11:AF11" si="17">MIN($B$11:$J$11)</f>
        <v>0.5558054331910266</v>
      </c>
      <c r="AD11" s="224">
        <f t="shared" si="17"/>
        <v>0.5558054331910266</v>
      </c>
      <c r="AE11" s="224">
        <f t="shared" si="17"/>
        <v>0.5558054331910266</v>
      </c>
      <c r="AF11" s="224">
        <f t="shared" si="17"/>
        <v>0.5558054331910266</v>
      </c>
      <c r="AG11" s="57"/>
    </row>
    <row r="12" spans="1:25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217"/>
      <c r="L12" s="217"/>
      <c r="M12" s="217"/>
      <c r="N12" s="58"/>
      <c r="O12" s="58"/>
      <c r="P12" s="48"/>
      <c r="Q12" s="48"/>
      <c r="R12" s="48"/>
      <c r="S12" s="48"/>
    </row>
    <row r="13" spans="1:255" ht="14">
      <c r="A13" s="91" t="s">
        <v>7</v>
      </c>
      <c r="B13" s="211">
        <f>'Income Statement'!B28</f>
        <v>13593</v>
      </c>
      <c r="C13" s="211">
        <f>'Income Statement'!C28</f>
        <v>16796</v>
      </c>
      <c r="D13" s="211">
        <f>'Income Statement'!D28</f>
        <v>19342</v>
      </c>
      <c r="E13" s="211">
        <f>'Income Statement'!E28</f>
        <v>21475</v>
      </c>
      <c r="F13" s="211">
        <f>'Income Statement'!F28</f>
        <v>24423</v>
      </c>
      <c r="G13" s="211">
        <f>'Income Statement'!G28</f>
        <v>29860</v>
      </c>
      <c r="H13" s="211">
        <f>'Income Statement'!H28</f>
        <v>33093</v>
      </c>
      <c r="I13" s="211">
        <f>'Income Statement'!I28</f>
        <v>36559</v>
      </c>
      <c r="J13" s="211">
        <f>'Income Statement'!J28</f>
        <v>46012</v>
      </c>
      <c r="K13" s="214">
        <f>AVERAGE(B13:J13)</f>
        <v>26794.777777777777</v>
      </c>
      <c r="L13" s="214">
        <f>MEDIAN(B13:J13)</f>
        <v>24423</v>
      </c>
      <c r="M13" s="218">
        <f>(J13/B13)^(1/8)-1</f>
        <v>0.16464743429617723</v>
      </c>
      <c r="N13" s="225">
        <f>N14*N7</f>
        <v>63513.892244643808</v>
      </c>
      <c r="O13" s="225">
        <f t="shared" ref="O13:R13" si="18">O14*O7</f>
        <v>76474.39746423703</v>
      </c>
      <c r="P13" s="225">
        <f t="shared" si="18"/>
        <v>92018.415368000991</v>
      </c>
      <c r="Q13" s="225">
        <f t="shared" si="18"/>
        <v>110648.26144590894</v>
      </c>
      <c r="R13" s="225">
        <f t="shared" si="18"/>
        <v>132961.3465948868</v>
      </c>
      <c r="S13" s="48"/>
      <c r="U13" s="225">
        <f>U7*U14</f>
        <v>71145.471961831267</v>
      </c>
      <c r="V13" s="225">
        <f t="shared" ref="V13:Y13" si="19">V7*V14</f>
        <v>85720.176938468954</v>
      </c>
      <c r="W13" s="225">
        <f t="shared" si="19"/>
        <v>103280.62393492191</v>
      </c>
      <c r="X13" s="225">
        <f t="shared" si="19"/>
        <v>124438.46549737749</v>
      </c>
      <c r="Y13" s="225">
        <f t="shared" si="19"/>
        <v>149930.65596795012</v>
      </c>
      <c r="AB13" s="225">
        <f>AB14*AB7</f>
        <v>52109.292501603108</v>
      </c>
      <c r="AC13" s="225">
        <f t="shared" ref="AC13:AF13" si="20">AC14*AC7</f>
        <v>62706.123665274587</v>
      </c>
      <c r="AD13" s="225">
        <f t="shared" si="20"/>
        <v>75363.843932333562</v>
      </c>
      <c r="AE13" s="225">
        <f t="shared" si="20"/>
        <v>90463.578019290784</v>
      </c>
      <c r="AF13" s="225">
        <f t="shared" si="20"/>
        <v>108452.96626493504</v>
      </c>
    </row>
    <row r="14" spans="1:255">
      <c r="A14" s="92" t="s">
        <v>69</v>
      </c>
      <c r="B14" s="56">
        <f>B13/B7</f>
        <v>0.3586070439256035</v>
      </c>
      <c r="C14" s="56">
        <f t="shared" ref="C14:J14" si="21">C13/C7</f>
        <v>0.36482112991159671</v>
      </c>
      <c r="D14" s="56">
        <f t="shared" si="21"/>
        <v>0.34838523748626599</v>
      </c>
      <c r="E14" s="56">
        <f t="shared" si="21"/>
        <v>0.32537385797184892</v>
      </c>
      <c r="F14" s="56">
        <f t="shared" si="21"/>
        <v>0.32568776753923911</v>
      </c>
      <c r="G14" s="56">
        <f t="shared" si="21"/>
        <v>0.33077809287486709</v>
      </c>
      <c r="H14" s="56">
        <f t="shared" si="21"/>
        <v>0.29852510035632129</v>
      </c>
      <c r="I14" s="56">
        <f t="shared" si="21"/>
        <v>0.26720703995790057</v>
      </c>
      <c r="J14" s="56">
        <f t="shared" si="21"/>
        <v>0.28427562601555695</v>
      </c>
      <c r="K14" s="242">
        <f>AVERAGE(B14:J14)</f>
        <v>0.32262898844879995</v>
      </c>
      <c r="L14" s="242">
        <f>MEDIAN(B14:J14)</f>
        <v>0.32568776753923911</v>
      </c>
      <c r="M14" s="216"/>
      <c r="N14" s="93">
        <f>$L$14</f>
        <v>0.32568776753923911</v>
      </c>
      <c r="O14" s="93">
        <f t="shared" ref="O14:R14" si="22">$L$14</f>
        <v>0.32568776753923911</v>
      </c>
      <c r="P14" s="93">
        <f t="shared" si="22"/>
        <v>0.32568776753923911</v>
      </c>
      <c r="Q14" s="93">
        <f t="shared" si="22"/>
        <v>0.32568776753923911</v>
      </c>
      <c r="R14" s="93">
        <f t="shared" si="22"/>
        <v>0.32568776753923911</v>
      </c>
      <c r="S14" s="57"/>
      <c r="U14" s="224">
        <f>MAX($B$14:$J$14)</f>
        <v>0.36482112991159671</v>
      </c>
      <c r="V14" s="224">
        <f t="shared" ref="V14:Y14" si="23">MAX($B$14:$J$14)</f>
        <v>0.36482112991159671</v>
      </c>
      <c r="W14" s="224">
        <f t="shared" si="23"/>
        <v>0.36482112991159671</v>
      </c>
      <c r="X14" s="224">
        <f t="shared" si="23"/>
        <v>0.36482112991159671</v>
      </c>
      <c r="Y14" s="224">
        <f t="shared" si="23"/>
        <v>0.36482112991159671</v>
      </c>
      <c r="Z14" s="57"/>
      <c r="AB14" s="224">
        <f>MIN($B$14:$J$14)</f>
        <v>0.26720703995790057</v>
      </c>
      <c r="AC14" s="224">
        <f t="shared" ref="AC14:AF14" si="24">MIN($B$14:$J$14)</f>
        <v>0.26720703995790057</v>
      </c>
      <c r="AD14" s="224">
        <f t="shared" si="24"/>
        <v>0.26720703995790057</v>
      </c>
      <c r="AE14" s="224">
        <f t="shared" si="24"/>
        <v>0.26720703995790057</v>
      </c>
      <c r="AF14" s="224">
        <f t="shared" si="24"/>
        <v>0.26720703995790057</v>
      </c>
      <c r="AG14" s="57"/>
    </row>
    <row r="15" spans="1:25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219"/>
      <c r="L15" s="219"/>
      <c r="M15" s="219"/>
      <c r="N15" s="40"/>
      <c r="O15" s="40"/>
    </row>
    <row r="16" spans="1:255" ht="14">
      <c r="A16" s="91" t="s">
        <v>6</v>
      </c>
      <c r="B16" s="211">
        <f>'Income Statement'!B31</f>
        <v>11742</v>
      </c>
      <c r="C16" s="211">
        <f>'Income Statement'!C31</f>
        <v>13834</v>
      </c>
      <c r="D16" s="211">
        <f>'Income Statement'!D31</f>
        <v>15403</v>
      </c>
      <c r="E16" s="211">
        <f>'Income Statement'!E31</f>
        <v>16496</v>
      </c>
      <c r="F16" s="211">
        <f>'Income Statement'!F31</f>
        <v>19360</v>
      </c>
      <c r="G16" s="211">
        <f>'Income Statement'!G31</f>
        <v>23716</v>
      </c>
      <c r="H16" s="211">
        <f>'Income Statement'!H31</f>
        <v>26178</v>
      </c>
      <c r="I16" s="211">
        <f>'Income Statement'!I31</f>
        <v>27524</v>
      </c>
      <c r="J16" s="211">
        <f>'Income Statement'!J31</f>
        <v>34231</v>
      </c>
      <c r="K16" s="214">
        <f>AVERAGE(B16:J16)</f>
        <v>20942.666666666668</v>
      </c>
      <c r="L16" s="214">
        <f>MEDIAN(B16:J16)</f>
        <v>19360</v>
      </c>
      <c r="M16" s="215">
        <f>(J16/B16)^(1/8)-1</f>
        <v>0.14310122143390247</v>
      </c>
      <c r="N16" s="225">
        <f>N17*N7</f>
        <v>50347.170857646648</v>
      </c>
      <c r="O16" s="225">
        <f t="shared" ref="O16:R16" si="25">O17*O7</f>
        <v>60620.903857332392</v>
      </c>
      <c r="P16" s="225">
        <f t="shared" si="25"/>
        <v>72942.575503603133</v>
      </c>
      <c r="Q16" s="225">
        <f t="shared" si="25"/>
        <v>87710.368979764855</v>
      </c>
      <c r="R16" s="225">
        <f t="shared" si="25"/>
        <v>105397.84916173313</v>
      </c>
      <c r="U16" s="225">
        <f>U7*U17</f>
        <v>60410.559176464711</v>
      </c>
      <c r="V16" s="225">
        <f t="shared" ref="V16:Y16" si="26">V7*V17</f>
        <v>72786.133520015996</v>
      </c>
      <c r="W16" s="225">
        <f t="shared" si="26"/>
        <v>87696.940816557937</v>
      </c>
      <c r="X16" s="225">
        <f t="shared" si="26"/>
        <v>105662.34331526796</v>
      </c>
      <c r="Y16" s="225">
        <f t="shared" si="26"/>
        <v>127308.09867390033</v>
      </c>
      <c r="AB16" s="225">
        <f>AB17*AB7</f>
        <v>39231.274564789084</v>
      </c>
      <c r="AC16" s="225">
        <f t="shared" ref="AC16:AF16" si="27">AC17*AC7</f>
        <v>47209.260312454331</v>
      </c>
      <c r="AD16" s="225">
        <f t="shared" si="27"/>
        <v>56738.817812126952</v>
      </c>
      <c r="AE16" s="225">
        <f t="shared" si="27"/>
        <v>68106.882611749767</v>
      </c>
      <c r="AF16" s="225">
        <f t="shared" si="27"/>
        <v>81650.467558633216</v>
      </c>
    </row>
    <row r="17" spans="1:32">
      <c r="A17" s="92" t="s">
        <v>69</v>
      </c>
      <c r="B17" s="56">
        <f>B16/B7</f>
        <v>0.30977443609022559</v>
      </c>
      <c r="C17" s="56">
        <f t="shared" ref="C17:J17" si="28">C16/C7</f>
        <v>0.30048437194552446</v>
      </c>
      <c r="D17" s="56">
        <f t="shared" si="28"/>
        <v>0.27743655325203986</v>
      </c>
      <c r="E17" s="56">
        <f t="shared" si="28"/>
        <v>0.24993560703625703</v>
      </c>
      <c r="F17" s="56">
        <f t="shared" si="28"/>
        <v>0.25817119844243824</v>
      </c>
      <c r="G17" s="56">
        <f t="shared" si="28"/>
        <v>0.26271712158808935</v>
      </c>
      <c r="H17" s="56">
        <f t="shared" si="28"/>
        <v>0.23614631726128726</v>
      </c>
      <c r="I17" s="56">
        <f t="shared" si="28"/>
        <v>0.20117089000796673</v>
      </c>
      <c r="J17" s="56">
        <f t="shared" si="28"/>
        <v>0.21148915400631421</v>
      </c>
      <c r="K17" s="242">
        <f>AVERAGE(B17:J17)</f>
        <v>0.25636951662557139</v>
      </c>
      <c r="L17" s="242">
        <f>MEDIAN(B17:J17)</f>
        <v>0.25817119844243824</v>
      </c>
      <c r="M17" s="216"/>
      <c r="N17" s="93">
        <f>$L$17</f>
        <v>0.25817119844243824</v>
      </c>
      <c r="O17" s="93">
        <f t="shared" ref="O17:R17" si="29">$L$17</f>
        <v>0.25817119844243824</v>
      </c>
      <c r="P17" s="93">
        <f t="shared" si="29"/>
        <v>0.25817119844243824</v>
      </c>
      <c r="Q17" s="93">
        <f t="shared" si="29"/>
        <v>0.25817119844243824</v>
      </c>
      <c r="R17" s="93">
        <f t="shared" si="29"/>
        <v>0.25817119844243824</v>
      </c>
      <c r="U17" s="224">
        <f>MAX($B$17:$J$17)</f>
        <v>0.30977443609022559</v>
      </c>
      <c r="V17" s="224">
        <f t="shared" ref="V17:Y17" si="30">MAX($B$17:$J$17)</f>
        <v>0.30977443609022559</v>
      </c>
      <c r="W17" s="224">
        <f t="shared" si="30"/>
        <v>0.30977443609022559</v>
      </c>
      <c r="X17" s="224">
        <f t="shared" si="30"/>
        <v>0.30977443609022559</v>
      </c>
      <c r="Y17" s="224">
        <f t="shared" si="30"/>
        <v>0.30977443609022559</v>
      </c>
      <c r="AB17" s="224">
        <f>MIN($B$17:$J$17)</f>
        <v>0.20117089000796673</v>
      </c>
      <c r="AC17" s="224">
        <f t="shared" ref="AC17:AF17" si="31">MIN($B$17:$J$17)</f>
        <v>0.20117089000796673</v>
      </c>
      <c r="AD17" s="224">
        <f t="shared" si="31"/>
        <v>0.20117089000796673</v>
      </c>
      <c r="AE17" s="224">
        <f t="shared" si="31"/>
        <v>0.20117089000796673</v>
      </c>
      <c r="AF17" s="224">
        <f t="shared" si="31"/>
        <v>0.20117089000796673</v>
      </c>
    </row>
    <row r="18" spans="1:3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219"/>
      <c r="L18" s="220"/>
      <c r="M18" s="219"/>
      <c r="N18" s="43"/>
      <c r="O18" s="43"/>
      <c r="P18" s="43"/>
      <c r="Q18" s="43"/>
      <c r="R18" s="43"/>
    </row>
    <row r="19" spans="1:32" ht="14">
      <c r="A19" s="91" t="s">
        <v>64</v>
      </c>
      <c r="B19" s="211">
        <f>'Income Statement'!B32</f>
        <v>9737</v>
      </c>
      <c r="C19" s="211">
        <f>'Income Statement'!C32</f>
        <v>10737</v>
      </c>
      <c r="D19" s="211">
        <f>'Income Statement'!D32</f>
        <v>12733</v>
      </c>
      <c r="E19" s="211">
        <f>'Income Statement'!E32</f>
        <v>14136</v>
      </c>
      <c r="F19" s="211">
        <f>'Income Statement'!F32</f>
        <v>16348</v>
      </c>
      <c r="G19" s="211">
        <f>'Income Statement'!G32</f>
        <v>19478</v>
      </c>
      <c r="H19" s="211">
        <f>'Income Statement'!H32</f>
        <v>12662</v>
      </c>
      <c r="I19" s="211">
        <f>'Income Statement'!I32</f>
        <v>30736</v>
      </c>
      <c r="J19" s="211">
        <f>'Income Statement'!J32</f>
        <v>34343</v>
      </c>
      <c r="K19" s="214">
        <f>AVERAGE(B19:J19)</f>
        <v>17878.888888888891</v>
      </c>
      <c r="L19" s="214">
        <f>MEDIAN(B19:J19)</f>
        <v>14136</v>
      </c>
      <c r="M19" s="215">
        <f>(J19/B19)^(1/8)-1</f>
        <v>0.17064882211060928</v>
      </c>
      <c r="N19" s="225">
        <f>N20*N7</f>
        <v>42514.232912231782</v>
      </c>
      <c r="O19" s="225">
        <f t="shared" ref="O19:R19" si="32">O20*O7</f>
        <v>51189.593815065593</v>
      </c>
      <c r="P19" s="225">
        <f t="shared" si="32"/>
        <v>61594.278116369002</v>
      </c>
      <c r="Q19" s="225">
        <f t="shared" si="32"/>
        <v>74064.520252127884</v>
      </c>
      <c r="R19" s="225">
        <f t="shared" si="32"/>
        <v>89000.208579339509</v>
      </c>
      <c r="U19" s="225">
        <f>U7*U20</f>
        <v>50095.180948836387</v>
      </c>
      <c r="V19" s="225">
        <f t="shared" ref="V19:Y19" si="33">V7*V20</f>
        <v>60357.569586475533</v>
      </c>
      <c r="W19" s="225">
        <f t="shared" si="33"/>
        <v>72722.288599116378</v>
      </c>
      <c r="X19" s="225">
        <f t="shared" si="33"/>
        <v>87620.016765522407</v>
      </c>
      <c r="Y19" s="225">
        <f t="shared" si="33"/>
        <v>105569.66077225067</v>
      </c>
      <c r="AB19" s="225">
        <f>AB20*AB7</f>
        <v>22274.825143071241</v>
      </c>
      <c r="AC19" s="225">
        <f t="shared" ref="AC19:AF19" si="34">AC20*AC7</f>
        <v>26804.584614170733</v>
      </c>
      <c r="AD19" s="225">
        <f t="shared" si="34"/>
        <v>32215.299135961137</v>
      </c>
      <c r="AE19" s="225">
        <f t="shared" si="34"/>
        <v>38669.885647253665</v>
      </c>
      <c r="AF19" s="225">
        <f t="shared" si="34"/>
        <v>46359.69409341937</v>
      </c>
    </row>
    <row r="20" spans="1:32">
      <c r="A20" s="92" t="s">
        <v>69</v>
      </c>
      <c r="B20" s="56">
        <f>B19/B7</f>
        <v>0.25687903970452447</v>
      </c>
      <c r="C20" s="56">
        <f t="shared" ref="C20:J20" si="35">C19/C7</f>
        <v>0.23321531744825039</v>
      </c>
      <c r="D20" s="56">
        <f t="shared" si="35"/>
        <v>0.22934490895008916</v>
      </c>
      <c r="E20" s="56">
        <f t="shared" si="35"/>
        <v>0.21417857305192345</v>
      </c>
      <c r="F20" s="56">
        <f t="shared" si="35"/>
        <v>0.21800530744509194</v>
      </c>
      <c r="G20" s="56">
        <f t="shared" si="35"/>
        <v>0.2157701169797944</v>
      </c>
      <c r="H20" s="56">
        <f t="shared" si="35"/>
        <v>0.11422128005051645</v>
      </c>
      <c r="I20" s="56">
        <f t="shared" si="35"/>
        <v>0.22464716157843576</v>
      </c>
      <c r="J20" s="56">
        <f t="shared" si="35"/>
        <v>0.21218112284300339</v>
      </c>
      <c r="K20" s="242">
        <f>AVERAGE(B20:J20)</f>
        <v>0.21316031422795881</v>
      </c>
      <c r="L20" s="242">
        <f>MEDIAN(B20:J20)</f>
        <v>0.21800530744509194</v>
      </c>
      <c r="M20" s="216"/>
      <c r="N20" s="93">
        <f>$L$20</f>
        <v>0.21800530744509194</v>
      </c>
      <c r="O20" s="93">
        <f t="shared" ref="O20:R20" si="36">$L$20</f>
        <v>0.21800530744509194</v>
      </c>
      <c r="P20" s="93">
        <f t="shared" si="36"/>
        <v>0.21800530744509194</v>
      </c>
      <c r="Q20" s="93">
        <f t="shared" si="36"/>
        <v>0.21800530744509194</v>
      </c>
      <c r="R20" s="93">
        <f t="shared" si="36"/>
        <v>0.21800530744509194</v>
      </c>
      <c r="U20" s="224">
        <f>MAX($B$20:$J$20)</f>
        <v>0.25687903970452447</v>
      </c>
      <c r="V20" s="224">
        <f t="shared" ref="V20:Y20" si="37">MAX($B$20:$J$20)</f>
        <v>0.25687903970452447</v>
      </c>
      <c r="W20" s="224">
        <f t="shared" si="37"/>
        <v>0.25687903970452447</v>
      </c>
      <c r="X20" s="224">
        <f t="shared" si="37"/>
        <v>0.25687903970452447</v>
      </c>
      <c r="Y20" s="224">
        <f t="shared" si="37"/>
        <v>0.25687903970452447</v>
      </c>
      <c r="AB20" s="224">
        <f>MIN($B$20:$J$20)</f>
        <v>0.11422128005051645</v>
      </c>
      <c r="AC20" s="224">
        <f t="shared" ref="AC20:AF20" si="38">MIN($B$20:$J$20)</f>
        <v>0.11422128005051645</v>
      </c>
      <c r="AD20" s="224">
        <f t="shared" si="38"/>
        <v>0.11422128005051645</v>
      </c>
      <c r="AE20" s="224">
        <f t="shared" si="38"/>
        <v>0.11422128005051645</v>
      </c>
      <c r="AF20" s="224">
        <f t="shared" si="38"/>
        <v>0.11422128005051645</v>
      </c>
    </row>
    <row r="21" spans="1:3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219"/>
      <c r="L21" s="219"/>
      <c r="M21" s="219"/>
      <c r="N21" s="43"/>
      <c r="O21" s="43"/>
      <c r="P21" s="55"/>
      <c r="Q21" s="55"/>
      <c r="R21" s="55"/>
    </row>
    <row r="22" spans="1:32" ht="14">
      <c r="A22" s="91" t="s">
        <v>194</v>
      </c>
      <c r="B22" s="211">
        <f>'Cash Flow'!B8+'Cash Flow'!B9</f>
        <v>1851</v>
      </c>
      <c r="C22" s="211">
        <f>'Cash Flow'!C8+'Cash Flow'!C9</f>
        <v>2962</v>
      </c>
      <c r="D22" s="211">
        <f>'Cash Flow'!D8+'Cash Flow'!D9</f>
        <v>3939</v>
      </c>
      <c r="E22" s="211">
        <f>'Cash Flow'!E8+'Cash Flow'!E9</f>
        <v>4979</v>
      </c>
      <c r="F22" s="211">
        <f>'Cash Flow'!F8+'Cash Flow'!F9</f>
        <v>5063</v>
      </c>
      <c r="G22" s="211">
        <f>'Cash Flow'!G8+'Cash Flow'!G9</f>
        <v>6144</v>
      </c>
      <c r="H22" s="211">
        <f>'Cash Flow'!H8+'Cash Flow'!H9</f>
        <v>6915</v>
      </c>
      <c r="I22" s="211">
        <f>'Cash Flow'!I8+'Cash Flow'!I9</f>
        <v>9035</v>
      </c>
      <c r="J22" s="211">
        <f>'Cash Flow'!J8+'Cash Flow'!J9</f>
        <v>11781</v>
      </c>
      <c r="K22" s="239">
        <f>AVERAGE(B22:J22)</f>
        <v>5852.1111111111113</v>
      </c>
      <c r="L22" s="239">
        <f>MEDIAN(B22:J22)</f>
        <v>5063</v>
      </c>
      <c r="M22" s="215">
        <f>(J22/B22)^(1/8)-1</f>
        <v>0.26029428577843472</v>
      </c>
      <c r="N22" s="225">
        <f>N23*N13</f>
        <v>13166.721386997158</v>
      </c>
      <c r="O22" s="225">
        <f t="shared" ref="O22:R22" si="39">O23*O13</f>
        <v>15853.493606904642</v>
      </c>
      <c r="P22" s="225">
        <f t="shared" si="39"/>
        <v>19075.839864397862</v>
      </c>
      <c r="Q22" s="225">
        <f t="shared" si="39"/>
        <v>22937.892466144083</v>
      </c>
      <c r="R22" s="225">
        <f t="shared" si="39"/>
        <v>27563.497433153658</v>
      </c>
      <c r="U22" s="225">
        <f>U23*U13</f>
        <v>14748.782890830435</v>
      </c>
      <c r="V22" s="225">
        <f t="shared" ref="V22:Y22" si="40">V23*V13</f>
        <v>17770.186129446352</v>
      </c>
      <c r="W22" s="225">
        <f t="shared" si="40"/>
        <v>21410.547393133915</v>
      </c>
      <c r="X22" s="225">
        <f t="shared" si="40"/>
        <v>25796.665062163625</v>
      </c>
      <c r="Y22" s="225">
        <f t="shared" si="40"/>
        <v>31081.313154228857</v>
      </c>
      <c r="AB22" s="225">
        <f>AB23*AB13</f>
        <v>10802.495513885129</v>
      </c>
      <c r="AC22" s="225">
        <f t="shared" ref="AC22:AF22" si="41">AC23*AC13</f>
        <v>12999.267252888065</v>
      </c>
      <c r="AD22" s="225">
        <f t="shared" si="41"/>
        <v>15623.270762371732</v>
      </c>
      <c r="AE22" s="225">
        <f t="shared" si="41"/>
        <v>18753.514945406758</v>
      </c>
      <c r="AF22" s="225">
        <f t="shared" si="41"/>
        <v>22482.797698864433</v>
      </c>
    </row>
    <row r="23" spans="1:32">
      <c r="A23" s="92" t="s">
        <v>69</v>
      </c>
      <c r="B23" s="237">
        <f>B22/B13</f>
        <v>0.13617303023615096</v>
      </c>
      <c r="C23" s="237">
        <f t="shared" ref="C23:J23" si="42">C22/C13</f>
        <v>0.17635151226482496</v>
      </c>
      <c r="D23" s="237">
        <f t="shared" si="42"/>
        <v>0.20365008789163477</v>
      </c>
      <c r="E23" s="237">
        <f t="shared" si="42"/>
        <v>0.23185098952270081</v>
      </c>
      <c r="F23" s="237">
        <f t="shared" si="42"/>
        <v>0.20730458993571632</v>
      </c>
      <c r="G23" s="237">
        <f t="shared" si="42"/>
        <v>0.2057602143335566</v>
      </c>
      <c r="H23" s="237">
        <f t="shared" si="42"/>
        <v>0.20895657691959024</v>
      </c>
      <c r="I23" s="237">
        <f t="shared" si="42"/>
        <v>0.24713476845646762</v>
      </c>
      <c r="J23" s="237">
        <f t="shared" si="42"/>
        <v>0.25604190211249239</v>
      </c>
      <c r="K23" s="242">
        <f>AVERAGE(B23:J23)</f>
        <v>0.20813596351923716</v>
      </c>
      <c r="L23" s="242">
        <f>MEDIAN(B23:J23)</f>
        <v>0.20730458993571632</v>
      </c>
      <c r="M23" s="213"/>
      <c r="N23" s="93">
        <f>MIN($K$23:$L$23)</f>
        <v>0.20730458993571632</v>
      </c>
      <c r="O23" s="93">
        <f t="shared" ref="O23:R23" si="43">MIN($K$23:$L$23)</f>
        <v>0.20730458993571632</v>
      </c>
      <c r="P23" s="93">
        <f t="shared" si="43"/>
        <v>0.20730458993571632</v>
      </c>
      <c r="Q23" s="93">
        <f t="shared" si="43"/>
        <v>0.20730458993571632</v>
      </c>
      <c r="R23" s="93">
        <f t="shared" si="43"/>
        <v>0.20730458993571632</v>
      </c>
      <c r="U23" s="224">
        <f>MIN($K$23:$L$23)</f>
        <v>0.20730458993571632</v>
      </c>
      <c r="V23" s="224">
        <f t="shared" ref="V23:Y23" si="44">MIN($K$23:$L$23)</f>
        <v>0.20730458993571632</v>
      </c>
      <c r="W23" s="224">
        <f t="shared" si="44"/>
        <v>0.20730458993571632</v>
      </c>
      <c r="X23" s="224">
        <f t="shared" si="44"/>
        <v>0.20730458993571632</v>
      </c>
      <c r="Y23" s="224">
        <f t="shared" si="44"/>
        <v>0.20730458993571632</v>
      </c>
      <c r="AB23" s="224">
        <f>MIN($K$23:$L$23)</f>
        <v>0.20730458993571632</v>
      </c>
      <c r="AC23" s="224">
        <f t="shared" ref="AC23:AF23" si="45">MIN($K$23:$L$23)</f>
        <v>0.20730458993571632</v>
      </c>
      <c r="AD23" s="224">
        <f t="shared" si="45"/>
        <v>0.20730458993571632</v>
      </c>
      <c r="AE23" s="224">
        <f t="shared" si="45"/>
        <v>0.20730458993571632</v>
      </c>
      <c r="AF23" s="224">
        <f t="shared" si="45"/>
        <v>0.20730458993571632</v>
      </c>
    </row>
    <row r="24" spans="1:32" ht="15" customHeight="1">
      <c r="K24" s="213"/>
      <c r="L24" s="213"/>
      <c r="M24" s="213"/>
    </row>
    <row r="25" spans="1:32" ht="14">
      <c r="A25" s="91" t="s">
        <v>188</v>
      </c>
      <c r="B25" s="211">
        <f>'Cash Flow'!B6</f>
        <v>-3438</v>
      </c>
      <c r="C25" s="211">
        <f>'Cash Flow'!C6</f>
        <v>-3273</v>
      </c>
      <c r="D25" s="211">
        <f>'Cash Flow'!D6</f>
        <v>-7358</v>
      </c>
      <c r="E25" s="211">
        <f>'Cash Flow'!E6</f>
        <v>-10959</v>
      </c>
      <c r="F25" s="211">
        <f>'Cash Flow'!F6</f>
        <v>-9915</v>
      </c>
      <c r="G25" s="211">
        <f>'Cash Flow'!G6</f>
        <v>-9972</v>
      </c>
      <c r="H25" s="211">
        <f>'Cash Flow'!H6</f>
        <v>-13184</v>
      </c>
      <c r="I25" s="211">
        <f>'Cash Flow'!I6</f>
        <v>-25139</v>
      </c>
      <c r="J25" s="211">
        <f>'Cash Flow'!J6</f>
        <v>-23548</v>
      </c>
      <c r="K25" s="238">
        <f>AVERAGE(B25:J25)</f>
        <v>-11865.111111111111</v>
      </c>
      <c r="L25" s="238">
        <f>MEDIAN(B25:J25)</f>
        <v>-9972</v>
      </c>
      <c r="M25" s="215">
        <f>(J25/B25)^(1/8)-1</f>
        <v>0.27190893837272045</v>
      </c>
      <c r="N25" s="225">
        <f>N26*N7</f>
        <v>-24944.709892422932</v>
      </c>
      <c r="O25" s="225">
        <f t="shared" ref="O25:R25" si="46">O26*O7</f>
        <v>-30034.872553478395</v>
      </c>
      <c r="P25" s="225">
        <f t="shared" si="46"/>
        <v>-36139.694718659412</v>
      </c>
      <c r="Q25" s="225">
        <f t="shared" si="46"/>
        <v>-43456.457860239614</v>
      </c>
      <c r="R25" s="225">
        <f t="shared" si="46"/>
        <v>-52219.791615668859</v>
      </c>
      <c r="U25" s="225">
        <f>U26*U7</f>
        <v>-24944.709892422932</v>
      </c>
      <c r="V25" s="225">
        <f t="shared" ref="V25:Y25" si="47">V26*V7</f>
        <v>-30054.828321392335</v>
      </c>
      <c r="W25" s="225">
        <f t="shared" si="47"/>
        <v>-36211.79437740209</v>
      </c>
      <c r="X25" s="225">
        <f t="shared" si="47"/>
        <v>-43630.062963889904</v>
      </c>
      <c r="Y25" s="225">
        <f t="shared" si="47"/>
        <v>-52568.021744344318</v>
      </c>
      <c r="AB25" s="225">
        <f>AB26*AB7</f>
        <v>-24944.709892422932</v>
      </c>
      <c r="AC25" s="225">
        <f t="shared" ref="AC25:AF25" si="48">AC26*AC7</f>
        <v>-30017.411256553703</v>
      </c>
      <c r="AD25" s="225">
        <f t="shared" si="48"/>
        <v>-36076.659901150342</v>
      </c>
      <c r="AE25" s="225">
        <f t="shared" si="48"/>
        <v>-43304.900166363877</v>
      </c>
      <c r="AF25" s="225">
        <f t="shared" si="48"/>
        <v>-51916.417409971698</v>
      </c>
    </row>
    <row r="26" spans="1:32">
      <c r="A26" s="92" t="s">
        <v>69</v>
      </c>
      <c r="B26" s="237">
        <f>B25/B7</f>
        <v>-9.0700435298773252E-2</v>
      </c>
      <c r="C26" s="237">
        <f t="shared" ref="C26:J26" si="49">C25/C7</f>
        <v>-7.1091900345359366E-2</v>
      </c>
      <c r="D26" s="237">
        <f t="shared" si="49"/>
        <v>-0.13253120553324088</v>
      </c>
      <c r="E26" s="237">
        <f t="shared" si="49"/>
        <v>-0.16604293874335238</v>
      </c>
      <c r="F26" s="237">
        <f t="shared" si="49"/>
        <v>-0.13221939217751938</v>
      </c>
      <c r="G26" s="237">
        <f t="shared" si="49"/>
        <v>-0.11046614675646933</v>
      </c>
      <c r="H26" s="237">
        <f t="shared" si="49"/>
        <v>-0.11893013395877497</v>
      </c>
      <c r="I26" s="237">
        <f t="shared" si="49"/>
        <v>-0.18373910056351822</v>
      </c>
      <c r="J26" s="237">
        <f t="shared" si="49"/>
        <v>-0.14548644791389931</v>
      </c>
      <c r="K26" s="242">
        <f>AVERAGE(B26:J26)</f>
        <v>-0.12791196681010081</v>
      </c>
      <c r="L26" s="242">
        <f>MEDIAN(B26:J26)</f>
        <v>-0.13221939217751938</v>
      </c>
      <c r="M26" s="213"/>
      <c r="N26" s="93">
        <f>MAX($K$26:$L$26)</f>
        <v>-0.12791196681010081</v>
      </c>
      <c r="O26" s="93">
        <f t="shared" ref="O26:R26" si="50">MAX($K$26:$L$26)</f>
        <v>-0.12791196681010081</v>
      </c>
      <c r="P26" s="93">
        <f t="shared" si="50"/>
        <v>-0.12791196681010081</v>
      </c>
      <c r="Q26" s="93">
        <f t="shared" si="50"/>
        <v>-0.12791196681010081</v>
      </c>
      <c r="R26" s="93">
        <f t="shared" si="50"/>
        <v>-0.12791196681010081</v>
      </c>
      <c r="U26" s="224">
        <f>MAX($K$26:$L$26)</f>
        <v>-0.12791196681010081</v>
      </c>
      <c r="V26" s="224">
        <f t="shared" ref="V26:Y26" si="51">MAX($K$26:$L$26)</f>
        <v>-0.12791196681010081</v>
      </c>
      <c r="W26" s="224">
        <f t="shared" si="51"/>
        <v>-0.12791196681010081</v>
      </c>
      <c r="X26" s="224">
        <f t="shared" si="51"/>
        <v>-0.12791196681010081</v>
      </c>
      <c r="Y26" s="224">
        <f t="shared" si="51"/>
        <v>-0.12791196681010081</v>
      </c>
      <c r="AB26" s="224">
        <f>MAX($K$26:$L$26)</f>
        <v>-0.12791196681010081</v>
      </c>
      <c r="AC26" s="224">
        <f t="shared" ref="AC26:AF26" si="52">MAX($K$26:$L$26)</f>
        <v>-0.12791196681010081</v>
      </c>
      <c r="AD26" s="224">
        <f t="shared" si="52"/>
        <v>-0.12791196681010081</v>
      </c>
      <c r="AE26" s="224">
        <f t="shared" si="52"/>
        <v>-0.12791196681010081</v>
      </c>
      <c r="AF26" s="224">
        <f t="shared" si="52"/>
        <v>-0.12791196681010081</v>
      </c>
    </row>
    <row r="27" spans="1:32">
      <c r="K27" s="213"/>
      <c r="L27" s="213"/>
      <c r="M27" s="213"/>
    </row>
    <row r="28" spans="1:32" ht="14">
      <c r="A28" s="91" t="s">
        <v>195</v>
      </c>
      <c r="B28" s="211">
        <f>'Balance Sheet &amp; NWC'!B16-'Balance Sheet &amp; NWC'!B7</f>
        <v>38924</v>
      </c>
      <c r="C28" s="211">
        <f>'Balance Sheet &amp; NWC'!C16-'Balance Sheet &amp; NWC'!C7</f>
        <v>45843</v>
      </c>
      <c r="D28" s="211">
        <f>'Balance Sheet &amp; NWC'!D16-'Balance Sheet &amp; NWC'!D7</f>
        <v>54356</v>
      </c>
      <c r="E28" s="211">
        <f>'Balance Sheet &amp; NWC'!E16-'Balance Sheet &amp; NWC'!E7</f>
        <v>62340</v>
      </c>
      <c r="F28" s="211">
        <f>'Balance Sheet &amp; NWC'!F16-'Balance Sheet &amp; NWC'!F7</f>
        <v>74393</v>
      </c>
      <c r="G28" s="211">
        <f>'Balance Sheet &amp; NWC'!G16-'Balance Sheet &amp; NWC'!G7</f>
        <v>94214</v>
      </c>
      <c r="H28" s="211">
        <f>'Balance Sheet &amp; NWC'!H16-'Balance Sheet &amp; NWC'!H7</f>
        <v>113593</v>
      </c>
      <c r="I28" s="211">
        <f>'Balance Sheet &amp; NWC'!I16-'Balance Sheet &amp; NWC'!I7</f>
        <v>118975</v>
      </c>
      <c r="J28" s="211">
        <f>'Balance Sheet &amp; NWC'!J16-'Balance Sheet &amp; NWC'!J7</f>
        <v>134080</v>
      </c>
      <c r="K28" s="238">
        <f>AVERAGE(B28:J28)</f>
        <v>81857.555555555562</v>
      </c>
      <c r="L28" s="238">
        <f>MEDIAN(B28:J28)</f>
        <v>74393</v>
      </c>
      <c r="M28" s="215">
        <f>(J28/B28)^(1/8)-1</f>
        <v>0.1671947277640391</v>
      </c>
      <c r="N28" s="225">
        <f>N29*N7</f>
        <v>193464.72528992288</v>
      </c>
      <c r="O28" s="225">
        <f t="shared" ref="O28:R28" si="53">O29*O7</f>
        <v>232942.7118108744</v>
      </c>
      <c r="P28" s="225">
        <f t="shared" si="53"/>
        <v>280290.13530162949</v>
      </c>
      <c r="Q28" s="225">
        <f t="shared" si="53"/>
        <v>337037.05989213049</v>
      </c>
      <c r="R28" s="225">
        <f t="shared" si="53"/>
        <v>405003.21243227331</v>
      </c>
      <c r="U28" s="225">
        <f>U29*U7</f>
        <v>193464.72528992288</v>
      </c>
      <c r="V28" s="225">
        <f t="shared" ref="V28:Y28" si="54">V29*V7</f>
        <v>233097.48359110634</v>
      </c>
      <c r="W28" s="225">
        <f t="shared" si="54"/>
        <v>280849.32162739977</v>
      </c>
      <c r="X28" s="225">
        <f t="shared" si="54"/>
        <v>338383.49622398108</v>
      </c>
      <c r="Y28" s="225">
        <f t="shared" si="54"/>
        <v>407703.99534265447</v>
      </c>
      <c r="AB28" s="225">
        <f>AB29*AB7</f>
        <v>193464.72528992288</v>
      </c>
      <c r="AC28" s="225">
        <f t="shared" ref="AC28:AF28" si="55">AC29*AC7</f>
        <v>232807.28650317146</v>
      </c>
      <c r="AD28" s="225">
        <f t="shared" si="55"/>
        <v>279801.25354250363</v>
      </c>
      <c r="AE28" s="225">
        <f t="shared" si="55"/>
        <v>335861.61757439276</v>
      </c>
      <c r="AF28" s="225">
        <f t="shared" si="55"/>
        <v>402650.32047167857</v>
      </c>
    </row>
    <row r="29" spans="1:32">
      <c r="A29" s="92" t="s">
        <v>69</v>
      </c>
      <c r="B29" s="237">
        <f>B28/B7</f>
        <v>1.0268829969660995</v>
      </c>
      <c r="C29" s="237">
        <f t="shared" ref="C29:J29" si="56">C28/C7</f>
        <v>0.99574273985099593</v>
      </c>
      <c r="D29" s="237">
        <f t="shared" si="56"/>
        <v>0.97905221635836381</v>
      </c>
      <c r="E29" s="237">
        <f t="shared" si="56"/>
        <v>0.9445311434675232</v>
      </c>
      <c r="F29" s="237">
        <f t="shared" si="56"/>
        <v>0.99205216765125548</v>
      </c>
      <c r="G29" s="237">
        <f t="shared" si="56"/>
        <v>1.0436680255228643</v>
      </c>
      <c r="H29" s="237">
        <f t="shared" si="56"/>
        <v>1.0246989310360382</v>
      </c>
      <c r="I29" s="237">
        <f t="shared" si="56"/>
        <v>0.86957951746467965</v>
      </c>
      <c r="J29" s="237">
        <f t="shared" si="56"/>
        <v>0.82838555020789961</v>
      </c>
      <c r="K29" s="242">
        <f>AVERAGE(B29:J29)</f>
        <v>0.96717703205841332</v>
      </c>
      <c r="L29" s="242">
        <f>MEDIAN(B29:J29)</f>
        <v>0.99205216765125548</v>
      </c>
      <c r="M29" s="213"/>
      <c r="N29" s="93">
        <f>MAX($K$29:$L$29)</f>
        <v>0.99205216765125548</v>
      </c>
      <c r="O29" s="93">
        <f t="shared" ref="O29:R29" si="57">MAX($K$29:$L$29)</f>
        <v>0.99205216765125548</v>
      </c>
      <c r="P29" s="93">
        <f t="shared" si="57"/>
        <v>0.99205216765125548</v>
      </c>
      <c r="Q29" s="93">
        <f t="shared" si="57"/>
        <v>0.99205216765125548</v>
      </c>
      <c r="R29" s="93">
        <f t="shared" si="57"/>
        <v>0.99205216765125548</v>
      </c>
      <c r="U29" s="224">
        <f>MAX($K$29:$L$29)</f>
        <v>0.99205216765125548</v>
      </c>
      <c r="V29" s="224">
        <f t="shared" ref="V29:Y29" si="58">MAX($K$29:$L$29)</f>
        <v>0.99205216765125548</v>
      </c>
      <c r="W29" s="224">
        <f t="shared" si="58"/>
        <v>0.99205216765125548</v>
      </c>
      <c r="X29" s="224">
        <f t="shared" si="58"/>
        <v>0.99205216765125548</v>
      </c>
      <c r="Y29" s="224">
        <f t="shared" si="58"/>
        <v>0.99205216765125548</v>
      </c>
      <c r="AB29" s="224">
        <f>MAX($K$29:$L$29)</f>
        <v>0.99205216765125548</v>
      </c>
      <c r="AC29" s="224">
        <f t="shared" ref="AC29:AF29" si="59">MAX($K$29:$L$29)</f>
        <v>0.99205216765125548</v>
      </c>
      <c r="AD29" s="224">
        <f t="shared" si="59"/>
        <v>0.99205216765125548</v>
      </c>
      <c r="AE29" s="224">
        <f t="shared" si="59"/>
        <v>0.99205216765125548</v>
      </c>
      <c r="AF29" s="224">
        <f t="shared" si="59"/>
        <v>0.99205216765125548</v>
      </c>
    </row>
    <row r="30" spans="1:32">
      <c r="A30" s="92"/>
      <c r="K30" s="213"/>
      <c r="L30" s="213"/>
      <c r="M30" s="213"/>
    </row>
    <row r="31" spans="1:32" ht="14">
      <c r="A31" s="91" t="s">
        <v>196</v>
      </c>
      <c r="B31" s="211">
        <f>'Balance Sheet &amp; NWC'!B34</f>
        <v>8913</v>
      </c>
      <c r="C31" s="211">
        <f>'Balance Sheet &amp; NWC'!C34</f>
        <v>14337</v>
      </c>
      <c r="D31" s="211">
        <f>'Balance Sheet &amp; NWC'!D34</f>
        <v>17680</v>
      </c>
      <c r="E31" s="211">
        <f>'Balance Sheet &amp; NWC'!E34</f>
        <v>16779</v>
      </c>
      <c r="F31" s="211">
        <f>'Balance Sheet &amp; NWC'!F34</f>
        <v>19310</v>
      </c>
      <c r="G31" s="211">
        <f>'Balance Sheet &amp; NWC'!G34</f>
        <v>16756</v>
      </c>
      <c r="H31" s="211">
        <f>'Balance Sheet &amp; NWC'!H34</f>
        <v>24183</v>
      </c>
      <c r="I31" s="211">
        <f>'Balance Sheet &amp; NWC'!I34</f>
        <v>34620</v>
      </c>
      <c r="J31" s="211">
        <f>'Balance Sheet &amp; NWC'!J34</f>
        <v>45221</v>
      </c>
      <c r="K31" s="238">
        <f>AVERAGE(B31:J31)</f>
        <v>21977.666666666668</v>
      </c>
      <c r="L31" s="238">
        <f>MEDIAN(B31:J31)</f>
        <v>17680</v>
      </c>
      <c r="M31" s="215">
        <f>(J31/B31)^(1/8)-1</f>
        <v>0.22508023148979617</v>
      </c>
      <c r="N31" s="225">
        <f>N32*N9</f>
        <v>49517.788690535926</v>
      </c>
      <c r="O31" s="225">
        <f t="shared" ref="O31:R31" si="60">O32*O9</f>
        <v>59622.279788552791</v>
      </c>
      <c r="P31" s="225">
        <f t="shared" si="60"/>
        <v>71740.973302024242</v>
      </c>
      <c r="Q31" s="225">
        <f t="shared" si="60"/>
        <v>86265.493038111614</v>
      </c>
      <c r="R31" s="225">
        <f t="shared" si="60"/>
        <v>103661.60271416751</v>
      </c>
      <c r="U31" s="225">
        <f>U32*U9</f>
        <v>44260.181067680038</v>
      </c>
      <c r="V31" s="225">
        <f t="shared" ref="V31:Y31" si="61">V32*V9</f>
        <v>53327.2244575964</v>
      </c>
      <c r="W31" s="225">
        <f t="shared" si="61"/>
        <v>64251.722422967672</v>
      </c>
      <c r="X31" s="225">
        <f t="shared" si="61"/>
        <v>77414.189024608408</v>
      </c>
      <c r="Y31" s="225">
        <f t="shared" si="61"/>
        <v>93273.089597292012</v>
      </c>
      <c r="AB31" s="225">
        <f>AB32*AB9</f>
        <v>56507.226402901222</v>
      </c>
      <c r="AC31" s="225">
        <f t="shared" ref="AC31:AF31" si="62">AC32*AC9</f>
        <v>67998.41173612143</v>
      </c>
      <c r="AD31" s="225">
        <f t="shared" si="62"/>
        <v>81724.421638353146</v>
      </c>
      <c r="AE31" s="225">
        <f t="shared" si="62"/>
        <v>98098.547091103188</v>
      </c>
      <c r="AF31" s="225">
        <f t="shared" si="62"/>
        <v>117606.20850130245</v>
      </c>
    </row>
    <row r="32" spans="1:32">
      <c r="A32" s="92" t="s">
        <v>69</v>
      </c>
      <c r="B32" s="237">
        <f>B31/B9</f>
        <v>0.67584167424931751</v>
      </c>
      <c r="C32" s="237">
        <f t="shared" ref="C32:J32" si="63">C31/C9</f>
        <v>0.83471122496506756</v>
      </c>
      <c r="D32" s="237">
        <f t="shared" si="63"/>
        <v>0.80389214750147775</v>
      </c>
      <c r="E32" s="237">
        <f t="shared" si="63"/>
        <v>0.65310809232805267</v>
      </c>
      <c r="F32" s="237">
        <f t="shared" si="63"/>
        <v>0.68562704161340715</v>
      </c>
      <c r="G32" s="237">
        <f t="shared" si="63"/>
        <v>0.47686265581421822</v>
      </c>
      <c r="H32" s="237">
        <f t="shared" si="63"/>
        <v>0.53052673145690277</v>
      </c>
      <c r="I32" s="237">
        <f t="shared" si="63"/>
        <v>0.5813699642311374</v>
      </c>
      <c r="J32" s="237">
        <f t="shared" si="63"/>
        <v>0.62897796817625462</v>
      </c>
      <c r="K32" s="242">
        <f>AVERAGE(B32:J32)</f>
        <v>0.65232416670398186</v>
      </c>
      <c r="L32" s="242">
        <f>MEDIAN(B32:J32)</f>
        <v>0.65310809232805267</v>
      </c>
      <c r="M32" s="213"/>
      <c r="N32" s="93">
        <f>MIN($K$32:$L$32)</f>
        <v>0.65232416670398186</v>
      </c>
      <c r="O32" s="93">
        <f t="shared" ref="O32:R32" si="64">MIN($K$32:$L$32)</f>
        <v>0.65232416670398186</v>
      </c>
      <c r="P32" s="93">
        <f t="shared" si="64"/>
        <v>0.65232416670398186</v>
      </c>
      <c r="Q32" s="93">
        <f t="shared" si="64"/>
        <v>0.65232416670398186</v>
      </c>
      <c r="R32" s="93">
        <f t="shared" si="64"/>
        <v>0.65232416670398186</v>
      </c>
      <c r="U32" s="224">
        <f>MIN($K$32:$L$32)</f>
        <v>0.65232416670398186</v>
      </c>
      <c r="V32" s="224">
        <f t="shared" ref="V32:Y32" si="65">MIN($K$32:$L$32)</f>
        <v>0.65232416670398186</v>
      </c>
      <c r="W32" s="224">
        <f t="shared" si="65"/>
        <v>0.65232416670398186</v>
      </c>
      <c r="X32" s="224">
        <f t="shared" si="65"/>
        <v>0.65232416670398186</v>
      </c>
      <c r="Y32" s="224">
        <f t="shared" si="65"/>
        <v>0.65232416670398186</v>
      </c>
      <c r="AB32" s="224">
        <f>MIN($K$32:$L$32)</f>
        <v>0.65232416670398186</v>
      </c>
      <c r="AC32" s="224">
        <f t="shared" ref="AC32:AF32" si="66">MIN($K$32:$L$32)</f>
        <v>0.65232416670398186</v>
      </c>
      <c r="AD32" s="224">
        <f t="shared" si="66"/>
        <v>0.65232416670398186</v>
      </c>
      <c r="AE32" s="224">
        <f t="shared" si="66"/>
        <v>0.65232416670398186</v>
      </c>
      <c r="AF32" s="224">
        <f t="shared" si="66"/>
        <v>0.65232416670398186</v>
      </c>
    </row>
    <row r="33" spans="1:32">
      <c r="K33" s="213"/>
      <c r="L33" s="213"/>
      <c r="M33" s="213"/>
    </row>
    <row r="34" spans="1:32" ht="14">
      <c r="A34" s="91" t="s">
        <v>197</v>
      </c>
      <c r="B34" s="211"/>
      <c r="C34" s="211">
        <f>C28-B28</f>
        <v>6919</v>
      </c>
      <c r="D34" s="211">
        <f t="shared" ref="D34:J34" si="67">D28-C28</f>
        <v>8513</v>
      </c>
      <c r="E34" s="211">
        <f t="shared" si="67"/>
        <v>7984</v>
      </c>
      <c r="F34" s="211">
        <f t="shared" si="67"/>
        <v>12053</v>
      </c>
      <c r="G34" s="211">
        <f t="shared" si="67"/>
        <v>19821</v>
      </c>
      <c r="H34" s="211">
        <f t="shared" si="67"/>
        <v>19379</v>
      </c>
      <c r="I34" s="211">
        <f t="shared" si="67"/>
        <v>5382</v>
      </c>
      <c r="J34" s="211">
        <f t="shared" si="67"/>
        <v>15105</v>
      </c>
      <c r="K34" s="238">
        <f>AVERAGE(B34:J34)</f>
        <v>11894.5</v>
      </c>
      <c r="L34" s="238">
        <f>MEDIAN(B34:J34)</f>
        <v>10283</v>
      </c>
      <c r="M34" s="215">
        <f>(J34/C34)^(1/7)-1</f>
        <v>0.11799440062148192</v>
      </c>
      <c r="N34" s="225">
        <f>N28-J28</f>
        <v>59384.725289922877</v>
      </c>
      <c r="O34" s="225">
        <f>O28-N28</f>
        <v>39477.986520951526</v>
      </c>
      <c r="P34" s="225">
        <f t="shared" ref="P34:R34" si="68">P28-O28</f>
        <v>47347.423490755085</v>
      </c>
      <c r="Q34" s="225">
        <f t="shared" si="68"/>
        <v>56746.924590501003</v>
      </c>
      <c r="R34" s="225">
        <f t="shared" si="68"/>
        <v>67966.152540142823</v>
      </c>
      <c r="U34" s="225">
        <f>U28-J28</f>
        <v>59384.725289922877</v>
      </c>
      <c r="V34" s="225">
        <f>V28-U28</f>
        <v>39632.758301183465</v>
      </c>
      <c r="W34" s="225">
        <f t="shared" ref="W34:Y34" si="69">W28-V28</f>
        <v>47751.838036293426</v>
      </c>
      <c r="X34" s="225">
        <f t="shared" si="69"/>
        <v>57534.174596581317</v>
      </c>
      <c r="Y34" s="225">
        <f t="shared" si="69"/>
        <v>69320.499118673382</v>
      </c>
      <c r="AB34" s="225">
        <f>AB28-J28</f>
        <v>59384.725289922877</v>
      </c>
      <c r="AC34" s="225">
        <f>AC28-AB28</f>
        <v>39342.561213248584</v>
      </c>
      <c r="AD34" s="225">
        <f t="shared" ref="AD34:AF34" si="70">AD28-AC28</f>
        <v>46993.967039332172</v>
      </c>
      <c r="AE34" s="225">
        <f t="shared" si="70"/>
        <v>56060.364031889127</v>
      </c>
      <c r="AF34" s="225">
        <f t="shared" si="70"/>
        <v>66788.70289728581</v>
      </c>
    </row>
    <row r="35" spans="1:32">
      <c r="K35" s="213"/>
      <c r="L35" s="213"/>
      <c r="M35" s="213"/>
    </row>
    <row r="36" spans="1:32" ht="14">
      <c r="A36" s="91" t="s">
        <v>198</v>
      </c>
      <c r="B36" s="211"/>
      <c r="C36" s="211">
        <f>C31-B31</f>
        <v>5424</v>
      </c>
      <c r="D36" s="211">
        <f t="shared" ref="D36:J36" si="71">D31-C31</f>
        <v>3343</v>
      </c>
      <c r="E36" s="211">
        <f t="shared" si="71"/>
        <v>-901</v>
      </c>
      <c r="F36" s="211">
        <f t="shared" si="71"/>
        <v>2531</v>
      </c>
      <c r="G36" s="211">
        <f t="shared" si="71"/>
        <v>-2554</v>
      </c>
      <c r="H36" s="211">
        <f t="shared" si="71"/>
        <v>7427</v>
      </c>
      <c r="I36" s="211">
        <f t="shared" si="71"/>
        <v>10437</v>
      </c>
      <c r="J36" s="211">
        <f t="shared" si="71"/>
        <v>10601</v>
      </c>
      <c r="K36" s="238">
        <f>AVERAGE(B36:J36)</f>
        <v>4538.5</v>
      </c>
      <c r="L36" s="238">
        <f>MEDIAN(B36:J36)</f>
        <v>4383.5</v>
      </c>
      <c r="M36" s="215">
        <f>(J36/C36)^(1/7)-1</f>
        <v>0.10046265151296363</v>
      </c>
      <c r="N36" s="225">
        <f>N31-J31</f>
        <v>4296.7886905359264</v>
      </c>
      <c r="O36" s="225">
        <f>O31-N31</f>
        <v>10104.491098016864</v>
      </c>
      <c r="P36" s="225">
        <f t="shared" ref="P36:R36" si="72">P31-O31</f>
        <v>12118.693513471451</v>
      </c>
      <c r="Q36" s="225">
        <f t="shared" si="72"/>
        <v>14524.519736087372</v>
      </c>
      <c r="R36" s="225">
        <f t="shared" si="72"/>
        <v>17396.109676055901</v>
      </c>
      <c r="U36" s="225">
        <f>U31-J31</f>
        <v>-960.81893231996219</v>
      </c>
      <c r="V36" s="225">
        <f>V31-U31</f>
        <v>9067.0433899163618</v>
      </c>
      <c r="W36" s="225">
        <f t="shared" ref="W36:Y36" si="73">W31-V31</f>
        <v>10924.497965371273</v>
      </c>
      <c r="X36" s="225">
        <f t="shared" si="73"/>
        <v>13162.466601640735</v>
      </c>
      <c r="Y36" s="225">
        <f t="shared" si="73"/>
        <v>15858.900572683604</v>
      </c>
      <c r="AB36" s="225">
        <f>AB31-J31</f>
        <v>11286.226402901222</v>
      </c>
      <c r="AC36" s="225">
        <f>AC31-AB31</f>
        <v>11491.185333220208</v>
      </c>
      <c r="AD36" s="225">
        <f t="shared" ref="AD36:AF36" si="74">AD31-AC31</f>
        <v>13726.009902231715</v>
      </c>
      <c r="AE36" s="225">
        <f t="shared" si="74"/>
        <v>16374.125452750042</v>
      </c>
      <c r="AF36" s="225">
        <f t="shared" si="74"/>
        <v>19507.66141019926</v>
      </c>
    </row>
    <row r="37" spans="1:32">
      <c r="K37" s="213"/>
      <c r="L37" s="213"/>
      <c r="M37" s="213"/>
    </row>
    <row r="38" spans="1:32" ht="14">
      <c r="A38" s="91" t="s">
        <v>199</v>
      </c>
      <c r="B38" s="211"/>
      <c r="C38" s="211">
        <f>C34-C36</f>
        <v>1495</v>
      </c>
      <c r="D38" s="211">
        <f t="shared" ref="D38:J38" si="75">D34-D36</f>
        <v>5170</v>
      </c>
      <c r="E38" s="211">
        <f t="shared" si="75"/>
        <v>8885</v>
      </c>
      <c r="F38" s="211">
        <f t="shared" si="75"/>
        <v>9522</v>
      </c>
      <c r="G38" s="211">
        <f t="shared" si="75"/>
        <v>22375</v>
      </c>
      <c r="H38" s="211">
        <f t="shared" si="75"/>
        <v>11952</v>
      </c>
      <c r="I38" s="211">
        <f t="shared" si="75"/>
        <v>-5055</v>
      </c>
      <c r="J38" s="211">
        <f t="shared" si="75"/>
        <v>4504</v>
      </c>
      <c r="K38" s="238">
        <f>AVERAGE(B38:J38)</f>
        <v>7356</v>
      </c>
      <c r="L38" s="238">
        <f>MEDIAN(B38:J38)</f>
        <v>7027.5</v>
      </c>
      <c r="M38" s="215">
        <f>(J38/C38)^(1/7)-1</f>
        <v>0.17063756329539181</v>
      </c>
      <c r="N38" s="225">
        <f>N34-N36</f>
        <v>55087.936599386951</v>
      </c>
      <c r="O38" s="225">
        <f t="shared" ref="O38:R38" si="76">O34-O36</f>
        <v>29373.495422934662</v>
      </c>
      <c r="P38" s="225">
        <f t="shared" si="76"/>
        <v>35228.729977283634</v>
      </c>
      <c r="Q38" s="225">
        <f t="shared" si="76"/>
        <v>42222.404854413631</v>
      </c>
      <c r="R38" s="225">
        <f t="shared" si="76"/>
        <v>50570.042864086921</v>
      </c>
      <c r="U38" s="225">
        <f>U34-U36</f>
        <v>60345.544222242839</v>
      </c>
      <c r="V38" s="225">
        <f t="shared" ref="V38:Y38" si="77">V34-V36</f>
        <v>30565.714911267103</v>
      </c>
      <c r="W38" s="225">
        <f t="shared" si="77"/>
        <v>36827.340070922153</v>
      </c>
      <c r="X38" s="225">
        <f t="shared" si="77"/>
        <v>44371.707994940582</v>
      </c>
      <c r="Y38" s="225">
        <f t="shared" si="77"/>
        <v>53461.598545989778</v>
      </c>
      <c r="AB38" s="225">
        <f>AB34-AB36</f>
        <v>48098.498887021655</v>
      </c>
      <c r="AC38" s="225">
        <f t="shared" ref="AC38:AF38" si="78">AC34-AC36</f>
        <v>27851.375880028376</v>
      </c>
      <c r="AD38" s="225">
        <f t="shared" si="78"/>
        <v>33267.957137100457</v>
      </c>
      <c r="AE38" s="225">
        <f t="shared" si="78"/>
        <v>39686.238579139084</v>
      </c>
      <c r="AF38" s="225">
        <f t="shared" si="78"/>
        <v>47281.04148708655</v>
      </c>
    </row>
  </sheetData>
  <mergeCells count="3">
    <mergeCell ref="U2:Y2"/>
    <mergeCell ref="AB2:AF2"/>
    <mergeCell ref="N2:R2"/>
  </mergeCells>
  <phoneticPr fontId="55" type="noConversion"/>
  <pageMargins left="0.2" right="0.2" top="0.5" bottom="0.5" header="0.5" footer="0.5"/>
  <pageSetup fitToWidth="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3"/>
  <dimension ref="A1"/>
  <sheetViews>
    <sheetView showGridLines="0" workbookViewId="0">
      <selection activeCell="J8" sqref="J8"/>
    </sheetView>
  </sheetViews>
  <sheetFormatPr baseColWidth="10" defaultColWidth="8.83203125" defaultRowHeight="15"/>
  <cols>
    <col min="7" max="7" width="9.1640625" customWidth="1"/>
    <col min="13" max="13" width="9.33203125" customWidth="1"/>
  </cols>
  <sheetData/>
  <phoneticPr fontId="5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</vt:lpstr>
      <vt:lpstr>Income Statement</vt:lpstr>
      <vt:lpstr>Cash Flow</vt:lpstr>
      <vt:lpstr>Balance Sheet &amp; NWC</vt:lpstr>
      <vt:lpstr>Historical &amp; Projections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Тутынин;Alexander Valtsev</dc:creator>
  <cp:lastModifiedBy>Nikita Skliarov</cp:lastModifiedBy>
  <dcterms:created xsi:type="dcterms:W3CDTF">2015-08-04T13:06:43Z</dcterms:created>
  <dcterms:modified xsi:type="dcterms:W3CDTF">2025-03-23T09:13:20Z</dcterms:modified>
</cp:coreProperties>
</file>