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8010" activeTab="1"/>
  </bookViews>
  <sheets>
    <sheet name="WAGA 1" sheetId="1" r:id="rId1"/>
    <sheet name="WAGA 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H5" i="2"/>
  <c r="H6"/>
  <c r="H7"/>
  <c r="H8"/>
  <c r="H9"/>
  <c r="H10"/>
  <c r="H11"/>
  <c r="H12"/>
  <c r="H13"/>
  <c r="G5"/>
  <c r="G6"/>
  <c r="G7"/>
  <c r="G8"/>
  <c r="G9"/>
  <c r="G10"/>
  <c r="G11"/>
  <c r="G12"/>
  <c r="G13"/>
  <c r="H4"/>
  <c r="G4"/>
  <c r="F5"/>
  <c r="F6"/>
  <c r="F7"/>
  <c r="F8"/>
  <c r="F9"/>
  <c r="F10"/>
  <c r="F11"/>
  <c r="F12"/>
  <c r="F13"/>
  <c r="F4"/>
  <c r="B13"/>
  <c r="B12"/>
  <c r="B11"/>
  <c r="B10"/>
  <c r="B9"/>
  <c r="B8"/>
  <c r="B7"/>
  <c r="B6"/>
  <c r="N24" i="1"/>
  <c r="O24" s="1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23"/>
  <c r="O23" s="1"/>
  <c r="G23"/>
  <c r="G24"/>
  <c r="G25"/>
  <c r="H25" s="1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H23"/>
  <c r="I23"/>
  <c r="I24"/>
  <c r="F57"/>
  <c r="F56"/>
  <c r="F55"/>
  <c r="C52"/>
  <c r="C50"/>
  <c r="F46"/>
  <c r="F47"/>
  <c r="F48"/>
  <c r="F49"/>
  <c r="F50"/>
  <c r="F51"/>
  <c r="F52"/>
  <c r="F53"/>
  <c r="F54"/>
  <c r="C42"/>
  <c r="C35"/>
  <c r="B35"/>
  <c r="O35" s="1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23"/>
  <c r="J23" s="1"/>
  <c r="B25"/>
  <c r="L25" s="1"/>
  <c r="B24"/>
  <c r="L24" s="1"/>
  <c r="D8"/>
  <c r="D5"/>
  <c r="D3"/>
  <c r="D12" s="1"/>
  <c r="J24" l="1"/>
  <c r="B26"/>
  <c r="I25"/>
  <c r="J25" s="1"/>
  <c r="H24"/>
  <c r="O25"/>
  <c r="B45"/>
  <c r="B36"/>
  <c r="H35"/>
  <c r="I35"/>
  <c r="J35" s="1"/>
  <c r="O45" l="1"/>
  <c r="I45"/>
  <c r="J45" s="1"/>
  <c r="B46"/>
  <c r="H36"/>
  <c r="I36"/>
  <c r="J36" s="1"/>
  <c r="L36"/>
  <c r="B37"/>
  <c r="O36"/>
  <c r="H45"/>
  <c r="L26"/>
  <c r="B27"/>
  <c r="O26"/>
  <c r="H26"/>
  <c r="I26"/>
  <c r="J26" s="1"/>
  <c r="O27" l="1"/>
  <c r="I27"/>
  <c r="J27" s="1"/>
  <c r="B28"/>
  <c r="L27"/>
  <c r="H27"/>
  <c r="L37"/>
  <c r="B38"/>
  <c r="O37"/>
  <c r="I37"/>
  <c r="J37" s="1"/>
  <c r="H37"/>
  <c r="L46"/>
  <c r="O46"/>
  <c r="I46"/>
  <c r="J46" s="1"/>
  <c r="H46"/>
  <c r="B47"/>
  <c r="O47" l="1"/>
  <c r="I47"/>
  <c r="J47" s="1"/>
  <c r="B48"/>
  <c r="L47"/>
  <c r="H47"/>
  <c r="L38"/>
  <c r="B39"/>
  <c r="O38"/>
  <c r="I38"/>
  <c r="J38" s="1"/>
  <c r="H38"/>
  <c r="H28"/>
  <c r="B29"/>
  <c r="I28"/>
  <c r="J28" s="1"/>
  <c r="L28"/>
  <c r="O28"/>
  <c r="L29" l="1"/>
  <c r="O29"/>
  <c r="I29"/>
  <c r="J29" s="1"/>
  <c r="B30"/>
  <c r="H29"/>
  <c r="O39"/>
  <c r="I39"/>
  <c r="J39" s="1"/>
  <c r="L39"/>
  <c r="B40"/>
  <c r="H39"/>
  <c r="O48"/>
  <c r="B49"/>
  <c r="H48"/>
  <c r="L48"/>
  <c r="I48"/>
  <c r="J48" s="1"/>
  <c r="L49" l="1"/>
  <c r="O49"/>
  <c r="I49"/>
  <c r="J49" s="1"/>
  <c r="B50"/>
  <c r="H49"/>
  <c r="L30"/>
  <c r="H30"/>
  <c r="O30"/>
  <c r="I30"/>
  <c r="J30" s="1"/>
  <c r="B31"/>
  <c r="O40"/>
  <c r="H40"/>
  <c r="L40"/>
  <c r="B41"/>
  <c r="I40"/>
  <c r="J40" s="1"/>
  <c r="L41" l="1"/>
  <c r="O41"/>
  <c r="I41"/>
  <c r="J41" s="1"/>
  <c r="B42"/>
  <c r="H41"/>
  <c r="O31"/>
  <c r="I31"/>
  <c r="J31" s="1"/>
  <c r="B32"/>
  <c r="L31"/>
  <c r="H31"/>
  <c r="L50"/>
  <c r="B51"/>
  <c r="O50"/>
  <c r="H50"/>
  <c r="I50"/>
  <c r="J50" s="1"/>
  <c r="O51" l="1"/>
  <c r="I51"/>
  <c r="J51" s="1"/>
  <c r="L51"/>
  <c r="B52"/>
  <c r="H51"/>
  <c r="B33"/>
  <c r="H32"/>
  <c r="L32"/>
  <c r="O32"/>
  <c r="I32"/>
  <c r="J32" s="1"/>
  <c r="L42"/>
  <c r="O42"/>
  <c r="H42"/>
  <c r="I42"/>
  <c r="J42" s="1"/>
  <c r="B43"/>
  <c r="L33" l="1"/>
  <c r="O33"/>
  <c r="I33"/>
  <c r="J33" s="1"/>
  <c r="B34"/>
  <c r="H33"/>
  <c r="O43"/>
  <c r="I43"/>
  <c r="J43" s="1"/>
  <c r="L43"/>
  <c r="B44"/>
  <c r="H43"/>
  <c r="H52"/>
  <c r="I52"/>
  <c r="J52" s="1"/>
  <c r="B53"/>
  <c r="L52"/>
  <c r="O52"/>
  <c r="H44" l="1"/>
  <c r="I44"/>
  <c r="J44" s="1"/>
  <c r="L44"/>
  <c r="O44"/>
  <c r="L45"/>
  <c r="B54"/>
  <c r="L53"/>
  <c r="O53"/>
  <c r="I53"/>
  <c r="J53" s="1"/>
  <c r="H53"/>
  <c r="L34"/>
  <c r="O34"/>
  <c r="H34"/>
  <c r="I34"/>
  <c r="J34" s="1"/>
  <c r="L35"/>
  <c r="L54" l="1"/>
  <c r="O54"/>
  <c r="I54"/>
  <c r="J54" s="1"/>
  <c r="B55"/>
  <c r="H54"/>
  <c r="O55" l="1"/>
  <c r="I55"/>
  <c r="J55" s="1"/>
  <c r="B56"/>
  <c r="L55"/>
  <c r="H55"/>
  <c r="B57" l="1"/>
  <c r="O56"/>
  <c r="H56"/>
  <c r="L56"/>
  <c r="I56"/>
  <c r="J56" s="1"/>
  <c r="L57" l="1"/>
  <c r="O57"/>
  <c r="I57"/>
  <c r="J57" s="1"/>
  <c r="H57"/>
</calcChain>
</file>

<file path=xl/sharedStrings.xml><?xml version="1.0" encoding="utf-8"?>
<sst xmlns="http://schemas.openxmlformats.org/spreadsheetml/2006/main" count="31" uniqueCount="25">
  <si>
    <t>wynik</t>
  </si>
  <si>
    <t>mała</t>
  </si>
  <si>
    <t>śrubka</t>
  </si>
  <si>
    <t>tacka</t>
  </si>
  <si>
    <t>średnia</t>
  </si>
  <si>
    <t>liniowo</t>
  </si>
  <si>
    <t>błąd</t>
  </si>
  <si>
    <t>wielomianowo 2</t>
  </si>
  <si>
    <t>łożyska w folii</t>
  </si>
  <si>
    <t>łożyska w tubie</t>
  </si>
  <si>
    <t>łożyska duże</t>
  </si>
  <si>
    <t>łożyska małe folia</t>
  </si>
  <si>
    <t>brainenergy</t>
  </si>
  <si>
    <t>daw paluszki</t>
  </si>
  <si>
    <t>koszyk z tarczami</t>
  </si>
  <si>
    <t>suma</t>
  </si>
  <si>
    <t>koszyk+paluszek</t>
  </si>
  <si>
    <t>koszyk_paluszek_braienergy+lozyska w tubie+lozyska w folii</t>
  </si>
  <si>
    <t>krok</t>
  </si>
  <si>
    <t>pomiar</t>
  </si>
  <si>
    <t>lp</t>
  </si>
  <si>
    <t>wzór</t>
  </si>
  <si>
    <t xml:space="preserve">y = -0,0011x - 72,898
</t>
  </si>
  <si>
    <t xml:space="preserve">y = 0,001x + 699,69 </t>
  </si>
  <si>
    <t>elementy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</si>
</sst>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0"/>
      <color rgb="FF000000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center" readingOrder="1"/>
    </xf>
    <xf numFmtId="1" fontId="1" fillId="0" borderId="0" xfId="0" applyNumberFormat="1" applyFont="1" applyAlignment="1">
      <alignment horizontal="center" readingOrder="1"/>
    </xf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6.8708223972003504E-2"/>
          <c:y val="2.8196459125466641E-2"/>
          <c:w val="0.7157793088363954"/>
          <c:h val="0.83295102346867167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Standardowy" sourceLinked="0"/>
            </c:trendlineLbl>
          </c:trendline>
          <c:xVal>
            <c:numRef>
              <c:f>'WAGA 1'!$F$23:$F$57</c:f>
              <c:numCache>
                <c:formatCode>0</c:formatCode>
                <c:ptCount val="35"/>
                <c:pt idx="0">
                  <c:v>-696169.33333333337</c:v>
                </c:pt>
                <c:pt idx="1">
                  <c:v>-692948.33333333337</c:v>
                </c:pt>
                <c:pt idx="2">
                  <c:v>-687815.66666666663</c:v>
                </c:pt>
                <c:pt idx="3">
                  <c:v>-656839.66666666663</c:v>
                </c:pt>
                <c:pt idx="4">
                  <c:v>-625554.33333333337</c:v>
                </c:pt>
                <c:pt idx="5">
                  <c:v>-594607</c:v>
                </c:pt>
                <c:pt idx="6">
                  <c:v>-563820.66666666663</c:v>
                </c:pt>
                <c:pt idx="7">
                  <c:v>-531736.66666666663</c:v>
                </c:pt>
                <c:pt idx="8">
                  <c:v>-501352.33333333331</c:v>
                </c:pt>
                <c:pt idx="9">
                  <c:v>-471023.33333333331</c:v>
                </c:pt>
                <c:pt idx="10">
                  <c:v>-438882</c:v>
                </c:pt>
                <c:pt idx="11">
                  <c:v>-407202.33333333331</c:v>
                </c:pt>
                <c:pt idx="12">
                  <c:v>-399516.33333333331</c:v>
                </c:pt>
                <c:pt idx="13">
                  <c:v>-367950.33333333331</c:v>
                </c:pt>
                <c:pt idx="14">
                  <c:v>-337582.33333333331</c:v>
                </c:pt>
                <c:pt idx="15">
                  <c:v>-306593.33333333331</c:v>
                </c:pt>
                <c:pt idx="16">
                  <c:v>-275247</c:v>
                </c:pt>
                <c:pt idx="17">
                  <c:v>-244526.66666666666</c:v>
                </c:pt>
                <c:pt idx="18">
                  <c:v>-214952</c:v>
                </c:pt>
                <c:pt idx="19">
                  <c:v>-182780</c:v>
                </c:pt>
                <c:pt idx="20">
                  <c:v>-151763.66666666666</c:v>
                </c:pt>
                <c:pt idx="21">
                  <c:v>-120888.33333333333</c:v>
                </c:pt>
                <c:pt idx="22">
                  <c:v>-88159.666666666672</c:v>
                </c:pt>
                <c:pt idx="23">
                  <c:v>-54623.333333333336</c:v>
                </c:pt>
                <c:pt idx="24">
                  <c:v>-27358</c:v>
                </c:pt>
                <c:pt idx="25">
                  <c:v>4648.333333333333</c:v>
                </c:pt>
                <c:pt idx="26">
                  <c:v>36209.666666666664</c:v>
                </c:pt>
                <c:pt idx="27">
                  <c:v>68194.666666666672</c:v>
                </c:pt>
                <c:pt idx="28">
                  <c:v>98662.666666666672</c:v>
                </c:pt>
                <c:pt idx="29">
                  <c:v>129101.66666666667</c:v>
                </c:pt>
                <c:pt idx="30">
                  <c:v>160858.33333333334</c:v>
                </c:pt>
                <c:pt idx="31">
                  <c:v>190342</c:v>
                </c:pt>
                <c:pt idx="32">
                  <c:v>220902</c:v>
                </c:pt>
                <c:pt idx="33">
                  <c:v>251705.33333333334</c:v>
                </c:pt>
                <c:pt idx="34">
                  <c:v>287629.66666666669</c:v>
                </c:pt>
              </c:numCache>
            </c:numRef>
          </c:xVal>
          <c:yVal>
            <c:numRef>
              <c:f>'WAGA 1'!$B$23:$B$57</c:f>
              <c:numCache>
                <c:formatCode>Standardowy</c:formatCode>
                <c:ptCount val="35"/>
                <c:pt idx="0">
                  <c:v>0</c:v>
                </c:pt>
                <c:pt idx="1">
                  <c:v>1.83</c:v>
                </c:pt>
                <c:pt idx="2">
                  <c:v>10.67</c:v>
                </c:pt>
                <c:pt idx="3">
                  <c:v>41.82</c:v>
                </c:pt>
                <c:pt idx="4">
                  <c:v>73</c:v>
                </c:pt>
                <c:pt idx="5">
                  <c:v>104.1</c:v>
                </c:pt>
                <c:pt idx="6">
                  <c:v>135.26999999999998</c:v>
                </c:pt>
                <c:pt idx="7">
                  <c:v>166.54999999999998</c:v>
                </c:pt>
                <c:pt idx="8">
                  <c:v>197.63</c:v>
                </c:pt>
                <c:pt idx="9">
                  <c:v>228.79</c:v>
                </c:pt>
                <c:pt idx="10">
                  <c:v>260.02999999999997</c:v>
                </c:pt>
                <c:pt idx="11">
                  <c:v>291.21999999999997</c:v>
                </c:pt>
                <c:pt idx="12">
                  <c:v>300.40999999999997</c:v>
                </c:pt>
                <c:pt idx="13">
                  <c:v>331.63</c:v>
                </c:pt>
                <c:pt idx="14">
                  <c:v>362.79</c:v>
                </c:pt>
                <c:pt idx="15">
                  <c:v>394</c:v>
                </c:pt>
                <c:pt idx="16">
                  <c:v>425.05</c:v>
                </c:pt>
                <c:pt idx="17">
                  <c:v>456.23</c:v>
                </c:pt>
                <c:pt idx="18">
                  <c:v>487.5</c:v>
                </c:pt>
                <c:pt idx="19">
                  <c:v>518.63</c:v>
                </c:pt>
                <c:pt idx="20">
                  <c:v>549.79999999999995</c:v>
                </c:pt>
                <c:pt idx="21">
                  <c:v>580.91</c:v>
                </c:pt>
                <c:pt idx="22">
                  <c:v>611.53</c:v>
                </c:pt>
                <c:pt idx="23">
                  <c:v>642.74</c:v>
                </c:pt>
                <c:pt idx="24">
                  <c:v>673.78</c:v>
                </c:pt>
                <c:pt idx="25">
                  <c:v>704.93</c:v>
                </c:pt>
                <c:pt idx="26">
                  <c:v>736.06999999999994</c:v>
                </c:pt>
                <c:pt idx="27">
                  <c:v>767.31</c:v>
                </c:pt>
                <c:pt idx="28">
                  <c:v>798.43999999999994</c:v>
                </c:pt>
                <c:pt idx="29">
                  <c:v>829.54</c:v>
                </c:pt>
                <c:pt idx="30">
                  <c:v>860.66</c:v>
                </c:pt>
                <c:pt idx="31">
                  <c:v>891.86</c:v>
                </c:pt>
                <c:pt idx="32">
                  <c:v>919.93000000000006</c:v>
                </c:pt>
                <c:pt idx="33">
                  <c:v>949.99</c:v>
                </c:pt>
                <c:pt idx="34">
                  <c:v>981.77</c:v>
                </c:pt>
              </c:numCache>
            </c:numRef>
          </c:yVal>
        </c:ser>
        <c:axId val="228749312"/>
        <c:axId val="220864896"/>
      </c:scatterChart>
      <c:valAx>
        <c:axId val="228749312"/>
        <c:scaling>
          <c:orientation val="minMax"/>
        </c:scaling>
        <c:axPos val="b"/>
        <c:numFmt formatCode="0" sourceLinked="1"/>
        <c:tickLblPos val="nextTo"/>
        <c:crossAx val="220864896"/>
        <c:crosses val="autoZero"/>
        <c:crossBetween val="midCat"/>
      </c:valAx>
      <c:valAx>
        <c:axId val="220864896"/>
        <c:scaling>
          <c:orientation val="minMax"/>
        </c:scaling>
        <c:axPos val="l"/>
        <c:majorGridlines/>
        <c:numFmt formatCode="Standardowy" sourceLinked="1"/>
        <c:tickLblPos val="nextTo"/>
        <c:crossAx val="228749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Standardowy" sourceLinked="0"/>
            </c:trendlineLbl>
          </c:trendline>
          <c:xVal>
            <c:numRef>
              <c:f>'WAGA 2'!$F$4:$F$13</c:f>
              <c:numCache>
                <c:formatCode>Standardowy</c:formatCode>
                <c:ptCount val="10"/>
                <c:pt idx="0">
                  <c:v>-157227.66666666666</c:v>
                </c:pt>
                <c:pt idx="1">
                  <c:v>-238209.33333333334</c:v>
                </c:pt>
                <c:pt idx="2">
                  <c:v>-293797</c:v>
                </c:pt>
                <c:pt idx="3">
                  <c:v>-356243.33333333331</c:v>
                </c:pt>
                <c:pt idx="4">
                  <c:v>-430228.66666666669</c:v>
                </c:pt>
                <c:pt idx="5">
                  <c:v>-562024.33333333337</c:v>
                </c:pt>
                <c:pt idx="6">
                  <c:v>-662236.33333333337</c:v>
                </c:pt>
                <c:pt idx="7">
                  <c:v>-746134.66666666663</c:v>
                </c:pt>
                <c:pt idx="8">
                  <c:v>-826502.33333333337</c:v>
                </c:pt>
                <c:pt idx="9">
                  <c:v>-913102.66666666663</c:v>
                </c:pt>
              </c:numCache>
            </c:numRef>
          </c:xVal>
          <c:yVal>
            <c:numRef>
              <c:f>'WAGA 2'!$B$4:$B$13</c:f>
              <c:numCache>
                <c:formatCode>Standardowy</c:formatCode>
                <c:ptCount val="10"/>
                <c:pt idx="0">
                  <c:v>102.31</c:v>
                </c:pt>
                <c:pt idx="1">
                  <c:v>195.83</c:v>
                </c:pt>
                <c:pt idx="2">
                  <c:v>258.01</c:v>
                </c:pt>
                <c:pt idx="3">
                  <c:v>328.56</c:v>
                </c:pt>
                <c:pt idx="4">
                  <c:v>413.35</c:v>
                </c:pt>
                <c:pt idx="5">
                  <c:v>559.75</c:v>
                </c:pt>
                <c:pt idx="6">
                  <c:v>671.02</c:v>
                </c:pt>
                <c:pt idx="7">
                  <c:v>764.37</c:v>
                </c:pt>
                <c:pt idx="8">
                  <c:v>857.84</c:v>
                </c:pt>
                <c:pt idx="9">
                  <c:v>955.78</c:v>
                </c:pt>
              </c:numCache>
            </c:numRef>
          </c:yVal>
        </c:ser>
        <c:axId val="42981248"/>
        <c:axId val="42978688"/>
      </c:scatterChart>
      <c:valAx>
        <c:axId val="42981248"/>
        <c:scaling>
          <c:orientation val="minMax"/>
        </c:scaling>
        <c:axPos val="b"/>
        <c:numFmt formatCode="Standardowy" sourceLinked="1"/>
        <c:tickLblPos val="nextTo"/>
        <c:crossAx val="42978688"/>
        <c:crosses val="autoZero"/>
        <c:crossBetween val="midCat"/>
      </c:valAx>
      <c:valAx>
        <c:axId val="42978688"/>
        <c:scaling>
          <c:orientation val="minMax"/>
        </c:scaling>
        <c:axPos val="l"/>
        <c:majorGridlines/>
        <c:numFmt formatCode="Standardowy" sourceLinked="1"/>
        <c:tickLblPos val="nextTo"/>
        <c:crossAx val="42981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370417</xdr:colOff>
      <xdr:row>0</xdr:row>
      <xdr:rowOff>71062</xdr:rowOff>
    </xdr:from>
    <xdr:to>
      <xdr:col>18</xdr:col>
      <xdr:colOff>192012</xdr:colOff>
      <xdr:row>17</xdr:row>
      <xdr:rowOff>158751</xdr:rowOff>
    </xdr:to>
    <xdr:graphicFrame macro="">
      <xdr:nvGraphicFramePr>
        <xdr:cNvPr id="15" name="Wykres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14</xdr:row>
      <xdr:rowOff>19050</xdr:rowOff>
    </xdr:from>
    <xdr:to>
      <xdr:col>8</xdr:col>
      <xdr:colOff>390525</xdr:colOff>
      <xdr:row>29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89"/>
  <sheetViews>
    <sheetView zoomScale="90" zoomScaleNormal="90" workbookViewId="0">
      <selection activeCell="O57" sqref="O57"/>
    </sheetView>
  </sheetViews>
  <sheetFormatPr defaultRowHeight="14.25"/>
  <cols>
    <col min="5" max="5" width="15.875" customWidth="1"/>
    <col min="7" max="7" width="20.875" customWidth="1"/>
    <col min="8" max="8" width="9.5" bestFit="1" customWidth="1"/>
    <col min="9" max="9" width="13.75" bestFit="1" customWidth="1"/>
    <col min="10" max="10" width="9.5" bestFit="1" customWidth="1"/>
    <col min="11" max="11" width="4" customWidth="1"/>
    <col min="12" max="12" width="16.5" customWidth="1"/>
  </cols>
  <sheetData>
    <row r="2" spans="3:13">
      <c r="D2" t="s">
        <v>24</v>
      </c>
    </row>
    <row r="3" spans="3:13">
      <c r="C3" t="s">
        <v>8</v>
      </c>
      <c r="D3">
        <f>(72.82+54.96+18.43)</f>
        <v>146.21</v>
      </c>
      <c r="H3" s="1"/>
      <c r="I3" s="3"/>
      <c r="J3" s="1"/>
      <c r="K3" s="1"/>
      <c r="L3" s="1"/>
      <c r="M3" s="1"/>
    </row>
    <row r="4" spans="3:13">
      <c r="C4" t="s">
        <v>9</v>
      </c>
      <c r="D4">
        <v>84.75</v>
      </c>
      <c r="H4" s="1"/>
      <c r="I4" s="3"/>
      <c r="J4" s="1"/>
      <c r="K4" s="1"/>
      <c r="L4" s="1"/>
      <c r="M4" s="1"/>
    </row>
    <row r="5" spans="3:13">
      <c r="C5" t="s">
        <v>10</v>
      </c>
      <c r="D5">
        <f>186.96+93.39</f>
        <v>280.35000000000002</v>
      </c>
      <c r="H5" s="1"/>
      <c r="I5" s="3"/>
      <c r="J5" s="1"/>
      <c r="K5" s="1"/>
      <c r="L5" s="1"/>
      <c r="M5" s="1"/>
    </row>
    <row r="6" spans="3:13">
      <c r="C6" t="s">
        <v>11</v>
      </c>
      <c r="D6">
        <v>29</v>
      </c>
      <c r="H6" s="1"/>
      <c r="I6" s="3"/>
      <c r="J6" s="1"/>
      <c r="K6" s="1"/>
      <c r="L6" s="1"/>
      <c r="M6" s="1"/>
    </row>
    <row r="7" spans="3:13">
      <c r="C7" t="s">
        <v>12</v>
      </c>
      <c r="D7">
        <v>113.87</v>
      </c>
      <c r="H7" s="1"/>
      <c r="I7" s="3"/>
      <c r="J7" s="1"/>
      <c r="K7" s="1"/>
      <c r="L7" s="1"/>
      <c r="M7" s="1"/>
    </row>
    <row r="8" spans="3:13">
      <c r="C8" t="s">
        <v>13</v>
      </c>
      <c r="D8">
        <f>47.36</f>
        <v>47.36</v>
      </c>
      <c r="H8" s="1"/>
      <c r="I8" s="3"/>
      <c r="J8" s="1"/>
      <c r="K8" s="1"/>
      <c r="L8" s="1"/>
      <c r="M8" s="1"/>
    </row>
    <row r="9" spans="3:13">
      <c r="C9" t="s">
        <v>14</v>
      </c>
      <c r="D9">
        <v>181.16</v>
      </c>
      <c r="H9" s="1"/>
      <c r="I9" s="3"/>
      <c r="J9" s="1"/>
      <c r="K9" s="1"/>
      <c r="L9" s="1"/>
      <c r="M9" s="1"/>
    </row>
    <row r="10" spans="3:13">
      <c r="C10" t="s">
        <v>3</v>
      </c>
      <c r="D10">
        <v>8.84</v>
      </c>
      <c r="H10" s="1"/>
      <c r="I10" s="3"/>
      <c r="J10" s="1"/>
      <c r="K10" s="1"/>
      <c r="L10" s="1"/>
      <c r="M10" s="1"/>
    </row>
    <row r="11" spans="3:13">
      <c r="C11" t="s">
        <v>2</v>
      </c>
      <c r="D11">
        <v>1.83</v>
      </c>
      <c r="H11" s="1"/>
      <c r="I11" s="3"/>
      <c r="J11" s="1"/>
      <c r="K11" s="1"/>
      <c r="L11" s="1"/>
      <c r="M11" s="1"/>
    </row>
    <row r="12" spans="3:13">
      <c r="C12" t="s">
        <v>15</v>
      </c>
      <c r="D12">
        <f>SUM(D3:D11)</f>
        <v>893.37000000000012</v>
      </c>
      <c r="H12" s="1"/>
      <c r="I12" s="3"/>
      <c r="J12" s="1"/>
      <c r="K12" s="1"/>
      <c r="L12" s="1"/>
      <c r="M12" s="1"/>
    </row>
    <row r="13" spans="3:13">
      <c r="H13" s="1"/>
      <c r="I13" s="3"/>
      <c r="J13" s="1"/>
      <c r="K13" s="1"/>
      <c r="L13" s="1"/>
      <c r="M13" s="1"/>
    </row>
    <row r="14" spans="3:13">
      <c r="H14" s="1"/>
      <c r="I14" s="3"/>
      <c r="J14" s="1"/>
      <c r="K14" s="1"/>
      <c r="L14" s="1"/>
      <c r="M14" s="1"/>
    </row>
    <row r="15" spans="3:13">
      <c r="H15" s="1"/>
      <c r="I15" s="3"/>
      <c r="J15" s="1"/>
      <c r="K15" s="1"/>
      <c r="L15" s="1"/>
      <c r="M15" s="1"/>
    </row>
    <row r="16" spans="3:13">
      <c r="H16" s="1"/>
      <c r="I16" s="3"/>
      <c r="J16" s="1"/>
      <c r="K16" s="1"/>
      <c r="L16" s="1"/>
      <c r="M16" s="1"/>
    </row>
    <row r="17" spans="1:15">
      <c r="H17" s="1"/>
      <c r="I17" s="3"/>
      <c r="J17" s="1"/>
      <c r="K17" s="1"/>
      <c r="L17" s="1"/>
      <c r="M17" s="1"/>
    </row>
    <row r="18" spans="1:15">
      <c r="H18" s="1"/>
      <c r="I18" s="3"/>
      <c r="J18" s="1"/>
      <c r="K18" s="1"/>
      <c r="L18" s="1"/>
      <c r="M18" s="1"/>
    </row>
    <row r="19" spans="1:15">
      <c r="H19" s="1"/>
      <c r="I19" s="3"/>
      <c r="J19" s="1"/>
      <c r="K19" s="1"/>
      <c r="L19" s="1"/>
      <c r="M19" s="1"/>
    </row>
    <row r="20" spans="1:15">
      <c r="H20" s="1"/>
      <c r="I20" s="3"/>
      <c r="J20" s="1"/>
      <c r="K20" s="1"/>
      <c r="L20" s="1"/>
      <c r="M20" s="1"/>
    </row>
    <row r="21" spans="1:15">
      <c r="D21" t="s">
        <v>0</v>
      </c>
    </row>
    <row r="22" spans="1:15">
      <c r="B22" t="s">
        <v>1</v>
      </c>
      <c r="F22" t="s">
        <v>4</v>
      </c>
      <c r="G22" t="s">
        <v>5</v>
      </c>
      <c r="H22" t="s">
        <v>6</v>
      </c>
      <c r="I22" t="s">
        <v>7</v>
      </c>
      <c r="J22" t="s">
        <v>6</v>
      </c>
      <c r="L22" t="s">
        <v>18</v>
      </c>
    </row>
    <row r="23" spans="1:15">
      <c r="A23">
        <v>1</v>
      </c>
      <c r="B23">
        <v>0</v>
      </c>
      <c r="C23">
        <v>-695551</v>
      </c>
      <c r="D23">
        <v>-696069</v>
      </c>
      <c r="E23">
        <v>-696888</v>
      </c>
      <c r="F23" s="4">
        <f>(C23+D23+E23)/3</f>
        <v>-696169.33333333337</v>
      </c>
      <c r="G23" s="5">
        <f>0.001*E23+699.69</f>
        <v>2.8020000000000209</v>
      </c>
      <c r="H23" s="1">
        <f>B23/G23</f>
        <v>0</v>
      </c>
      <c r="I23" s="4">
        <f>-208918*B23*B23+32113*B23-691128</f>
        <v>-691128</v>
      </c>
      <c r="J23" s="1">
        <f>F23/I23</f>
        <v>1.0072943555077112</v>
      </c>
      <c r="N23">
        <f>0.001*E23+691.64</f>
        <v>-5.2480000000000473</v>
      </c>
      <c r="O23" s="1">
        <f>B23/N23</f>
        <v>0</v>
      </c>
    </row>
    <row r="24" spans="1:15">
      <c r="A24">
        <v>2</v>
      </c>
      <c r="B24">
        <f>D11</f>
        <v>1.83</v>
      </c>
      <c r="C24">
        <v>-693368</v>
      </c>
      <c r="D24">
        <v>-692759</v>
      </c>
      <c r="E24">
        <v>-692718</v>
      </c>
      <c r="F24" s="4">
        <f t="shared" ref="F24:F57" si="0">(C24+D24+E24)/3</f>
        <v>-692948.33333333337</v>
      </c>
      <c r="G24" s="5">
        <f t="shared" ref="G24:G57" si="1">0.001*E24+699.69</f>
        <v>6.9720000000000937</v>
      </c>
      <c r="H24" s="1">
        <f t="shared" ref="H24:H57" si="2">B24/G24</f>
        <v>0.26247848537004814</v>
      </c>
      <c r="I24" s="4">
        <f t="shared" ref="I24:I57" si="3">-20.949*B24*B24+32113*B24-691128</f>
        <v>-632431.36610610003</v>
      </c>
      <c r="J24" s="1">
        <f t="shared" ref="J24:J57" si="4">F24/I24</f>
        <v>1.0956893830232335</v>
      </c>
      <c r="L24">
        <f>B24-B23</f>
        <v>1.83</v>
      </c>
      <c r="N24">
        <f t="shared" ref="N24:N57" si="5">0.001*E24+691.64</f>
        <v>-1.0779999999999745</v>
      </c>
      <c r="O24" s="1">
        <f t="shared" ref="O24:O57" si="6">B24/N24</f>
        <v>-1.6975881261595949</v>
      </c>
    </row>
    <row r="25" spans="1:15">
      <c r="A25">
        <v>3</v>
      </c>
      <c r="B25">
        <f>D11+D10</f>
        <v>10.67</v>
      </c>
      <c r="C25">
        <v>-687410</v>
      </c>
      <c r="D25">
        <v>-686482</v>
      </c>
      <c r="E25">
        <v>-689555</v>
      </c>
      <c r="F25" s="4">
        <f t="shared" si="0"/>
        <v>-687815.66666666663</v>
      </c>
      <c r="G25" s="5">
        <f t="shared" si="1"/>
        <v>10.134999999999991</v>
      </c>
      <c r="H25" s="1">
        <f t="shared" si="2"/>
        <v>1.0527873704982742</v>
      </c>
      <c r="I25" s="4">
        <f t="shared" si="3"/>
        <v>-350867.31060609996</v>
      </c>
      <c r="J25" s="1">
        <f t="shared" si="4"/>
        <v>1.9603298622448206</v>
      </c>
      <c r="L25">
        <f t="shared" ref="L25:L57" si="7">B25-B24</f>
        <v>8.84</v>
      </c>
      <c r="N25">
        <f t="shared" si="5"/>
        <v>2.0849999999999227</v>
      </c>
      <c r="O25" s="1">
        <f t="shared" si="6"/>
        <v>5.1175059952040263</v>
      </c>
    </row>
    <row r="26" spans="1:15">
      <c r="A26">
        <v>4</v>
      </c>
      <c r="B26">
        <f>B25+31.15</f>
        <v>41.82</v>
      </c>
      <c r="C26">
        <v>-655466</v>
      </c>
      <c r="D26">
        <v>-656969</v>
      </c>
      <c r="E26">
        <v>-658084</v>
      </c>
      <c r="F26" s="4">
        <f t="shared" si="0"/>
        <v>-656839.66666666663</v>
      </c>
      <c r="G26" s="5">
        <f t="shared" si="1"/>
        <v>41.605999999999995</v>
      </c>
      <c r="H26" s="1">
        <f t="shared" si="2"/>
        <v>1.0051434889198674</v>
      </c>
      <c r="I26" s="4">
        <f t="shared" si="3"/>
        <v>615199.69413239998</v>
      </c>
      <c r="J26" s="1">
        <f t="shared" si="4"/>
        <v>-1.0676852945985131</v>
      </c>
      <c r="L26">
        <f t="shared" si="7"/>
        <v>31.15</v>
      </c>
      <c r="N26">
        <f t="shared" si="5"/>
        <v>33.555999999999926</v>
      </c>
      <c r="O26" s="1">
        <f t="shared" si="6"/>
        <v>1.2462748837763766</v>
      </c>
    </row>
    <row r="27" spans="1:15">
      <c r="A27">
        <v>5</v>
      </c>
      <c r="B27">
        <f>B26+31.18</f>
        <v>73</v>
      </c>
      <c r="C27">
        <v>-626658</v>
      </c>
      <c r="D27">
        <v>-625740</v>
      </c>
      <c r="E27">
        <v>-624265</v>
      </c>
      <c r="F27" s="4">
        <f t="shared" si="0"/>
        <v>-625554.33333333337</v>
      </c>
      <c r="G27" s="5">
        <f t="shared" si="1"/>
        <v>75.425000000000068</v>
      </c>
      <c r="H27" s="1">
        <f t="shared" si="2"/>
        <v>0.96784885647994612</v>
      </c>
      <c r="I27" s="4">
        <f t="shared" si="3"/>
        <v>1541483.7790000001</v>
      </c>
      <c r="J27" s="1">
        <f t="shared" si="4"/>
        <v>-0.40581311451694058</v>
      </c>
      <c r="L27">
        <f t="shared" si="7"/>
        <v>31.18</v>
      </c>
      <c r="N27">
        <f t="shared" si="5"/>
        <v>67.375</v>
      </c>
      <c r="O27" s="1">
        <f t="shared" si="6"/>
        <v>1.0834879406307978</v>
      </c>
    </row>
    <row r="28" spans="1:15">
      <c r="A28">
        <v>6</v>
      </c>
      <c r="B28">
        <f>B27+31.1</f>
        <v>104.1</v>
      </c>
      <c r="C28">
        <v>-593282</v>
      </c>
      <c r="D28">
        <v>-596451</v>
      </c>
      <c r="E28">
        <v>-594088</v>
      </c>
      <c r="F28" s="4">
        <f t="shared" si="0"/>
        <v>-594607</v>
      </c>
      <c r="G28" s="5">
        <f t="shared" si="1"/>
        <v>105.60200000000009</v>
      </c>
      <c r="H28" s="1">
        <f t="shared" si="2"/>
        <v>0.98577678453059514</v>
      </c>
      <c r="I28" s="4">
        <f t="shared" si="3"/>
        <v>2424814.9673099997</v>
      </c>
      <c r="J28" s="1">
        <f t="shared" si="4"/>
        <v>-0.24521747350464232</v>
      </c>
      <c r="L28">
        <f t="shared" si="7"/>
        <v>31.099999999999994</v>
      </c>
      <c r="N28">
        <f t="shared" si="5"/>
        <v>97.552000000000021</v>
      </c>
      <c r="O28" s="1">
        <f t="shared" si="6"/>
        <v>1.0671231753321302</v>
      </c>
    </row>
    <row r="29" spans="1:15">
      <c r="A29">
        <v>7</v>
      </c>
      <c r="B29">
        <f>B28+31.17</f>
        <v>135.26999999999998</v>
      </c>
      <c r="C29">
        <v>-563010</v>
      </c>
      <c r="D29">
        <v>-564250</v>
      </c>
      <c r="E29">
        <v>-564202</v>
      </c>
      <c r="F29" s="4">
        <f t="shared" si="0"/>
        <v>-563820.66666666663</v>
      </c>
      <c r="G29" s="5">
        <f t="shared" si="1"/>
        <v>135.48800000000006</v>
      </c>
      <c r="H29" s="1">
        <f t="shared" si="2"/>
        <v>0.99839100141709913</v>
      </c>
      <c r="I29" s="4">
        <f t="shared" si="3"/>
        <v>3269473.2757178997</v>
      </c>
      <c r="J29" s="1">
        <f t="shared" si="4"/>
        <v>-0.17245000008231137</v>
      </c>
      <c r="L29">
        <f t="shared" si="7"/>
        <v>31.169999999999987</v>
      </c>
      <c r="N29">
        <f t="shared" si="5"/>
        <v>127.43799999999999</v>
      </c>
      <c r="O29" s="1">
        <f t="shared" si="6"/>
        <v>1.0614573361163859</v>
      </c>
    </row>
    <row r="30" spans="1:15">
      <c r="A30">
        <v>8</v>
      </c>
      <c r="B30">
        <f>B29+31.28</f>
        <v>166.54999999999998</v>
      </c>
      <c r="C30">
        <v>-533781</v>
      </c>
      <c r="D30">
        <v>-531534</v>
      </c>
      <c r="E30">
        <v>-529895</v>
      </c>
      <c r="F30" s="4">
        <f t="shared" si="0"/>
        <v>-531736.66666666663</v>
      </c>
      <c r="G30" s="5">
        <f t="shared" si="1"/>
        <v>169.79500000000007</v>
      </c>
      <c r="H30" s="1">
        <f t="shared" si="2"/>
        <v>0.98088871874907924</v>
      </c>
      <c r="I30" s="4">
        <f t="shared" si="3"/>
        <v>4076189.8815274993</v>
      </c>
      <c r="J30" s="1">
        <f t="shared" si="4"/>
        <v>-0.13044943491872002</v>
      </c>
      <c r="L30">
        <f t="shared" si="7"/>
        <v>31.28</v>
      </c>
      <c r="N30">
        <f t="shared" si="5"/>
        <v>161.745</v>
      </c>
      <c r="O30" s="1">
        <f t="shared" si="6"/>
        <v>1.0297072552474573</v>
      </c>
    </row>
    <row r="31" spans="1:15">
      <c r="A31">
        <v>9</v>
      </c>
      <c r="B31">
        <f>B30+31.08</f>
        <v>197.63</v>
      </c>
      <c r="C31">
        <v>-501095</v>
      </c>
      <c r="D31">
        <v>-502160</v>
      </c>
      <c r="E31">
        <v>-500802</v>
      </c>
      <c r="F31" s="4">
        <f t="shared" si="0"/>
        <v>-501352.33333333331</v>
      </c>
      <c r="G31" s="5">
        <f t="shared" si="1"/>
        <v>198.88800000000003</v>
      </c>
      <c r="H31" s="1">
        <f t="shared" si="2"/>
        <v>0.99367483206628837</v>
      </c>
      <c r="I31" s="4">
        <f t="shared" si="3"/>
        <v>4837146.173561899</v>
      </c>
      <c r="J31" s="1">
        <f t="shared" si="4"/>
        <v>-0.10364630617812313</v>
      </c>
      <c r="L31">
        <f t="shared" si="7"/>
        <v>31.080000000000013</v>
      </c>
      <c r="N31">
        <f t="shared" si="5"/>
        <v>190.83799999999997</v>
      </c>
      <c r="O31" s="1">
        <f t="shared" si="6"/>
        <v>1.0355903960427171</v>
      </c>
    </row>
    <row r="32" spans="1:15">
      <c r="A32">
        <v>10</v>
      </c>
      <c r="B32">
        <f>B31+31.16</f>
        <v>228.79</v>
      </c>
      <c r="C32">
        <v>-471788</v>
      </c>
      <c r="D32">
        <v>-471480</v>
      </c>
      <c r="E32">
        <v>-469802</v>
      </c>
      <c r="F32" s="4">
        <f t="shared" si="0"/>
        <v>-471023.33333333331</v>
      </c>
      <c r="G32" s="5">
        <f t="shared" si="1"/>
        <v>229.88800000000003</v>
      </c>
      <c r="H32" s="1">
        <f t="shared" si="2"/>
        <v>0.99522376113585731</v>
      </c>
      <c r="I32" s="4">
        <f t="shared" si="3"/>
        <v>5559432.7119690999</v>
      </c>
      <c r="J32" s="1">
        <f t="shared" si="4"/>
        <v>-8.4725071376302558E-2</v>
      </c>
      <c r="L32">
        <f t="shared" si="7"/>
        <v>31.159999999999997</v>
      </c>
      <c r="N32">
        <f t="shared" si="5"/>
        <v>221.83799999999997</v>
      </c>
      <c r="O32" s="1">
        <f t="shared" si="6"/>
        <v>1.0313381837196514</v>
      </c>
    </row>
    <row r="33" spans="1:26">
      <c r="A33">
        <v>11</v>
      </c>
      <c r="B33">
        <f>B32+31.24</f>
        <v>260.02999999999997</v>
      </c>
      <c r="C33">
        <v>-437219</v>
      </c>
      <c r="D33">
        <v>-438246</v>
      </c>
      <c r="E33">
        <v>-441181</v>
      </c>
      <c r="F33" s="4">
        <f t="shared" si="0"/>
        <v>-438882</v>
      </c>
      <c r="G33" s="5">
        <f t="shared" si="1"/>
        <v>258.50900000000007</v>
      </c>
      <c r="H33" s="1">
        <f t="shared" si="2"/>
        <v>1.0058837409916093</v>
      </c>
      <c r="I33" s="4">
        <f t="shared" si="3"/>
        <v>6242736.1667458992</v>
      </c>
      <c r="J33" s="1">
        <f t="shared" si="4"/>
        <v>-7.03028268818819E-2</v>
      </c>
      <c r="L33">
        <f t="shared" si="7"/>
        <v>31.239999999999981</v>
      </c>
      <c r="N33">
        <f t="shared" si="5"/>
        <v>250.459</v>
      </c>
      <c r="O33" s="1">
        <f t="shared" si="6"/>
        <v>1.0382138393908782</v>
      </c>
    </row>
    <row r="34" spans="1:26">
      <c r="A34">
        <v>12</v>
      </c>
      <c r="B34">
        <f>B33+31.19</f>
        <v>291.21999999999997</v>
      </c>
      <c r="C34">
        <v>-404972</v>
      </c>
      <c r="D34">
        <v>-409031</v>
      </c>
      <c r="E34">
        <v>-407604</v>
      </c>
      <c r="F34" s="4">
        <f t="shared" si="0"/>
        <v>-407202.33333333331</v>
      </c>
      <c r="G34" s="5">
        <f t="shared" si="1"/>
        <v>292.08600000000007</v>
      </c>
      <c r="H34" s="1">
        <f t="shared" si="2"/>
        <v>0.99703511979348514</v>
      </c>
      <c r="I34" s="4">
        <f t="shared" si="3"/>
        <v>6884154.2671083994</v>
      </c>
      <c r="J34" s="1">
        <f t="shared" si="4"/>
        <v>-5.9150669426293004E-2</v>
      </c>
      <c r="L34">
        <f t="shared" si="7"/>
        <v>31.189999999999998</v>
      </c>
      <c r="N34">
        <f t="shared" si="5"/>
        <v>284.036</v>
      </c>
      <c r="O34" s="1">
        <f t="shared" si="6"/>
        <v>1.0252925685476488</v>
      </c>
    </row>
    <row r="35" spans="1:26">
      <c r="A35">
        <v>13</v>
      </c>
      <c r="B35">
        <f>B25+204.95+84.79</f>
        <v>300.40999999999997</v>
      </c>
      <c r="C35">
        <f>-400130</f>
        <v>-400130</v>
      </c>
      <c r="D35">
        <v>-398836</v>
      </c>
      <c r="E35">
        <v>-399583</v>
      </c>
      <c r="F35" s="4">
        <f t="shared" si="0"/>
        <v>-399516.33333333331</v>
      </c>
      <c r="G35" s="5">
        <f t="shared" si="1"/>
        <v>300.10700000000003</v>
      </c>
      <c r="H35" s="1">
        <f t="shared" si="2"/>
        <v>1.0010096398951038</v>
      </c>
      <c r="I35" s="4">
        <f t="shared" si="3"/>
        <v>7065371.3544730982</v>
      </c>
      <c r="J35" s="1">
        <f t="shared" si="4"/>
        <v>-5.6545694952098852E-2</v>
      </c>
      <c r="K35" t="s">
        <v>16</v>
      </c>
      <c r="L35">
        <f t="shared" si="7"/>
        <v>9.1899999999999977</v>
      </c>
      <c r="N35">
        <f t="shared" si="5"/>
        <v>292.05699999999996</v>
      </c>
      <c r="O35" s="1">
        <f t="shared" si="6"/>
        <v>1.0286005813933581</v>
      </c>
    </row>
    <row r="36" spans="1:26">
      <c r="A36">
        <v>14</v>
      </c>
      <c r="B36">
        <f>B35+31.22</f>
        <v>331.63</v>
      </c>
      <c r="C36">
        <v>-368201</v>
      </c>
      <c r="D36">
        <v>-367976</v>
      </c>
      <c r="E36">
        <v>-367674</v>
      </c>
      <c r="F36" s="4">
        <f t="shared" si="0"/>
        <v>-367950.33333333331</v>
      </c>
      <c r="G36" s="5">
        <f t="shared" si="1"/>
        <v>332.01600000000002</v>
      </c>
      <c r="H36" s="1">
        <f t="shared" si="2"/>
        <v>0.99883740542624444</v>
      </c>
      <c r="I36" s="4">
        <f t="shared" si="3"/>
        <v>7654567.4964018995</v>
      </c>
      <c r="J36" s="1">
        <f t="shared" si="4"/>
        <v>-4.806938256227955E-2</v>
      </c>
      <c r="L36">
        <f t="shared" si="7"/>
        <v>31.220000000000027</v>
      </c>
      <c r="N36">
        <f t="shared" si="5"/>
        <v>323.96599999999995</v>
      </c>
      <c r="O36" s="1">
        <f t="shared" si="6"/>
        <v>1.0236568034917246</v>
      </c>
      <c r="Z36" s="2"/>
    </row>
    <row r="37" spans="1:26">
      <c r="A37">
        <v>15</v>
      </c>
      <c r="B37">
        <f>B36+31.16</f>
        <v>362.79</v>
      </c>
      <c r="C37">
        <v>-336051</v>
      </c>
      <c r="D37">
        <v>-339373</v>
      </c>
      <c r="E37">
        <v>-337323</v>
      </c>
      <c r="F37" s="4">
        <f t="shared" si="0"/>
        <v>-337582.33333333331</v>
      </c>
      <c r="G37" s="5">
        <f t="shared" si="1"/>
        <v>362.36700000000008</v>
      </c>
      <c r="H37" s="1">
        <f t="shared" si="2"/>
        <v>1.0011673248391821</v>
      </c>
      <c r="I37" s="4">
        <f t="shared" si="3"/>
        <v>8201911.4496891014</v>
      </c>
      <c r="J37" s="1">
        <f t="shared" si="4"/>
        <v>-4.1158982927830753E-2</v>
      </c>
      <c r="L37">
        <f t="shared" si="7"/>
        <v>31.160000000000025</v>
      </c>
      <c r="N37">
        <f t="shared" si="5"/>
        <v>354.31700000000001</v>
      </c>
      <c r="O37" s="1">
        <f t="shared" si="6"/>
        <v>1.0239136140800471</v>
      </c>
    </row>
    <row r="38" spans="1:26">
      <c r="A38">
        <v>16</v>
      </c>
      <c r="B38">
        <f>B37+31.21</f>
        <v>394</v>
      </c>
      <c r="C38">
        <v>-308087</v>
      </c>
      <c r="D38">
        <v>-303090</v>
      </c>
      <c r="E38">
        <v>-308603</v>
      </c>
      <c r="F38" s="4">
        <f t="shared" si="0"/>
        <v>-306593.33333333331</v>
      </c>
      <c r="G38" s="5">
        <f t="shared" si="1"/>
        <v>391.08700000000005</v>
      </c>
      <c r="H38" s="1">
        <f t="shared" si="2"/>
        <v>1.0074484705449169</v>
      </c>
      <c r="I38" s="4">
        <f t="shared" si="3"/>
        <v>8709355.0360000003</v>
      </c>
      <c r="J38" s="1">
        <f t="shared" si="4"/>
        <v>-3.5202759798634221E-2</v>
      </c>
      <c r="L38">
        <f t="shared" si="7"/>
        <v>31.20999999999998</v>
      </c>
      <c r="N38">
        <f t="shared" si="5"/>
        <v>383.03699999999998</v>
      </c>
      <c r="O38" s="1">
        <f t="shared" si="6"/>
        <v>1.0286212559100036</v>
      </c>
    </row>
    <row r="39" spans="1:26">
      <c r="A39">
        <v>17</v>
      </c>
      <c r="B39">
        <f>B38+31.05</f>
        <v>425.05</v>
      </c>
      <c r="C39">
        <v>-277725</v>
      </c>
      <c r="D39">
        <v>-274403</v>
      </c>
      <c r="E39">
        <v>-273613</v>
      </c>
      <c r="F39" s="4">
        <f t="shared" si="0"/>
        <v>-275247</v>
      </c>
      <c r="G39" s="5">
        <f t="shared" si="1"/>
        <v>426.07700000000006</v>
      </c>
      <c r="H39" s="1">
        <f t="shared" si="2"/>
        <v>0.99758963755377539</v>
      </c>
      <c r="I39" s="4">
        <f t="shared" si="3"/>
        <v>9173699.1401275005</v>
      </c>
      <c r="J39" s="1">
        <f t="shared" si="4"/>
        <v>-3.0003927074086983E-2</v>
      </c>
      <c r="L39">
        <f t="shared" si="7"/>
        <v>31.050000000000011</v>
      </c>
      <c r="N39">
        <f t="shared" si="5"/>
        <v>418.02699999999999</v>
      </c>
      <c r="O39" s="1">
        <f t="shared" si="6"/>
        <v>1.016800350216613</v>
      </c>
    </row>
    <row r="40" spans="1:26">
      <c r="A40">
        <v>18</v>
      </c>
      <c r="B40">
        <f>B39+31.18</f>
        <v>456.23</v>
      </c>
      <c r="C40">
        <v>-243685</v>
      </c>
      <c r="D40">
        <v>-245899</v>
      </c>
      <c r="E40">
        <v>-243996</v>
      </c>
      <c r="F40" s="4">
        <f t="shared" si="0"/>
        <v>-244526.66666666666</v>
      </c>
      <c r="G40" s="5">
        <f t="shared" si="1"/>
        <v>455.69400000000007</v>
      </c>
      <c r="H40" s="1">
        <f t="shared" si="2"/>
        <v>1.0011762279073237</v>
      </c>
      <c r="I40" s="4">
        <f t="shared" si="3"/>
        <v>9599339.3555578999</v>
      </c>
      <c r="J40" s="1">
        <f t="shared" si="4"/>
        <v>-2.5473280775836799E-2</v>
      </c>
      <c r="L40">
        <f t="shared" si="7"/>
        <v>31.180000000000007</v>
      </c>
      <c r="N40">
        <f t="shared" si="5"/>
        <v>447.64400000000001</v>
      </c>
      <c r="O40" s="1">
        <f t="shared" si="6"/>
        <v>1.0191804201553021</v>
      </c>
    </row>
    <row r="41" spans="1:26">
      <c r="A41">
        <v>19</v>
      </c>
      <c r="B41">
        <f>B40+31.27</f>
        <v>487.5</v>
      </c>
      <c r="C41">
        <v>-215111</v>
      </c>
      <c r="D41">
        <v>-215544</v>
      </c>
      <c r="E41">
        <v>-214201</v>
      </c>
      <c r="F41" s="4">
        <f t="shared" si="0"/>
        <v>-214952</v>
      </c>
      <c r="G41" s="5">
        <f t="shared" si="1"/>
        <v>485.48900000000003</v>
      </c>
      <c r="H41" s="1">
        <f t="shared" si="2"/>
        <v>1.0041422153746016</v>
      </c>
      <c r="I41" s="4">
        <f t="shared" si="3"/>
        <v>9985298.71875</v>
      </c>
      <c r="J41" s="1">
        <f t="shared" si="4"/>
        <v>-2.1526847223545913E-2</v>
      </c>
      <c r="L41">
        <f t="shared" si="7"/>
        <v>31.269999999999982</v>
      </c>
      <c r="N41">
        <f t="shared" si="5"/>
        <v>477.43899999999996</v>
      </c>
      <c r="O41" s="1">
        <f t="shared" si="6"/>
        <v>1.0210728490969527</v>
      </c>
    </row>
    <row r="42" spans="1:26">
      <c r="A42">
        <v>20</v>
      </c>
      <c r="B42">
        <f>B41+31.13</f>
        <v>518.63</v>
      </c>
      <c r="C42">
        <f>-184611</f>
        <v>-184611</v>
      </c>
      <c r="D42">
        <v>-182364</v>
      </c>
      <c r="E42">
        <v>-181365</v>
      </c>
      <c r="F42" s="4">
        <f t="shared" si="0"/>
        <v>-182780</v>
      </c>
      <c r="G42" s="5">
        <f t="shared" si="1"/>
        <v>518.32500000000005</v>
      </c>
      <c r="H42" s="1">
        <f t="shared" si="2"/>
        <v>1.000588433897651</v>
      </c>
      <c r="I42" s="4">
        <f t="shared" si="3"/>
        <v>10328836.4060219</v>
      </c>
      <c r="J42" s="1">
        <f t="shared" si="4"/>
        <v>-1.7696088195707692E-2</v>
      </c>
      <c r="L42">
        <f t="shared" si="7"/>
        <v>31.129999999999995</v>
      </c>
      <c r="N42">
        <f t="shared" si="5"/>
        <v>510.27499999999998</v>
      </c>
      <c r="O42" s="1">
        <f t="shared" si="6"/>
        <v>1.0163735240801528</v>
      </c>
    </row>
    <row r="43" spans="1:26">
      <c r="A43">
        <v>21</v>
      </c>
      <c r="B43">
        <f>B42+31.17</f>
        <v>549.79999999999995</v>
      </c>
      <c r="C43">
        <v>-150785</v>
      </c>
      <c r="D43">
        <v>-153356</v>
      </c>
      <c r="E43">
        <v>-151150</v>
      </c>
      <c r="F43" s="4">
        <f t="shared" si="0"/>
        <v>-151763.66666666666</v>
      </c>
      <c r="G43" s="5">
        <f t="shared" si="1"/>
        <v>548.54000000000008</v>
      </c>
      <c r="H43" s="1">
        <f t="shared" si="2"/>
        <v>1.0022970065993362</v>
      </c>
      <c r="I43" s="4">
        <f t="shared" si="3"/>
        <v>10632134.842039999</v>
      </c>
      <c r="J43" s="1">
        <f t="shared" si="4"/>
        <v>-1.4274053980822878E-2</v>
      </c>
      <c r="L43">
        <f t="shared" si="7"/>
        <v>31.169999999999959</v>
      </c>
      <c r="N43">
        <f t="shared" si="5"/>
        <v>540.49</v>
      </c>
      <c r="O43" s="1">
        <f t="shared" si="6"/>
        <v>1.017225110547836</v>
      </c>
    </row>
    <row r="44" spans="1:26">
      <c r="A44">
        <v>22</v>
      </c>
      <c r="B44">
        <f>B43+31.11</f>
        <v>580.91</v>
      </c>
      <c r="C44">
        <v>-122314</v>
      </c>
      <c r="D44">
        <v>-121922</v>
      </c>
      <c r="E44">
        <v>-118429</v>
      </c>
      <c r="F44" s="4">
        <f t="shared" si="0"/>
        <v>-120888.33333333333</v>
      </c>
      <c r="G44" s="5">
        <f t="shared" si="1"/>
        <v>581.26100000000008</v>
      </c>
      <c r="H44" s="1">
        <f t="shared" si="2"/>
        <v>0.99939614046013736</v>
      </c>
      <c r="I44" s="4">
        <f t="shared" si="3"/>
        <v>10894260.117733099</v>
      </c>
      <c r="J44" s="1">
        <f t="shared" si="4"/>
        <v>-1.1096516149504979E-2</v>
      </c>
      <c r="L44">
        <f t="shared" si="7"/>
        <v>31.110000000000014</v>
      </c>
      <c r="N44">
        <f t="shared" si="5"/>
        <v>573.21100000000001</v>
      </c>
      <c r="O44" s="1">
        <f t="shared" si="6"/>
        <v>1.0134313542482611</v>
      </c>
    </row>
    <row r="45" spans="1:26">
      <c r="A45">
        <v>23</v>
      </c>
      <c r="B45">
        <f>B35+144.1+23.68+29.01+114.33</f>
        <v>611.53</v>
      </c>
      <c r="C45">
        <v>-87502</v>
      </c>
      <c r="D45">
        <v>-87175</v>
      </c>
      <c r="E45">
        <v>-89802</v>
      </c>
      <c r="F45" s="4">
        <f t="shared" si="0"/>
        <v>-88159.666666666672</v>
      </c>
      <c r="G45" s="5">
        <f t="shared" si="1"/>
        <v>609.88800000000003</v>
      </c>
      <c r="H45" s="1">
        <f t="shared" si="2"/>
        <v>1.0026922976021826</v>
      </c>
      <c r="I45" s="4">
        <f t="shared" si="3"/>
        <v>11112659.5470859</v>
      </c>
      <c r="J45" s="1">
        <f t="shared" si="4"/>
        <v>-7.9332644263168314E-3</v>
      </c>
      <c r="K45" t="s">
        <v>17</v>
      </c>
      <c r="L45">
        <f t="shared" si="7"/>
        <v>30.620000000000005</v>
      </c>
      <c r="N45">
        <f t="shared" si="5"/>
        <v>601.83799999999997</v>
      </c>
      <c r="O45" s="1">
        <f t="shared" si="6"/>
        <v>1.016104001409017</v>
      </c>
    </row>
    <row r="46" spans="1:26">
      <c r="A46">
        <v>24</v>
      </c>
      <c r="B46">
        <f>B45+31.21</f>
        <v>642.74</v>
      </c>
      <c r="C46">
        <v>-53788</v>
      </c>
      <c r="D46">
        <v>-53797</v>
      </c>
      <c r="E46">
        <v>-56285</v>
      </c>
      <c r="F46" s="4">
        <f>(C46+D46+E46)/3</f>
        <v>-54623.333333333336</v>
      </c>
      <c r="G46" s="5">
        <f t="shared" si="1"/>
        <v>643.40500000000009</v>
      </c>
      <c r="H46" s="1">
        <f t="shared" si="2"/>
        <v>0.99896643638143923</v>
      </c>
      <c r="I46" s="4">
        <f t="shared" si="3"/>
        <v>11294841.610487601</v>
      </c>
      <c r="J46" s="1">
        <f>F46/I46</f>
        <v>-4.8361309717361526E-3</v>
      </c>
      <c r="L46">
        <f t="shared" si="7"/>
        <v>31.210000000000036</v>
      </c>
      <c r="N46">
        <f t="shared" si="5"/>
        <v>635.35500000000002</v>
      </c>
      <c r="O46" s="1">
        <f t="shared" si="6"/>
        <v>1.0116234231256542</v>
      </c>
    </row>
    <row r="47" spans="1:26">
      <c r="A47">
        <v>25</v>
      </c>
      <c r="B47">
        <f>B46+31.04</f>
        <v>673.78</v>
      </c>
      <c r="C47">
        <v>-26261</v>
      </c>
      <c r="D47">
        <v>-28160</v>
      </c>
      <c r="E47">
        <v>-27653</v>
      </c>
      <c r="F47" s="4">
        <f t="shared" si="0"/>
        <v>-27358</v>
      </c>
      <c r="G47" s="5">
        <f t="shared" si="1"/>
        <v>672.03700000000003</v>
      </c>
      <c r="H47" s="1">
        <f t="shared" si="2"/>
        <v>1.0025936071972226</v>
      </c>
      <c r="I47" s="4">
        <f t="shared" si="3"/>
        <v>11435552.837508401</v>
      </c>
      <c r="J47" s="1">
        <f t="shared" si="4"/>
        <v>-2.3923635690148944E-3</v>
      </c>
      <c r="L47">
        <f t="shared" si="7"/>
        <v>31.039999999999964</v>
      </c>
      <c r="N47">
        <f t="shared" si="5"/>
        <v>663.98699999999997</v>
      </c>
      <c r="O47" s="1">
        <f t="shared" si="6"/>
        <v>1.0147487827321922</v>
      </c>
    </row>
    <row r="48" spans="1:26">
      <c r="A48">
        <v>26</v>
      </c>
      <c r="B48">
        <f>B47+31.15</f>
        <v>704.93</v>
      </c>
      <c r="C48">
        <v>5185</v>
      </c>
      <c r="D48">
        <v>4408</v>
      </c>
      <c r="E48">
        <v>4352</v>
      </c>
      <c r="F48" s="4">
        <f t="shared" si="0"/>
        <v>4648.333333333333</v>
      </c>
      <c r="G48" s="5">
        <f t="shared" si="1"/>
        <v>704.04200000000003</v>
      </c>
      <c r="H48" s="1">
        <f t="shared" si="2"/>
        <v>1.0012612883890448</v>
      </c>
      <c r="I48" s="4">
        <f t="shared" si="3"/>
        <v>11536179.9286499</v>
      </c>
      <c r="J48" s="1">
        <f t="shared" si="4"/>
        <v>4.0293523177367224E-4</v>
      </c>
      <c r="L48">
        <f t="shared" si="7"/>
        <v>31.149999999999977</v>
      </c>
      <c r="N48">
        <f t="shared" si="5"/>
        <v>695.99199999999996</v>
      </c>
      <c r="O48" s="1">
        <f t="shared" si="6"/>
        <v>1.0128421016333522</v>
      </c>
    </row>
    <row r="49" spans="1:15">
      <c r="A49">
        <v>27</v>
      </c>
      <c r="B49">
        <f>B48+31.14</f>
        <v>736.06999999999994</v>
      </c>
      <c r="C49">
        <v>35201</v>
      </c>
      <c r="D49">
        <v>37630</v>
      </c>
      <c r="E49">
        <v>35798</v>
      </c>
      <c r="F49" s="4">
        <f t="shared" si="0"/>
        <v>36209.666666666664</v>
      </c>
      <c r="G49" s="5">
        <f t="shared" si="1"/>
        <v>735.48800000000006</v>
      </c>
      <c r="H49" s="1">
        <f t="shared" si="2"/>
        <v>1.0007913113470239</v>
      </c>
      <c r="I49" s="4">
        <f t="shared" si="3"/>
        <v>11596139.718389897</v>
      </c>
      <c r="J49" s="1">
        <f t="shared" si="4"/>
        <v>3.1225621237766796E-3</v>
      </c>
      <c r="L49">
        <f t="shared" si="7"/>
        <v>31.139999999999986</v>
      </c>
      <c r="N49">
        <f t="shared" si="5"/>
        <v>727.43799999999999</v>
      </c>
      <c r="O49" s="1">
        <f t="shared" si="6"/>
        <v>1.0118663033825563</v>
      </c>
    </row>
    <row r="50" spans="1:15">
      <c r="A50">
        <v>28</v>
      </c>
      <c r="B50">
        <f>B49+31.24</f>
        <v>767.31</v>
      </c>
      <c r="C50">
        <f>71928</f>
        <v>71928</v>
      </c>
      <c r="D50">
        <v>65353</v>
      </c>
      <c r="E50">
        <v>67303</v>
      </c>
      <c r="F50" s="4">
        <f t="shared" si="0"/>
        <v>68194.666666666672</v>
      </c>
      <c r="G50" s="5">
        <f t="shared" si="1"/>
        <v>766.99300000000005</v>
      </c>
      <c r="H50" s="1">
        <f t="shared" si="2"/>
        <v>1.0004133023378308</v>
      </c>
      <c r="I50" s="4">
        <f t="shared" si="3"/>
        <v>11615467.668341098</v>
      </c>
      <c r="J50" s="1">
        <f t="shared" si="4"/>
        <v>5.8710220383581093E-3</v>
      </c>
      <c r="L50">
        <f t="shared" si="7"/>
        <v>31.240000000000009</v>
      </c>
      <c r="N50">
        <f t="shared" si="5"/>
        <v>758.94299999999998</v>
      </c>
      <c r="O50" s="1">
        <f t="shared" si="6"/>
        <v>1.0110245433451523</v>
      </c>
    </row>
    <row r="51" spans="1:15">
      <c r="A51">
        <v>29</v>
      </c>
      <c r="B51">
        <f>B50+31.13</f>
        <v>798.43999999999994</v>
      </c>
      <c r="C51">
        <v>96460</v>
      </c>
      <c r="D51">
        <v>99044</v>
      </c>
      <c r="E51">
        <v>100484</v>
      </c>
      <c r="F51" s="4">
        <f t="shared" si="0"/>
        <v>98662.666666666672</v>
      </c>
      <c r="G51" s="5">
        <f t="shared" si="1"/>
        <v>800.17400000000009</v>
      </c>
      <c r="H51" s="1">
        <f t="shared" si="2"/>
        <v>0.99783297132873583</v>
      </c>
      <c r="I51" s="4">
        <f t="shared" si="3"/>
        <v>11594053.4425136</v>
      </c>
      <c r="J51" s="1">
        <f t="shared" si="4"/>
        <v>8.5097646958298412E-3</v>
      </c>
      <c r="L51">
        <f t="shared" si="7"/>
        <v>31.129999999999995</v>
      </c>
      <c r="N51">
        <f t="shared" si="5"/>
        <v>792.12400000000002</v>
      </c>
      <c r="O51" s="1">
        <f t="shared" si="6"/>
        <v>1.0079734990986258</v>
      </c>
    </row>
    <row r="52" spans="1:15">
      <c r="A52">
        <v>30</v>
      </c>
      <c r="B52">
        <f>B51+31.1</f>
        <v>829.54</v>
      </c>
      <c r="C52">
        <f>129105</f>
        <v>129105</v>
      </c>
      <c r="D52">
        <v>127446</v>
      </c>
      <c r="E52">
        <v>130754</v>
      </c>
      <c r="F52" s="4">
        <f t="shared" si="0"/>
        <v>129101.66666666667</v>
      </c>
      <c r="G52" s="5">
        <f t="shared" si="1"/>
        <v>830.44400000000007</v>
      </c>
      <c r="H52" s="1">
        <f t="shared" si="2"/>
        <v>0.99891142569517011</v>
      </c>
      <c r="I52" s="4">
        <f t="shared" si="3"/>
        <v>11532116.143591598</v>
      </c>
      <c r="J52" s="1">
        <f t="shared" si="4"/>
        <v>1.1194967606913023E-2</v>
      </c>
      <c r="L52">
        <f t="shared" si="7"/>
        <v>31.100000000000023</v>
      </c>
      <c r="N52">
        <f t="shared" si="5"/>
        <v>822.39400000000001</v>
      </c>
      <c r="O52" s="1">
        <f t="shared" si="6"/>
        <v>1.0086892657290787</v>
      </c>
    </row>
    <row r="53" spans="1:15">
      <c r="A53">
        <v>31</v>
      </c>
      <c r="B53">
        <f>B52+31.12</f>
        <v>860.66</v>
      </c>
      <c r="C53">
        <v>161015</v>
      </c>
      <c r="D53">
        <v>161542</v>
      </c>
      <c r="E53">
        <v>160018</v>
      </c>
      <c r="F53" s="4">
        <f t="shared" si="0"/>
        <v>160858.33333333334</v>
      </c>
      <c r="G53" s="5">
        <f t="shared" si="1"/>
        <v>859.70800000000008</v>
      </c>
      <c r="H53" s="1">
        <f t="shared" si="2"/>
        <v>1.0011073527290659</v>
      </c>
      <c r="I53" s="4">
        <f t="shared" si="3"/>
        <v>11429575.7498156</v>
      </c>
      <c r="J53" s="1">
        <f t="shared" si="4"/>
        <v>1.4073867381816737E-2</v>
      </c>
      <c r="L53">
        <f t="shared" si="7"/>
        <v>31.120000000000005</v>
      </c>
      <c r="N53">
        <f t="shared" si="5"/>
        <v>851.65800000000002</v>
      </c>
      <c r="O53" s="1">
        <f t="shared" si="6"/>
        <v>1.0105699705750431</v>
      </c>
    </row>
    <row r="54" spans="1:15">
      <c r="A54">
        <v>32</v>
      </c>
      <c r="B54">
        <f>B53+31.2</f>
        <v>891.86</v>
      </c>
      <c r="C54">
        <v>191286</v>
      </c>
      <c r="D54">
        <v>190410</v>
      </c>
      <c r="E54">
        <v>189330</v>
      </c>
      <c r="F54" s="4">
        <f t="shared" si="0"/>
        <v>190342</v>
      </c>
      <c r="G54" s="5">
        <f t="shared" si="1"/>
        <v>889.0200000000001</v>
      </c>
      <c r="H54" s="1">
        <f t="shared" si="2"/>
        <v>1.0031945288070008</v>
      </c>
      <c r="I54" s="4">
        <f t="shared" si="3"/>
        <v>11286038.855639599</v>
      </c>
      <c r="J54" s="1">
        <f t="shared" si="4"/>
        <v>1.686526180129946E-2</v>
      </c>
      <c r="L54">
        <f t="shared" si="7"/>
        <v>31.200000000000045</v>
      </c>
      <c r="N54">
        <f t="shared" si="5"/>
        <v>880.97</v>
      </c>
      <c r="O54" s="1">
        <f t="shared" si="6"/>
        <v>1.0123613743941338</v>
      </c>
    </row>
    <row r="55" spans="1:15">
      <c r="B55">
        <f>B54+28.07</f>
        <v>919.93000000000006</v>
      </c>
      <c r="C55">
        <v>220042</v>
      </c>
      <c r="D55">
        <v>222223</v>
      </c>
      <c r="E55">
        <v>220441</v>
      </c>
      <c r="F55" s="4">
        <f t="shared" si="0"/>
        <v>220902</v>
      </c>
      <c r="G55" s="5">
        <f t="shared" si="1"/>
        <v>920.13100000000009</v>
      </c>
      <c r="H55" s="1">
        <f t="shared" si="2"/>
        <v>0.99978155284410586</v>
      </c>
      <c r="I55" s="4">
        <f t="shared" si="3"/>
        <v>11122048.618549902</v>
      </c>
      <c r="J55" s="1">
        <f t="shared" si="4"/>
        <v>1.9861628695955234E-2</v>
      </c>
      <c r="L55">
        <f t="shared" si="7"/>
        <v>28.07000000000005</v>
      </c>
      <c r="N55">
        <f t="shared" si="5"/>
        <v>912.08100000000002</v>
      </c>
      <c r="O55" s="1">
        <f t="shared" si="6"/>
        <v>1.0086055953363791</v>
      </c>
    </row>
    <row r="56" spans="1:15">
      <c r="B56">
        <f>B55+30.06</f>
        <v>949.99</v>
      </c>
      <c r="C56">
        <v>252276</v>
      </c>
      <c r="D56">
        <v>248863</v>
      </c>
      <c r="E56">
        <v>253977</v>
      </c>
      <c r="F56" s="4">
        <f t="shared" si="0"/>
        <v>251705.33333333334</v>
      </c>
      <c r="G56" s="5">
        <f t="shared" si="1"/>
        <v>953.66700000000003</v>
      </c>
      <c r="H56" s="1">
        <f t="shared" si="2"/>
        <v>0.99614435646824306</v>
      </c>
      <c r="I56" s="4">
        <f t="shared" si="3"/>
        <v>10909826.398905098</v>
      </c>
      <c r="J56" s="1">
        <f t="shared" si="4"/>
        <v>2.3071433415163628E-2</v>
      </c>
      <c r="L56">
        <f t="shared" si="7"/>
        <v>30.059999999999945</v>
      </c>
      <c r="N56">
        <f t="shared" si="5"/>
        <v>945.61699999999996</v>
      </c>
      <c r="O56" s="1">
        <f t="shared" si="6"/>
        <v>1.0046244938489897</v>
      </c>
    </row>
    <row r="57" spans="1:15">
      <c r="B57">
        <f>B56+31.78</f>
        <v>981.77</v>
      </c>
      <c r="C57">
        <v>287504</v>
      </c>
      <c r="D57">
        <v>287346</v>
      </c>
      <c r="E57">
        <v>288039</v>
      </c>
      <c r="F57" s="4">
        <f t="shared" si="0"/>
        <v>287629.66666666669</v>
      </c>
      <c r="G57" s="5">
        <f t="shared" si="1"/>
        <v>987.72900000000004</v>
      </c>
      <c r="H57" s="1">
        <f t="shared" si="2"/>
        <v>0.99396696867258116</v>
      </c>
      <c r="I57" s="4">
        <f t="shared" si="3"/>
        <v>10644290.508077897</v>
      </c>
      <c r="J57" s="1">
        <f t="shared" si="4"/>
        <v>2.7021966982992997E-2</v>
      </c>
      <c r="L57">
        <f t="shared" si="7"/>
        <v>31.779999999999973</v>
      </c>
      <c r="N57">
        <f t="shared" si="5"/>
        <v>979.67899999999997</v>
      </c>
      <c r="O57" s="1">
        <f t="shared" si="6"/>
        <v>1.002134372585306</v>
      </c>
    </row>
    <row r="89" spans="3:4">
      <c r="C89" t="s">
        <v>21</v>
      </c>
      <c r="D89" s="2" t="s">
        <v>23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K17"/>
  <sheetViews>
    <sheetView tabSelected="1" workbookViewId="0">
      <selection activeCell="K3" sqref="K3"/>
    </sheetView>
  </sheetViews>
  <sheetFormatPr defaultRowHeight="14.25"/>
  <cols>
    <col min="11" max="11" width="17.875" customWidth="1"/>
  </cols>
  <sheetData>
    <row r="2" spans="1:11">
      <c r="D2" t="s">
        <v>19</v>
      </c>
    </row>
    <row r="3" spans="1:11" ht="21.75" customHeight="1">
      <c r="A3" t="s">
        <v>20</v>
      </c>
      <c r="B3" t="s">
        <v>1</v>
      </c>
      <c r="F3" t="s">
        <v>4</v>
      </c>
      <c r="G3" t="s">
        <v>5</v>
      </c>
      <c r="H3" t="s">
        <v>6</v>
      </c>
      <c r="J3" t="s">
        <v>21</v>
      </c>
      <c r="K3" s="6" t="s">
        <v>22</v>
      </c>
    </row>
    <row r="4" spans="1:11">
      <c r="A4">
        <v>1</v>
      </c>
      <c r="B4">
        <v>102.31</v>
      </c>
      <c r="C4">
        <v>-155715</v>
      </c>
      <c r="D4">
        <v>-156060</v>
      </c>
      <c r="E4">
        <v>-159908</v>
      </c>
      <c r="F4">
        <f>(C4+D4+E4)/3</f>
        <v>-157227.66666666666</v>
      </c>
      <c r="G4">
        <f>-0.0011*F4-72.898</f>
        <v>100.05243333333334</v>
      </c>
      <c r="H4" s="1">
        <f>B4/G4</f>
        <v>1.0225638356954836</v>
      </c>
    </row>
    <row r="5" spans="1:11">
      <c r="A5">
        <v>2</v>
      </c>
      <c r="B5">
        <v>195.83</v>
      </c>
      <c r="C5">
        <v>-238880</v>
      </c>
      <c r="D5">
        <v>-237757</v>
      </c>
      <c r="E5">
        <v>-237991</v>
      </c>
      <c r="F5">
        <f t="shared" ref="F5:F13" si="0">(C5+D5+E5)/3</f>
        <v>-238209.33333333334</v>
      </c>
      <c r="G5">
        <f t="shared" ref="G5:G13" si="1">-0.0011*F5-72.898</f>
        <v>189.13226666666671</v>
      </c>
      <c r="H5" s="1">
        <f t="shared" ref="H5:H13" si="2">B5/G5</f>
        <v>1.0354129596783062</v>
      </c>
    </row>
    <row r="6" spans="1:11">
      <c r="A6">
        <v>3</v>
      </c>
      <c r="B6">
        <f>B5+62.18</f>
        <v>258.01</v>
      </c>
      <c r="C6">
        <v>-294613</v>
      </c>
      <c r="D6">
        <v>-293459</v>
      </c>
      <c r="E6">
        <v>-293319</v>
      </c>
      <c r="F6">
        <f t="shared" si="0"/>
        <v>-293797</v>
      </c>
      <c r="G6">
        <f t="shared" si="1"/>
        <v>250.27870000000004</v>
      </c>
      <c r="H6" s="1">
        <f t="shared" si="2"/>
        <v>1.0308907629774327</v>
      </c>
    </row>
    <row r="7" spans="1:11">
      <c r="A7">
        <v>4</v>
      </c>
      <c r="B7">
        <f>189.8+29.02+47.35+62.39</f>
        <v>328.56</v>
      </c>
      <c r="C7">
        <v>-356329</v>
      </c>
      <c r="D7">
        <v>-356095</v>
      </c>
      <c r="E7">
        <v>-356306</v>
      </c>
      <c r="F7">
        <f t="shared" si="0"/>
        <v>-356243.33333333331</v>
      </c>
      <c r="G7">
        <f t="shared" si="1"/>
        <v>318.96966666666663</v>
      </c>
      <c r="H7" s="1">
        <f t="shared" si="2"/>
        <v>1.0300665998543228</v>
      </c>
    </row>
    <row r="8" spans="1:11">
      <c r="A8">
        <v>5</v>
      </c>
      <c r="B8">
        <f>B7+84.79</f>
        <v>413.35</v>
      </c>
      <c r="C8">
        <v>-431840</v>
      </c>
      <c r="D8">
        <v>-429496</v>
      </c>
      <c r="E8">
        <v>-429350</v>
      </c>
      <c r="F8">
        <f t="shared" si="0"/>
        <v>-430228.66666666669</v>
      </c>
      <c r="G8">
        <f t="shared" si="1"/>
        <v>400.35353333333342</v>
      </c>
      <c r="H8" s="1">
        <f t="shared" si="2"/>
        <v>1.0324624752489591</v>
      </c>
    </row>
    <row r="9" spans="1:11">
      <c r="A9">
        <v>6</v>
      </c>
      <c r="B9">
        <f>B8+146.4</f>
        <v>559.75</v>
      </c>
      <c r="C9">
        <v>-561998</v>
      </c>
      <c r="D9">
        <v>-562961</v>
      </c>
      <c r="E9">
        <v>-561114</v>
      </c>
      <c r="F9">
        <f t="shared" si="0"/>
        <v>-562024.33333333337</v>
      </c>
      <c r="G9">
        <f t="shared" si="1"/>
        <v>545.32876666666675</v>
      </c>
      <c r="H9" s="1">
        <f t="shared" si="2"/>
        <v>1.0264450258538227</v>
      </c>
    </row>
    <row r="10" spans="1:11">
      <c r="A10">
        <v>7</v>
      </c>
      <c r="B10">
        <f>B9+111.27</f>
        <v>671.02</v>
      </c>
      <c r="C10">
        <v>-663625</v>
      </c>
      <c r="D10">
        <v>-660701</v>
      </c>
      <c r="E10">
        <v>-662383</v>
      </c>
      <c r="F10">
        <f t="shared" si="0"/>
        <v>-662236.33333333337</v>
      </c>
      <c r="G10">
        <f t="shared" si="1"/>
        <v>655.56196666666676</v>
      </c>
      <c r="H10" s="1">
        <f t="shared" si="2"/>
        <v>1.0235798202448085</v>
      </c>
    </row>
    <row r="11" spans="1:11">
      <c r="A11">
        <v>8</v>
      </c>
      <c r="B11">
        <f>B10+93.35</f>
        <v>764.37</v>
      </c>
      <c r="C11">
        <v>-747642</v>
      </c>
      <c r="D11">
        <v>-745767</v>
      </c>
      <c r="E11">
        <v>-744995</v>
      </c>
      <c r="F11">
        <f t="shared" si="0"/>
        <v>-746134.66666666663</v>
      </c>
      <c r="G11">
        <f t="shared" si="1"/>
        <v>747.85013333333336</v>
      </c>
      <c r="H11" s="1">
        <f t="shared" si="2"/>
        <v>1.0220898090811776</v>
      </c>
    </row>
    <row r="12" spans="1:11">
      <c r="A12">
        <v>9</v>
      </c>
      <c r="B12">
        <f>B11+93.47</f>
        <v>857.84</v>
      </c>
      <c r="C12">
        <v>-827542</v>
      </c>
      <c r="D12">
        <v>-824195</v>
      </c>
      <c r="E12">
        <v>-827770</v>
      </c>
      <c r="F12">
        <f t="shared" si="0"/>
        <v>-826502.33333333337</v>
      </c>
      <c r="G12">
        <f t="shared" si="1"/>
        <v>836.25456666666673</v>
      </c>
      <c r="H12" s="1">
        <f t="shared" si="2"/>
        <v>1.0258120364225614</v>
      </c>
    </row>
    <row r="13" spans="1:11">
      <c r="A13">
        <v>10</v>
      </c>
      <c r="B13">
        <f>B12+97.94</f>
        <v>955.78</v>
      </c>
      <c r="C13">
        <v>-913110</v>
      </c>
      <c r="D13">
        <v>-913579</v>
      </c>
      <c r="E13">
        <v>-912619</v>
      </c>
      <c r="F13">
        <f t="shared" si="0"/>
        <v>-913102.66666666663</v>
      </c>
      <c r="G13">
        <f t="shared" si="1"/>
        <v>931.51493333333337</v>
      </c>
      <c r="H13" s="1">
        <f t="shared" si="2"/>
        <v>1.0260490366803208</v>
      </c>
    </row>
    <row r="16" spans="1:11" ht="46.5" customHeight="1"/>
    <row r="17" ht="54.75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WAGA 1</vt:lpstr>
      <vt:lpstr>WAGA 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Pingoui</dc:creator>
  <cp:lastModifiedBy>Pingoui</cp:lastModifiedBy>
  <dcterms:created xsi:type="dcterms:W3CDTF">2017-09-21T13:51:07Z</dcterms:created>
  <dcterms:modified xsi:type="dcterms:W3CDTF">2017-09-22T14:13:20Z</dcterms:modified>
</cp:coreProperties>
</file>