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ma00\Desktop\Utulsa\Independent Study\Lab Meeting 11\"/>
    </mc:Choice>
  </mc:AlternateContent>
  <xr:revisionPtr revIDLastSave="0" documentId="13_ncr:1_{14C9972C-F7CE-4519-A4D2-E0522EFFA8EB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Main" sheetId="5" state="hidden" r:id="rId1"/>
    <sheet name="NaPA Conc." sheetId="11" r:id="rId2"/>
    <sheet name="Sol#1 5ppb bt 50% Less Poly 1,2" sheetId="13" r:id="rId3"/>
    <sheet name="Sol#2 5ppb bt 50% More Poly 1,2" sheetId="9" r:id="rId4"/>
    <sheet name="Shear Stress Vs. Shear Share Pl" sheetId="10" r:id="rId5"/>
    <sheet name="Incomplete" sheetId="1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0" l="1"/>
  <c r="H21" i="9"/>
  <c r="H21" i="13"/>
  <c r="G13" i="13" l="1"/>
  <c r="S9" i="10"/>
  <c r="L12" i="13"/>
  <c r="C12" i="13"/>
  <c r="G11" i="13"/>
  <c r="L10" i="13"/>
  <c r="G9" i="13"/>
  <c r="L8" i="13"/>
  <c r="L7" i="13"/>
  <c r="G5" i="13"/>
  <c r="G4" i="13"/>
  <c r="C4" i="13"/>
  <c r="C14" i="13" s="1"/>
  <c r="M4" i="11"/>
  <c r="P4" i="11"/>
  <c r="S4" i="11"/>
  <c r="L6" i="11"/>
  <c r="O6" i="11"/>
  <c r="R6" i="11"/>
  <c r="L7" i="11"/>
  <c r="O7" i="11"/>
  <c r="R7" i="11"/>
  <c r="L9" i="11"/>
  <c r="O9" i="11"/>
  <c r="O15" i="11" s="1"/>
  <c r="O16" i="11" s="1"/>
  <c r="R9" i="11"/>
  <c r="L11" i="11"/>
  <c r="M11" i="11"/>
  <c r="R11" i="11"/>
  <c r="S11" i="11"/>
  <c r="L13" i="11"/>
  <c r="L14" i="11"/>
  <c r="O14" i="11"/>
  <c r="R14" i="11"/>
  <c r="L15" i="11"/>
  <c r="L16" i="11" s="1"/>
  <c r="R15" i="11"/>
  <c r="R16" i="11"/>
  <c r="R22" i="11" s="1"/>
  <c r="R23" i="11" s="1"/>
  <c r="L21" i="11"/>
  <c r="O21" i="11"/>
  <c r="R21" i="11"/>
  <c r="L28" i="11"/>
  <c r="O28" i="11"/>
  <c r="R28" i="11"/>
  <c r="I4" i="11"/>
  <c r="H28" i="11"/>
  <c r="H21" i="11"/>
  <c r="H14" i="11"/>
  <c r="H6" i="11"/>
  <c r="H7" i="11" s="1"/>
  <c r="H9" i="11" s="1"/>
  <c r="B11" i="11"/>
  <c r="C11" i="11" s="1"/>
  <c r="E14" i="11"/>
  <c r="E28" i="11"/>
  <c r="E21" i="11"/>
  <c r="F4" i="11"/>
  <c r="E6" i="11" s="1"/>
  <c r="E7" i="11" s="1"/>
  <c r="E9" i="11" s="1"/>
  <c r="E11" i="11" s="1"/>
  <c r="B25" i="11"/>
  <c r="C25" i="11"/>
  <c r="C18" i="11"/>
  <c r="B29" i="11"/>
  <c r="B30" i="11" s="1"/>
  <c r="B28" i="11"/>
  <c r="B18" i="11"/>
  <c r="B21" i="11"/>
  <c r="B22" i="11"/>
  <c r="B16" i="11"/>
  <c r="B15" i="11"/>
  <c r="B13" i="11"/>
  <c r="B14" i="11" s="1"/>
  <c r="C4" i="11"/>
  <c r="B6" i="11" s="1"/>
  <c r="L12" i="9"/>
  <c r="L10" i="9"/>
  <c r="L8" i="9"/>
  <c r="L7" i="9"/>
  <c r="L4" i="9"/>
  <c r="H20" i="9"/>
  <c r="G9" i="9"/>
  <c r="H18" i="9"/>
  <c r="C17" i="9"/>
  <c r="C15" i="9"/>
  <c r="C14" i="9"/>
  <c r="C12" i="9"/>
  <c r="G11" i="9"/>
  <c r="D30" i="10"/>
  <c r="F30" i="10" s="1"/>
  <c r="D29" i="10"/>
  <c r="F29" i="10" s="1"/>
  <c r="D28" i="10"/>
  <c r="F28" i="10" s="1"/>
  <c r="D27" i="10"/>
  <c r="F27" i="10" s="1"/>
  <c r="D26" i="10"/>
  <c r="F26" i="10" s="1"/>
  <c r="D25" i="10"/>
  <c r="F25" i="10" s="1"/>
  <c r="D24" i="10"/>
  <c r="F24" i="10" s="1"/>
  <c r="D23" i="10"/>
  <c r="F23" i="10" s="1"/>
  <c r="D22" i="10"/>
  <c r="F22" i="10" s="1"/>
  <c r="D21" i="10"/>
  <c r="F21" i="10" s="1"/>
  <c r="D20" i="10"/>
  <c r="F20" i="10" s="1"/>
  <c r="D19" i="10"/>
  <c r="F19" i="10" s="1"/>
  <c r="K30" i="10"/>
  <c r="M30" i="10" s="1"/>
  <c r="K29" i="10"/>
  <c r="M29" i="10" s="1"/>
  <c r="K28" i="10"/>
  <c r="M28" i="10" s="1"/>
  <c r="K27" i="10"/>
  <c r="M27" i="10" s="1"/>
  <c r="K26" i="10"/>
  <c r="M26" i="10" s="1"/>
  <c r="K25" i="10"/>
  <c r="M25" i="10" s="1"/>
  <c r="K24" i="10"/>
  <c r="M24" i="10" s="1"/>
  <c r="K23" i="10"/>
  <c r="M23" i="10" s="1"/>
  <c r="K22" i="10"/>
  <c r="M22" i="10" s="1"/>
  <c r="K21" i="10"/>
  <c r="M21" i="10" s="1"/>
  <c r="K20" i="10"/>
  <c r="M20" i="10" s="1"/>
  <c r="K19" i="10"/>
  <c r="M19" i="10" s="1"/>
  <c r="K15" i="10"/>
  <c r="M15" i="10" s="1"/>
  <c r="D15" i="10"/>
  <c r="F15" i="10" s="1"/>
  <c r="K14" i="10"/>
  <c r="M14" i="10" s="1"/>
  <c r="D14" i="10"/>
  <c r="F14" i="10" s="1"/>
  <c r="K13" i="10"/>
  <c r="M13" i="10" s="1"/>
  <c r="D13" i="10"/>
  <c r="F13" i="10" s="1"/>
  <c r="K12" i="10"/>
  <c r="M12" i="10" s="1"/>
  <c r="D12" i="10"/>
  <c r="F12" i="10" s="1"/>
  <c r="K11" i="10"/>
  <c r="M11" i="10" s="1"/>
  <c r="D11" i="10"/>
  <c r="F11" i="10" s="1"/>
  <c r="K10" i="10"/>
  <c r="M10" i="10" s="1"/>
  <c r="D10" i="10"/>
  <c r="F10" i="10" s="1"/>
  <c r="K9" i="10"/>
  <c r="M9" i="10" s="1"/>
  <c r="D9" i="10"/>
  <c r="F9" i="10" s="1"/>
  <c r="K8" i="10"/>
  <c r="M8" i="10" s="1"/>
  <c r="D8" i="10"/>
  <c r="F8" i="10" s="1"/>
  <c r="K7" i="10"/>
  <c r="M7" i="10" s="1"/>
  <c r="D7" i="10"/>
  <c r="F7" i="10" s="1"/>
  <c r="K6" i="10"/>
  <c r="M6" i="10" s="1"/>
  <c r="D6" i="10"/>
  <c r="F6" i="10" s="1"/>
  <c r="K5" i="10"/>
  <c r="M5" i="10" s="1"/>
  <c r="D5" i="10"/>
  <c r="F5" i="10" s="1"/>
  <c r="K4" i="10"/>
  <c r="M4" i="10" s="1"/>
  <c r="D4" i="10"/>
  <c r="F4" i="10" s="1"/>
  <c r="C15" i="13" l="1"/>
  <c r="C17" i="13" s="1"/>
  <c r="L4" i="13"/>
  <c r="R29" i="11"/>
  <c r="R30" i="11" s="1"/>
  <c r="R25" i="11"/>
  <c r="S25" i="11" s="1"/>
  <c r="O22" i="11"/>
  <c r="O23" i="11" s="1"/>
  <c r="O18" i="11"/>
  <c r="P18" i="11" s="1"/>
  <c r="L18" i="11"/>
  <c r="M18" i="11" s="1"/>
  <c r="L22" i="11"/>
  <c r="L23" i="11" s="1"/>
  <c r="O11" i="11"/>
  <c r="P11" i="11" s="1"/>
  <c r="R18" i="11"/>
  <c r="S18" i="11" s="1"/>
  <c r="H15" i="11"/>
  <c r="H16" i="11" s="1"/>
  <c r="H11" i="11"/>
  <c r="I11" i="11" s="1"/>
  <c r="F11" i="11"/>
  <c r="E15" i="11"/>
  <c r="E16" i="11" s="1"/>
  <c r="B23" i="11"/>
  <c r="B7" i="11"/>
  <c r="H19" i="5"/>
  <c r="G5" i="9"/>
  <c r="G4" i="9"/>
  <c r="C4" i="9"/>
  <c r="G5" i="5"/>
  <c r="G9" i="5" s="1"/>
  <c r="G4" i="5"/>
  <c r="C4" i="5"/>
  <c r="C12" i="5" s="1"/>
  <c r="G14" i="1"/>
  <c r="L8" i="1"/>
  <c r="L13" i="1" s="1"/>
  <c r="C17" i="1"/>
  <c r="G8" i="1" s="1"/>
  <c r="G13" i="1" s="1"/>
  <c r="I19" i="1"/>
  <c r="L4" i="1"/>
  <c r="G4" i="1"/>
  <c r="G5" i="1"/>
  <c r="C4" i="1"/>
  <c r="C11" i="1" s="1"/>
  <c r="G17" i="1"/>
  <c r="C16" i="13" l="1"/>
  <c r="H18" i="13"/>
  <c r="G8" i="13"/>
  <c r="O25" i="11"/>
  <c r="P25" i="11" s="1"/>
  <c r="O29" i="11"/>
  <c r="O30" i="11" s="1"/>
  <c r="L29" i="11"/>
  <c r="L30" i="11" s="1"/>
  <c r="L25" i="11"/>
  <c r="M25" i="11" s="1"/>
  <c r="H22" i="11"/>
  <c r="H23" i="11" s="1"/>
  <c r="H18" i="11"/>
  <c r="I18" i="11" s="1"/>
  <c r="E18" i="11"/>
  <c r="F18" i="11" s="1"/>
  <c r="E22" i="11"/>
  <c r="E23" i="11" s="1"/>
  <c r="B9" i="11"/>
  <c r="C14" i="5"/>
  <c r="C15" i="5" s="1"/>
  <c r="C11" i="5"/>
  <c r="L12" i="1"/>
  <c r="L11" i="1"/>
  <c r="C14" i="1"/>
  <c r="C15" i="1" s="1"/>
  <c r="C12" i="1"/>
  <c r="G15" i="13" l="1"/>
  <c r="G14" i="13" s="1"/>
  <c r="H25" i="11"/>
  <c r="I25" i="11" s="1"/>
  <c r="H29" i="11"/>
  <c r="H30" i="11" s="1"/>
  <c r="E29" i="11"/>
  <c r="E30" i="11" s="1"/>
  <c r="E25" i="11"/>
  <c r="F25" i="11" s="1"/>
  <c r="C16" i="1"/>
  <c r="G11" i="1"/>
  <c r="G12" i="1" s="1"/>
  <c r="H19" i="13" l="1"/>
  <c r="H20" i="13" s="1"/>
  <c r="C16" i="9"/>
  <c r="C16" i="5"/>
  <c r="C17" i="5"/>
  <c r="G8" i="9"/>
  <c r="H22" i="13" l="1"/>
  <c r="L3" i="13" s="1"/>
  <c r="C11" i="13"/>
  <c r="G8" i="5"/>
  <c r="H16" i="5"/>
  <c r="G15" i="9"/>
  <c r="G13" i="9" l="1"/>
  <c r="G14" i="9" s="1"/>
  <c r="H19" i="9"/>
  <c r="G13" i="5"/>
  <c r="H17" i="5" s="1"/>
  <c r="H22" i="9" l="1"/>
  <c r="L3" i="9" s="1"/>
  <c r="C11" i="9"/>
  <c r="G11" i="5"/>
  <c r="G12" i="5" s="1"/>
  <c r="H20" i="5"/>
  <c r="H18" i="5" l="1"/>
  <c r="H21" i="5" s="1"/>
</calcChain>
</file>

<file path=xl/sharedStrings.xml><?xml version="1.0" encoding="utf-8"?>
<sst xmlns="http://schemas.openxmlformats.org/spreadsheetml/2006/main" count="669" uniqueCount="106">
  <si>
    <t>Mw1=</t>
  </si>
  <si>
    <t>SGw=</t>
  </si>
  <si>
    <t>X=</t>
  </si>
  <si>
    <t>Mw2=</t>
  </si>
  <si>
    <t>V1=</t>
  </si>
  <si>
    <t>X =</t>
  </si>
  <si>
    <t>Givens:</t>
  </si>
  <si>
    <t>Vf=</t>
  </si>
  <si>
    <t>Units:</t>
  </si>
  <si>
    <t>(Unitless - Specific Gravity)</t>
  </si>
  <si>
    <t>Concentration : PPB</t>
  </si>
  <si>
    <t>Mud weight: PPG</t>
  </si>
  <si>
    <t>Round #1 Calculations:</t>
  </si>
  <si>
    <t>Round #2 Calculations:</t>
  </si>
  <si>
    <t>Calculations:</t>
  </si>
  <si>
    <t>ml</t>
  </si>
  <si>
    <t>M1=</t>
  </si>
  <si>
    <t>M2=</t>
  </si>
  <si>
    <t>Water Vol=</t>
  </si>
  <si>
    <t>Water Vol:</t>
  </si>
  <si>
    <t>1 components</t>
  </si>
  <si>
    <t>2 components</t>
  </si>
  <si>
    <t>Vol 1: ml</t>
  </si>
  <si>
    <t>(Calcium Carbonate)</t>
  </si>
  <si>
    <t>Percentage in Solution:</t>
  </si>
  <si>
    <t>Mass to be added:</t>
  </si>
  <si>
    <t>Barite</t>
  </si>
  <si>
    <t>KCl Density:</t>
  </si>
  <si>
    <t>Density (Recheck):</t>
  </si>
  <si>
    <t>Delta V=</t>
  </si>
  <si>
    <t>gr</t>
  </si>
  <si>
    <t>g/cc</t>
  </si>
  <si>
    <t>Diff in Vol: ml</t>
  </si>
  <si>
    <t>New Water Volume:</t>
  </si>
  <si>
    <t>Approx. Liquid Volume Added:</t>
  </si>
  <si>
    <t>Water to be added:</t>
  </si>
  <si>
    <t>(Specific Gravity)</t>
  </si>
  <si>
    <t>Vf(new)=</t>
  </si>
  <si>
    <t>KCl Mass to be added:</t>
  </si>
  <si>
    <t>Bentonite Solution:</t>
  </si>
  <si>
    <t>Final Numbers:</t>
  </si>
  <si>
    <t>Total Volume:</t>
  </si>
  <si>
    <t>KCL Delta V:</t>
  </si>
  <si>
    <t>CaCO3 Delta V:</t>
  </si>
  <si>
    <t xml:space="preserve">Total Mixed Solute (Deltas): </t>
  </si>
  <si>
    <t>Approx. Liquid Vol Added:</t>
  </si>
  <si>
    <t>Calcium Carbonate</t>
  </si>
  <si>
    <t>ADDITIVES</t>
  </si>
  <si>
    <t>KCl (7%)</t>
  </si>
  <si>
    <t>POLYTS P</t>
  </si>
  <si>
    <t>SLIDE G</t>
  </si>
  <si>
    <t>GEOCARB F</t>
  </si>
  <si>
    <t>BARITE</t>
  </si>
  <si>
    <t>DRILSCAV OXN</t>
  </si>
  <si>
    <t>pH</t>
  </si>
  <si>
    <t>AGING</t>
  </si>
  <si>
    <t>Bentonite:</t>
  </si>
  <si>
    <t>Solution #2</t>
  </si>
  <si>
    <t>Water content:</t>
  </si>
  <si>
    <r>
      <t xml:space="preserve">Aged 16 Hrs. @ 400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  <charset val="162"/>
      </rPr>
      <t>F &amp; 500 psi</t>
    </r>
  </si>
  <si>
    <t>Volume incr:</t>
  </si>
  <si>
    <t>10.1 (9.5 minimum)</t>
  </si>
  <si>
    <t>RPM</t>
  </si>
  <si>
    <t>Shear Stress (DR)</t>
  </si>
  <si>
    <t>Shear Stress (lb/100ft^2)</t>
  </si>
  <si>
    <t>Shear Rate (1/s)</t>
  </si>
  <si>
    <t>Viscosity (cP)</t>
  </si>
  <si>
    <t>2 components Bentonite</t>
  </si>
  <si>
    <t>Vol=</t>
  </si>
  <si>
    <t>1 components CaCO3/KCl</t>
  </si>
  <si>
    <t>Bentonite SG:</t>
  </si>
  <si>
    <t>Bentonite Conc:</t>
  </si>
  <si>
    <t>ppb</t>
  </si>
  <si>
    <t>Hottrol</t>
  </si>
  <si>
    <t>Temptrol</t>
  </si>
  <si>
    <t>KCL</t>
  </si>
  <si>
    <t>Density:</t>
  </si>
  <si>
    <t>Calculations: Original Comp</t>
  </si>
  <si>
    <t>PolyTS</t>
  </si>
  <si>
    <r>
      <t>New Composition: (Drop both Hottrol &amp; Temptrol by</t>
    </r>
    <r>
      <rPr>
        <b/>
        <sz val="11"/>
        <color rgb="FFFF0000"/>
        <rFont val="Calibri"/>
        <family val="2"/>
        <scheme val="minor"/>
      </rPr>
      <t xml:space="preserve"> 50%</t>
    </r>
    <r>
      <rPr>
        <b/>
        <sz val="11"/>
        <color theme="1"/>
        <rFont val="Calibri"/>
        <family val="2"/>
        <scheme val="minor"/>
      </rPr>
      <t>)</t>
    </r>
  </si>
  <si>
    <r>
      <t xml:space="preserve">New Composition: (Increase both Hottrol &amp; Temptrol by </t>
    </r>
    <r>
      <rPr>
        <b/>
        <sz val="11"/>
        <color rgb="FFFF0000"/>
        <rFont val="Calibri"/>
        <family val="2"/>
        <scheme val="minor"/>
      </rPr>
      <t>50%</t>
    </r>
    <r>
      <rPr>
        <b/>
        <sz val="11"/>
        <color theme="1"/>
        <rFont val="Calibri"/>
        <family val="2"/>
        <scheme val="minor"/>
      </rPr>
      <t>)</t>
    </r>
  </si>
  <si>
    <r>
      <t>New Composition: (Keep Hottrol same &amp; Drop Temptrol by</t>
    </r>
    <r>
      <rPr>
        <b/>
        <sz val="11"/>
        <color rgb="FFFF0000"/>
        <rFont val="Calibri"/>
        <family val="2"/>
        <scheme val="minor"/>
      </rPr>
      <t xml:space="preserve"> 50%</t>
    </r>
    <r>
      <rPr>
        <b/>
        <sz val="11"/>
        <color theme="1"/>
        <rFont val="Calibri"/>
        <family val="2"/>
        <scheme val="minor"/>
      </rPr>
      <t>)</t>
    </r>
  </si>
  <si>
    <r>
      <t>New Composition: (Keep Temptrol same &amp; Drop Hottrol by</t>
    </r>
    <r>
      <rPr>
        <b/>
        <sz val="11"/>
        <color rgb="FFFF0000"/>
        <rFont val="Calibri"/>
        <family val="2"/>
        <scheme val="minor"/>
      </rPr>
      <t xml:space="preserve"> 50%</t>
    </r>
    <r>
      <rPr>
        <b/>
        <sz val="11"/>
        <color theme="1"/>
        <rFont val="Calibri"/>
        <family val="2"/>
        <scheme val="minor"/>
      </rPr>
      <t>)</t>
    </r>
  </si>
  <si>
    <t xml:space="preserve">TEMPTROL (0.75%) </t>
  </si>
  <si>
    <t>HOTTROL NP (0.45%)</t>
  </si>
  <si>
    <t>Solution #1</t>
  </si>
  <si>
    <t>TEMPTROL (2.25%)</t>
  </si>
  <si>
    <t>HOTTROL NP (1.35%)</t>
  </si>
  <si>
    <t>Done</t>
  </si>
  <si>
    <t>Solution #1 (Unheated)</t>
  </si>
  <si>
    <t>Time</t>
  </si>
  <si>
    <t>Volume (mm)</t>
  </si>
  <si>
    <t>10 seconds</t>
  </si>
  <si>
    <t>1 minute</t>
  </si>
  <si>
    <t>7.5 minutes</t>
  </si>
  <si>
    <t>30 minutes</t>
  </si>
  <si>
    <t>Spurt losses:</t>
  </si>
  <si>
    <t>Solution #2 (Unheated)</t>
  </si>
  <si>
    <t>Solution #2 (Post heating)</t>
  </si>
  <si>
    <t>Solution #1 (Post heating)</t>
  </si>
  <si>
    <t>Mixture #1: (50% Reduction in Polymer Conc.) (unheated, tested @ 80 °F)</t>
  </si>
  <si>
    <t>Mixture #1: (50% Reduction in Polymer Conc.) (heated up to 400 °F, Pressurized at 500 PS tested @ 80 °F)</t>
  </si>
  <si>
    <t>Mixture #2: (50% Increase in Polymer Conc.) (unheated, tested @ 80 °F)</t>
  </si>
  <si>
    <t>Mixture #2: (50% Increase in Polymer Conc.) (heated up to 400 °F, Pressurized at 500 PS tested @ 80 °F)</t>
  </si>
  <si>
    <t>71 ml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</si>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</sst>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0000000"/>
    <numFmt numFmtId="166" formatCode="0.0000000000"/>
    <numFmt numFmtId="167" formatCode="_(* #,##0_);_(* \(#,##0\);_(* &quot;-&quot;??_);_(@_)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8" fillId="0" borderId="0"/>
  </cellStyleXfs>
  <cellXfs count="110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0" applyNumberFormat="1"/>
    <xf numFmtId="9" fontId="2" fillId="0" borderId="0" xfId="1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43" fontId="5" fillId="0" borderId="0" xfId="0" applyNumberFormat="1" applyFont="1"/>
    <xf numFmtId="9" fontId="1" fillId="2" borderId="0" xfId="2" applyNumberForma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0" fontId="7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1" fontId="2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6" xfId="0" applyBorder="1"/>
    <xf numFmtId="0" fontId="2" fillId="0" borderId="7" xfId="0" applyFont="1" applyBorder="1"/>
    <xf numFmtId="164" fontId="0" fillId="0" borderId="7" xfId="0" applyNumberFormat="1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165" fontId="0" fillId="0" borderId="0" xfId="0" applyNumberFormat="1"/>
    <xf numFmtId="2" fontId="0" fillId="0" borderId="12" xfId="0" applyNumberFormat="1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166" fontId="0" fillId="0" borderId="0" xfId="0" applyNumberFormat="1"/>
    <xf numFmtId="0" fontId="0" fillId="0" borderId="15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67" fontId="0" fillId="0" borderId="0" xfId="0" applyNumberForma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9" fontId="2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/>
    </xf>
    <xf numFmtId="0" fontId="4" fillId="0" borderId="5" xfId="0" applyFont="1" applyBorder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9" fontId="2" fillId="3" borderId="5" xfId="1" applyFont="1" applyFill="1" applyBorder="1" applyAlignment="1">
      <alignment horizontal="left"/>
    </xf>
    <xf numFmtId="168" fontId="2" fillId="0" borderId="0" xfId="1" applyNumberFormat="1" applyFont="1" applyBorder="1" applyAlignment="1">
      <alignment horizontal="left"/>
    </xf>
    <xf numFmtId="10" fontId="2" fillId="0" borderId="0" xfId="1" applyNumberFormat="1" applyFont="1" applyBorder="1" applyAlignment="1">
      <alignment horizontal="left"/>
    </xf>
    <xf numFmtId="168" fontId="2" fillId="3" borderId="5" xfId="1" applyNumberFormat="1" applyFont="1" applyFill="1" applyBorder="1" applyAlignment="1">
      <alignment horizontal="left"/>
    </xf>
    <xf numFmtId="10" fontId="2" fillId="3" borderId="5" xfId="1" applyNumberFormat="1" applyFont="1" applyFill="1" applyBorder="1" applyAlignment="1">
      <alignment horizontal="left"/>
    </xf>
    <xf numFmtId="168" fontId="2" fillId="3" borderId="5" xfId="2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4" borderId="0" xfId="0" applyFill="1"/>
    <xf numFmtId="0" fontId="0" fillId="0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</cellXfs>
  <cellStyles count="4">
    <cellStyle name="40% - Accent6" xfId="2" builtinId="51"/>
    <cellStyle name="Normal" xfId="0" builtinId="0"/>
    <cellStyle name="Normal 2" xfId="3" xr:uid="{754A9DCC-8E2C-4AEF-89BD-8A43D3547B16}"/>
    <cellStyle name="Percent" xfId="1" builtinId="5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Mixture</a:t>
            </a:r>
            <a:r>
              <a:rPr lang="en-US" baseline="0"/>
              <a:t> #1 </a:t>
            </a:r>
            <a:r>
              <a:rPr lang="en-US" sz="1400" b="0" i="0" u="none" strike="noStrike" baseline="0">
                <a:effectLst/>
              </a:rPr>
              <a:t>(50% reduction in Polymer Conc.)</a:t>
            </a:r>
            <a:r>
              <a:rPr lang="en-US" baseline="0"/>
              <a:t>: </a:t>
            </a:r>
            <a:r>
              <a:rPr lang="en-US"/>
              <a:t>Shear Stress Vs. Shear Rate</a:t>
            </a:r>
          </a:p>
        </c:rich>
      </c:tx>
      <c:layout>
        <c:manualLayout>
          <c:xMode val="edge"/>
          <c:yMode val="edge"/>
          <c:x val="0.13085996827432586"/>
          <c:y val="3.4514704152342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08758221907225"/>
          <c:y val="0.11819630337794773"/>
          <c:w val="0.70780879458302581"/>
          <c:h val="0.73514033762384867"/>
        </c:manualLayout>
      </c:layout>
      <c:scatterChart>
        <c:scatterStyle val="lineMarker"/>
        <c:varyColors val="0"/>
        <c:ser>
          <c:idx val="0"/>
          <c:order val="0"/>
          <c:tx>
            <c:v>Unheated Polymer 1 &amp; 2 Mixture With 5PPB Bentonite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Stress Vs. Shear Share Pl'!$E$4:$E$15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Pl'!$D$4:$D$15</c:f>
              <c:numCache>
                <c:formatCode>0.00</c:formatCode>
                <c:ptCount val="12"/>
                <c:pt idx="0">
                  <c:v>17.253</c:v>
                </c:pt>
                <c:pt idx="1">
                  <c:v>9.0525000000000002</c:v>
                </c:pt>
                <c:pt idx="2">
                  <c:v>6.39</c:v>
                </c:pt>
                <c:pt idx="3">
                  <c:v>3.5144999999999995</c:v>
                </c:pt>
                <c:pt idx="4">
                  <c:v>2.343</c:v>
                </c:pt>
                <c:pt idx="5">
                  <c:v>1.1715</c:v>
                </c:pt>
                <c:pt idx="6">
                  <c:v>0.85199999999999998</c:v>
                </c:pt>
                <c:pt idx="7">
                  <c:v>0.31949999999999995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0.1065</c:v>
                </c:pt>
                <c:pt idx="11">
                  <c:v>0.1065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F-4E7E-BC8D-966B360FC0A9}"/>
            </c:ext>
          </c:extLst>
        </c:ser>
        <c:ser>
          <c:idx val="1"/>
          <c:order val="1"/>
          <c:tx>
            <c:v>Post Heating Polymer 1 &amp; 2 Mixture With 5PPB Bentonite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Pl'!$E$19:$E$30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Pl'!$D$19:$D$30</c:f>
              <c:numCache>
                <c:formatCode>0.00</c:formatCode>
                <c:ptCount val="12"/>
                <c:pt idx="0">
                  <c:v>12.78</c:v>
                </c:pt>
                <c:pt idx="1">
                  <c:v>7.2419999999999991</c:v>
                </c:pt>
                <c:pt idx="2">
                  <c:v>5.4314999999999998</c:v>
                </c:pt>
                <c:pt idx="3">
                  <c:v>2.8755000000000002</c:v>
                </c:pt>
                <c:pt idx="4">
                  <c:v>1.917</c:v>
                </c:pt>
                <c:pt idx="5">
                  <c:v>1.3845000000000001</c:v>
                </c:pt>
                <c:pt idx="6">
                  <c:v>0.95850000000000002</c:v>
                </c:pt>
                <c:pt idx="7">
                  <c:v>0.42599999999999999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0.21299999999999999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7F-4E7E-BC8D-966B360FC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4911"/>
        <c:axId val="139571583"/>
      </c:scatterChart>
      <c:valAx>
        <c:axId val="140804911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Rate (1/s)</a:t>
                </a:r>
              </a:p>
            </c:rich>
          </c:tx>
          <c:layout>
            <c:manualLayout>
              <c:xMode val="edge"/>
              <c:yMode val="edge"/>
              <c:x val="0.41897593578983527"/>
              <c:y val="0.92361627882845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1583"/>
        <c:crosses val="autoZero"/>
        <c:crossBetween val="midCat"/>
        <c:majorUnit val="200"/>
        <c:minorUnit val="100"/>
      </c:valAx>
      <c:valAx>
        <c:axId val="139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Stress (lb/100ft^2) </a:t>
                </a:r>
              </a:p>
            </c:rich>
          </c:tx>
          <c:layout>
            <c:manualLayout>
              <c:xMode val="edge"/>
              <c:yMode val="edge"/>
              <c:x val="1.0059735926168146E-2"/>
              <c:y val="0.30674450113698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74588046325725"/>
          <c:y val="0.32060176026922921"/>
          <c:w val="0.18325397819290776"/>
          <c:h val="0.31447580674338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Mixture</a:t>
            </a:r>
            <a:r>
              <a:rPr lang="en-US" baseline="0"/>
              <a:t> #2 </a:t>
            </a:r>
            <a:r>
              <a:rPr lang="en-US" sz="1400" b="0" i="0" u="none" strike="noStrike" baseline="0">
                <a:effectLst/>
              </a:rPr>
              <a:t>(50% increase in Polymer Conc.): </a:t>
            </a:r>
            <a:r>
              <a:rPr lang="en-US" baseline="0"/>
              <a:t> </a:t>
            </a:r>
            <a:r>
              <a:rPr lang="en-US"/>
              <a:t>Shear Stress Vs. Shear Rate</a:t>
            </a:r>
          </a:p>
        </c:rich>
      </c:tx>
      <c:layout>
        <c:manualLayout>
          <c:xMode val="edge"/>
          <c:yMode val="edge"/>
          <c:x val="0.12248185341081651"/>
          <c:y val="3.4514524637006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08758221907225"/>
          <c:y val="0.11819630337794773"/>
          <c:w val="0.72281132208757215"/>
          <c:h val="0.73514033762384867"/>
        </c:manualLayout>
      </c:layout>
      <c:scatterChart>
        <c:scatterStyle val="lineMarker"/>
        <c:varyColors val="0"/>
        <c:ser>
          <c:idx val="0"/>
          <c:order val="0"/>
          <c:tx>
            <c:v>Unheated Polymer 1 &amp; 2 Mixture With 5PPB Bentonite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Stress Vs. Shear Share Pl'!$L$4:$L$15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Pl'!$K$4:$K$15</c:f>
              <c:numCache>
                <c:formatCode>0.00</c:formatCode>
                <c:ptCount val="12"/>
                <c:pt idx="0">
                  <c:v>81.791999999999987</c:v>
                </c:pt>
                <c:pt idx="1">
                  <c:v>47.179499999999997</c:v>
                </c:pt>
                <c:pt idx="2">
                  <c:v>33.973499999999994</c:v>
                </c:pt>
                <c:pt idx="3">
                  <c:v>19.063499999999998</c:v>
                </c:pt>
                <c:pt idx="4">
                  <c:v>12.460499999999998</c:v>
                </c:pt>
                <c:pt idx="5">
                  <c:v>7.028999999999999</c:v>
                </c:pt>
                <c:pt idx="6">
                  <c:v>5.4314999999999998</c:v>
                </c:pt>
                <c:pt idx="7">
                  <c:v>2.9819999999999998</c:v>
                </c:pt>
                <c:pt idx="8">
                  <c:v>2.0234999999999999</c:v>
                </c:pt>
                <c:pt idx="9">
                  <c:v>1.1715</c:v>
                </c:pt>
                <c:pt idx="10">
                  <c:v>0.85199999999999998</c:v>
                </c:pt>
                <c:pt idx="11">
                  <c:v>0.6389999999999999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3-4EB3-B7D7-327F17735BCE}"/>
            </c:ext>
          </c:extLst>
        </c:ser>
        <c:ser>
          <c:idx val="1"/>
          <c:order val="1"/>
          <c:tx>
            <c:v>Post Heating Polymer 1 &amp; 2 Mixture With 5PPB Bentonite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Pl'!$L$19:$L$30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Pl'!$K$19:$K$30</c:f>
              <c:numCache>
                <c:formatCode>0.00</c:formatCode>
                <c:ptCount val="12"/>
                <c:pt idx="0">
                  <c:v>52.078499999999998</c:v>
                </c:pt>
                <c:pt idx="1">
                  <c:v>27.689999999999998</c:v>
                </c:pt>
                <c:pt idx="2">
                  <c:v>19.702500000000001</c:v>
                </c:pt>
                <c:pt idx="3">
                  <c:v>10.330499999999999</c:v>
                </c:pt>
                <c:pt idx="4">
                  <c:v>6.6029999999999998</c:v>
                </c:pt>
                <c:pt idx="5">
                  <c:v>3.5144999999999995</c:v>
                </c:pt>
                <c:pt idx="6">
                  <c:v>2.343</c:v>
                </c:pt>
                <c:pt idx="7">
                  <c:v>1.4909999999999999</c:v>
                </c:pt>
                <c:pt idx="8">
                  <c:v>1.2779999999999998</c:v>
                </c:pt>
                <c:pt idx="9">
                  <c:v>0.42599999999999999</c:v>
                </c:pt>
                <c:pt idx="10">
                  <c:v>0.31949999999999995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3-4EB3-B7D7-327F1773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4911"/>
        <c:axId val="139571583"/>
      </c:scatterChart>
      <c:valAx>
        <c:axId val="140804911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Rate (1/s)</a:t>
                </a:r>
              </a:p>
            </c:rich>
          </c:tx>
          <c:layout>
            <c:manualLayout>
              <c:xMode val="edge"/>
              <c:yMode val="edge"/>
              <c:x val="0.41897593578983527"/>
              <c:y val="0.92361627882845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1583"/>
        <c:crosses val="autoZero"/>
        <c:crossBetween val="midCat"/>
        <c:majorUnit val="200"/>
        <c:minorUnit val="100"/>
      </c:valAx>
      <c:valAx>
        <c:axId val="139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Stress (lb/100ft^2) </a:t>
                </a:r>
              </a:p>
            </c:rich>
          </c:tx>
          <c:layout>
            <c:manualLayout>
              <c:xMode val="edge"/>
              <c:yMode val="edge"/>
              <c:x val="1.0059735926168146E-2"/>
              <c:y val="0.30674450113698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89358883540599"/>
          <c:y val="0.31772531337041671"/>
          <c:w val="0.15137887081390344"/>
          <c:h val="0.367608738899071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Shear Stress Vs. Shear Rate Plot</a:t>
            </a:r>
          </a:p>
        </c:rich>
      </c:tx>
      <c:layout>
        <c:manualLayout>
          <c:xMode val="edge"/>
          <c:yMode val="edge"/>
          <c:x val="0.28616218148983491"/>
          <c:y val="3.4514704152342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08758221907225"/>
          <c:y val="0.11819630337794773"/>
          <c:w val="0.67787162218932884"/>
          <c:h val="0.73514033762384867"/>
        </c:manualLayout>
      </c:layout>
      <c:scatterChart>
        <c:scatterStyle val="lineMarker"/>
        <c:varyColors val="0"/>
        <c:ser>
          <c:idx val="2"/>
          <c:order val="0"/>
          <c:tx>
            <c:v>Unheated Polymer Mixture #2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'Shear Stress Vs. Shear Share Pl'!$L$4:$L$15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Pl'!$K$4:$K$15</c:f>
              <c:numCache>
                <c:formatCode>0.00</c:formatCode>
                <c:ptCount val="12"/>
                <c:pt idx="0">
                  <c:v>81.791999999999987</c:v>
                </c:pt>
                <c:pt idx="1">
                  <c:v>47.179499999999997</c:v>
                </c:pt>
                <c:pt idx="2">
                  <c:v>33.973499999999994</c:v>
                </c:pt>
                <c:pt idx="3">
                  <c:v>19.063499999999998</c:v>
                </c:pt>
                <c:pt idx="4">
                  <c:v>12.460499999999998</c:v>
                </c:pt>
                <c:pt idx="5">
                  <c:v>7.028999999999999</c:v>
                </c:pt>
                <c:pt idx="6">
                  <c:v>5.4314999999999998</c:v>
                </c:pt>
                <c:pt idx="7">
                  <c:v>2.9819999999999998</c:v>
                </c:pt>
                <c:pt idx="8">
                  <c:v>2.0234999999999999</c:v>
                </c:pt>
                <c:pt idx="9">
                  <c:v>1.1715</c:v>
                </c:pt>
                <c:pt idx="10">
                  <c:v>0.85199999999999998</c:v>
                </c:pt>
                <c:pt idx="11">
                  <c:v>0.6389999999999999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46-44D7-92D5-C429E8268DC0}"/>
            </c:ext>
          </c:extLst>
        </c:ser>
        <c:ser>
          <c:idx val="3"/>
          <c:order val="1"/>
          <c:tx>
            <c:v>Post heated Polymer Mixture #2</c:v>
          </c:tx>
          <c:spPr>
            <a:ln w="190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'Shear Stress Vs. Shear Share Pl'!$L$19:$L$30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Pl'!$K$19:$K$30</c:f>
              <c:numCache>
                <c:formatCode>0.00</c:formatCode>
                <c:ptCount val="12"/>
                <c:pt idx="0">
                  <c:v>52.078499999999998</c:v>
                </c:pt>
                <c:pt idx="1">
                  <c:v>27.689999999999998</c:v>
                </c:pt>
                <c:pt idx="2">
                  <c:v>19.702500000000001</c:v>
                </c:pt>
                <c:pt idx="3">
                  <c:v>10.330499999999999</c:v>
                </c:pt>
                <c:pt idx="4">
                  <c:v>6.6029999999999998</c:v>
                </c:pt>
                <c:pt idx="5">
                  <c:v>3.5144999999999995</c:v>
                </c:pt>
                <c:pt idx="6">
                  <c:v>2.343</c:v>
                </c:pt>
                <c:pt idx="7">
                  <c:v>1.4909999999999999</c:v>
                </c:pt>
                <c:pt idx="8">
                  <c:v>1.2779999999999998</c:v>
                </c:pt>
                <c:pt idx="9">
                  <c:v>0.42599999999999999</c:v>
                </c:pt>
                <c:pt idx="10">
                  <c:v>0.31949999999999995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46-44D7-92D5-C429E8268DC0}"/>
            </c:ext>
          </c:extLst>
        </c:ser>
        <c:ser>
          <c:idx val="0"/>
          <c:order val="2"/>
          <c:tx>
            <c:v>Unheated Polymer Mixture #1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Pl'!$E$4:$E$15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Pl'!$D$4:$D$15</c:f>
              <c:numCache>
                <c:formatCode>0.00</c:formatCode>
                <c:ptCount val="12"/>
                <c:pt idx="0">
                  <c:v>17.253</c:v>
                </c:pt>
                <c:pt idx="1">
                  <c:v>9.0525000000000002</c:v>
                </c:pt>
                <c:pt idx="2">
                  <c:v>6.39</c:v>
                </c:pt>
                <c:pt idx="3">
                  <c:v>3.5144999999999995</c:v>
                </c:pt>
                <c:pt idx="4">
                  <c:v>2.343</c:v>
                </c:pt>
                <c:pt idx="5">
                  <c:v>1.1715</c:v>
                </c:pt>
                <c:pt idx="6">
                  <c:v>0.85199999999999998</c:v>
                </c:pt>
                <c:pt idx="7">
                  <c:v>0.31949999999999995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0.1065</c:v>
                </c:pt>
                <c:pt idx="11">
                  <c:v>0.1065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6-44D7-92D5-C429E8268DC0}"/>
            </c:ext>
          </c:extLst>
        </c:ser>
        <c:ser>
          <c:idx val="1"/>
          <c:order val="3"/>
          <c:tx>
            <c:v>Post heated Polymer Mixture #1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Pl'!$E$19:$E$30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Pl'!$D$19:$D$30</c:f>
              <c:numCache>
                <c:formatCode>0.00</c:formatCode>
                <c:ptCount val="12"/>
                <c:pt idx="0">
                  <c:v>12.78</c:v>
                </c:pt>
                <c:pt idx="1">
                  <c:v>7.2419999999999991</c:v>
                </c:pt>
                <c:pt idx="2">
                  <c:v>5.4314999999999998</c:v>
                </c:pt>
                <c:pt idx="3">
                  <c:v>2.8755000000000002</c:v>
                </c:pt>
                <c:pt idx="4">
                  <c:v>1.917</c:v>
                </c:pt>
                <c:pt idx="5">
                  <c:v>1.3845000000000001</c:v>
                </c:pt>
                <c:pt idx="6">
                  <c:v>0.95850000000000002</c:v>
                </c:pt>
                <c:pt idx="7">
                  <c:v>0.42599999999999999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0.21299999999999999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46-44D7-92D5-C429E8268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4911"/>
        <c:axId val="139571583"/>
      </c:scatterChart>
      <c:valAx>
        <c:axId val="140804911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Rate (1/s)</a:t>
                </a:r>
              </a:p>
            </c:rich>
          </c:tx>
          <c:layout>
            <c:manualLayout>
              <c:xMode val="edge"/>
              <c:yMode val="edge"/>
              <c:x val="0.41897593578983527"/>
              <c:y val="0.92361627882845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1583"/>
        <c:crosses val="autoZero"/>
        <c:crossBetween val="midCat"/>
        <c:majorUnit val="200"/>
        <c:minorUnit val="100"/>
      </c:valAx>
      <c:valAx>
        <c:axId val="139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Stress (lb/100ft^2) </a:t>
                </a:r>
              </a:p>
            </c:rich>
          </c:tx>
          <c:layout>
            <c:manualLayout>
              <c:xMode val="edge"/>
              <c:yMode val="edge"/>
              <c:x val="1.0059735926168146E-2"/>
              <c:y val="0.30674450113698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74588046325725"/>
          <c:y val="0.32060176026922921"/>
          <c:w val="0.18325416589015561"/>
          <c:h val="0.300143409600600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Polymer Loading Behavior Shear Stress Analysis</a:t>
            </a:r>
          </a:p>
        </c:rich>
      </c:tx>
      <c:layout>
        <c:manualLayout>
          <c:xMode val="edge"/>
          <c:yMode val="edge"/>
          <c:x val="0.28616218148983491"/>
          <c:y val="3.4514704152342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08758221907225"/>
          <c:y val="0.11819630337794773"/>
          <c:w val="0.65500603844353433"/>
          <c:h val="0.73514033762384867"/>
        </c:manualLayout>
      </c:layout>
      <c:scatterChart>
        <c:scatterStyle val="lineMarker"/>
        <c:varyColors val="0"/>
        <c:ser>
          <c:idx val="3"/>
          <c:order val="0"/>
          <c:tx>
            <c:v>Post heated Polymer Mixture B</c:v>
          </c:tx>
          <c:spPr>
            <a:ln w="190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'Shear Stress Vs. Shear Share Pl'!$L$19:$L$30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Pl'!$K$19:$K$30</c:f>
              <c:numCache>
                <c:formatCode>0.00</c:formatCode>
                <c:ptCount val="12"/>
                <c:pt idx="0">
                  <c:v>52.078499999999998</c:v>
                </c:pt>
                <c:pt idx="1">
                  <c:v>27.689999999999998</c:v>
                </c:pt>
                <c:pt idx="2">
                  <c:v>19.702500000000001</c:v>
                </c:pt>
                <c:pt idx="3">
                  <c:v>10.330499999999999</c:v>
                </c:pt>
                <c:pt idx="4">
                  <c:v>6.6029999999999998</c:v>
                </c:pt>
                <c:pt idx="5">
                  <c:v>3.5144999999999995</c:v>
                </c:pt>
                <c:pt idx="6">
                  <c:v>2.343</c:v>
                </c:pt>
                <c:pt idx="7">
                  <c:v>1.4909999999999999</c:v>
                </c:pt>
                <c:pt idx="8">
                  <c:v>1.2779999999999998</c:v>
                </c:pt>
                <c:pt idx="9">
                  <c:v>0.42599999999999999</c:v>
                </c:pt>
                <c:pt idx="10">
                  <c:v>0.31949999999999995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E-4E56-8BAC-6F283E6E8F1D}"/>
            </c:ext>
          </c:extLst>
        </c:ser>
        <c:ser>
          <c:idx val="2"/>
          <c:order val="1"/>
          <c:tx>
            <c:v>Unheated Polymer Mixture B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'Shear Stress Vs. Shear Share Pl'!$L$4:$L$15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Pl'!$K$4:$K$15</c:f>
              <c:numCache>
                <c:formatCode>0.00</c:formatCode>
                <c:ptCount val="12"/>
                <c:pt idx="0">
                  <c:v>81.791999999999987</c:v>
                </c:pt>
                <c:pt idx="1">
                  <c:v>47.179499999999997</c:v>
                </c:pt>
                <c:pt idx="2">
                  <c:v>33.973499999999994</c:v>
                </c:pt>
                <c:pt idx="3">
                  <c:v>19.063499999999998</c:v>
                </c:pt>
                <c:pt idx="4">
                  <c:v>12.460499999999998</c:v>
                </c:pt>
                <c:pt idx="5">
                  <c:v>7.028999999999999</c:v>
                </c:pt>
                <c:pt idx="6">
                  <c:v>5.4314999999999998</c:v>
                </c:pt>
                <c:pt idx="7">
                  <c:v>2.9819999999999998</c:v>
                </c:pt>
                <c:pt idx="8">
                  <c:v>2.0234999999999999</c:v>
                </c:pt>
                <c:pt idx="9">
                  <c:v>1.1715</c:v>
                </c:pt>
                <c:pt idx="10">
                  <c:v>0.85199999999999998</c:v>
                </c:pt>
                <c:pt idx="11">
                  <c:v>0.6389999999999999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E-4E56-8BAC-6F283E6E8F1D}"/>
            </c:ext>
          </c:extLst>
        </c:ser>
        <c:ser>
          <c:idx val="1"/>
          <c:order val="2"/>
          <c:tx>
            <c:v>Post heated Polymer Mixture A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Pl'!$E$19:$E$30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Pl'!$D$19:$D$30</c:f>
              <c:numCache>
                <c:formatCode>0.00</c:formatCode>
                <c:ptCount val="12"/>
                <c:pt idx="0">
                  <c:v>12.78</c:v>
                </c:pt>
                <c:pt idx="1">
                  <c:v>7.2419999999999991</c:v>
                </c:pt>
                <c:pt idx="2">
                  <c:v>5.4314999999999998</c:v>
                </c:pt>
                <c:pt idx="3">
                  <c:v>2.8755000000000002</c:v>
                </c:pt>
                <c:pt idx="4">
                  <c:v>1.917</c:v>
                </c:pt>
                <c:pt idx="5">
                  <c:v>1.3845000000000001</c:v>
                </c:pt>
                <c:pt idx="6">
                  <c:v>0.95850000000000002</c:v>
                </c:pt>
                <c:pt idx="7">
                  <c:v>0.42599999999999999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0.21299999999999999</c:v>
                </c:pt>
                <c:pt idx="11">
                  <c:v>0.21299999999999999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DE-4E56-8BAC-6F283E6E8F1D}"/>
            </c:ext>
          </c:extLst>
        </c:ser>
        <c:ser>
          <c:idx val="0"/>
          <c:order val="3"/>
          <c:tx>
            <c:v>Unheated Polymer Mixture 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'Shear Stress Vs. Shear Share Pl'!$E$4:$E$15</c:f>
              <c:numCache>
                <c:formatCode>General</c:formatCode>
                <c:ptCount val="12"/>
                <c:pt idx="0">
                  <c:v>1021.38</c:v>
                </c:pt>
                <c:pt idx="1">
                  <c:v>510.69</c:v>
                </c:pt>
                <c:pt idx="2">
                  <c:v>340.46</c:v>
                </c:pt>
                <c:pt idx="3">
                  <c:v>170.23</c:v>
                </c:pt>
                <c:pt idx="4">
                  <c:v>102.14</c:v>
                </c:pt>
                <c:pt idx="5">
                  <c:v>51.07</c:v>
                </c:pt>
                <c:pt idx="6">
                  <c:v>34.049999999999997</c:v>
                </c:pt>
                <c:pt idx="7">
                  <c:v>17.02</c:v>
                </c:pt>
                <c:pt idx="8">
                  <c:v>10.210000000000001</c:v>
                </c:pt>
                <c:pt idx="9">
                  <c:v>5.1100000000000003</c:v>
                </c:pt>
                <c:pt idx="10">
                  <c:v>3.4</c:v>
                </c:pt>
                <c:pt idx="11">
                  <c:v>1.7</c:v>
                </c:pt>
              </c:numCache>
            </c:numRef>
          </c:xVal>
          <c:yVal>
            <c:numRef>
              <c:f>'Shear Stress Vs. Shear Share Pl'!$D$4:$D$15</c:f>
              <c:numCache>
                <c:formatCode>0.00</c:formatCode>
                <c:ptCount val="12"/>
                <c:pt idx="0">
                  <c:v>17.253</c:v>
                </c:pt>
                <c:pt idx="1">
                  <c:v>9.0525000000000002</c:v>
                </c:pt>
                <c:pt idx="2">
                  <c:v>6.39</c:v>
                </c:pt>
                <c:pt idx="3">
                  <c:v>3.5144999999999995</c:v>
                </c:pt>
                <c:pt idx="4">
                  <c:v>2.343</c:v>
                </c:pt>
                <c:pt idx="5">
                  <c:v>1.1715</c:v>
                </c:pt>
                <c:pt idx="6">
                  <c:v>0.85199999999999998</c:v>
                </c:pt>
                <c:pt idx="7">
                  <c:v>0.31949999999999995</c:v>
                </c:pt>
                <c:pt idx="8">
                  <c:v>0.31949999999999995</c:v>
                </c:pt>
                <c:pt idx="9">
                  <c:v>0.21299999999999999</c:v>
                </c:pt>
                <c:pt idx="10">
                  <c:v>0.1065</c:v>
                </c:pt>
                <c:pt idx="11">
                  <c:v>0.1065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DE-4E56-8BAC-6F283E6E8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4911"/>
        <c:axId val="139571583"/>
      </c:scatterChart>
      <c:valAx>
        <c:axId val="140804911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Rate (1/s)</a:t>
                </a:r>
              </a:p>
            </c:rich>
          </c:tx>
          <c:layout>
            <c:manualLayout>
              <c:xMode val="edge"/>
              <c:yMode val="edge"/>
              <c:x val="0.41897593578983527"/>
              <c:y val="0.92361627882845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71583"/>
        <c:crosses val="autoZero"/>
        <c:crossBetween val="midCat"/>
        <c:majorUnit val="200"/>
        <c:minorUnit val="100"/>
      </c:valAx>
      <c:valAx>
        <c:axId val="139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 Stress (lb/100ft^2) </a:t>
                </a:r>
              </a:p>
            </c:rich>
          </c:tx>
          <c:layout>
            <c:manualLayout>
              <c:xMode val="edge"/>
              <c:yMode val="edge"/>
              <c:x val="1.0059735926168146E-2"/>
              <c:y val="0.30674450113698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13236933458752"/>
          <c:y val="0.15459760349112747"/>
          <c:w val="0.18325416589015561"/>
          <c:h val="0.62622285627855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448236</xdr:colOff>
      <xdr:row>31</xdr:row>
      <xdr:rowOff>38100</xdr:rowOff>
    </xdr:from>
    <xdr:to>
      <xdr:col>8</xdr:col>
      <xdr:colOff>225911</xdr:colOff>
      <xdr:row>55</xdr:row>
      <xdr:rowOff>19273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758E0-EAC1-4A75-92A6-DB148F671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463475</xdr:colOff>
      <xdr:row>55</xdr:row>
      <xdr:rowOff>164053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E7D97-7420-4BC7-974A-CEEC1DB0B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909919</xdr:colOff>
      <xdr:row>57</xdr:row>
      <xdr:rowOff>179296</xdr:rowOff>
    </xdr:from>
    <xdr:to>
      <xdr:col>16</xdr:col>
      <xdr:colOff>597946</xdr:colOff>
      <xdr:row>81</xdr:row>
      <xdr:rowOff>160469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79E0F7-72AD-46EB-9574-DA63C1FB1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69156</xdr:colOff>
      <xdr:row>57</xdr:row>
      <xdr:rowOff>85806</xdr:rowOff>
    </xdr:from>
    <xdr:to>
      <xdr:col>8</xdr:col>
      <xdr:colOff>628040</xdr:colOff>
      <xdr:row>81</xdr:row>
      <xdr:rowOff>66978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C9F22-A82B-442B-9418-267738107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3</xdr:row>
      <xdr:rowOff>99060</xdr:rowOff>
    </xdr:from>
    <xdr:to>
      <xdr:col>9</xdr:col>
      <xdr:colOff>213360</xdr:colOff>
      <xdr:row>5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A29417EC-D20D-4E8A-B162-303EF086E864}"/>
            </a:ext>
          </a:extLst>
        </xdr:cNvPr>
        <xdr:cNvCxnSpPr/>
      </xdr:nvCxnSpPr>
      <xdr:spPr>
        <a:xfrm flipV="1">
          <a:off x="6918960" y="647700"/>
          <a:ext cx="441960" cy="381000"/>
        </a:xfrm>
        <a:prstGeom prst="bentConnector3">
          <a:avLst>
            <a:gd name="adj1" fmla="val 39655"/>
          </a:avLst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DCC6-E24A-4D43-BB1D-EC2227E27FEC}">
  <dimension ref="A2:Q21"/>
  <sheetViews>
    <sheetView zoomScaleNormal="100" workbookViewId="0">
      <selection activeCell="G25" sqref="G24:G25"/>
    </sheetView>
  </sheetViews>
  <sheetFormatPr defaultRowHeight="14.4" x14ac:dyDescent="0.3"/>
  <cols>
    <col min="1" max="1" width="20.5546875" customWidth="1"/>
    <col min="2" max="2" width="23.44140625" customWidth="1"/>
    <col min="6" max="6" width="12.44140625" customWidth="1"/>
    <col min="7" max="7" width="12.21875" customWidth="1"/>
    <col min="10" max="10" width="6.109375" customWidth="1"/>
    <col min="11" max="11" width="12" customWidth="1"/>
    <col min="12" max="12" width="16.6640625" bestFit="1" customWidth="1"/>
    <col min="15" max="15" width="5.33203125" customWidth="1"/>
  </cols>
  <sheetData>
    <row r="2" spans="1:17" x14ac:dyDescent="0.3">
      <c r="A2" s="2" t="s">
        <v>14</v>
      </c>
      <c r="F2" s="2" t="s">
        <v>12</v>
      </c>
      <c r="H2" t="s">
        <v>46</v>
      </c>
      <c r="K2" s="2"/>
      <c r="P2" s="2"/>
    </row>
    <row r="3" spans="1:17" x14ac:dyDescent="0.3">
      <c r="A3" s="2" t="s">
        <v>6</v>
      </c>
      <c r="F3" s="2" t="s">
        <v>6</v>
      </c>
      <c r="G3" s="1"/>
      <c r="H3" s="2" t="s">
        <v>8</v>
      </c>
      <c r="K3" s="2"/>
      <c r="L3" s="1"/>
      <c r="M3" s="2"/>
      <c r="P3" s="2"/>
    </row>
    <row r="4" spans="1:17" x14ac:dyDescent="0.3">
      <c r="A4" s="1" t="s">
        <v>24</v>
      </c>
      <c r="B4" s="5">
        <v>7.0000000000000007E-2</v>
      </c>
      <c r="C4" s="11">
        <f>B4</f>
        <v>7.0000000000000007E-2</v>
      </c>
      <c r="F4" s="1" t="s">
        <v>0</v>
      </c>
      <c r="G4" s="1">
        <f>8.34</f>
        <v>8.34</v>
      </c>
      <c r="H4" t="s">
        <v>11</v>
      </c>
      <c r="K4" s="1"/>
      <c r="L4" s="13"/>
      <c r="P4" s="1"/>
    </row>
    <row r="5" spans="1:17" x14ac:dyDescent="0.3">
      <c r="A5" s="1" t="s">
        <v>16</v>
      </c>
      <c r="B5" s="1">
        <v>0</v>
      </c>
      <c r="F5" s="1" t="s">
        <v>1</v>
      </c>
      <c r="G5" s="1">
        <f>2.7</f>
        <v>2.7</v>
      </c>
      <c r="H5" t="s">
        <v>36</v>
      </c>
      <c r="K5" s="1"/>
      <c r="L5" s="1"/>
      <c r="P5" s="1"/>
    </row>
    <row r="6" spans="1:17" x14ac:dyDescent="0.3">
      <c r="A6" s="1" t="s">
        <v>17</v>
      </c>
      <c r="B6" s="1">
        <v>0</v>
      </c>
      <c r="F6" s="1" t="s">
        <v>3</v>
      </c>
      <c r="G6" s="14">
        <v>8.7799999999999994</v>
      </c>
      <c r="H6" t="s">
        <v>11</v>
      </c>
      <c r="K6" s="1"/>
      <c r="L6" s="1"/>
      <c r="P6" s="1"/>
      <c r="Q6" s="1"/>
    </row>
    <row r="7" spans="1:17" x14ac:dyDescent="0.3">
      <c r="A7" s="1" t="s">
        <v>27</v>
      </c>
      <c r="B7" s="6">
        <v>1.98</v>
      </c>
      <c r="C7" t="s">
        <v>31</v>
      </c>
      <c r="F7" s="1" t="s">
        <v>5</v>
      </c>
      <c r="G7" s="14">
        <v>35</v>
      </c>
      <c r="H7" t="s">
        <v>10</v>
      </c>
      <c r="K7" s="1"/>
      <c r="L7" s="1"/>
      <c r="P7" s="1"/>
      <c r="Q7" s="1"/>
    </row>
    <row r="8" spans="1:17" x14ac:dyDescent="0.3">
      <c r="A8" s="1" t="s">
        <v>19</v>
      </c>
      <c r="B8" s="1">
        <v>400</v>
      </c>
      <c r="C8" t="s">
        <v>15</v>
      </c>
      <c r="F8" s="1" t="s">
        <v>4</v>
      </c>
      <c r="G8" s="13">
        <f>C17</f>
        <v>385.35105158522549</v>
      </c>
      <c r="H8" t="s">
        <v>32</v>
      </c>
      <c r="K8" s="1"/>
      <c r="L8" s="22"/>
      <c r="P8" s="1"/>
      <c r="Q8" s="1"/>
    </row>
    <row r="9" spans="1:17" x14ac:dyDescent="0.3">
      <c r="F9" s="1" t="s">
        <v>60</v>
      </c>
      <c r="G9" s="14">
        <f>G7/G5</f>
        <v>12.962962962962962</v>
      </c>
      <c r="K9" s="1"/>
      <c r="L9" s="14"/>
    </row>
    <row r="10" spans="1:17" x14ac:dyDescent="0.3">
      <c r="A10" s="2" t="s">
        <v>14</v>
      </c>
      <c r="F10" s="2" t="s">
        <v>14</v>
      </c>
      <c r="K10" s="2"/>
      <c r="P10" s="2"/>
    </row>
    <row r="11" spans="1:17" x14ac:dyDescent="0.3">
      <c r="A11" s="1" t="s">
        <v>20</v>
      </c>
      <c r="B11" t="s">
        <v>18</v>
      </c>
      <c r="C11" s="4">
        <f>((B5-B5*C4)/C4)</f>
        <v>0</v>
      </c>
      <c r="D11" t="s">
        <v>15</v>
      </c>
      <c r="F11" t="s">
        <v>2</v>
      </c>
      <c r="G11" s="12">
        <f>G5*(B8-(C14/B7)-G13)</f>
        <v>34.999999999999922</v>
      </c>
      <c r="H11" t="s">
        <v>10</v>
      </c>
      <c r="L11" s="12"/>
      <c r="Q11" s="3"/>
    </row>
    <row r="12" spans="1:17" x14ac:dyDescent="0.3">
      <c r="A12" s="1" t="s">
        <v>21</v>
      </c>
      <c r="B12" t="s">
        <v>18</v>
      </c>
      <c r="C12" s="4">
        <f>(B5+B6-C4*(B5+B6))/C4</f>
        <v>0</v>
      </c>
      <c r="D12" t="s">
        <v>15</v>
      </c>
      <c r="F12" t="s">
        <v>3</v>
      </c>
      <c r="G12" s="12">
        <f>8.34*((C14+G11+G13)/((C14/B7)+(G11/G5)+(G13/1)))</f>
        <v>9.0987941851813083</v>
      </c>
      <c r="H12" t="s">
        <v>11</v>
      </c>
      <c r="L12" s="12"/>
      <c r="Q12" s="3"/>
    </row>
    <row r="13" spans="1:17" x14ac:dyDescent="0.3">
      <c r="F13" t="s">
        <v>7</v>
      </c>
      <c r="G13" s="15">
        <f>G8-G9</f>
        <v>372.38808862226256</v>
      </c>
      <c r="H13" t="s">
        <v>22</v>
      </c>
      <c r="L13" s="15"/>
    </row>
    <row r="14" spans="1:17" ht="14.4" customHeight="1" thickBot="1" x14ac:dyDescent="0.35">
      <c r="B14" s="20" t="s">
        <v>38</v>
      </c>
      <c r="C14" s="3">
        <f>(C4*B8)/(1+(C4/(B7))-C4)</f>
        <v>29.004917861253535</v>
      </c>
      <c r="D14" t="s">
        <v>30</v>
      </c>
      <c r="F14" s="7"/>
      <c r="G14" s="12"/>
      <c r="K14" s="21"/>
      <c r="L14" s="21"/>
      <c r="M14" s="21"/>
      <c r="N14" s="21"/>
      <c r="O14" s="21"/>
      <c r="P14" s="21"/>
    </row>
    <row r="15" spans="1:17" ht="13.8" customHeight="1" x14ac:dyDescent="0.3">
      <c r="A15" s="18" t="s">
        <v>20</v>
      </c>
      <c r="B15" s="19" t="s">
        <v>45</v>
      </c>
      <c r="C15" s="16">
        <f>C14/B7</f>
        <v>14.648948414774512</v>
      </c>
      <c r="D15" s="17" t="s">
        <v>15</v>
      </c>
      <c r="F15" s="23" t="s">
        <v>40</v>
      </c>
      <c r="G15" s="24"/>
      <c r="H15" s="24"/>
      <c r="I15" s="28"/>
      <c r="L15" s="15"/>
    </row>
    <row r="16" spans="1:17" ht="16.8" customHeight="1" x14ac:dyDescent="0.3">
      <c r="A16" s="18" t="s">
        <v>20</v>
      </c>
      <c r="B16" s="20" t="s">
        <v>28</v>
      </c>
      <c r="C16" s="3">
        <f>C14/C15</f>
        <v>1.98</v>
      </c>
      <c r="D16" t="s">
        <v>31</v>
      </c>
      <c r="F16" s="86" t="s">
        <v>42</v>
      </c>
      <c r="G16" s="87"/>
      <c r="H16" s="29">
        <f>B8-C17</f>
        <v>14.648948414774509</v>
      </c>
      <c r="I16" s="27" t="s">
        <v>15</v>
      </c>
    </row>
    <row r="17" spans="1:12" ht="15" customHeight="1" x14ac:dyDescent="0.3">
      <c r="A17" s="18" t="s">
        <v>20</v>
      </c>
      <c r="B17" s="20" t="s">
        <v>33</v>
      </c>
      <c r="C17" s="12">
        <f>B8-C15</f>
        <v>385.35105158522549</v>
      </c>
      <c r="D17" t="s">
        <v>15</v>
      </c>
      <c r="F17" s="86" t="s">
        <v>43</v>
      </c>
      <c r="G17" s="87"/>
      <c r="H17" s="29">
        <f>G8-G13</f>
        <v>12.962962962962933</v>
      </c>
      <c r="I17" s="27" t="s">
        <v>15</v>
      </c>
    </row>
    <row r="18" spans="1:12" ht="15" customHeight="1" x14ac:dyDescent="0.3">
      <c r="F18" s="88" t="s">
        <v>44</v>
      </c>
      <c r="G18" s="89"/>
      <c r="H18" s="29">
        <f>(B8-C17)+(G8-G13)+(L8-L13)</f>
        <v>27.611911377737442</v>
      </c>
      <c r="I18" s="27" t="s">
        <v>15</v>
      </c>
    </row>
    <row r="19" spans="1:12" x14ac:dyDescent="0.3">
      <c r="F19" s="25" t="s">
        <v>39</v>
      </c>
      <c r="G19" s="26"/>
      <c r="H19" s="26">
        <f>150</f>
        <v>150</v>
      </c>
      <c r="I19" s="34" t="s">
        <v>15</v>
      </c>
      <c r="L19" s="43"/>
    </row>
    <row r="20" spans="1:12" x14ac:dyDescent="0.3">
      <c r="F20" s="25" t="s">
        <v>35</v>
      </c>
      <c r="G20" s="26"/>
      <c r="H20" s="30">
        <f>G13-H19</f>
        <v>222.38808862226256</v>
      </c>
      <c r="I20" s="34" t="s">
        <v>15</v>
      </c>
    </row>
    <row r="21" spans="1:12" ht="15" thickBot="1" x14ac:dyDescent="0.35">
      <c r="F21" s="31"/>
      <c r="G21" s="32" t="s">
        <v>41</v>
      </c>
      <c r="H21" s="33">
        <f>SUM(H18:H20)</f>
        <v>400</v>
      </c>
      <c r="I21" s="35" t="s">
        <v>15</v>
      </c>
    </row>
  </sheetData>
  <mergeCells count="3">
    <mergeCell ref="F16:G16"/>
    <mergeCell ref="F17:G17"/>
    <mergeCell ref="F18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F0D4-D334-4A58-BC16-5E59904A33AC}">
  <dimension ref="A1:S30"/>
  <sheetViews>
    <sheetView zoomScaleNormal="100" workbookViewId="0">
      <selection activeCell="B11" sqref="B11"/>
    </sheetView>
  </sheetViews>
  <sheetFormatPr defaultRowHeight="14.4" x14ac:dyDescent="0.3"/>
  <cols>
    <col min="1" max="1" width="24.21875" customWidth="1"/>
    <col min="2" max="2" width="23.44140625" customWidth="1"/>
    <col min="3" max="3" width="8.88671875" customWidth="1"/>
    <col min="4" max="4" width="24.5546875" customWidth="1"/>
    <col min="5" max="5" width="14" customWidth="1"/>
    <col min="6" max="6" width="15.109375" customWidth="1"/>
    <col min="7" max="7" width="25.77734375" customWidth="1"/>
    <col min="8" max="8" width="15.44140625" customWidth="1"/>
    <col min="9" max="9" width="19.44140625" customWidth="1"/>
    <col min="10" max="10" width="6.109375" customWidth="1"/>
    <col min="11" max="11" width="31.21875" customWidth="1"/>
    <col min="12" max="12" width="17.44140625" customWidth="1"/>
    <col min="13" max="13" width="20.77734375" customWidth="1"/>
    <col min="14" max="14" width="29" customWidth="1"/>
    <col min="15" max="15" width="21.6640625" customWidth="1"/>
    <col min="16" max="16" width="25.21875" customWidth="1"/>
    <col min="17" max="17" width="29.109375" customWidth="1"/>
    <col min="18" max="18" width="22.77734375" customWidth="1"/>
    <col min="19" max="19" width="21.109375" customWidth="1"/>
  </cols>
  <sheetData>
    <row r="1" spans="1:19" ht="15" thickBot="1" x14ac:dyDescent="0.35"/>
    <row r="2" spans="1:19" ht="15" thickBot="1" x14ac:dyDescent="0.35">
      <c r="A2" s="93" t="s">
        <v>77</v>
      </c>
      <c r="B2" s="94"/>
      <c r="C2" s="95"/>
      <c r="D2" s="90" t="s">
        <v>79</v>
      </c>
      <c r="E2" s="91"/>
      <c r="F2" s="92"/>
      <c r="G2" s="90" t="s">
        <v>80</v>
      </c>
      <c r="H2" s="91"/>
      <c r="I2" s="92"/>
      <c r="K2" s="93" t="s">
        <v>77</v>
      </c>
      <c r="L2" s="94"/>
      <c r="M2" s="95"/>
      <c r="N2" s="90" t="s">
        <v>81</v>
      </c>
      <c r="O2" s="91"/>
      <c r="P2" s="92"/>
      <c r="Q2" s="90" t="s">
        <v>82</v>
      </c>
      <c r="R2" s="91"/>
      <c r="S2" s="92"/>
    </row>
    <row r="3" spans="1:19" x14ac:dyDescent="0.3">
      <c r="A3" s="51" t="s">
        <v>75</v>
      </c>
      <c r="B3" s="52"/>
      <c r="C3" s="53"/>
      <c r="D3" s="51" t="s">
        <v>75</v>
      </c>
      <c r="E3" s="52"/>
      <c r="F3" s="53"/>
      <c r="G3" s="51" t="s">
        <v>75</v>
      </c>
      <c r="H3" s="52"/>
      <c r="I3" s="53"/>
      <c r="K3" s="51" t="s">
        <v>75</v>
      </c>
      <c r="L3" s="52"/>
      <c r="M3" s="53"/>
      <c r="N3" s="51" t="s">
        <v>75</v>
      </c>
      <c r="O3" s="52"/>
      <c r="P3" s="53"/>
      <c r="Q3" s="51" t="s">
        <v>75</v>
      </c>
      <c r="R3" s="52"/>
      <c r="S3" s="53"/>
    </row>
    <row r="4" spans="1:19" x14ac:dyDescent="0.3">
      <c r="A4" s="54" t="s">
        <v>24</v>
      </c>
      <c r="B4" s="69">
        <v>7.0000000000000007E-2</v>
      </c>
      <c r="C4" s="73">
        <f>B4</f>
        <v>7.0000000000000007E-2</v>
      </c>
      <c r="D4" s="54" t="s">
        <v>24</v>
      </c>
      <c r="E4" s="69">
        <v>7.0000000000000007E-2</v>
      </c>
      <c r="F4" s="73">
        <f>E4</f>
        <v>7.0000000000000007E-2</v>
      </c>
      <c r="G4" s="54" t="s">
        <v>24</v>
      </c>
      <c r="H4" s="55">
        <v>7.0000000000000007E-2</v>
      </c>
      <c r="I4" s="73">
        <f>H4</f>
        <v>7.0000000000000007E-2</v>
      </c>
      <c r="K4" s="54" t="s">
        <v>24</v>
      </c>
      <c r="L4" s="69">
        <v>7.0000000000000007E-2</v>
      </c>
      <c r="M4" s="73">
        <f>L4</f>
        <v>7.0000000000000007E-2</v>
      </c>
      <c r="N4" s="54" t="s">
        <v>24</v>
      </c>
      <c r="O4" s="69">
        <v>7.0000000000000007E-2</v>
      </c>
      <c r="P4" s="73">
        <f>O4</f>
        <v>7.0000000000000007E-2</v>
      </c>
      <c r="Q4" s="54" t="s">
        <v>24</v>
      </c>
      <c r="R4" s="55">
        <v>7.0000000000000007E-2</v>
      </c>
      <c r="S4" s="73">
        <f>R4</f>
        <v>7.0000000000000007E-2</v>
      </c>
    </row>
    <row r="5" spans="1:19" x14ac:dyDescent="0.3">
      <c r="A5" s="54" t="s">
        <v>27</v>
      </c>
      <c r="B5" s="56">
        <v>1.98</v>
      </c>
      <c r="C5" s="57" t="s">
        <v>31</v>
      </c>
      <c r="D5" s="54" t="s">
        <v>27</v>
      </c>
      <c r="E5" s="56">
        <v>1.98</v>
      </c>
      <c r="F5" s="57" t="s">
        <v>31</v>
      </c>
      <c r="G5" s="54" t="s">
        <v>27</v>
      </c>
      <c r="H5" s="56">
        <v>1.98</v>
      </c>
      <c r="I5" s="57" t="s">
        <v>31</v>
      </c>
      <c r="K5" s="54" t="s">
        <v>27</v>
      </c>
      <c r="L5" s="56">
        <v>1.98</v>
      </c>
      <c r="M5" s="57" t="s">
        <v>31</v>
      </c>
      <c r="N5" s="54" t="s">
        <v>27</v>
      </c>
      <c r="O5" s="56">
        <v>1.98</v>
      </c>
      <c r="P5" s="57" t="s">
        <v>31</v>
      </c>
      <c r="Q5" s="54" t="s">
        <v>27</v>
      </c>
      <c r="R5" s="56">
        <v>1.98</v>
      </c>
      <c r="S5" s="57" t="s">
        <v>31</v>
      </c>
    </row>
    <row r="6" spans="1:19" ht="43.2" x14ac:dyDescent="0.3">
      <c r="A6" s="58" t="s">
        <v>38</v>
      </c>
      <c r="B6" s="59">
        <f>(C4*B8)/(1+(C4/(B5))-C4)</f>
        <v>36.256147326566911</v>
      </c>
      <c r="C6" s="57" t="s">
        <v>30</v>
      </c>
      <c r="D6" s="58" t="s">
        <v>38</v>
      </c>
      <c r="E6" s="59">
        <f>(F4*E8)/(1+(F4/(E5))-F4)</f>
        <v>36.256147326566911</v>
      </c>
      <c r="F6" s="57" t="s">
        <v>30</v>
      </c>
      <c r="G6" s="58" t="s">
        <v>38</v>
      </c>
      <c r="H6" s="59">
        <f>(I4*H8)/(1+(I4/(H5))-I4)</f>
        <v>36.256147326566911</v>
      </c>
      <c r="I6" s="57" t="s">
        <v>30</v>
      </c>
      <c r="K6" s="58" t="s">
        <v>38</v>
      </c>
      <c r="L6" s="59">
        <f>(M4*L8)/(1+(M4/(L5))-M4)</f>
        <v>36.256147326566911</v>
      </c>
      <c r="M6" s="57" t="s">
        <v>30</v>
      </c>
      <c r="N6" s="58" t="s">
        <v>38</v>
      </c>
      <c r="O6" s="59">
        <f>(P4*O8)/(1+(P4/(O5))-P4)</f>
        <v>36.256147326566911</v>
      </c>
      <c r="P6" s="57" t="s">
        <v>30</v>
      </c>
      <c r="Q6" s="58" t="s">
        <v>38</v>
      </c>
      <c r="R6" s="59">
        <f>(S4*R8)/(1+(S4/(R5))-S4)</f>
        <v>36.256147326566911</v>
      </c>
      <c r="S6" s="57" t="s">
        <v>30</v>
      </c>
    </row>
    <row r="7" spans="1:19" ht="18" customHeight="1" x14ac:dyDescent="0.3">
      <c r="A7" s="60" t="s">
        <v>45</v>
      </c>
      <c r="B7" s="61">
        <f>B6/B5</f>
        <v>18.311185518468136</v>
      </c>
      <c r="C7" s="62" t="s">
        <v>15</v>
      </c>
      <c r="D7" s="60" t="s">
        <v>45</v>
      </c>
      <c r="E7" s="61">
        <f>E6/E5</f>
        <v>18.311185518468136</v>
      </c>
      <c r="F7" s="62" t="s">
        <v>15</v>
      </c>
      <c r="G7" s="60" t="s">
        <v>45</v>
      </c>
      <c r="H7" s="61">
        <f>H6/H5</f>
        <v>18.311185518468136</v>
      </c>
      <c r="I7" s="62" t="s">
        <v>15</v>
      </c>
      <c r="K7" s="60" t="s">
        <v>45</v>
      </c>
      <c r="L7" s="61">
        <f>L6/L5</f>
        <v>18.311185518468136</v>
      </c>
      <c r="M7" s="62" t="s">
        <v>15</v>
      </c>
      <c r="N7" s="60" t="s">
        <v>45</v>
      </c>
      <c r="O7" s="61">
        <f>O6/O5</f>
        <v>18.311185518468136</v>
      </c>
      <c r="P7" s="62" t="s">
        <v>15</v>
      </c>
      <c r="Q7" s="60" t="s">
        <v>45</v>
      </c>
      <c r="R7" s="61">
        <f>R6/R5</f>
        <v>18.311185518468136</v>
      </c>
      <c r="S7" s="62" t="s">
        <v>15</v>
      </c>
    </row>
    <row r="8" spans="1:19" x14ac:dyDescent="0.3">
      <c r="A8" s="54" t="s">
        <v>19</v>
      </c>
      <c r="B8" s="63">
        <v>500</v>
      </c>
      <c r="C8" s="57" t="s">
        <v>15</v>
      </c>
      <c r="D8" s="54" t="s">
        <v>19</v>
      </c>
      <c r="E8" s="63">
        <v>500</v>
      </c>
      <c r="F8" s="57" t="s">
        <v>15</v>
      </c>
      <c r="G8" s="54" t="s">
        <v>19</v>
      </c>
      <c r="H8" s="63">
        <v>500</v>
      </c>
      <c r="I8" s="57" t="s">
        <v>15</v>
      </c>
      <c r="K8" s="54" t="s">
        <v>19</v>
      </c>
      <c r="L8" s="63">
        <v>500</v>
      </c>
      <c r="M8" s="57" t="s">
        <v>15</v>
      </c>
      <c r="N8" s="54" t="s">
        <v>19</v>
      </c>
      <c r="O8" s="63">
        <v>500</v>
      </c>
      <c r="P8" s="57" t="s">
        <v>15</v>
      </c>
      <c r="Q8" s="54" t="s">
        <v>19</v>
      </c>
      <c r="R8" s="63">
        <v>500</v>
      </c>
      <c r="S8" s="57" t="s">
        <v>15</v>
      </c>
    </row>
    <row r="9" spans="1:19" ht="15" thickBot="1" x14ac:dyDescent="0.35">
      <c r="A9" s="64" t="s">
        <v>33</v>
      </c>
      <c r="B9" s="65">
        <f>B8-B7</f>
        <v>481.68881448153184</v>
      </c>
      <c r="C9" s="66" t="s">
        <v>15</v>
      </c>
      <c r="D9" s="64" t="s">
        <v>33</v>
      </c>
      <c r="E9" s="65">
        <f>E8-E7</f>
        <v>481.68881448153184</v>
      </c>
      <c r="F9" s="66" t="s">
        <v>15</v>
      </c>
      <c r="G9" s="64" t="s">
        <v>33</v>
      </c>
      <c r="H9" s="65">
        <f>H8-H7</f>
        <v>481.68881448153184</v>
      </c>
      <c r="I9" s="66" t="s">
        <v>15</v>
      </c>
      <c r="K9" s="64" t="s">
        <v>33</v>
      </c>
      <c r="L9" s="65">
        <f>L8-L7</f>
        <v>481.68881448153184</v>
      </c>
      <c r="M9" s="66" t="s">
        <v>15</v>
      </c>
      <c r="N9" s="64" t="s">
        <v>33</v>
      </c>
      <c r="O9" s="65">
        <f>O8-O7</f>
        <v>481.68881448153184</v>
      </c>
      <c r="P9" s="66" t="s">
        <v>15</v>
      </c>
      <c r="Q9" s="64" t="s">
        <v>33</v>
      </c>
      <c r="R9" s="65">
        <f>R8-R7</f>
        <v>481.68881448153184</v>
      </c>
      <c r="S9" s="66" t="s">
        <v>15</v>
      </c>
    </row>
    <row r="10" spans="1:19" x14ac:dyDescent="0.3">
      <c r="A10" s="51" t="s">
        <v>73</v>
      </c>
      <c r="B10" s="52"/>
      <c r="C10" s="53"/>
      <c r="D10" s="51" t="s">
        <v>73</v>
      </c>
      <c r="E10" s="52"/>
      <c r="F10" s="53"/>
      <c r="G10" s="51" t="s">
        <v>73</v>
      </c>
      <c r="H10" s="52"/>
      <c r="I10" s="53"/>
      <c r="K10" s="51" t="s">
        <v>73</v>
      </c>
      <c r="L10" s="52"/>
      <c r="M10" s="53"/>
      <c r="N10" s="51" t="s">
        <v>73</v>
      </c>
      <c r="O10" s="52"/>
      <c r="P10" s="53"/>
      <c r="Q10" s="51" t="s">
        <v>73</v>
      </c>
      <c r="R10" s="52"/>
      <c r="S10" s="53"/>
    </row>
    <row r="11" spans="1:19" x14ac:dyDescent="0.3">
      <c r="A11" s="54" t="s">
        <v>24</v>
      </c>
      <c r="B11" s="69">
        <f>(B13)/((B9-B13/B12)+B13)</f>
        <v>8.9468922249741796E-3</v>
      </c>
      <c r="C11" s="71">
        <f>B11</f>
        <v>8.9468922249741796E-3</v>
      </c>
      <c r="D11" s="54" t="s">
        <v>24</v>
      </c>
      <c r="E11" s="70">
        <f>(E13)/((E9-E13/E12)+E13)</f>
        <v>4.4684487712908947E-3</v>
      </c>
      <c r="F11" s="72">
        <f>E11</f>
        <v>4.4684487712908947E-3</v>
      </c>
      <c r="G11" s="54" t="s">
        <v>24</v>
      </c>
      <c r="H11" s="70">
        <f>(H13)/((H9-H13/H12)+H13)</f>
        <v>1.3539866584237326E-2</v>
      </c>
      <c r="I11" s="72">
        <f>H11</f>
        <v>1.3539866584237326E-2</v>
      </c>
      <c r="K11" s="54" t="s">
        <v>24</v>
      </c>
      <c r="L11" s="69">
        <f>(L13)/((L9-L13/L12)+L13)</f>
        <v>8.9468922249741796E-3</v>
      </c>
      <c r="M11" s="71">
        <f>L11</f>
        <v>8.9468922249741796E-3</v>
      </c>
      <c r="N11" s="54" t="s">
        <v>24</v>
      </c>
      <c r="O11" s="69">
        <f>(O13)/((O9-O13/O12)+O13)</f>
        <v>8.9468922249741796E-3</v>
      </c>
      <c r="P11" s="71">
        <f>O11</f>
        <v>8.9468922249741796E-3</v>
      </c>
      <c r="Q11" s="54" t="s">
        <v>24</v>
      </c>
      <c r="R11" s="70">
        <f>(R13)/((R9-R13/R12)+R13)</f>
        <v>4.4684487712908947E-3</v>
      </c>
      <c r="S11" s="72">
        <f>R11</f>
        <v>4.4684487712908947E-3</v>
      </c>
    </row>
    <row r="12" spans="1:19" x14ac:dyDescent="0.3">
      <c r="A12" s="54" t="s">
        <v>76</v>
      </c>
      <c r="B12" s="56">
        <v>0.8</v>
      </c>
      <c r="C12" s="57" t="s">
        <v>31</v>
      </c>
      <c r="D12" s="54" t="s">
        <v>76</v>
      </c>
      <c r="E12" s="56">
        <v>0.8</v>
      </c>
      <c r="F12" s="57" t="s">
        <v>31</v>
      </c>
      <c r="G12" s="54" t="s">
        <v>76</v>
      </c>
      <c r="H12" s="56">
        <v>0.8</v>
      </c>
      <c r="I12" s="57" t="s">
        <v>31</v>
      </c>
      <c r="K12" s="54" t="s">
        <v>76</v>
      </c>
      <c r="L12" s="56">
        <v>0.8</v>
      </c>
      <c r="M12" s="57" t="s">
        <v>31</v>
      </c>
      <c r="N12" s="54" t="s">
        <v>76</v>
      </c>
      <c r="O12" s="56">
        <v>0.8</v>
      </c>
      <c r="P12" s="57" t="s">
        <v>31</v>
      </c>
      <c r="Q12" s="54" t="s">
        <v>76</v>
      </c>
      <c r="R12" s="56">
        <v>0.8</v>
      </c>
      <c r="S12" s="57" t="s">
        <v>31</v>
      </c>
    </row>
    <row r="13" spans="1:19" x14ac:dyDescent="0.3">
      <c r="A13" s="74" t="s">
        <v>25</v>
      </c>
      <c r="B13" s="75">
        <f>4.3</f>
        <v>4.3</v>
      </c>
      <c r="C13" s="76" t="s">
        <v>30</v>
      </c>
      <c r="D13" s="74" t="s">
        <v>25</v>
      </c>
      <c r="E13" s="75">
        <v>2.15</v>
      </c>
      <c r="F13" s="76" t="s">
        <v>30</v>
      </c>
      <c r="G13" s="74" t="s">
        <v>25</v>
      </c>
      <c r="H13" s="75">
        <v>6.5</v>
      </c>
      <c r="I13" s="76" t="s">
        <v>30</v>
      </c>
      <c r="K13" s="74" t="s">
        <v>25</v>
      </c>
      <c r="L13" s="75">
        <f>4.3</f>
        <v>4.3</v>
      </c>
      <c r="M13" s="76" t="s">
        <v>30</v>
      </c>
      <c r="N13" s="74" t="s">
        <v>25</v>
      </c>
      <c r="O13" s="75">
        <v>4.3</v>
      </c>
      <c r="P13" s="76" t="s">
        <v>30</v>
      </c>
      <c r="Q13" s="74" t="s">
        <v>25</v>
      </c>
      <c r="R13" s="75">
        <v>2.15</v>
      </c>
      <c r="S13" s="76" t="s">
        <v>30</v>
      </c>
    </row>
    <row r="14" spans="1:19" ht="14.4" customHeight="1" x14ac:dyDescent="0.3">
      <c r="A14" s="60" t="s">
        <v>45</v>
      </c>
      <c r="B14" s="61">
        <f>B13/B12</f>
        <v>5.3749999999999991</v>
      </c>
      <c r="C14" s="62" t="s">
        <v>15</v>
      </c>
      <c r="D14" s="60" t="s">
        <v>45</v>
      </c>
      <c r="E14" s="61">
        <f>E13/E12</f>
        <v>2.6874999999999996</v>
      </c>
      <c r="F14" s="62" t="s">
        <v>15</v>
      </c>
      <c r="G14" s="60" t="s">
        <v>45</v>
      </c>
      <c r="H14" s="61">
        <f>H13/H12</f>
        <v>8.125</v>
      </c>
      <c r="I14" s="62" t="s">
        <v>15</v>
      </c>
      <c r="K14" s="60" t="s">
        <v>45</v>
      </c>
      <c r="L14" s="61">
        <f>L13/L12</f>
        <v>5.3749999999999991</v>
      </c>
      <c r="M14" s="62" t="s">
        <v>15</v>
      </c>
      <c r="N14" s="60" t="s">
        <v>45</v>
      </c>
      <c r="O14" s="61">
        <f>O13/O12</f>
        <v>5.3749999999999991</v>
      </c>
      <c r="P14" s="62" t="s">
        <v>15</v>
      </c>
      <c r="Q14" s="60" t="s">
        <v>45</v>
      </c>
      <c r="R14" s="61">
        <f>R13/R12</f>
        <v>2.6874999999999996</v>
      </c>
      <c r="S14" s="62" t="s">
        <v>15</v>
      </c>
    </row>
    <row r="15" spans="1:19" ht="13.8" customHeight="1" x14ac:dyDescent="0.3">
      <c r="A15" s="54" t="s">
        <v>19</v>
      </c>
      <c r="B15" s="67">
        <f>B9</f>
        <v>481.68881448153184</v>
      </c>
      <c r="C15" s="57" t="s">
        <v>15</v>
      </c>
      <c r="D15" s="54" t="s">
        <v>19</v>
      </c>
      <c r="E15" s="67">
        <f>E9</f>
        <v>481.68881448153184</v>
      </c>
      <c r="F15" s="57" t="s">
        <v>15</v>
      </c>
      <c r="G15" s="54" t="s">
        <v>19</v>
      </c>
      <c r="H15" s="67">
        <f>H9</f>
        <v>481.68881448153184</v>
      </c>
      <c r="I15" s="57" t="s">
        <v>15</v>
      </c>
      <c r="K15" s="54" t="s">
        <v>19</v>
      </c>
      <c r="L15" s="67">
        <f>L9</f>
        <v>481.68881448153184</v>
      </c>
      <c r="M15" s="57" t="s">
        <v>15</v>
      </c>
      <c r="N15" s="54" t="s">
        <v>19</v>
      </c>
      <c r="O15" s="67">
        <f>O9</f>
        <v>481.68881448153184</v>
      </c>
      <c r="P15" s="57" t="s">
        <v>15</v>
      </c>
      <c r="Q15" s="54" t="s">
        <v>19</v>
      </c>
      <c r="R15" s="67">
        <f>R9</f>
        <v>481.68881448153184</v>
      </c>
      <c r="S15" s="57" t="s">
        <v>15</v>
      </c>
    </row>
    <row r="16" spans="1:19" ht="16.8" customHeight="1" thickBot="1" x14ac:dyDescent="0.35">
      <c r="A16" s="64" t="s">
        <v>33</v>
      </c>
      <c r="B16" s="65">
        <f>B15-B14</f>
        <v>476.31381448153184</v>
      </c>
      <c r="C16" s="66" t="s">
        <v>15</v>
      </c>
      <c r="D16" s="64" t="s">
        <v>33</v>
      </c>
      <c r="E16" s="65">
        <f>E15-E14</f>
        <v>479.00131448153184</v>
      </c>
      <c r="F16" s="66" t="s">
        <v>15</v>
      </c>
      <c r="G16" s="64" t="s">
        <v>33</v>
      </c>
      <c r="H16" s="65">
        <f>H15-H14</f>
        <v>473.56381448153184</v>
      </c>
      <c r="I16" s="66" t="s">
        <v>15</v>
      </c>
      <c r="K16" s="64" t="s">
        <v>33</v>
      </c>
      <c r="L16" s="65">
        <f>L15-L14</f>
        <v>476.31381448153184</v>
      </c>
      <c r="M16" s="66" t="s">
        <v>15</v>
      </c>
      <c r="N16" s="64" t="s">
        <v>33</v>
      </c>
      <c r="O16" s="65">
        <f>O15-O14</f>
        <v>476.31381448153184</v>
      </c>
      <c r="P16" s="66" t="s">
        <v>15</v>
      </c>
      <c r="Q16" s="64" t="s">
        <v>33</v>
      </c>
      <c r="R16" s="65">
        <f>R15-R14</f>
        <v>479.00131448153184</v>
      </c>
      <c r="S16" s="66" t="s">
        <v>15</v>
      </c>
    </row>
    <row r="17" spans="1:19" ht="15" customHeight="1" x14ac:dyDescent="0.3">
      <c r="A17" s="51" t="s">
        <v>74</v>
      </c>
      <c r="B17" s="52"/>
      <c r="C17" s="53"/>
      <c r="D17" s="51" t="s">
        <v>74</v>
      </c>
      <c r="E17" s="52"/>
      <c r="F17" s="53"/>
      <c r="G17" s="51" t="s">
        <v>74</v>
      </c>
      <c r="H17" s="52"/>
      <c r="I17" s="53"/>
      <c r="K17" s="51" t="s">
        <v>74</v>
      </c>
      <c r="L17" s="52"/>
      <c r="M17" s="53"/>
      <c r="N17" s="51" t="s">
        <v>74</v>
      </c>
      <c r="O17" s="52"/>
      <c r="P17" s="53"/>
      <c r="Q17" s="51" t="s">
        <v>74</v>
      </c>
      <c r="R17" s="52"/>
      <c r="S17" s="53"/>
    </row>
    <row r="18" spans="1:19" ht="15" customHeight="1" x14ac:dyDescent="0.3">
      <c r="A18" s="54" t="s">
        <v>24</v>
      </c>
      <c r="B18" s="69">
        <f>(B20)/((B16-B20/B19)+B20)</f>
        <v>1.4961895177652149E-2</v>
      </c>
      <c r="C18" s="71">
        <f>B18</f>
        <v>1.4961895177652149E-2</v>
      </c>
      <c r="D18" s="54" t="s">
        <v>24</v>
      </c>
      <c r="E18" s="70">
        <f>(E20)/((E16-E20/E19)+E20)</f>
        <v>7.5297847777389057E-3</v>
      </c>
      <c r="F18" s="72">
        <f>E18</f>
        <v>7.5297847777389057E-3</v>
      </c>
      <c r="G18" s="54" t="s">
        <v>24</v>
      </c>
      <c r="H18" s="70">
        <f>(H20)/((H16-H20/H19)+H20)</f>
        <v>2.2509426723168909E-2</v>
      </c>
      <c r="I18" s="72">
        <f>H18</f>
        <v>2.2509426723168909E-2</v>
      </c>
      <c r="K18" s="54" t="s">
        <v>24</v>
      </c>
      <c r="L18" s="69">
        <f>(L20)/((L16-L20/L19)+L20)</f>
        <v>1.4961895177652149E-2</v>
      </c>
      <c r="M18" s="71">
        <f>L18</f>
        <v>1.4961895177652149E-2</v>
      </c>
      <c r="N18" s="54" t="s">
        <v>24</v>
      </c>
      <c r="O18" s="70">
        <f>(O20)/((O16-O20/O19)+O20)</f>
        <v>7.572350424705312E-3</v>
      </c>
      <c r="P18" s="72">
        <f>O18</f>
        <v>7.572350424705312E-3</v>
      </c>
      <c r="Q18" s="54" t="s">
        <v>24</v>
      </c>
      <c r="R18" s="70">
        <f>(R20)/((R16-R20/R19)+R20)</f>
        <v>1.487763726464577E-2</v>
      </c>
      <c r="S18" s="72">
        <f>R18</f>
        <v>1.487763726464577E-2</v>
      </c>
    </row>
    <row r="19" spans="1:19" x14ac:dyDescent="0.3">
      <c r="A19" s="54" t="s">
        <v>76</v>
      </c>
      <c r="B19" s="56">
        <v>0.8</v>
      </c>
      <c r="C19" s="57" t="s">
        <v>31</v>
      </c>
      <c r="D19" s="54" t="s">
        <v>76</v>
      </c>
      <c r="E19" s="56">
        <v>0.8</v>
      </c>
      <c r="F19" s="57" t="s">
        <v>31</v>
      </c>
      <c r="G19" s="54" t="s">
        <v>76</v>
      </c>
      <c r="H19" s="56">
        <v>0.8</v>
      </c>
      <c r="I19" s="57" t="s">
        <v>31</v>
      </c>
      <c r="K19" s="54" t="s">
        <v>76</v>
      </c>
      <c r="L19" s="56">
        <v>0.8</v>
      </c>
      <c r="M19" s="57" t="s">
        <v>31</v>
      </c>
      <c r="N19" s="54" t="s">
        <v>76</v>
      </c>
      <c r="O19" s="56">
        <v>0.8</v>
      </c>
      <c r="P19" s="57" t="s">
        <v>31</v>
      </c>
      <c r="Q19" s="54" t="s">
        <v>76</v>
      </c>
      <c r="R19" s="56">
        <v>0.8</v>
      </c>
      <c r="S19" s="57" t="s">
        <v>31</v>
      </c>
    </row>
    <row r="20" spans="1:19" ht="26.4" customHeight="1" x14ac:dyDescent="0.3">
      <c r="A20" s="74" t="s">
        <v>25</v>
      </c>
      <c r="B20" s="75">
        <v>7.1</v>
      </c>
      <c r="C20" s="76" t="s">
        <v>30</v>
      </c>
      <c r="D20" s="74" t="s">
        <v>25</v>
      </c>
      <c r="E20" s="75">
        <v>3.6</v>
      </c>
      <c r="F20" s="76" t="s">
        <v>30</v>
      </c>
      <c r="G20" s="74" t="s">
        <v>25</v>
      </c>
      <c r="H20" s="75">
        <v>10.6</v>
      </c>
      <c r="I20" s="76" t="s">
        <v>30</v>
      </c>
      <c r="K20" s="74" t="s">
        <v>25</v>
      </c>
      <c r="L20" s="75">
        <v>7.1</v>
      </c>
      <c r="M20" s="76" t="s">
        <v>30</v>
      </c>
      <c r="N20" s="74" t="s">
        <v>25</v>
      </c>
      <c r="O20" s="75">
        <v>3.6</v>
      </c>
      <c r="P20" s="76" t="s">
        <v>30</v>
      </c>
      <c r="Q20" s="74" t="s">
        <v>25</v>
      </c>
      <c r="R20" s="75">
        <v>7.1</v>
      </c>
      <c r="S20" s="76" t="s">
        <v>30</v>
      </c>
    </row>
    <row r="21" spans="1:19" x14ac:dyDescent="0.3">
      <c r="A21" s="60" t="s">
        <v>45</v>
      </c>
      <c r="B21" s="61">
        <f>B20/B19</f>
        <v>8.8749999999999982</v>
      </c>
      <c r="C21" s="62" t="s">
        <v>15</v>
      </c>
      <c r="D21" s="60" t="s">
        <v>45</v>
      </c>
      <c r="E21" s="61">
        <f>E20/E19</f>
        <v>4.5</v>
      </c>
      <c r="F21" s="62" t="s">
        <v>15</v>
      </c>
      <c r="G21" s="60" t="s">
        <v>45</v>
      </c>
      <c r="H21" s="61">
        <f>H20/H19</f>
        <v>13.249999999999998</v>
      </c>
      <c r="I21" s="62" t="s">
        <v>15</v>
      </c>
      <c r="K21" s="60" t="s">
        <v>45</v>
      </c>
      <c r="L21" s="61">
        <f>L20/L19</f>
        <v>8.8749999999999982</v>
      </c>
      <c r="M21" s="62" t="s">
        <v>15</v>
      </c>
      <c r="N21" s="60" t="s">
        <v>45</v>
      </c>
      <c r="O21" s="61">
        <f>O20/O19</f>
        <v>4.5</v>
      </c>
      <c r="P21" s="62" t="s">
        <v>15</v>
      </c>
      <c r="Q21" s="60" t="s">
        <v>45</v>
      </c>
      <c r="R21" s="61">
        <f>R20/R19</f>
        <v>8.8749999999999982</v>
      </c>
      <c r="S21" s="62" t="s">
        <v>15</v>
      </c>
    </row>
    <row r="22" spans="1:19" x14ac:dyDescent="0.3">
      <c r="A22" s="54" t="s">
        <v>19</v>
      </c>
      <c r="B22" s="67">
        <f>B16</f>
        <v>476.31381448153184</v>
      </c>
      <c r="C22" s="57" t="s">
        <v>15</v>
      </c>
      <c r="D22" s="54" t="s">
        <v>19</v>
      </c>
      <c r="E22" s="67">
        <f>E16</f>
        <v>479.00131448153184</v>
      </c>
      <c r="F22" s="57" t="s">
        <v>15</v>
      </c>
      <c r="G22" s="54" t="s">
        <v>19</v>
      </c>
      <c r="H22" s="67">
        <f>H16</f>
        <v>473.56381448153184</v>
      </c>
      <c r="I22" s="57" t="s">
        <v>15</v>
      </c>
      <c r="K22" s="54" t="s">
        <v>19</v>
      </c>
      <c r="L22" s="67">
        <f>L16</f>
        <v>476.31381448153184</v>
      </c>
      <c r="M22" s="57" t="s">
        <v>15</v>
      </c>
      <c r="N22" s="54" t="s">
        <v>19</v>
      </c>
      <c r="O22" s="67">
        <f>O16</f>
        <v>476.31381448153184</v>
      </c>
      <c r="P22" s="57" t="s">
        <v>15</v>
      </c>
      <c r="Q22" s="54" t="s">
        <v>19</v>
      </c>
      <c r="R22" s="67">
        <f>R16</f>
        <v>479.00131448153184</v>
      </c>
      <c r="S22" s="57" t="s">
        <v>15</v>
      </c>
    </row>
    <row r="23" spans="1:19" ht="15" thickBot="1" x14ac:dyDescent="0.35">
      <c r="A23" s="64" t="s">
        <v>33</v>
      </c>
      <c r="B23" s="65">
        <f>B22-B21</f>
        <v>467.43881448153184</v>
      </c>
      <c r="C23" s="66" t="s">
        <v>15</v>
      </c>
      <c r="D23" s="64" t="s">
        <v>33</v>
      </c>
      <c r="E23" s="65">
        <f>E22-E21</f>
        <v>474.50131448153184</v>
      </c>
      <c r="F23" s="66" t="s">
        <v>15</v>
      </c>
      <c r="G23" s="64" t="s">
        <v>33</v>
      </c>
      <c r="H23" s="65">
        <f>H22-H21</f>
        <v>460.31381448153184</v>
      </c>
      <c r="I23" s="66" t="s">
        <v>15</v>
      </c>
      <c r="K23" s="64" t="s">
        <v>33</v>
      </c>
      <c r="L23" s="65">
        <f>L22-L21</f>
        <v>467.43881448153184</v>
      </c>
      <c r="M23" s="66" t="s">
        <v>15</v>
      </c>
      <c r="N23" s="64" t="s">
        <v>33</v>
      </c>
      <c r="O23" s="65">
        <f>O22-O21</f>
        <v>471.81381448153184</v>
      </c>
      <c r="P23" s="66" t="s">
        <v>15</v>
      </c>
      <c r="Q23" s="64" t="s">
        <v>33</v>
      </c>
      <c r="R23" s="65">
        <f>R22-R21</f>
        <v>470.12631448153184</v>
      </c>
      <c r="S23" s="66" t="s">
        <v>15</v>
      </c>
    </row>
    <row r="24" spans="1:19" x14ac:dyDescent="0.3">
      <c r="A24" s="51" t="s">
        <v>78</v>
      </c>
      <c r="B24" s="52"/>
      <c r="C24" s="53"/>
      <c r="D24" s="51" t="s">
        <v>78</v>
      </c>
      <c r="E24" s="52"/>
      <c r="F24" s="53"/>
      <c r="G24" s="51" t="s">
        <v>78</v>
      </c>
      <c r="H24" s="52"/>
      <c r="I24" s="53"/>
      <c r="K24" s="51" t="s">
        <v>78</v>
      </c>
      <c r="L24" s="52"/>
      <c r="M24" s="53"/>
      <c r="N24" s="51" t="s">
        <v>78</v>
      </c>
      <c r="O24" s="52"/>
      <c r="P24" s="53"/>
      <c r="Q24" s="51" t="s">
        <v>78</v>
      </c>
      <c r="R24" s="52"/>
      <c r="S24" s="53"/>
    </row>
    <row r="25" spans="1:19" x14ac:dyDescent="0.3">
      <c r="A25" s="54" t="s">
        <v>24</v>
      </c>
      <c r="B25" s="69">
        <f>(B27)/((B23-B27/B26)+B27)</f>
        <v>3.052479645784931E-3</v>
      </c>
      <c r="C25" s="71">
        <f>B25</f>
        <v>3.052479645784931E-3</v>
      </c>
      <c r="D25" s="54" t="s">
        <v>24</v>
      </c>
      <c r="E25" s="69">
        <f>(E27)/((E23-E27/E26)+E27)</f>
        <v>3.0071450675721867E-3</v>
      </c>
      <c r="F25" s="71">
        <f>E25</f>
        <v>3.0071450675721867E-3</v>
      </c>
      <c r="G25" s="54" t="s">
        <v>24</v>
      </c>
      <c r="H25" s="69">
        <f>(H27)/((H23-H27/H26)+H27)</f>
        <v>3.0996218981416863E-3</v>
      </c>
      <c r="I25" s="68">
        <f>H25</f>
        <v>3.0996218981416863E-3</v>
      </c>
      <c r="K25" s="54" t="s">
        <v>24</v>
      </c>
      <c r="L25" s="69">
        <f>(L27)/((L23-L27/L26)+L27)</f>
        <v>3.052479645784931E-3</v>
      </c>
      <c r="M25" s="71">
        <f>L25</f>
        <v>3.052479645784931E-3</v>
      </c>
      <c r="N25" s="54" t="s">
        <v>24</v>
      </c>
      <c r="O25" s="69">
        <f>(O27)/((O23-O27/O26)+O27)</f>
        <v>3.0242366623968102E-3</v>
      </c>
      <c r="P25" s="71">
        <f>O25</f>
        <v>3.0242366623968102E-3</v>
      </c>
      <c r="Q25" s="54" t="s">
        <v>24</v>
      </c>
      <c r="R25" s="69">
        <f>(R27)/((R23-R27/R26)+R27)</f>
        <v>3.0350682465721738E-3</v>
      </c>
      <c r="S25" s="68">
        <f>R25</f>
        <v>3.0350682465721738E-3</v>
      </c>
    </row>
    <row r="26" spans="1:19" x14ac:dyDescent="0.3">
      <c r="A26" s="54" t="s">
        <v>76</v>
      </c>
      <c r="B26" s="56">
        <v>3.6</v>
      </c>
      <c r="C26" s="57" t="s">
        <v>31</v>
      </c>
      <c r="D26" s="54" t="s">
        <v>76</v>
      </c>
      <c r="E26" s="56">
        <v>3.6</v>
      </c>
      <c r="F26" s="57" t="s">
        <v>31</v>
      </c>
      <c r="G26" s="54" t="s">
        <v>76</v>
      </c>
      <c r="H26" s="56">
        <v>3.6</v>
      </c>
      <c r="I26" s="57" t="s">
        <v>31</v>
      </c>
      <c r="K26" s="54" t="s">
        <v>76</v>
      </c>
      <c r="L26" s="56">
        <v>3.6</v>
      </c>
      <c r="M26" s="57" t="s">
        <v>31</v>
      </c>
      <c r="N26" s="54" t="s">
        <v>76</v>
      </c>
      <c r="O26" s="56">
        <v>3.6</v>
      </c>
      <c r="P26" s="57" t="s">
        <v>31</v>
      </c>
      <c r="Q26" s="54" t="s">
        <v>76</v>
      </c>
      <c r="R26" s="56">
        <v>3.6</v>
      </c>
      <c r="S26" s="57" t="s">
        <v>31</v>
      </c>
    </row>
    <row r="27" spans="1:19" x14ac:dyDescent="0.3">
      <c r="A27" s="74" t="s">
        <v>25</v>
      </c>
      <c r="B27" s="75">
        <v>1.43</v>
      </c>
      <c r="C27" s="76" t="s">
        <v>30</v>
      </c>
      <c r="D27" s="74" t="s">
        <v>25</v>
      </c>
      <c r="E27" s="75">
        <v>1.43</v>
      </c>
      <c r="F27" s="76" t="s">
        <v>30</v>
      </c>
      <c r="G27" s="74" t="s">
        <v>25</v>
      </c>
      <c r="H27" s="75">
        <v>1.43</v>
      </c>
      <c r="I27" s="76" t="s">
        <v>30</v>
      </c>
      <c r="K27" s="74" t="s">
        <v>25</v>
      </c>
      <c r="L27" s="75">
        <v>1.43</v>
      </c>
      <c r="M27" s="76" t="s">
        <v>30</v>
      </c>
      <c r="N27" s="74" t="s">
        <v>25</v>
      </c>
      <c r="O27" s="75">
        <v>1.43</v>
      </c>
      <c r="P27" s="76" t="s">
        <v>30</v>
      </c>
      <c r="Q27" s="74" t="s">
        <v>25</v>
      </c>
      <c r="R27" s="75">
        <v>1.43</v>
      </c>
      <c r="S27" s="76" t="s">
        <v>30</v>
      </c>
    </row>
    <row r="28" spans="1:19" x14ac:dyDescent="0.3">
      <c r="A28" s="60" t="s">
        <v>45</v>
      </c>
      <c r="B28" s="61">
        <f>B27/B26</f>
        <v>0.3972222222222222</v>
      </c>
      <c r="C28" s="62" t="s">
        <v>15</v>
      </c>
      <c r="D28" s="60" t="s">
        <v>45</v>
      </c>
      <c r="E28" s="61">
        <f>E27/E26</f>
        <v>0.3972222222222222</v>
      </c>
      <c r="F28" s="62" t="s">
        <v>15</v>
      </c>
      <c r="G28" s="60" t="s">
        <v>45</v>
      </c>
      <c r="H28" s="61">
        <f>H27/H26</f>
        <v>0.3972222222222222</v>
      </c>
      <c r="I28" s="62" t="s">
        <v>15</v>
      </c>
      <c r="K28" s="60" t="s">
        <v>45</v>
      </c>
      <c r="L28" s="61">
        <f>L27/L26</f>
        <v>0.3972222222222222</v>
      </c>
      <c r="M28" s="62" t="s">
        <v>15</v>
      </c>
      <c r="N28" s="60" t="s">
        <v>45</v>
      </c>
      <c r="O28" s="61">
        <f>O27/O26</f>
        <v>0.3972222222222222</v>
      </c>
      <c r="P28" s="62" t="s">
        <v>15</v>
      </c>
      <c r="Q28" s="60" t="s">
        <v>45</v>
      </c>
      <c r="R28" s="61">
        <f>R27/R26</f>
        <v>0.3972222222222222</v>
      </c>
      <c r="S28" s="62" t="s">
        <v>15</v>
      </c>
    </row>
    <row r="29" spans="1:19" x14ac:dyDescent="0.3">
      <c r="A29" s="54" t="s">
        <v>19</v>
      </c>
      <c r="B29" s="67">
        <f>B23</f>
        <v>467.43881448153184</v>
      </c>
      <c r="C29" s="57" t="s">
        <v>15</v>
      </c>
      <c r="D29" s="54" t="s">
        <v>19</v>
      </c>
      <c r="E29" s="67">
        <f>E23</f>
        <v>474.50131448153184</v>
      </c>
      <c r="F29" s="57" t="s">
        <v>15</v>
      </c>
      <c r="G29" s="54" t="s">
        <v>19</v>
      </c>
      <c r="H29" s="67">
        <f>H23</f>
        <v>460.31381448153184</v>
      </c>
      <c r="I29" s="57" t="s">
        <v>15</v>
      </c>
      <c r="K29" s="54" t="s">
        <v>19</v>
      </c>
      <c r="L29" s="67">
        <f>L23</f>
        <v>467.43881448153184</v>
      </c>
      <c r="M29" s="57" t="s">
        <v>15</v>
      </c>
      <c r="N29" s="54" t="s">
        <v>19</v>
      </c>
      <c r="O29" s="67">
        <f>O23</f>
        <v>471.81381448153184</v>
      </c>
      <c r="P29" s="57" t="s">
        <v>15</v>
      </c>
      <c r="Q29" s="54" t="s">
        <v>19</v>
      </c>
      <c r="R29" s="67">
        <f>R23</f>
        <v>470.12631448153184</v>
      </c>
      <c r="S29" s="57" t="s">
        <v>15</v>
      </c>
    </row>
    <row r="30" spans="1:19" ht="15" thickBot="1" x14ac:dyDescent="0.35">
      <c r="A30" s="64" t="s">
        <v>33</v>
      </c>
      <c r="B30" s="65">
        <f>B29-B28</f>
        <v>467.0415922593096</v>
      </c>
      <c r="C30" s="66" t="s">
        <v>15</v>
      </c>
      <c r="D30" s="64" t="s">
        <v>33</v>
      </c>
      <c r="E30" s="65">
        <f>E29-E28</f>
        <v>474.1040922593096</v>
      </c>
      <c r="F30" s="66" t="s">
        <v>15</v>
      </c>
      <c r="G30" s="64" t="s">
        <v>33</v>
      </c>
      <c r="H30" s="65">
        <f>H29-H28</f>
        <v>459.9165922593096</v>
      </c>
      <c r="I30" s="66" t="s">
        <v>15</v>
      </c>
      <c r="K30" s="64" t="s">
        <v>33</v>
      </c>
      <c r="L30" s="65">
        <f>L29-L28</f>
        <v>467.0415922593096</v>
      </c>
      <c r="M30" s="66" t="s">
        <v>15</v>
      </c>
      <c r="N30" s="64" t="s">
        <v>33</v>
      </c>
      <c r="O30" s="65">
        <f>O29-O28</f>
        <v>471.4165922593096</v>
      </c>
      <c r="P30" s="66" t="s">
        <v>15</v>
      </c>
      <c r="Q30" s="64" t="s">
        <v>33</v>
      </c>
      <c r="R30" s="65">
        <f>R29-R28</f>
        <v>469.7290922593096</v>
      </c>
      <c r="S30" s="66" t="s">
        <v>15</v>
      </c>
    </row>
  </sheetData>
  <mergeCells count="6">
    <mergeCell ref="Q2:S2"/>
    <mergeCell ref="A2:C2"/>
    <mergeCell ref="D2:F2"/>
    <mergeCell ref="G2:I2"/>
    <mergeCell ref="K2:M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6ADA-E82B-4693-A5D4-75FC1CE9C8A1}">
  <dimension ref="A1:N23"/>
  <sheetViews>
    <sheetView topLeftCell="E1" zoomScaleNormal="100" workbookViewId="0">
      <selection activeCell="N9" sqref="N9"/>
    </sheetView>
  </sheetViews>
  <sheetFormatPr defaultRowHeight="14.4" x14ac:dyDescent="0.3"/>
  <cols>
    <col min="1" max="1" width="22.6640625" customWidth="1"/>
    <col min="2" max="2" width="23.44140625" customWidth="1"/>
    <col min="6" max="6" width="12.44140625" customWidth="1"/>
    <col min="7" max="7" width="12.21875" customWidth="1"/>
    <col min="10" max="10" width="6.109375" customWidth="1"/>
    <col min="11" max="11" width="19.5546875" customWidth="1"/>
    <col min="12" max="12" width="17" customWidth="1"/>
    <col min="15" max="15" width="5.33203125" customWidth="1"/>
  </cols>
  <sheetData>
    <row r="1" spans="1:14" ht="15" thickBot="1" x14ac:dyDescent="0.35"/>
    <row r="2" spans="1:14" x14ac:dyDescent="0.3">
      <c r="A2" s="2" t="s">
        <v>14</v>
      </c>
      <c r="F2" s="2" t="s">
        <v>12</v>
      </c>
      <c r="H2" t="s">
        <v>46</v>
      </c>
      <c r="K2" s="36" t="s">
        <v>47</v>
      </c>
      <c r="L2" s="37" t="s">
        <v>85</v>
      </c>
    </row>
    <row r="3" spans="1:14" x14ac:dyDescent="0.3">
      <c r="A3" s="2" t="s">
        <v>6</v>
      </c>
      <c r="F3" s="2" t="s">
        <v>6</v>
      </c>
      <c r="G3" s="1"/>
      <c r="H3" s="2" t="s">
        <v>8</v>
      </c>
      <c r="K3" s="38" t="s">
        <v>58</v>
      </c>
      <c r="L3" s="46">
        <f>H22</f>
        <v>394.33431712703447</v>
      </c>
    </row>
    <row r="4" spans="1:14" x14ac:dyDescent="0.3">
      <c r="A4" s="1" t="s">
        <v>24</v>
      </c>
      <c r="B4" s="5">
        <v>7.0000000000000007E-2</v>
      </c>
      <c r="C4" s="11">
        <f>B4</f>
        <v>7.0000000000000007E-2</v>
      </c>
      <c r="F4" s="1" t="s">
        <v>0</v>
      </c>
      <c r="G4" s="1">
        <f>8.34</f>
        <v>8.34</v>
      </c>
      <c r="H4" t="s">
        <v>11</v>
      </c>
      <c r="K4" s="38" t="s">
        <v>48</v>
      </c>
      <c r="L4" s="45">
        <f>C14</f>
        <v>36.256147326566911</v>
      </c>
    </row>
    <row r="5" spans="1:14" x14ac:dyDescent="0.3">
      <c r="A5" s="1" t="s">
        <v>16</v>
      </c>
      <c r="B5" s="1">
        <v>0</v>
      </c>
      <c r="F5" s="1" t="s">
        <v>1</v>
      </c>
      <c r="G5" s="1">
        <f>2.7</f>
        <v>2.7</v>
      </c>
      <c r="H5" t="s">
        <v>36</v>
      </c>
      <c r="K5" s="40" t="s">
        <v>83</v>
      </c>
      <c r="L5" s="44">
        <v>3.6</v>
      </c>
    </row>
    <row r="6" spans="1:14" x14ac:dyDescent="0.3">
      <c r="A6" s="1" t="s">
        <v>17</v>
      </c>
      <c r="B6" s="1">
        <v>0</v>
      </c>
      <c r="F6" s="1" t="s">
        <v>3</v>
      </c>
      <c r="G6" s="14">
        <v>8.7799999999999994</v>
      </c>
      <c r="H6" t="s">
        <v>11</v>
      </c>
      <c r="K6" s="38" t="s">
        <v>84</v>
      </c>
      <c r="L6" s="45">
        <v>2.15</v>
      </c>
      <c r="M6" s="1"/>
    </row>
    <row r="7" spans="1:14" x14ac:dyDescent="0.3">
      <c r="A7" s="1" t="s">
        <v>27</v>
      </c>
      <c r="B7" s="6">
        <v>1.98</v>
      </c>
      <c r="C7" t="s">
        <v>31</v>
      </c>
      <c r="F7" s="1" t="s">
        <v>5</v>
      </c>
      <c r="G7" s="14">
        <v>43</v>
      </c>
      <c r="H7" t="s">
        <v>10</v>
      </c>
      <c r="K7" s="38" t="s">
        <v>49</v>
      </c>
      <c r="L7" s="45">
        <f>1*(500/350)</f>
        <v>1.4285714285714286</v>
      </c>
      <c r="M7" s="1"/>
    </row>
    <row r="8" spans="1:14" x14ac:dyDescent="0.3">
      <c r="A8" s="1" t="s">
        <v>19</v>
      </c>
      <c r="B8" s="1">
        <v>500</v>
      </c>
      <c r="C8" t="s">
        <v>15</v>
      </c>
      <c r="F8" s="1" t="s">
        <v>4</v>
      </c>
      <c r="G8" s="13">
        <f>C17</f>
        <v>481.68881448153184</v>
      </c>
      <c r="H8" t="s">
        <v>32</v>
      </c>
      <c r="K8" s="38" t="s">
        <v>50</v>
      </c>
      <c r="L8" s="45">
        <f>6*(500/350)</f>
        <v>8.5714285714285712</v>
      </c>
      <c r="M8" s="1"/>
    </row>
    <row r="9" spans="1:14" x14ac:dyDescent="0.3">
      <c r="F9" s="1" t="s">
        <v>60</v>
      </c>
      <c r="G9" s="14">
        <f>G7/G5</f>
        <v>15.925925925925926</v>
      </c>
      <c r="K9" s="38" t="s">
        <v>56</v>
      </c>
      <c r="L9" s="46" t="s">
        <v>104</v>
      </c>
      <c r="M9">
        <v>5</v>
      </c>
      <c r="N9" t="s">
        <v>72</v>
      </c>
    </row>
    <row r="10" spans="1:14" x14ac:dyDescent="0.3">
      <c r="A10" s="2" t="s">
        <v>14</v>
      </c>
      <c r="F10" s="1" t="s">
        <v>70</v>
      </c>
      <c r="G10" s="1">
        <v>2.66</v>
      </c>
      <c r="H10" t="s">
        <v>36</v>
      </c>
      <c r="K10" s="38" t="s">
        <v>51</v>
      </c>
      <c r="L10" s="45">
        <f>G7</f>
        <v>43</v>
      </c>
    </row>
    <row r="11" spans="1:14" x14ac:dyDescent="0.3">
      <c r="A11" s="1" t="s">
        <v>69</v>
      </c>
      <c r="B11" t="s">
        <v>68</v>
      </c>
      <c r="C11" s="50">
        <f>H20</f>
        <v>34.237111444394088</v>
      </c>
      <c r="D11" t="s">
        <v>15</v>
      </c>
      <c r="F11" s="1" t="s">
        <v>71</v>
      </c>
      <c r="G11" s="1">
        <f>M9</f>
        <v>5</v>
      </c>
      <c r="H11" t="s">
        <v>72</v>
      </c>
      <c r="K11" s="38" t="s">
        <v>52</v>
      </c>
      <c r="L11" s="39">
        <v>0</v>
      </c>
      <c r="M11" s="3"/>
    </row>
    <row r="12" spans="1:14" x14ac:dyDescent="0.3">
      <c r="A12" s="1" t="s">
        <v>67</v>
      </c>
      <c r="B12" t="s">
        <v>68</v>
      </c>
      <c r="C12" s="50">
        <f>H21</f>
        <v>71.428571428571431</v>
      </c>
      <c r="D12" t="s">
        <v>15</v>
      </c>
      <c r="F12" s="2" t="s">
        <v>14</v>
      </c>
      <c r="K12" s="40" t="s">
        <v>53</v>
      </c>
      <c r="L12" s="44">
        <f>1*(500/350)</f>
        <v>1.4285714285714286</v>
      </c>
      <c r="M12" s="3"/>
    </row>
    <row r="13" spans="1:14" x14ac:dyDescent="0.3">
      <c r="F13" t="s">
        <v>2</v>
      </c>
      <c r="G13" s="12">
        <f>G5*(B8-(C14/B7)-G15)</f>
        <v>43</v>
      </c>
      <c r="H13" t="s">
        <v>10</v>
      </c>
      <c r="K13" s="38" t="s">
        <v>54</v>
      </c>
      <c r="L13" s="39" t="s">
        <v>61</v>
      </c>
    </row>
    <row r="14" spans="1:14" ht="14.4" customHeight="1" thickBot="1" x14ac:dyDescent="0.35">
      <c r="B14" s="20" t="s">
        <v>38</v>
      </c>
      <c r="C14" s="3">
        <f>(C4*B8)/(1+(C4/(B7))-C4)</f>
        <v>36.256147326566911</v>
      </c>
      <c r="D14" t="s">
        <v>30</v>
      </c>
      <c r="F14" t="s">
        <v>3</v>
      </c>
      <c r="G14" s="12">
        <f>8.34*((C14+G13+G15+G11)/((C14/B7)+(G13/G5)+(G15/1)+(G11/G10)))</f>
        <v>9.1399567787449243</v>
      </c>
      <c r="H14" t="s">
        <v>11</v>
      </c>
      <c r="K14" s="41" t="s">
        <v>55</v>
      </c>
      <c r="L14" s="42" t="s">
        <v>59</v>
      </c>
    </row>
    <row r="15" spans="1:14" ht="13.8" customHeight="1" x14ac:dyDescent="0.3">
      <c r="A15" s="18" t="s">
        <v>20</v>
      </c>
      <c r="B15" s="19" t="s">
        <v>45</v>
      </c>
      <c r="C15" s="16">
        <f>C14/B7</f>
        <v>18.311185518468136</v>
      </c>
      <c r="D15" s="17" t="s">
        <v>15</v>
      </c>
      <c r="F15" t="s">
        <v>7</v>
      </c>
      <c r="G15" s="15">
        <f>G8-G9</f>
        <v>465.76288855560591</v>
      </c>
      <c r="H15" t="s">
        <v>22</v>
      </c>
      <c r="L15" s="15"/>
    </row>
    <row r="16" spans="1:14" ht="16.8" customHeight="1" thickBot="1" x14ac:dyDescent="0.35">
      <c r="A16" s="18" t="s">
        <v>20</v>
      </c>
      <c r="B16" s="20" t="s">
        <v>28</v>
      </c>
      <c r="C16" s="3">
        <f>C14/C15</f>
        <v>1.98</v>
      </c>
      <c r="D16" t="s">
        <v>31</v>
      </c>
      <c r="F16" s="7"/>
      <c r="G16" s="12"/>
    </row>
    <row r="17" spans="1:12" ht="15" customHeight="1" x14ac:dyDescent="0.3">
      <c r="A17" s="18" t="s">
        <v>20</v>
      </c>
      <c r="B17" s="20" t="s">
        <v>33</v>
      </c>
      <c r="C17" s="12">
        <f>B8-C15</f>
        <v>481.68881448153184</v>
      </c>
      <c r="D17" t="s">
        <v>15</v>
      </c>
      <c r="F17" s="23" t="s">
        <v>40</v>
      </c>
      <c r="G17" s="24"/>
      <c r="H17" s="24"/>
      <c r="I17" s="28"/>
    </row>
    <row r="18" spans="1:12" ht="15" customHeight="1" x14ac:dyDescent="0.3">
      <c r="F18" s="98" t="s">
        <v>42</v>
      </c>
      <c r="G18" s="99"/>
      <c r="H18" s="29">
        <f>B8-C17</f>
        <v>18.311185518468164</v>
      </c>
      <c r="I18" s="27" t="s">
        <v>15</v>
      </c>
      <c r="K18" s="15"/>
    </row>
    <row r="19" spans="1:12" x14ac:dyDescent="0.3">
      <c r="F19" s="98" t="s">
        <v>43</v>
      </c>
      <c r="G19" s="99"/>
      <c r="H19" s="29">
        <f>G8-G15</f>
        <v>15.925925925925924</v>
      </c>
      <c r="I19" s="27" t="s">
        <v>15</v>
      </c>
    </row>
    <row r="20" spans="1:12" ht="43.2" customHeight="1" x14ac:dyDescent="0.3">
      <c r="F20" s="100" t="s">
        <v>44</v>
      </c>
      <c r="G20" s="101"/>
      <c r="H20" s="30">
        <f>SUM(H18:H19)</f>
        <v>34.237111444394088</v>
      </c>
      <c r="I20" s="27" t="s">
        <v>15</v>
      </c>
      <c r="K20" s="47"/>
      <c r="L20" s="47"/>
    </row>
    <row r="21" spans="1:12" x14ac:dyDescent="0.3">
      <c r="F21" s="102" t="s">
        <v>39</v>
      </c>
      <c r="G21" s="103"/>
      <c r="H21" s="30">
        <f>50*(500/350)</f>
        <v>71.428571428571431</v>
      </c>
      <c r="I21" s="34" t="s">
        <v>15</v>
      </c>
    </row>
    <row r="22" spans="1:12" x14ac:dyDescent="0.3">
      <c r="F22" s="102" t="s">
        <v>35</v>
      </c>
      <c r="G22" s="103"/>
      <c r="H22" s="30">
        <f>B8-H21-H20</f>
        <v>394.33431712703447</v>
      </c>
      <c r="I22" s="34" t="s">
        <v>15</v>
      </c>
    </row>
    <row r="23" spans="1:12" ht="15" thickBot="1" x14ac:dyDescent="0.35">
      <c r="F23" s="96" t="s">
        <v>41</v>
      </c>
      <c r="G23" s="97"/>
      <c r="H23" s="33">
        <v>500</v>
      </c>
      <c r="I23" s="35" t="s">
        <v>15</v>
      </c>
    </row>
  </sheetData>
  <mergeCells count="6">
    <mergeCell ref="F23:G23"/>
    <mergeCell ref="F18:G18"/>
    <mergeCell ref="F19:G19"/>
    <mergeCell ref="F20:G20"/>
    <mergeCell ref="F21:G21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644-6859-420D-8C7A-77EFCDD1C14B}">
  <dimension ref="A1:N23"/>
  <sheetViews>
    <sheetView topLeftCell="G1" zoomScaleNormal="100" workbookViewId="0">
      <selection activeCell="M21" sqref="M21"/>
    </sheetView>
  </sheetViews>
  <sheetFormatPr defaultRowHeight="14.4" x14ac:dyDescent="0.3"/>
  <cols>
    <col min="1" max="1" width="22.6640625" customWidth="1"/>
    <col min="2" max="2" width="23.44140625" customWidth="1"/>
    <col min="6" max="6" width="12.44140625" customWidth="1"/>
    <col min="7" max="7" width="12.21875" customWidth="1"/>
    <col min="10" max="10" width="6.109375" customWidth="1"/>
    <col min="11" max="11" width="18.77734375" customWidth="1"/>
    <col min="12" max="12" width="17" customWidth="1"/>
    <col min="15" max="15" width="5.33203125" customWidth="1"/>
  </cols>
  <sheetData>
    <row r="1" spans="1:14" ht="15" thickBot="1" x14ac:dyDescent="0.35"/>
    <row r="2" spans="1:14" x14ac:dyDescent="0.3">
      <c r="A2" s="2" t="s">
        <v>14</v>
      </c>
      <c r="F2" s="2" t="s">
        <v>12</v>
      </c>
      <c r="H2" t="s">
        <v>46</v>
      </c>
      <c r="K2" s="36" t="s">
        <v>47</v>
      </c>
      <c r="L2" s="37" t="s">
        <v>57</v>
      </c>
    </row>
    <row r="3" spans="1:14" x14ac:dyDescent="0.3">
      <c r="A3" s="2" t="s">
        <v>6</v>
      </c>
      <c r="F3" s="2" t="s">
        <v>6</v>
      </c>
      <c r="G3" s="1"/>
      <c r="H3" s="2" t="s">
        <v>8</v>
      </c>
      <c r="K3" s="38" t="s">
        <v>58</v>
      </c>
      <c r="L3" s="46">
        <f>H22</f>
        <v>394.33431712703447</v>
      </c>
    </row>
    <row r="4" spans="1:14" x14ac:dyDescent="0.3">
      <c r="A4" s="1" t="s">
        <v>24</v>
      </c>
      <c r="B4" s="5">
        <v>7.0000000000000007E-2</v>
      </c>
      <c r="C4" s="11">
        <f>B4</f>
        <v>7.0000000000000007E-2</v>
      </c>
      <c r="F4" s="1" t="s">
        <v>0</v>
      </c>
      <c r="G4" s="1">
        <f>8.34</f>
        <v>8.34</v>
      </c>
      <c r="H4" t="s">
        <v>11</v>
      </c>
      <c r="K4" s="38" t="s">
        <v>48</v>
      </c>
      <c r="L4" s="45">
        <f>C14</f>
        <v>36.256147326566911</v>
      </c>
    </row>
    <row r="5" spans="1:14" ht="28.8" x14ac:dyDescent="0.3">
      <c r="A5" s="1" t="s">
        <v>16</v>
      </c>
      <c r="B5" s="1">
        <v>0</v>
      </c>
      <c r="F5" s="1" t="s">
        <v>1</v>
      </c>
      <c r="G5" s="1">
        <f>2.7</f>
        <v>2.7</v>
      </c>
      <c r="H5" t="s">
        <v>36</v>
      </c>
      <c r="K5" s="40" t="s">
        <v>86</v>
      </c>
      <c r="L5" s="44">
        <v>10.6</v>
      </c>
    </row>
    <row r="6" spans="1:14" x14ac:dyDescent="0.3">
      <c r="A6" s="1" t="s">
        <v>17</v>
      </c>
      <c r="B6" s="1">
        <v>0</v>
      </c>
      <c r="F6" s="1" t="s">
        <v>3</v>
      </c>
      <c r="G6" s="14">
        <v>8.7799999999999994</v>
      </c>
      <c r="H6" t="s">
        <v>11</v>
      </c>
      <c r="K6" s="38" t="s">
        <v>87</v>
      </c>
      <c r="L6" s="45">
        <v>6.5</v>
      </c>
      <c r="M6" s="1"/>
    </row>
    <row r="7" spans="1:14" x14ac:dyDescent="0.3">
      <c r="A7" s="1" t="s">
        <v>27</v>
      </c>
      <c r="B7" s="6">
        <v>1.98</v>
      </c>
      <c r="C7" t="s">
        <v>31</v>
      </c>
      <c r="F7" s="1" t="s">
        <v>5</v>
      </c>
      <c r="G7" s="14">
        <v>43</v>
      </c>
      <c r="H7" t="s">
        <v>10</v>
      </c>
      <c r="K7" s="38" t="s">
        <v>49</v>
      </c>
      <c r="L7" s="45">
        <f>1*(500/350)</f>
        <v>1.4285714285714286</v>
      </c>
      <c r="M7" s="1"/>
    </row>
    <row r="8" spans="1:14" x14ac:dyDescent="0.3">
      <c r="A8" s="1" t="s">
        <v>19</v>
      </c>
      <c r="B8" s="1">
        <v>500</v>
      </c>
      <c r="C8" t="s">
        <v>15</v>
      </c>
      <c r="F8" s="1" t="s">
        <v>4</v>
      </c>
      <c r="G8" s="13">
        <f>C17</f>
        <v>481.68881448153184</v>
      </c>
      <c r="H8" t="s">
        <v>32</v>
      </c>
      <c r="K8" s="38" t="s">
        <v>50</v>
      </c>
      <c r="L8" s="45">
        <f>6*(500/350)</f>
        <v>8.5714285714285712</v>
      </c>
      <c r="M8" s="1"/>
    </row>
    <row r="9" spans="1:14" x14ac:dyDescent="0.3">
      <c r="F9" s="1" t="s">
        <v>60</v>
      </c>
      <c r="G9" s="14">
        <f>G7/G5</f>
        <v>15.925925925925926</v>
      </c>
      <c r="K9" s="38" t="s">
        <v>56</v>
      </c>
      <c r="L9" s="46" t="s">
        <v>104</v>
      </c>
      <c r="M9">
        <v>5</v>
      </c>
      <c r="N9" t="s">
        <v>72</v>
      </c>
    </row>
    <row r="10" spans="1:14" x14ac:dyDescent="0.3">
      <c r="A10" s="2" t="s">
        <v>14</v>
      </c>
      <c r="F10" s="1" t="s">
        <v>70</v>
      </c>
      <c r="G10" s="1">
        <v>2.66</v>
      </c>
      <c r="H10" t="s">
        <v>36</v>
      </c>
      <c r="K10" s="38" t="s">
        <v>51</v>
      </c>
      <c r="L10" s="45">
        <f>G7</f>
        <v>43</v>
      </c>
    </row>
    <row r="11" spans="1:14" x14ac:dyDescent="0.3">
      <c r="A11" s="1" t="s">
        <v>69</v>
      </c>
      <c r="B11" t="s">
        <v>68</v>
      </c>
      <c r="C11" s="50">
        <f>H20</f>
        <v>34.237111444394088</v>
      </c>
      <c r="D11" t="s">
        <v>15</v>
      </c>
      <c r="F11" s="1" t="s">
        <v>71</v>
      </c>
      <c r="G11" s="1">
        <f>M9</f>
        <v>5</v>
      </c>
      <c r="H11" t="s">
        <v>72</v>
      </c>
      <c r="K11" s="38" t="s">
        <v>52</v>
      </c>
      <c r="L11" s="39">
        <v>0</v>
      </c>
      <c r="M11" s="3"/>
    </row>
    <row r="12" spans="1:14" x14ac:dyDescent="0.3">
      <c r="A12" s="1" t="s">
        <v>67</v>
      </c>
      <c r="B12" t="s">
        <v>68</v>
      </c>
      <c r="C12" s="50">
        <f>H21</f>
        <v>71.428571428571431</v>
      </c>
      <c r="D12" t="s">
        <v>15</v>
      </c>
      <c r="F12" s="2" t="s">
        <v>14</v>
      </c>
      <c r="K12" s="40" t="s">
        <v>53</v>
      </c>
      <c r="L12" s="44">
        <f>1*(500/350)</f>
        <v>1.4285714285714286</v>
      </c>
      <c r="M12" s="3"/>
    </row>
    <row r="13" spans="1:14" x14ac:dyDescent="0.3">
      <c r="F13" t="s">
        <v>2</v>
      </c>
      <c r="G13" s="12">
        <f>G5*(B8-(C14/B7)-G15)</f>
        <v>43</v>
      </c>
      <c r="H13" t="s">
        <v>10</v>
      </c>
      <c r="K13" s="38" t="s">
        <v>54</v>
      </c>
      <c r="L13" s="39" t="s">
        <v>61</v>
      </c>
    </row>
    <row r="14" spans="1:14" ht="14.4" customHeight="1" thickBot="1" x14ac:dyDescent="0.35">
      <c r="B14" s="20" t="s">
        <v>38</v>
      </c>
      <c r="C14" s="3">
        <f>(C4*B8)/(1+(C4/(B7))-C4)</f>
        <v>36.256147326566911</v>
      </c>
      <c r="D14" t="s">
        <v>30</v>
      </c>
      <c r="F14" t="s">
        <v>3</v>
      </c>
      <c r="G14" s="12">
        <f>8.34*((C14+G13+G15+G11)/((C14/B7)+(G13/G5)+(G15/1)+(G11/G10)))</f>
        <v>9.1399567787449243</v>
      </c>
      <c r="H14" t="s">
        <v>11</v>
      </c>
      <c r="K14" s="41" t="s">
        <v>55</v>
      </c>
      <c r="L14" s="42" t="s">
        <v>59</v>
      </c>
    </row>
    <row r="15" spans="1:14" ht="13.8" customHeight="1" x14ac:dyDescent="0.3">
      <c r="A15" s="18" t="s">
        <v>20</v>
      </c>
      <c r="B15" s="19" t="s">
        <v>45</v>
      </c>
      <c r="C15" s="16">
        <f>C14/B7</f>
        <v>18.311185518468136</v>
      </c>
      <c r="D15" s="17" t="s">
        <v>15</v>
      </c>
      <c r="F15" t="s">
        <v>7</v>
      </c>
      <c r="G15" s="15">
        <f>G8-G9</f>
        <v>465.76288855560591</v>
      </c>
      <c r="H15" t="s">
        <v>22</v>
      </c>
      <c r="L15" s="15"/>
    </row>
    <row r="16" spans="1:14" ht="16.8" customHeight="1" thickBot="1" x14ac:dyDescent="0.35">
      <c r="A16" s="18" t="s">
        <v>20</v>
      </c>
      <c r="B16" s="20" t="s">
        <v>28</v>
      </c>
      <c r="C16" s="3">
        <f>C14/C15</f>
        <v>1.98</v>
      </c>
      <c r="D16" t="s">
        <v>31</v>
      </c>
      <c r="F16" s="7"/>
      <c r="G16" s="12"/>
    </row>
    <row r="17" spans="1:12" ht="15" customHeight="1" x14ac:dyDescent="0.3">
      <c r="A17" s="18" t="s">
        <v>20</v>
      </c>
      <c r="B17" s="20" t="s">
        <v>33</v>
      </c>
      <c r="C17" s="12">
        <f>B8-C15</f>
        <v>481.68881448153184</v>
      </c>
      <c r="D17" t="s">
        <v>15</v>
      </c>
      <c r="F17" s="23" t="s">
        <v>40</v>
      </c>
      <c r="G17" s="24"/>
      <c r="H17" s="24"/>
      <c r="I17" s="28"/>
    </row>
    <row r="18" spans="1:12" ht="15" customHeight="1" x14ac:dyDescent="0.3">
      <c r="F18" s="98" t="s">
        <v>42</v>
      </c>
      <c r="G18" s="99"/>
      <c r="H18" s="29">
        <f>B8-C17</f>
        <v>18.311185518468164</v>
      </c>
      <c r="I18" s="27" t="s">
        <v>15</v>
      </c>
      <c r="K18" s="15"/>
    </row>
    <row r="19" spans="1:12" x14ac:dyDescent="0.3">
      <c r="F19" s="98" t="s">
        <v>43</v>
      </c>
      <c r="G19" s="99"/>
      <c r="H19" s="29">
        <f>G8-G15</f>
        <v>15.925925925925924</v>
      </c>
      <c r="I19" s="27" t="s">
        <v>15</v>
      </c>
    </row>
    <row r="20" spans="1:12" ht="43.2" customHeight="1" x14ac:dyDescent="0.3">
      <c r="F20" s="100" t="s">
        <v>44</v>
      </c>
      <c r="G20" s="101"/>
      <c r="H20" s="30">
        <f>SUM(H18:H19)</f>
        <v>34.237111444394088</v>
      </c>
      <c r="I20" s="27" t="s">
        <v>15</v>
      </c>
      <c r="K20" s="47"/>
      <c r="L20" s="47"/>
    </row>
    <row r="21" spans="1:12" x14ac:dyDescent="0.3">
      <c r="F21" s="102" t="s">
        <v>39</v>
      </c>
      <c r="G21" s="103"/>
      <c r="H21" s="30">
        <f>50*(500/350)</f>
        <v>71.428571428571431</v>
      </c>
      <c r="I21" s="34" t="s">
        <v>15</v>
      </c>
    </row>
    <row r="22" spans="1:12" x14ac:dyDescent="0.3">
      <c r="F22" s="102" t="s">
        <v>35</v>
      </c>
      <c r="G22" s="103"/>
      <c r="H22" s="30">
        <f>B8-H21-H20</f>
        <v>394.33431712703447</v>
      </c>
      <c r="I22" s="34" t="s">
        <v>15</v>
      </c>
    </row>
    <row r="23" spans="1:12" ht="15" thickBot="1" x14ac:dyDescent="0.35">
      <c r="F23" s="96" t="s">
        <v>41</v>
      </c>
      <c r="G23" s="97"/>
      <c r="H23" s="33">
        <v>500</v>
      </c>
      <c r="I23" s="35" t="s">
        <v>15</v>
      </c>
    </row>
  </sheetData>
  <mergeCells count="6">
    <mergeCell ref="F21:G21"/>
    <mergeCell ref="F22:G22"/>
    <mergeCell ref="F23:G23"/>
    <mergeCell ref="F18:G18"/>
    <mergeCell ref="F20:G20"/>
    <mergeCell ref="F19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375-39B0-4F30-9117-B139B32F0B1D}">
  <dimension ref="B1:S30"/>
  <sheetViews>
    <sheetView tabSelected="1" topLeftCell="A47" zoomScale="70" zoomScaleNormal="70" workbookViewId="0">
      <selection activeCell="S42" sqref="S42"/>
    </sheetView>
  </sheetViews>
  <sheetFormatPr defaultRowHeight="14.4" x14ac:dyDescent="0.3"/>
  <cols>
    <col min="2" max="2" width="15.5546875" customWidth="1"/>
    <col min="3" max="3" width="17" customWidth="1"/>
    <col min="4" max="4" width="24" customWidth="1"/>
    <col min="5" max="5" width="16.6640625" customWidth="1"/>
    <col min="6" max="6" width="22.44140625" customWidth="1"/>
    <col min="9" max="9" width="14.88671875" customWidth="1"/>
    <col min="10" max="10" width="16.77734375" customWidth="1"/>
    <col min="11" max="11" width="23.77734375" customWidth="1"/>
    <col min="12" max="12" width="19.109375" customWidth="1"/>
    <col min="13" max="13" width="17.33203125" customWidth="1"/>
    <col min="15" max="15" width="12.33203125" customWidth="1"/>
    <col min="16" max="16" width="12.88671875" customWidth="1"/>
    <col min="18" max="18" width="13.44140625" customWidth="1"/>
    <col min="19" max="19" width="12.88671875" customWidth="1"/>
  </cols>
  <sheetData>
    <row r="1" spans="2:19" ht="15" thickBot="1" x14ac:dyDescent="0.35"/>
    <row r="2" spans="2:19" ht="15" thickBot="1" x14ac:dyDescent="0.35">
      <c r="B2" s="106" t="s">
        <v>100</v>
      </c>
      <c r="C2" s="106"/>
      <c r="D2" s="106"/>
      <c r="E2" s="106"/>
      <c r="F2" s="106"/>
      <c r="I2" s="106" t="s">
        <v>102</v>
      </c>
      <c r="J2" s="106"/>
      <c r="K2" s="106"/>
      <c r="L2" s="106"/>
      <c r="M2" s="106"/>
      <c r="O2" s="104" t="s">
        <v>89</v>
      </c>
      <c r="P2" s="105"/>
      <c r="Q2" s="21"/>
      <c r="R2" s="104" t="s">
        <v>97</v>
      </c>
      <c r="S2" s="105"/>
    </row>
    <row r="3" spans="2:19" ht="15" thickBot="1" x14ac:dyDescent="0.35">
      <c r="B3" s="48" t="s">
        <v>62</v>
      </c>
      <c r="C3" s="48" t="s">
        <v>63</v>
      </c>
      <c r="D3" s="48" t="s">
        <v>64</v>
      </c>
      <c r="E3" s="48" t="s">
        <v>65</v>
      </c>
      <c r="F3" s="48" t="s">
        <v>66</v>
      </c>
      <c r="I3" s="48" t="s">
        <v>62</v>
      </c>
      <c r="J3" s="48" t="s">
        <v>63</v>
      </c>
      <c r="K3" s="48" t="s">
        <v>64</v>
      </c>
      <c r="L3" s="48" t="s">
        <v>65</v>
      </c>
      <c r="M3" s="48" t="s">
        <v>66</v>
      </c>
      <c r="O3" s="82" t="s">
        <v>90</v>
      </c>
      <c r="P3" s="81" t="s">
        <v>91</v>
      </c>
      <c r="Q3" s="26"/>
      <c r="R3" s="82" t="s">
        <v>90</v>
      </c>
      <c r="S3" s="81" t="s">
        <v>91</v>
      </c>
    </row>
    <row r="4" spans="2:19" x14ac:dyDescent="0.3">
      <c r="B4" s="48">
        <v>600</v>
      </c>
      <c r="C4" s="48">
        <v>16.2</v>
      </c>
      <c r="D4" s="49">
        <f>C4*(1.065)</f>
        <v>17.253</v>
      </c>
      <c r="E4" s="48">
        <v>1021.38</v>
      </c>
      <c r="F4" s="49">
        <f>(D4/E4)/0.002088</f>
        <v>8.089967528718752</v>
      </c>
      <c r="I4" s="48">
        <v>600</v>
      </c>
      <c r="J4" s="48">
        <v>76.8</v>
      </c>
      <c r="K4" s="49">
        <f>J4*(1.065)</f>
        <v>81.791999999999987</v>
      </c>
      <c r="L4" s="48">
        <v>1021.38</v>
      </c>
      <c r="M4" s="49">
        <f>(K4/L4)/0.002088</f>
        <v>38.35243865466667</v>
      </c>
      <c r="O4" s="79">
        <v>0</v>
      </c>
      <c r="P4" s="79">
        <v>0</v>
      </c>
      <c r="Q4" s="26"/>
      <c r="R4" s="79">
        <v>0</v>
      </c>
      <c r="S4" s="79">
        <v>4</v>
      </c>
    </row>
    <row r="5" spans="2:19" x14ac:dyDescent="0.3">
      <c r="B5" s="48">
        <v>300</v>
      </c>
      <c r="C5" s="48">
        <v>8.5</v>
      </c>
      <c r="D5" s="49">
        <f t="shared" ref="D5:D15" si="0">C5*(1.065)</f>
        <v>9.0525000000000002</v>
      </c>
      <c r="E5" s="48">
        <v>510.69</v>
      </c>
      <c r="F5" s="49">
        <f t="shared" ref="F5:F15" si="1">(D5/E5)/0.002088</f>
        <v>8.4894720980381972</v>
      </c>
      <c r="I5" s="48">
        <v>300</v>
      </c>
      <c r="J5" s="48">
        <v>44.3</v>
      </c>
      <c r="K5" s="49">
        <f t="shared" ref="K5:K15" si="2">J5*(1.065)</f>
        <v>47.179499999999997</v>
      </c>
      <c r="L5" s="48">
        <v>510.69</v>
      </c>
      <c r="M5" s="49">
        <f t="shared" ref="M5:M15" si="3">(K5/L5)/0.002088</f>
        <v>44.245131052128478</v>
      </c>
      <c r="O5" s="48" t="s">
        <v>92</v>
      </c>
      <c r="P5" s="48">
        <v>1</v>
      </c>
      <c r="Q5" s="26"/>
      <c r="R5" s="48" t="s">
        <v>92</v>
      </c>
      <c r="S5" s="48">
        <v>6</v>
      </c>
    </row>
    <row r="6" spans="2:19" x14ac:dyDescent="0.3">
      <c r="B6" s="48">
        <v>200</v>
      </c>
      <c r="C6" s="48">
        <v>6</v>
      </c>
      <c r="D6" s="49">
        <f t="shared" si="0"/>
        <v>6.39</v>
      </c>
      <c r="E6" s="48">
        <v>340.46</v>
      </c>
      <c r="F6" s="49">
        <f t="shared" si="1"/>
        <v>8.9888528096875024</v>
      </c>
      <c r="I6" s="48">
        <v>200</v>
      </c>
      <c r="J6" s="48">
        <v>31.9</v>
      </c>
      <c r="K6" s="49">
        <f t="shared" si="2"/>
        <v>33.973499999999994</v>
      </c>
      <c r="L6" s="48">
        <v>340.46</v>
      </c>
      <c r="M6" s="49">
        <f t="shared" si="3"/>
        <v>47.790734104838549</v>
      </c>
      <c r="O6" s="48" t="s">
        <v>93</v>
      </c>
      <c r="P6" s="48">
        <v>1</v>
      </c>
      <c r="Q6" s="26"/>
      <c r="R6" s="48" t="s">
        <v>93</v>
      </c>
      <c r="S6" s="48">
        <v>8.5</v>
      </c>
    </row>
    <row r="7" spans="2:19" x14ac:dyDescent="0.3">
      <c r="B7" s="48">
        <v>100</v>
      </c>
      <c r="C7" s="48">
        <v>3.3</v>
      </c>
      <c r="D7" s="49">
        <f t="shared" si="0"/>
        <v>3.5144999999999995</v>
      </c>
      <c r="E7" s="48">
        <v>170.23</v>
      </c>
      <c r="F7" s="49">
        <f t="shared" si="1"/>
        <v>9.8877380906562511</v>
      </c>
      <c r="I7" s="48">
        <v>100</v>
      </c>
      <c r="J7" s="48">
        <v>17.899999999999999</v>
      </c>
      <c r="K7" s="49">
        <f t="shared" si="2"/>
        <v>19.063499999999998</v>
      </c>
      <c r="L7" s="48">
        <v>170.23</v>
      </c>
      <c r="M7" s="49">
        <f t="shared" si="3"/>
        <v>53.633488431135426</v>
      </c>
      <c r="O7" s="78" t="s">
        <v>94</v>
      </c>
      <c r="P7" s="48">
        <v>14</v>
      </c>
      <c r="Q7" s="26"/>
      <c r="R7" s="78" t="s">
        <v>94</v>
      </c>
      <c r="S7" s="48">
        <v>9</v>
      </c>
    </row>
    <row r="8" spans="2:19" ht="15" thickBot="1" x14ac:dyDescent="0.35">
      <c r="B8" s="48">
        <v>60</v>
      </c>
      <c r="C8" s="48">
        <v>2.2000000000000002</v>
      </c>
      <c r="D8" s="49">
        <f t="shared" si="0"/>
        <v>2.343</v>
      </c>
      <c r="E8" s="48">
        <v>102.14</v>
      </c>
      <c r="F8" s="49">
        <f t="shared" si="1"/>
        <v>10.986160532422256</v>
      </c>
      <c r="I8" s="48">
        <v>60</v>
      </c>
      <c r="J8" s="48">
        <v>11.7</v>
      </c>
      <c r="K8" s="49">
        <f t="shared" si="2"/>
        <v>12.460499999999998</v>
      </c>
      <c r="L8" s="48">
        <v>102.14</v>
      </c>
      <c r="M8" s="49">
        <f t="shared" si="3"/>
        <v>58.426399195154715</v>
      </c>
      <c r="O8" s="80" t="s">
        <v>95</v>
      </c>
      <c r="P8" s="84">
        <v>16</v>
      </c>
      <c r="R8" s="80" t="s">
        <v>95</v>
      </c>
      <c r="S8" s="84">
        <v>9</v>
      </c>
    </row>
    <row r="9" spans="2:19" ht="15" thickBot="1" x14ac:dyDescent="0.35">
      <c r="B9" s="48">
        <v>30</v>
      </c>
      <c r="C9" s="48">
        <v>1.1000000000000001</v>
      </c>
      <c r="D9" s="49">
        <f t="shared" si="0"/>
        <v>1.1715</v>
      </c>
      <c r="E9" s="48">
        <v>51.07</v>
      </c>
      <c r="F9" s="49">
        <f t="shared" si="1"/>
        <v>10.986160532422256</v>
      </c>
      <c r="I9" s="48">
        <v>30</v>
      </c>
      <c r="J9" s="48">
        <v>6.6</v>
      </c>
      <c r="K9" s="49">
        <f t="shared" si="2"/>
        <v>7.028999999999999</v>
      </c>
      <c r="L9" s="48">
        <v>51.07</v>
      </c>
      <c r="M9" s="49">
        <f t="shared" si="3"/>
        <v>65.916963194533523</v>
      </c>
      <c r="O9" s="83" t="s">
        <v>96</v>
      </c>
      <c r="P9" s="81">
        <f>2*(P7-(P8-P7))</f>
        <v>24</v>
      </c>
      <c r="R9" s="83" t="s">
        <v>96</v>
      </c>
      <c r="S9" s="81">
        <f>2*(S7-(S8-S7))</f>
        <v>18</v>
      </c>
    </row>
    <row r="10" spans="2:19" x14ac:dyDescent="0.3">
      <c r="B10" s="48">
        <v>20</v>
      </c>
      <c r="C10" s="48">
        <v>0.8</v>
      </c>
      <c r="D10" s="49">
        <f t="shared" si="0"/>
        <v>0.85199999999999998</v>
      </c>
      <c r="E10" s="48">
        <v>34.049999999999997</v>
      </c>
      <c r="F10" s="49">
        <f t="shared" si="1"/>
        <v>11.983729133964589</v>
      </c>
      <c r="I10" s="48">
        <v>20</v>
      </c>
      <c r="J10" s="48">
        <v>5.0999999999999996</v>
      </c>
      <c r="K10" s="49">
        <f t="shared" si="2"/>
        <v>5.4314999999999998</v>
      </c>
      <c r="L10" s="48">
        <v>34.049999999999997</v>
      </c>
      <c r="M10" s="49">
        <f t="shared" si="3"/>
        <v>76.39627322902426</v>
      </c>
      <c r="P10" s="77" t="s">
        <v>88</v>
      </c>
      <c r="S10" s="77" t="s">
        <v>88</v>
      </c>
    </row>
    <row r="11" spans="2:19" x14ac:dyDescent="0.3">
      <c r="B11" s="48">
        <v>10</v>
      </c>
      <c r="C11" s="48">
        <v>0.3</v>
      </c>
      <c r="D11" s="49">
        <f t="shared" si="0"/>
        <v>0.31949999999999995</v>
      </c>
      <c r="E11" s="48">
        <v>17.02</v>
      </c>
      <c r="F11" s="49">
        <f t="shared" si="1"/>
        <v>8.9904372138255173</v>
      </c>
      <c r="I11" s="48">
        <v>10</v>
      </c>
      <c r="J11" s="48">
        <v>2.8</v>
      </c>
      <c r="K11" s="49">
        <f t="shared" si="2"/>
        <v>2.9819999999999998</v>
      </c>
      <c r="L11" s="48">
        <v>17.02</v>
      </c>
      <c r="M11" s="49">
        <f t="shared" si="3"/>
        <v>83.910747329038173</v>
      </c>
    </row>
    <row r="12" spans="2:19" x14ac:dyDescent="0.3">
      <c r="B12" s="48">
        <v>6</v>
      </c>
      <c r="C12" s="48">
        <v>0.3</v>
      </c>
      <c r="D12" s="49">
        <f t="shared" si="0"/>
        <v>0.31949999999999995</v>
      </c>
      <c r="E12" s="48">
        <v>10.210000000000001</v>
      </c>
      <c r="F12" s="49">
        <f t="shared" si="1"/>
        <v>14.986997196798267</v>
      </c>
      <c r="I12" s="48">
        <v>6</v>
      </c>
      <c r="J12" s="48">
        <v>1.9</v>
      </c>
      <c r="K12" s="49">
        <f t="shared" si="2"/>
        <v>2.0234999999999999</v>
      </c>
      <c r="L12" s="48">
        <v>10.210000000000001</v>
      </c>
      <c r="M12" s="49">
        <f t="shared" si="3"/>
        <v>94.9176489130557</v>
      </c>
    </row>
    <row r="13" spans="2:19" x14ac:dyDescent="0.3">
      <c r="B13" s="48">
        <v>3</v>
      </c>
      <c r="C13" s="48">
        <v>0.2</v>
      </c>
      <c r="D13" s="49">
        <f t="shared" si="0"/>
        <v>0.21299999999999999</v>
      </c>
      <c r="E13" s="48">
        <v>5.1100000000000003</v>
      </c>
      <c r="F13" s="49">
        <f t="shared" si="1"/>
        <v>19.963110421305981</v>
      </c>
      <c r="I13" s="48">
        <v>3</v>
      </c>
      <c r="J13" s="48">
        <v>1.1000000000000001</v>
      </c>
      <c r="K13" s="49">
        <f t="shared" si="2"/>
        <v>1.1715</v>
      </c>
      <c r="L13" s="48">
        <v>5.1100000000000003</v>
      </c>
      <c r="M13" s="49">
        <f t="shared" si="3"/>
        <v>109.79710731718289</v>
      </c>
    </row>
    <row r="14" spans="2:19" x14ac:dyDescent="0.3">
      <c r="B14" s="48">
        <v>2</v>
      </c>
      <c r="C14" s="48">
        <v>0.1</v>
      </c>
      <c r="D14" s="49">
        <f t="shared" si="0"/>
        <v>0.1065</v>
      </c>
      <c r="E14" s="48">
        <v>3.4</v>
      </c>
      <c r="F14" s="49">
        <f t="shared" si="1"/>
        <v>15.001690331304937</v>
      </c>
      <c r="I14" s="48">
        <v>2</v>
      </c>
      <c r="J14" s="48">
        <v>0.8</v>
      </c>
      <c r="K14" s="49">
        <f t="shared" si="2"/>
        <v>0.85199999999999998</v>
      </c>
      <c r="L14" s="48">
        <v>3.4</v>
      </c>
      <c r="M14" s="49">
        <f t="shared" si="3"/>
        <v>120.0135226504395</v>
      </c>
    </row>
    <row r="15" spans="2:19" x14ac:dyDescent="0.3">
      <c r="B15" s="48">
        <v>1</v>
      </c>
      <c r="C15" s="48">
        <v>0.1</v>
      </c>
      <c r="D15" s="49">
        <f t="shared" si="0"/>
        <v>0.1065</v>
      </c>
      <c r="E15" s="48">
        <v>1.7</v>
      </c>
      <c r="F15" s="49">
        <f t="shared" si="1"/>
        <v>30.003380662609874</v>
      </c>
      <c r="G15" s="77" t="s">
        <v>88</v>
      </c>
      <c r="I15" s="48">
        <v>1</v>
      </c>
      <c r="J15" s="48">
        <v>0.6</v>
      </c>
      <c r="K15" s="49">
        <f t="shared" si="2"/>
        <v>0.6389999999999999</v>
      </c>
      <c r="L15" s="48">
        <v>1.7</v>
      </c>
      <c r="M15" s="49">
        <f t="shared" si="3"/>
        <v>180.02028397565923</v>
      </c>
      <c r="N15" s="77" t="s">
        <v>88</v>
      </c>
    </row>
    <row r="16" spans="2:19" ht="15" thickBot="1" x14ac:dyDescent="0.35"/>
    <row r="17" spans="2:19" ht="15" thickBot="1" x14ac:dyDescent="0.35">
      <c r="B17" s="107" t="s">
        <v>101</v>
      </c>
      <c r="C17" s="108"/>
      <c r="D17" s="108"/>
      <c r="E17" s="108"/>
      <c r="F17" s="109"/>
      <c r="G17" s="85"/>
      <c r="H17" s="85"/>
      <c r="I17" s="107" t="s">
        <v>103</v>
      </c>
      <c r="J17" s="108"/>
      <c r="K17" s="108"/>
      <c r="L17" s="108"/>
      <c r="M17" s="109"/>
      <c r="O17" s="104" t="s">
        <v>99</v>
      </c>
      <c r="P17" s="105"/>
      <c r="R17" s="104" t="s">
        <v>98</v>
      </c>
      <c r="S17" s="105"/>
    </row>
    <row r="18" spans="2:19" ht="15" thickBot="1" x14ac:dyDescent="0.35">
      <c r="B18" s="48" t="s">
        <v>62</v>
      </c>
      <c r="C18" s="48" t="s">
        <v>63</v>
      </c>
      <c r="D18" s="48" t="s">
        <v>64</v>
      </c>
      <c r="E18" s="48" t="s">
        <v>65</v>
      </c>
      <c r="F18" s="48" t="s">
        <v>66</v>
      </c>
      <c r="I18" s="48" t="s">
        <v>62</v>
      </c>
      <c r="J18" s="48" t="s">
        <v>63</v>
      </c>
      <c r="K18" s="48" t="s">
        <v>64</v>
      </c>
      <c r="L18" s="48" t="s">
        <v>65</v>
      </c>
      <c r="M18" s="48" t="s">
        <v>66</v>
      </c>
      <c r="O18" s="82" t="s">
        <v>90</v>
      </c>
      <c r="P18" s="81" t="s">
        <v>91</v>
      </c>
      <c r="R18" s="82" t="s">
        <v>90</v>
      </c>
      <c r="S18" s="81" t="s">
        <v>91</v>
      </c>
    </row>
    <row r="19" spans="2:19" ht="14.4" customHeight="1" x14ac:dyDescent="0.3">
      <c r="B19" s="48">
        <v>600</v>
      </c>
      <c r="C19" s="48">
        <v>12</v>
      </c>
      <c r="D19" s="49">
        <f>C19*(1.065)</f>
        <v>12.78</v>
      </c>
      <c r="E19" s="48">
        <v>1021.38</v>
      </c>
      <c r="F19" s="49">
        <f>(D19/E19)/0.002088</f>
        <v>5.9925685397916677</v>
      </c>
      <c r="I19" s="48">
        <v>600</v>
      </c>
      <c r="J19" s="48">
        <v>48.9</v>
      </c>
      <c r="K19" s="49">
        <f>J19*(1.065)</f>
        <v>52.078499999999998</v>
      </c>
      <c r="L19" s="48">
        <v>1021.38</v>
      </c>
      <c r="M19" s="49">
        <f>(K19/L19)/0.002088</f>
        <v>24.419716799651045</v>
      </c>
      <c r="O19" s="79">
        <v>0</v>
      </c>
      <c r="P19" s="79" t="s">
        <v>105</v>
      </c>
      <c r="R19" s="79">
        <v>0</v>
      </c>
      <c r="S19" s="79" t="s">
        <v>105</v>
      </c>
    </row>
    <row r="20" spans="2:19" x14ac:dyDescent="0.3">
      <c r="B20" s="48">
        <v>300</v>
      </c>
      <c r="C20" s="48">
        <v>6.8</v>
      </c>
      <c r="D20" s="49">
        <f t="shared" ref="D20:D30" si="4">C20*(1.065)</f>
        <v>7.2419999999999991</v>
      </c>
      <c r="E20" s="48">
        <v>510.69</v>
      </c>
      <c r="F20" s="49">
        <f t="shared" ref="F20:F30" si="5">(D20/E20)/0.002088</f>
        <v>6.7915776784305564</v>
      </c>
      <c r="I20" s="48">
        <v>300</v>
      </c>
      <c r="J20" s="48">
        <v>26</v>
      </c>
      <c r="K20" s="49">
        <f t="shared" ref="K20:K25" si="6">J20*(1.065)</f>
        <v>27.689999999999998</v>
      </c>
      <c r="L20" s="48">
        <v>510.69</v>
      </c>
      <c r="M20" s="49">
        <f t="shared" ref="M20:M30" si="7">(K20/L20)/0.002088</f>
        <v>25.967797005763892</v>
      </c>
      <c r="O20" s="48" t="s">
        <v>92</v>
      </c>
      <c r="P20" s="79" t="s">
        <v>105</v>
      </c>
      <c r="R20" s="48" t="s">
        <v>92</v>
      </c>
      <c r="S20" s="79" t="s">
        <v>105</v>
      </c>
    </row>
    <row r="21" spans="2:19" x14ac:dyDescent="0.3">
      <c r="B21" s="48">
        <v>200</v>
      </c>
      <c r="C21" s="48">
        <v>5.0999999999999996</v>
      </c>
      <c r="D21" s="49">
        <f t="shared" si="4"/>
        <v>5.4314999999999998</v>
      </c>
      <c r="E21" s="48">
        <v>340.46</v>
      </c>
      <c r="F21" s="49">
        <f t="shared" si="5"/>
        <v>7.6405248882343768</v>
      </c>
      <c r="I21" s="48">
        <v>200</v>
      </c>
      <c r="J21" s="48">
        <v>18.5</v>
      </c>
      <c r="K21" s="49">
        <f t="shared" si="6"/>
        <v>19.702500000000001</v>
      </c>
      <c r="L21" s="48">
        <v>340.46</v>
      </c>
      <c r="M21" s="49">
        <f t="shared" si="7"/>
        <v>27.715629496536465</v>
      </c>
      <c r="O21" s="48" t="s">
        <v>93</v>
      </c>
      <c r="P21" s="79" t="s">
        <v>105</v>
      </c>
      <c r="R21" s="48" t="s">
        <v>93</v>
      </c>
      <c r="S21" s="79" t="s">
        <v>105</v>
      </c>
    </row>
    <row r="22" spans="2:19" x14ac:dyDescent="0.3">
      <c r="B22" s="48">
        <v>100</v>
      </c>
      <c r="C22" s="48">
        <v>2.7</v>
      </c>
      <c r="D22" s="49">
        <f t="shared" si="4"/>
        <v>2.8755000000000002</v>
      </c>
      <c r="E22" s="48">
        <v>170.23</v>
      </c>
      <c r="F22" s="49">
        <f t="shared" si="5"/>
        <v>8.089967528718752</v>
      </c>
      <c r="I22" s="48">
        <v>100</v>
      </c>
      <c r="J22" s="48">
        <v>9.6999999999999993</v>
      </c>
      <c r="K22" s="49">
        <f t="shared" si="6"/>
        <v>10.330499999999999</v>
      </c>
      <c r="L22" s="48">
        <v>170.23</v>
      </c>
      <c r="M22" s="49">
        <f t="shared" si="7"/>
        <v>29.063957417989588</v>
      </c>
      <c r="O22" s="78" t="s">
        <v>94</v>
      </c>
      <c r="P22" s="79" t="s">
        <v>105</v>
      </c>
      <c r="R22" s="78" t="s">
        <v>94</v>
      </c>
      <c r="S22" s="79" t="s">
        <v>105</v>
      </c>
    </row>
    <row r="23" spans="2:19" ht="15" thickBot="1" x14ac:dyDescent="0.35">
      <c r="B23" s="48">
        <v>60</v>
      </c>
      <c r="C23" s="48">
        <v>1.8</v>
      </c>
      <c r="D23" s="49">
        <f t="shared" si="4"/>
        <v>1.917</v>
      </c>
      <c r="E23" s="48">
        <v>102.14</v>
      </c>
      <c r="F23" s="49">
        <f t="shared" si="5"/>
        <v>8.9886767992545735</v>
      </c>
      <c r="I23" s="48">
        <v>60</v>
      </c>
      <c r="J23" s="48">
        <v>6.2</v>
      </c>
      <c r="K23" s="49">
        <f t="shared" si="6"/>
        <v>6.6029999999999998</v>
      </c>
      <c r="L23" s="48">
        <v>102.14</v>
      </c>
      <c r="M23" s="49">
        <f t="shared" si="7"/>
        <v>30.960997864099085</v>
      </c>
      <c r="O23" s="80" t="s">
        <v>95</v>
      </c>
      <c r="P23" s="79" t="s">
        <v>105</v>
      </c>
      <c r="R23" s="80" t="s">
        <v>95</v>
      </c>
      <c r="S23" s="79" t="s">
        <v>105</v>
      </c>
    </row>
    <row r="24" spans="2:19" ht="15" thickBot="1" x14ac:dyDescent="0.35">
      <c r="B24" s="48">
        <v>30</v>
      </c>
      <c r="C24" s="48">
        <v>1.3</v>
      </c>
      <c r="D24" s="49">
        <f t="shared" si="4"/>
        <v>1.3845000000000001</v>
      </c>
      <c r="E24" s="48">
        <v>51.07</v>
      </c>
      <c r="F24" s="49">
        <f t="shared" si="5"/>
        <v>12.983644265589939</v>
      </c>
      <c r="I24" s="48">
        <v>30</v>
      </c>
      <c r="J24" s="48">
        <v>3.3</v>
      </c>
      <c r="K24" s="49">
        <f t="shared" si="6"/>
        <v>3.5144999999999995</v>
      </c>
      <c r="L24" s="48">
        <v>51.07</v>
      </c>
      <c r="M24" s="49">
        <f t="shared" si="7"/>
        <v>32.958481597266761</v>
      </c>
      <c r="O24" s="83" t="s">
        <v>96</v>
      </c>
      <c r="P24" s="81" t="s">
        <v>105</v>
      </c>
      <c r="R24" s="83" t="s">
        <v>96</v>
      </c>
      <c r="S24" s="81" t="s">
        <v>105</v>
      </c>
    </row>
    <row r="25" spans="2:19" x14ac:dyDescent="0.3">
      <c r="B25" s="48">
        <v>20</v>
      </c>
      <c r="C25" s="48">
        <v>0.9</v>
      </c>
      <c r="D25" s="49">
        <f t="shared" si="4"/>
        <v>0.95850000000000002</v>
      </c>
      <c r="E25" s="48">
        <v>34.049999999999997</v>
      </c>
      <c r="F25" s="49">
        <f t="shared" si="5"/>
        <v>13.481695275710164</v>
      </c>
      <c r="I25" s="48">
        <v>20</v>
      </c>
      <c r="J25" s="48">
        <v>2.2000000000000002</v>
      </c>
      <c r="K25" s="49">
        <f t="shared" si="6"/>
        <v>2.343</v>
      </c>
      <c r="L25" s="48">
        <v>34.049999999999997</v>
      </c>
      <c r="M25" s="49">
        <f>(K25/L25)/0.002088</f>
        <v>32.955255118402626</v>
      </c>
      <c r="P25" s="77" t="s">
        <v>88</v>
      </c>
      <c r="S25" s="77" t="s">
        <v>88</v>
      </c>
    </row>
    <row r="26" spans="2:19" x14ac:dyDescent="0.3">
      <c r="B26" s="48">
        <v>10</v>
      </c>
      <c r="C26" s="48">
        <v>0.4</v>
      </c>
      <c r="D26" s="49">
        <f t="shared" si="4"/>
        <v>0.42599999999999999</v>
      </c>
      <c r="E26" s="48">
        <v>17.02</v>
      </c>
      <c r="F26" s="49">
        <f t="shared" si="5"/>
        <v>11.987249618434026</v>
      </c>
      <c r="I26" s="48">
        <v>10</v>
      </c>
      <c r="J26" s="48">
        <v>1.4</v>
      </c>
      <c r="K26" s="49">
        <f>J26*(1.065)</f>
        <v>1.4909999999999999</v>
      </c>
      <c r="L26" s="48">
        <v>17.02</v>
      </c>
      <c r="M26" s="49">
        <f t="shared" si="7"/>
        <v>41.955373664519087</v>
      </c>
    </row>
    <row r="27" spans="2:19" x14ac:dyDescent="0.3">
      <c r="B27" s="48">
        <v>6</v>
      </c>
      <c r="C27" s="48">
        <v>0.3</v>
      </c>
      <c r="D27" s="49">
        <f t="shared" si="4"/>
        <v>0.31949999999999995</v>
      </c>
      <c r="E27" s="48">
        <v>10.210000000000001</v>
      </c>
      <c r="F27" s="49">
        <f t="shared" si="5"/>
        <v>14.986997196798267</v>
      </c>
      <c r="I27" s="48">
        <v>6</v>
      </c>
      <c r="J27" s="48">
        <v>1.2</v>
      </c>
      <c r="K27" s="49">
        <f>J27*(1.065)</f>
        <v>1.2779999999999998</v>
      </c>
      <c r="L27" s="48">
        <v>10.210000000000001</v>
      </c>
      <c r="M27" s="49">
        <f t="shared" si="7"/>
        <v>59.947988787193069</v>
      </c>
    </row>
    <row r="28" spans="2:19" x14ac:dyDescent="0.3">
      <c r="B28" s="48">
        <v>3</v>
      </c>
      <c r="C28" s="48">
        <v>0.2</v>
      </c>
      <c r="D28" s="49">
        <f t="shared" si="4"/>
        <v>0.21299999999999999</v>
      </c>
      <c r="E28" s="48">
        <v>5.1100000000000003</v>
      </c>
      <c r="F28" s="49">
        <f t="shared" si="5"/>
        <v>19.963110421305981</v>
      </c>
      <c r="I28" s="48">
        <v>3</v>
      </c>
      <c r="J28" s="48">
        <v>0.4</v>
      </c>
      <c r="K28" s="49">
        <f>J28*(1.065)</f>
        <v>0.42599999999999999</v>
      </c>
      <c r="L28" s="48">
        <v>5.1100000000000003</v>
      </c>
      <c r="M28" s="49">
        <f t="shared" si="7"/>
        <v>39.926220842611961</v>
      </c>
    </row>
    <row r="29" spans="2:19" x14ac:dyDescent="0.3">
      <c r="B29" s="48">
        <v>2</v>
      </c>
      <c r="C29" s="48">
        <v>0.2</v>
      </c>
      <c r="D29" s="49">
        <f t="shared" si="4"/>
        <v>0.21299999999999999</v>
      </c>
      <c r="E29" s="48">
        <v>3.4</v>
      </c>
      <c r="F29" s="49">
        <f t="shared" si="5"/>
        <v>30.003380662609874</v>
      </c>
      <c r="I29" s="48">
        <v>2</v>
      </c>
      <c r="J29" s="48">
        <v>0.3</v>
      </c>
      <c r="K29" s="49">
        <f t="shared" ref="K29:K30" si="8">J29*(1.065)</f>
        <v>0.31949999999999995</v>
      </c>
      <c r="L29" s="48">
        <v>3.4</v>
      </c>
      <c r="M29" s="49">
        <f t="shared" si="7"/>
        <v>45.005070993914806</v>
      </c>
    </row>
    <row r="30" spans="2:19" x14ac:dyDescent="0.3">
      <c r="B30" s="48">
        <v>1</v>
      </c>
      <c r="C30" s="48">
        <v>0.2</v>
      </c>
      <c r="D30" s="49">
        <f t="shared" si="4"/>
        <v>0.21299999999999999</v>
      </c>
      <c r="E30" s="48">
        <v>1.7</v>
      </c>
      <c r="F30" s="49">
        <f t="shared" si="5"/>
        <v>60.006761325219749</v>
      </c>
      <c r="G30" s="77" t="s">
        <v>88</v>
      </c>
      <c r="I30" s="48">
        <v>1</v>
      </c>
      <c r="J30" s="48">
        <v>0.2</v>
      </c>
      <c r="K30" s="49">
        <f t="shared" si="8"/>
        <v>0.21299999999999999</v>
      </c>
      <c r="L30" s="48">
        <v>1.7</v>
      </c>
      <c r="M30" s="49">
        <f t="shared" si="7"/>
        <v>60.006761325219749</v>
      </c>
      <c r="N30" s="77" t="s">
        <v>88</v>
      </c>
    </row>
  </sheetData>
  <mergeCells count="8">
    <mergeCell ref="R2:S2"/>
    <mergeCell ref="O17:P17"/>
    <mergeCell ref="R17:S17"/>
    <mergeCell ref="B2:F2"/>
    <mergeCell ref="I2:M2"/>
    <mergeCell ref="B17:F17"/>
    <mergeCell ref="I17:M17"/>
    <mergeCell ref="O2:P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opLeftCell="A7" workbookViewId="0">
      <selection activeCell="L7" sqref="L7"/>
    </sheetView>
  </sheetViews>
  <sheetFormatPr defaultRowHeight="14.4" x14ac:dyDescent="0.3"/>
  <cols>
    <col min="1" max="1" width="21.44140625" customWidth="1"/>
    <col min="2" max="2" width="15.109375" customWidth="1"/>
    <col min="3" max="3" width="12.33203125" customWidth="1"/>
    <col min="4" max="4" width="4.5546875" customWidth="1"/>
    <col min="5" max="5" width="3.88671875" customWidth="1"/>
    <col min="6" max="6" width="9.88671875" customWidth="1"/>
    <col min="7" max="7" width="12.33203125" customWidth="1"/>
    <col min="8" max="8" width="12.5546875" customWidth="1"/>
    <col min="9" max="9" width="12.109375" customWidth="1"/>
    <col min="10" max="10" width="3.88671875" customWidth="1"/>
    <col min="11" max="11" width="9.5546875" customWidth="1"/>
    <col min="12" max="14" width="12.109375" customWidth="1"/>
    <col min="15" max="15" width="4.33203125" customWidth="1"/>
    <col min="16" max="16" width="13" customWidth="1"/>
    <col min="17" max="17" width="10.6640625" customWidth="1"/>
    <col min="18" max="18" width="13.6640625" customWidth="1"/>
    <col min="19" max="19" width="11.5546875" customWidth="1"/>
    <col min="20" max="20" width="4.33203125" customWidth="1"/>
  </cols>
  <sheetData>
    <row r="2" spans="1:13" x14ac:dyDescent="0.3">
      <c r="A2" s="2" t="s">
        <v>14</v>
      </c>
      <c r="F2" s="2" t="s">
        <v>12</v>
      </c>
      <c r="H2" t="s">
        <v>23</v>
      </c>
      <c r="K2" s="2" t="s">
        <v>13</v>
      </c>
      <c r="M2" t="s">
        <v>26</v>
      </c>
    </row>
    <row r="3" spans="1:13" x14ac:dyDescent="0.3">
      <c r="A3" s="2" t="s">
        <v>6</v>
      </c>
      <c r="F3" s="2" t="s">
        <v>6</v>
      </c>
      <c r="G3" s="1"/>
      <c r="H3" s="2" t="s">
        <v>8</v>
      </c>
      <c r="K3" s="2" t="s">
        <v>6</v>
      </c>
      <c r="L3" s="1"/>
      <c r="M3" s="2" t="s">
        <v>8</v>
      </c>
    </row>
    <row r="4" spans="1:13" x14ac:dyDescent="0.3">
      <c r="A4" s="1" t="s">
        <v>24</v>
      </c>
      <c r="B4" s="5">
        <v>7.0000000000000007E-2</v>
      </c>
      <c r="C4" s="11">
        <f>B4</f>
        <v>7.0000000000000007E-2</v>
      </c>
      <c r="F4" s="1" t="s">
        <v>0</v>
      </c>
      <c r="G4" s="1">
        <f>8.34</f>
        <v>8.34</v>
      </c>
      <c r="H4" t="s">
        <v>11</v>
      </c>
      <c r="K4" s="1" t="s">
        <v>0</v>
      </c>
      <c r="L4" s="14">
        <f>G6</f>
        <v>8.7799999999999994</v>
      </c>
      <c r="M4" t="s">
        <v>11</v>
      </c>
    </row>
    <row r="5" spans="1:13" x14ac:dyDescent="0.3">
      <c r="A5" s="1" t="s">
        <v>16</v>
      </c>
      <c r="B5" s="1">
        <v>0</v>
      </c>
      <c r="F5" s="1" t="s">
        <v>1</v>
      </c>
      <c r="G5" s="1">
        <f>2.7</f>
        <v>2.7</v>
      </c>
      <c r="H5" t="s">
        <v>9</v>
      </c>
      <c r="K5" s="1" t="s">
        <v>1</v>
      </c>
      <c r="L5" s="1">
        <v>4.2</v>
      </c>
      <c r="M5" t="s">
        <v>9</v>
      </c>
    </row>
    <row r="6" spans="1:13" x14ac:dyDescent="0.3">
      <c r="A6" s="1" t="s">
        <v>17</v>
      </c>
      <c r="B6" s="1">
        <v>0</v>
      </c>
      <c r="F6" s="1" t="s">
        <v>3</v>
      </c>
      <c r="G6" s="14">
        <v>8.7799999999999994</v>
      </c>
      <c r="H6" t="s">
        <v>11</v>
      </c>
      <c r="K6" s="1" t="s">
        <v>3</v>
      </c>
      <c r="L6" s="1">
        <v>11.45</v>
      </c>
      <c r="M6" t="s">
        <v>11</v>
      </c>
    </row>
    <row r="7" spans="1:13" x14ac:dyDescent="0.3">
      <c r="A7" s="1" t="s">
        <v>27</v>
      </c>
      <c r="B7" s="6">
        <v>1.98</v>
      </c>
      <c r="C7" t="s">
        <v>31</v>
      </c>
      <c r="F7" s="1" t="s">
        <v>5</v>
      </c>
      <c r="G7" s="14">
        <v>30</v>
      </c>
      <c r="H7" t="s">
        <v>10</v>
      </c>
      <c r="K7" s="1" t="s">
        <v>5</v>
      </c>
      <c r="L7" s="1">
        <v>125</v>
      </c>
      <c r="M7" t="s">
        <v>10</v>
      </c>
    </row>
    <row r="8" spans="1:13" x14ac:dyDescent="0.3">
      <c r="A8" s="1" t="s">
        <v>19</v>
      </c>
      <c r="B8" s="1">
        <v>300</v>
      </c>
      <c r="C8" t="s">
        <v>15</v>
      </c>
      <c r="F8" s="1" t="s">
        <v>7</v>
      </c>
      <c r="G8" s="13">
        <f>C17</f>
        <v>290.97963142580022</v>
      </c>
      <c r="H8" t="s">
        <v>32</v>
      </c>
      <c r="K8" s="1" t="s">
        <v>29</v>
      </c>
      <c r="L8" s="13">
        <f>G13</f>
        <v>281.94937061134459</v>
      </c>
      <c r="M8" t="s">
        <v>32</v>
      </c>
    </row>
    <row r="9" spans="1:13" x14ac:dyDescent="0.3">
      <c r="F9" s="1"/>
      <c r="G9" s="1"/>
    </row>
    <row r="10" spans="1:13" x14ac:dyDescent="0.3">
      <c r="A10" s="2" t="s">
        <v>14</v>
      </c>
      <c r="F10" s="2" t="s">
        <v>14</v>
      </c>
      <c r="K10" s="2" t="s">
        <v>14</v>
      </c>
    </row>
    <row r="11" spans="1:13" x14ac:dyDescent="0.3">
      <c r="A11" s="1" t="s">
        <v>20</v>
      </c>
      <c r="B11" t="s">
        <v>18</v>
      </c>
      <c r="C11" s="4">
        <f>((B5-B5*C4)/C4)</f>
        <v>0</v>
      </c>
      <c r="D11" t="s">
        <v>15</v>
      </c>
      <c r="F11" t="s">
        <v>2</v>
      </c>
      <c r="G11" s="12">
        <f>(350*G5*(G6-G4))/(8.34*G5-G6)</f>
        <v>30.266414325229256</v>
      </c>
      <c r="H11" t="s">
        <v>10</v>
      </c>
      <c r="K11" t="s">
        <v>2</v>
      </c>
      <c r="L11" s="3">
        <f>(350*L5*(L6-L4))/(8.34*L5-L6)</f>
        <v>166.46450080583597</v>
      </c>
      <c r="M11" t="s">
        <v>10</v>
      </c>
    </row>
    <row r="12" spans="1:13" x14ac:dyDescent="0.3">
      <c r="A12" s="1" t="s">
        <v>21</v>
      </c>
      <c r="B12" t="s">
        <v>18</v>
      </c>
      <c r="C12" s="4">
        <f>(B5+B6-C4*(B5+B6))/C4</f>
        <v>0</v>
      </c>
      <c r="D12" t="s">
        <v>15</v>
      </c>
      <c r="F12" t="s">
        <v>3</v>
      </c>
      <c r="G12" s="3">
        <f>((8.34*G7*G5+350*G4*G5)/(G7+350*G5))</f>
        <v>8.7762461538461523</v>
      </c>
      <c r="H12" t="s">
        <v>11</v>
      </c>
      <c r="K12" t="s">
        <v>3</v>
      </c>
      <c r="L12" s="3">
        <f>((8.34*L7*L5+350*L4*L5)/(L7+350*L5))</f>
        <v>10.83705329153605</v>
      </c>
      <c r="M12" t="s">
        <v>11</v>
      </c>
    </row>
    <row r="13" spans="1:13" x14ac:dyDescent="0.3">
      <c r="F13" t="s">
        <v>37</v>
      </c>
      <c r="G13" s="12">
        <f>G8/(1+((G6-G4)/(8.34*G5-G6)))</f>
        <v>281.94937061134459</v>
      </c>
      <c r="H13" t="s">
        <v>22</v>
      </c>
      <c r="K13" t="s">
        <v>4</v>
      </c>
      <c r="L13" s="12">
        <f>L8/(1+((L6-L4)/(8.34*L5-L6)))</f>
        <v>253.2689065938084</v>
      </c>
      <c r="M13" t="s">
        <v>22</v>
      </c>
    </row>
    <row r="14" spans="1:13" ht="28.8" x14ac:dyDescent="0.3">
      <c r="B14" s="20" t="s">
        <v>25</v>
      </c>
      <c r="C14" s="3">
        <f>(C4*B8)/(1+(C4/(B7))-C4)</f>
        <v>21.753688395940152</v>
      </c>
      <c r="D14" t="s">
        <v>30</v>
      </c>
      <c r="F14" s="7"/>
      <c r="G14" s="12">
        <f>291-G13</f>
        <v>9.050629388655409</v>
      </c>
      <c r="K14" s="7"/>
    </row>
    <row r="15" spans="1:13" ht="28.8" x14ac:dyDescent="0.3">
      <c r="A15" s="1" t="s">
        <v>20</v>
      </c>
      <c r="B15" s="19" t="s">
        <v>34</v>
      </c>
      <c r="C15" s="16">
        <f>C14/B7</f>
        <v>10.986711311080885</v>
      </c>
      <c r="D15" s="17" t="s">
        <v>15</v>
      </c>
    </row>
    <row r="16" spans="1:13" ht="28.8" x14ac:dyDescent="0.3">
      <c r="A16" s="1" t="s">
        <v>20</v>
      </c>
      <c r="B16" s="20" t="s">
        <v>28</v>
      </c>
      <c r="C16" s="3">
        <f>C14/C15</f>
        <v>1.98</v>
      </c>
      <c r="D16" t="s">
        <v>31</v>
      </c>
    </row>
    <row r="17" spans="1:9" ht="28.8" x14ac:dyDescent="0.3">
      <c r="A17" s="1" t="s">
        <v>20</v>
      </c>
      <c r="B17" s="20" t="s">
        <v>33</v>
      </c>
      <c r="C17" s="15">
        <f>B8/1.031</f>
        <v>290.97963142580022</v>
      </c>
      <c r="D17" t="s">
        <v>15</v>
      </c>
      <c r="G17">
        <f>20/1.98</f>
        <v>10.1010101010101</v>
      </c>
    </row>
    <row r="19" spans="1:9" x14ac:dyDescent="0.3">
      <c r="I19">
        <f>26.1/25.6</f>
        <v>1.01953125</v>
      </c>
    </row>
    <row r="22" spans="1:9" x14ac:dyDescent="0.3">
      <c r="A22" s="8"/>
      <c r="B22" s="8"/>
      <c r="C22" s="9"/>
    </row>
    <row r="23" spans="1:9" x14ac:dyDescent="0.3">
      <c r="A23" s="8"/>
      <c r="B23" s="8"/>
      <c r="C23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NaPA Conc.</vt:lpstr>
      <vt:lpstr>Sol#1 5ppb bt 50% Less Poly 1,2</vt:lpstr>
      <vt:lpstr>Sol#2 5ppb bt 50% More Poly 1,2</vt:lpstr>
      <vt:lpstr>Shear Stress Vs. Shear Share Pl</vt:lpstr>
      <vt:lpstr>Incomplete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Altashah, Abdulrahman</dc:creator>
  <cp:lastModifiedBy>AMT</cp:lastModifiedBy>
  <dcterms:created xsi:type="dcterms:W3CDTF">2021-11-11T19:16:34Z</dcterms:created>
  <dcterms:modified xsi:type="dcterms:W3CDTF">2022-04-11T04:58:28Z</dcterms:modified>
</cp:coreProperties>
</file>