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hidePivotFieldList="1" defaultThemeVersion="124226"/>
  <bookViews>
    <workbookView xWindow="0" yWindow="0" windowWidth="15300" windowHeight="7530" tabRatio="798" activeTab="4"/>
  </bookViews>
  <sheets>
    <sheet name="表1" sheetId="1" r:id="rId1"/>
    <sheet name="表2" sheetId="2" r:id="rId2"/>
    <sheet name="表3" sheetId="4" r:id="rId3"/>
    <sheet name="表4" sheetId="3" r:id="rId4"/>
    <sheet name="Data" sheetId="5" r:id="rId5"/>
  </sheets>
  <definedNames>
    <definedName name="_xlnm.Print_Area" localSheetId="1">表2!$A$1:$K$44</definedName>
    <definedName name="_xlnm.Print_Area" localSheetId="2">表3!$A$1:$K$32</definedName>
  </definedNames>
  <calcPr calcId="125725"/>
</workbook>
</file>

<file path=xl/calcChain.xml><?xml version="1.0" encoding="utf-8"?>
<calcChain xmlns="http://schemas.openxmlformats.org/spreadsheetml/2006/main">
  <c r="O9" i="1"/>
  <c r="P14"/>
  <c r="O14"/>
  <c r="P9"/>
  <c r="G52" i="2"/>
  <c r="G53" s="1"/>
  <c r="F21" i="4" l="1"/>
  <c r="F15"/>
  <c r="D22" i="2" l="1"/>
  <c r="D16" l="1"/>
  <c r="D10"/>
  <c r="O13" i="1"/>
  <c r="P13"/>
  <c r="N7"/>
  <c r="N8"/>
  <c r="N9"/>
  <c r="N10"/>
  <c r="N11"/>
  <c r="N12"/>
  <c r="N13"/>
  <c r="N6"/>
  <c r="R7" l="1"/>
  <c r="R8"/>
  <c r="R9"/>
  <c r="R10"/>
  <c r="R11"/>
  <c r="R12"/>
  <c r="R13"/>
  <c r="R6"/>
  <c r="J21" i="2" l="1"/>
  <c r="K21" s="1"/>
  <c r="F20" i="4" l="1"/>
  <c r="F14"/>
  <c r="M15" i="1" l="1"/>
  <c r="N15"/>
  <c r="M17"/>
  <c r="N17"/>
  <c r="N14"/>
  <c r="M14"/>
  <c r="D12" i="4" l="1"/>
  <c r="F19"/>
  <c r="F13"/>
  <c r="F18"/>
  <c r="F12"/>
  <c r="J9"/>
  <c r="J7"/>
  <c r="J8"/>
  <c r="O7" i="1" l="1"/>
  <c r="P7"/>
  <c r="P8"/>
  <c r="O8"/>
  <c r="O6"/>
  <c r="P6"/>
  <c r="M11"/>
  <c r="Q6"/>
  <c r="Q7"/>
  <c r="Q8"/>
  <c r="Q9"/>
  <c r="J20" i="2"/>
  <c r="J18"/>
  <c r="J19"/>
  <c r="M10" i="1"/>
  <c r="M12"/>
  <c r="M6"/>
  <c r="M8"/>
  <c r="M7"/>
  <c r="M9"/>
  <c r="M13"/>
  <c r="O10" l="1"/>
  <c r="P10"/>
  <c r="O12"/>
  <c r="P12"/>
  <c r="O11"/>
  <c r="P11"/>
  <c r="Q12"/>
  <c r="Q10"/>
  <c r="Q11"/>
  <c r="Q13"/>
  <c r="K19" i="2"/>
  <c r="K20"/>
  <c r="K18"/>
  <c r="N16" i="1"/>
  <c r="M16"/>
  <c r="N19" l="1"/>
  <c r="N18"/>
  <c r="M19"/>
  <c r="M18"/>
  <c r="G19" i="4" l="1"/>
  <c r="G13"/>
  <c r="G18"/>
  <c r="G12"/>
  <c r="E26"/>
  <c r="E20"/>
  <c r="E14"/>
  <c r="E13"/>
  <c r="E25"/>
  <c r="E19"/>
  <c r="E24"/>
  <c r="E18"/>
  <c r="E12"/>
  <c r="G20"/>
  <c r="G14"/>
  <c r="G26"/>
  <c r="K8"/>
  <c r="K7"/>
  <c r="E21" l="1"/>
  <c r="E15"/>
  <c r="E27"/>
  <c r="G21"/>
  <c r="G15"/>
  <c r="K9"/>
  <c r="G25"/>
  <c r="G24"/>
  <c r="G27"/>
  <c r="F27"/>
  <c r="F26"/>
  <c r="F24"/>
  <c r="D24"/>
  <c r="D18"/>
  <c r="F10"/>
  <c r="J6"/>
  <c r="E37" i="2"/>
  <c r="E36"/>
  <c r="G39"/>
  <c r="F39"/>
  <c r="E39"/>
  <c r="D39"/>
  <c r="G38"/>
  <c r="E38"/>
  <c r="E31"/>
  <c r="E30"/>
  <c r="G33"/>
  <c r="F33"/>
  <c r="E33"/>
  <c r="D33"/>
  <c r="G32"/>
  <c r="E32"/>
  <c r="E25"/>
  <c r="E24"/>
  <c r="G27"/>
  <c r="F27"/>
  <c r="E27"/>
  <c r="D27"/>
  <c r="G26"/>
  <c r="E26"/>
  <c r="E13"/>
  <c r="E12"/>
  <c r="G15"/>
  <c r="F15"/>
  <c r="E15"/>
  <c r="D15"/>
  <c r="G14"/>
  <c r="E14"/>
  <c r="G9"/>
  <c r="G8"/>
  <c r="F9"/>
  <c r="E9"/>
  <c r="E8"/>
  <c r="E7"/>
  <c r="E6"/>
  <c r="D9"/>
  <c r="G22"/>
  <c r="E22"/>
  <c r="F13"/>
  <c r="F31"/>
  <c r="F37"/>
  <c r="F7"/>
  <c r="F25"/>
  <c r="F22" l="1"/>
  <c r="J9"/>
  <c r="K9" s="1"/>
  <c r="J15"/>
  <c r="K15" s="1"/>
  <c r="J27"/>
  <c r="K27" s="1"/>
  <c r="J33"/>
  <c r="K33" s="1"/>
  <c r="J39"/>
  <c r="K39" s="1"/>
  <c r="J18" i="4"/>
  <c r="K18" s="1"/>
  <c r="J24"/>
  <c r="K24" s="1"/>
  <c r="J12"/>
  <c r="K12" s="1"/>
  <c r="G10"/>
  <c r="G7" i="2"/>
  <c r="G25"/>
  <c r="G13"/>
  <c r="G16"/>
  <c r="G31"/>
  <c r="E34"/>
  <c r="G37"/>
  <c r="G10"/>
  <c r="G34"/>
  <c r="F16" i="4"/>
  <c r="F22"/>
  <c r="F28"/>
  <c r="K6"/>
  <c r="G40" i="2"/>
  <c r="G28"/>
  <c r="F24"/>
  <c r="F30"/>
  <c r="F6"/>
  <c r="F36"/>
  <c r="F12"/>
  <c r="D37"/>
  <c r="D13"/>
  <c r="D25"/>
  <c r="D31"/>
  <c r="D7"/>
  <c r="D38"/>
  <c r="D26"/>
  <c r="D32"/>
  <c r="D14"/>
  <c r="D8"/>
  <c r="D27" i="4"/>
  <c r="D21"/>
  <c r="D15"/>
  <c r="D10"/>
  <c r="J10" s="1"/>
  <c r="D20"/>
  <c r="J20" s="1"/>
  <c r="K20" s="1"/>
  <c r="D26"/>
  <c r="D14"/>
  <c r="J14" s="1"/>
  <c r="K14" s="1"/>
  <c r="F14" i="2"/>
  <c r="F26"/>
  <c r="F38"/>
  <c r="F8"/>
  <c r="F32"/>
  <c r="D36"/>
  <c r="D6"/>
  <c r="D30"/>
  <c r="D12"/>
  <c r="D24"/>
  <c r="F11" i="4"/>
  <c r="F25"/>
  <c r="D11"/>
  <c r="D13"/>
  <c r="D19"/>
  <c r="D25"/>
  <c r="E28" i="2"/>
  <c r="E16"/>
  <c r="E40"/>
  <c r="E10"/>
  <c r="F10" l="1"/>
  <c r="F16"/>
  <c r="G23"/>
  <c r="F23"/>
  <c r="F40"/>
  <c r="F28"/>
  <c r="F34"/>
  <c r="J26"/>
  <c r="J11" i="4"/>
  <c r="J22" i="2"/>
  <c r="J14"/>
  <c r="J38"/>
  <c r="J30"/>
  <c r="J8"/>
  <c r="J12"/>
  <c r="J32"/>
  <c r="J13" i="4"/>
  <c r="K13" s="1"/>
  <c r="J19"/>
  <c r="K19" s="1"/>
  <c r="J21"/>
  <c r="K21" s="1"/>
  <c r="J25"/>
  <c r="K25" s="1"/>
  <c r="J26"/>
  <c r="K26" s="1"/>
  <c r="J15"/>
  <c r="K15" s="1"/>
  <c r="J27"/>
  <c r="K27" s="1"/>
  <c r="J31" i="2"/>
  <c r="J13"/>
  <c r="J7"/>
  <c r="J37"/>
  <c r="J25"/>
  <c r="J24"/>
  <c r="J36"/>
  <c r="E23"/>
  <c r="D28"/>
  <c r="D40"/>
  <c r="D34"/>
  <c r="D23"/>
  <c r="G11" i="4"/>
  <c r="G22"/>
  <c r="G28"/>
  <c r="F17"/>
  <c r="G17" s="1"/>
  <c r="F29"/>
  <c r="G29" s="1"/>
  <c r="F23"/>
  <c r="G16"/>
  <c r="D28"/>
  <c r="E11"/>
  <c r="J6" i="2"/>
  <c r="D29" i="4"/>
  <c r="G36" i="2"/>
  <c r="G24"/>
  <c r="D16" i="4"/>
  <c r="E10"/>
  <c r="K10" s="1"/>
  <c r="G12" i="2"/>
  <c r="G30"/>
  <c r="G6"/>
  <c r="D17" i="4"/>
  <c r="D22"/>
  <c r="J22" s="1"/>
  <c r="D23"/>
  <c r="F41" i="2" l="1"/>
  <c r="F11"/>
  <c r="J16" i="4"/>
  <c r="E16"/>
  <c r="F17" i="2"/>
  <c r="F35"/>
  <c r="F29"/>
  <c r="K30"/>
  <c r="K7"/>
  <c r="K8"/>
  <c r="K37"/>
  <c r="K14"/>
  <c r="K26"/>
  <c r="K25"/>
  <c r="K31"/>
  <c r="K32"/>
  <c r="K38"/>
  <c r="K13"/>
  <c r="J16"/>
  <c r="D41"/>
  <c r="E11"/>
  <c r="K22"/>
  <c r="D11"/>
  <c r="E41"/>
  <c r="K12"/>
  <c r="K11" i="4"/>
  <c r="J23"/>
  <c r="J23" i="2"/>
  <c r="J28"/>
  <c r="J34"/>
  <c r="J10"/>
  <c r="J40"/>
  <c r="E17"/>
  <c r="E35"/>
  <c r="D17"/>
  <c r="J17" i="4"/>
  <c r="J29"/>
  <c r="J28"/>
  <c r="K24" i="2"/>
  <c r="K36"/>
  <c r="E29"/>
  <c r="D29"/>
  <c r="D35"/>
  <c r="G29"/>
  <c r="E28" i="4"/>
  <c r="G11" i="2"/>
  <c r="G17"/>
  <c r="G23" i="4"/>
  <c r="G35" i="2"/>
  <c r="G41"/>
  <c r="K6"/>
  <c r="E17" i="4"/>
  <c r="E29"/>
  <c r="E22"/>
  <c r="K22" s="1"/>
  <c r="E23"/>
  <c r="K16" l="1"/>
  <c r="J41" i="2"/>
  <c r="J11"/>
  <c r="K28"/>
  <c r="K16"/>
  <c r="K34"/>
  <c r="J17"/>
  <c r="K40"/>
  <c r="K23"/>
  <c r="K10"/>
  <c r="K17" i="4"/>
  <c r="K29"/>
  <c r="K23"/>
  <c r="K28"/>
  <c r="J29" i="2"/>
  <c r="J35"/>
  <c r="K41" l="1"/>
  <c r="K11"/>
  <c r="K29"/>
  <c r="K35"/>
  <c r="K17"/>
</calcChain>
</file>

<file path=xl/comments1.xml><?xml version="1.0" encoding="utf-8"?>
<comments xmlns="http://schemas.openxmlformats.org/spreadsheetml/2006/main">
  <authors>
    <author>作者</author>
  </authors>
  <commentList>
    <comment ref="D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加银行存款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5.4</t>
        </r>
        <r>
          <rPr>
            <sz val="9"/>
            <color indexed="81"/>
            <rFont val="宋体"/>
            <family val="3"/>
            <charset val="134"/>
          </rPr>
          <t>亿债权计划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K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莱芜钢铁</t>
        </r>
      </text>
    </comment>
  </commentList>
</comments>
</file>

<file path=xl/sharedStrings.xml><?xml version="1.0" encoding="utf-8"?>
<sst xmlns="http://schemas.openxmlformats.org/spreadsheetml/2006/main" count="267" uniqueCount="144">
  <si>
    <t>风险管理或相应职能部门负责人签字：</t>
    <phoneticPr fontId="1" type="noConversion"/>
  </si>
  <si>
    <t>填报单位：</t>
    <phoneticPr fontId="1" type="noConversion"/>
  </si>
  <si>
    <t>请逐一列示信用评级下调债券情况，包括债券名称、账面余额、评级下调前后评级和其他需要说明的情况：
无信用评级下调债券</t>
    <phoneticPr fontId="1" type="noConversion"/>
  </si>
  <si>
    <t>公司负责人签字：</t>
    <phoneticPr fontId="1" type="noConversion"/>
  </si>
  <si>
    <t>民生人寿保险股份有限公司</t>
    <phoneticPr fontId="1" type="noConversion"/>
  </si>
  <si>
    <t>单位：人民币亿元</t>
  </si>
  <si>
    <t>公司负责人签字：</t>
  </si>
  <si>
    <t>风险管理或相应职能部门负责人签字：</t>
    <phoneticPr fontId="1" type="noConversion"/>
  </si>
  <si>
    <t>单位：人民币 亿元</t>
    <phoneticPr fontId="1" type="noConversion"/>
  </si>
  <si>
    <t>债券分类</t>
    <phoneticPr fontId="1" type="noConversion"/>
  </si>
  <si>
    <t>债券信用评级（短期融资券主体评级）</t>
    <phoneticPr fontId="1" type="noConversion"/>
  </si>
  <si>
    <t>短期融资券信用评级</t>
    <phoneticPr fontId="1" type="noConversion"/>
  </si>
  <si>
    <t>合计</t>
    <phoneticPr fontId="1" type="noConversion"/>
  </si>
  <si>
    <t>AAA</t>
    <phoneticPr fontId="1" type="noConversion"/>
  </si>
  <si>
    <t>AAA-</t>
    <phoneticPr fontId="1" type="noConversion"/>
  </si>
  <si>
    <t>AA+</t>
    <phoneticPr fontId="1" type="noConversion"/>
  </si>
  <si>
    <t>AA</t>
    <phoneticPr fontId="1" type="noConversion"/>
  </si>
  <si>
    <t>A-1+</t>
    <phoneticPr fontId="1" type="noConversion"/>
  </si>
  <si>
    <t>A-1</t>
    <phoneticPr fontId="1" type="noConversion"/>
  </si>
  <si>
    <t>账面余额</t>
    <phoneticPr fontId="1" type="noConversion"/>
  </si>
  <si>
    <t>占比(%)</t>
    <phoneticPr fontId="1" type="noConversion"/>
  </si>
  <si>
    <t>金融债券</t>
    <phoneticPr fontId="1" type="noConversion"/>
  </si>
  <si>
    <t>政策性商业银行</t>
    <phoneticPr fontId="1" type="noConversion"/>
  </si>
  <si>
    <t>四大国有银行债券</t>
    <phoneticPr fontId="1" type="noConversion"/>
  </si>
  <si>
    <t>股份制商业银行债券</t>
    <phoneticPr fontId="1" type="noConversion"/>
  </si>
  <si>
    <t>城市商业银行债券</t>
    <phoneticPr fontId="1" type="noConversion"/>
  </si>
  <si>
    <t>其他金融机构债券</t>
    <phoneticPr fontId="1" type="noConversion"/>
  </si>
  <si>
    <t>企业债券</t>
    <phoneticPr fontId="1" type="noConversion"/>
  </si>
  <si>
    <t>有担保债券</t>
    <phoneticPr fontId="1" type="noConversion"/>
  </si>
  <si>
    <t>金融机构担保债券</t>
    <phoneticPr fontId="1" type="noConversion"/>
  </si>
  <si>
    <t>其他金融机构担保</t>
    <phoneticPr fontId="1" type="noConversion"/>
  </si>
  <si>
    <t>企业担保债券</t>
    <phoneticPr fontId="1" type="noConversion"/>
  </si>
  <si>
    <t>中央企业担保</t>
    <phoneticPr fontId="1" type="noConversion"/>
  </si>
  <si>
    <t>其他企业担保</t>
    <phoneticPr fontId="1" type="noConversion"/>
  </si>
  <si>
    <t>短期融资券</t>
    <phoneticPr fontId="1" type="noConversion"/>
  </si>
  <si>
    <t>发生信用评级下调的债券情况</t>
    <phoneticPr fontId="1" type="noConversion"/>
  </si>
  <si>
    <r>
      <rPr>
        <sz val="9"/>
        <rFont val="宋体"/>
        <family val="3"/>
        <charset val="134"/>
      </rPr>
      <t>交易性金融资产</t>
    </r>
    <phoneticPr fontId="1" type="noConversion"/>
  </si>
  <si>
    <r>
      <rPr>
        <sz val="9"/>
        <rFont val="宋体"/>
        <family val="3"/>
        <charset val="134"/>
      </rPr>
      <t>可供出售金融资产</t>
    </r>
    <phoneticPr fontId="1" type="noConversion"/>
  </si>
  <si>
    <t>填报单位：</t>
    <phoneticPr fontId="1" type="noConversion"/>
  </si>
  <si>
    <t>民生人寿保险股份有限公司</t>
    <phoneticPr fontId="1" type="noConversion"/>
  </si>
  <si>
    <t>分红险产品(含传统险)</t>
    <phoneticPr fontId="1" type="noConversion"/>
  </si>
  <si>
    <t>万能险产品</t>
    <phoneticPr fontId="1" type="noConversion"/>
  </si>
  <si>
    <t>非寿险险预定收益投资型产品</t>
    <phoneticPr fontId="1" type="noConversion"/>
  </si>
  <si>
    <t>合计</t>
    <phoneticPr fontId="1" type="noConversion"/>
  </si>
  <si>
    <t>账面余额</t>
    <phoneticPr fontId="1" type="noConversion"/>
  </si>
  <si>
    <t>收益率(%)</t>
    <phoneticPr fontId="1" type="noConversion"/>
  </si>
  <si>
    <t>交易性金融资产</t>
    <phoneticPr fontId="1" type="noConversion"/>
  </si>
  <si>
    <t>可供出售金融资产</t>
    <phoneticPr fontId="1" type="noConversion"/>
  </si>
  <si>
    <t>说明：</t>
    <phoneticPr fontId="1" type="noConversion"/>
  </si>
  <si>
    <t>收益率是指综合收益</t>
    <phoneticPr fontId="1" type="noConversion"/>
  </si>
  <si>
    <t>项目</t>
    <phoneticPr fontId="1" type="noConversion"/>
  </si>
  <si>
    <t>非寿险预定收益投资型产品</t>
    <phoneticPr fontId="1" type="noConversion"/>
  </si>
  <si>
    <t>资产</t>
    <phoneticPr fontId="1" type="noConversion"/>
  </si>
  <si>
    <t>负债</t>
    <phoneticPr fontId="1" type="noConversion"/>
  </si>
  <si>
    <t>缺口</t>
    <phoneticPr fontId="1" type="noConversion"/>
  </si>
  <si>
    <t>期限匹配</t>
    <phoneticPr fontId="1" type="noConversion"/>
  </si>
  <si>
    <t>1年以下</t>
    <phoneticPr fontId="1" type="noConversion"/>
  </si>
  <si>
    <t>1年-7年（含）</t>
    <phoneticPr fontId="1" type="noConversion"/>
  </si>
  <si>
    <t>7年-15年（含）</t>
    <phoneticPr fontId="1" type="noConversion"/>
  </si>
  <si>
    <t>15年以上</t>
    <phoneticPr fontId="1" type="noConversion"/>
  </si>
  <si>
    <t>成本与收益匹配</t>
    <phoneticPr fontId="1" type="noConversion"/>
  </si>
  <si>
    <t>资金成本（%）</t>
    <phoneticPr fontId="1" type="noConversion"/>
  </si>
  <si>
    <t>资产收益率（%）</t>
    <phoneticPr fontId="1" type="noConversion"/>
  </si>
  <si>
    <t>备注</t>
    <phoneticPr fontId="1" type="noConversion"/>
  </si>
  <si>
    <t>1、传统保险包括人寿保险公司的传统保险、非寿险公司的传统保险；
2、传统保险资金成本是指保单保证利率，分红险的资金成本是指保单保证利率与最近1年分红水平之和，万能保险的资金成本是指过去12个月结算利率的算术平均数，非寿险预定收益投资型产品的资金成本是指最近1年给予投保人的年化回报率；
3、收益率是指截至季（年）的综合收益率，综合收益率=（（已实现收益+交易类浮赢亏+可供出售类未实现利得）/平均资金占用）×100%，平均资金占用是指每月月末资金运用余额的算术平均数，下同。</t>
    <phoneticPr fontId="1" type="noConversion"/>
  </si>
  <si>
    <t>单位：人民币亿元</t>
    <phoneticPr fontId="1" type="noConversion"/>
  </si>
  <si>
    <t>上证指数变动</t>
    <phoneticPr fontId="1" type="noConversion"/>
  </si>
  <si>
    <t>股票</t>
    <phoneticPr fontId="1" type="noConversion"/>
  </si>
  <si>
    <t>基金</t>
    <phoneticPr fontId="1" type="noConversion"/>
  </si>
  <si>
    <t>上证指数下跌10%</t>
    <phoneticPr fontId="1" type="noConversion"/>
  </si>
  <si>
    <t>上证指数下跌20%</t>
    <phoneticPr fontId="1" type="noConversion"/>
  </si>
  <si>
    <t>上证指数下跌30%</t>
    <phoneticPr fontId="1" type="noConversion"/>
  </si>
  <si>
    <t>风险管理或相应职能部门负责人签字：</t>
    <phoneticPr fontId="1" type="noConversion"/>
  </si>
  <si>
    <t>公司负责人签字：</t>
    <phoneticPr fontId="1" type="noConversion"/>
  </si>
  <si>
    <r>
      <rPr>
        <sz val="9"/>
        <rFont val="宋体"/>
        <family val="3"/>
        <charset val="134"/>
      </rPr>
      <t>填报单位：</t>
    </r>
    <phoneticPr fontId="1" type="noConversion"/>
  </si>
  <si>
    <r>
      <rPr>
        <sz val="9"/>
        <rFont val="宋体"/>
        <family val="3"/>
        <charset val="134"/>
      </rPr>
      <t>民生人寿保险股份有限公司</t>
    </r>
    <phoneticPr fontId="1" type="noConversion"/>
  </si>
  <si>
    <r>
      <rPr>
        <sz val="9"/>
        <rFont val="宋体"/>
        <family val="3"/>
        <charset val="134"/>
      </rPr>
      <t>单位：人民币亿元</t>
    </r>
  </si>
  <si>
    <r>
      <rPr>
        <sz val="9"/>
        <rFont val="宋体"/>
        <family val="3"/>
        <charset val="134"/>
      </rPr>
      <t>利率变动</t>
    </r>
    <phoneticPr fontId="1" type="noConversion"/>
  </si>
  <si>
    <r>
      <rPr>
        <sz val="9"/>
        <rFont val="宋体"/>
        <family val="3"/>
        <charset val="134"/>
      </rPr>
      <t>分红险产品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含传统险</t>
    </r>
    <r>
      <rPr>
        <sz val="9"/>
        <rFont val="Arial"/>
        <family val="2"/>
      </rPr>
      <t>)</t>
    </r>
    <phoneticPr fontId="1" type="noConversion"/>
  </si>
  <si>
    <r>
      <rPr>
        <sz val="9"/>
        <rFont val="宋体"/>
        <family val="3"/>
        <charset val="134"/>
      </rPr>
      <t>万能险产品</t>
    </r>
    <phoneticPr fontId="1" type="noConversion"/>
  </si>
  <si>
    <r>
      <rPr>
        <sz val="9"/>
        <rFont val="宋体"/>
        <family val="3"/>
        <charset val="134"/>
      </rPr>
      <t>非寿险险预定收益投资型产品</t>
    </r>
    <phoneticPr fontId="1" type="noConversion"/>
  </si>
  <si>
    <r>
      <rPr>
        <sz val="9"/>
        <rFont val="宋体"/>
        <family val="3"/>
        <charset val="134"/>
      </rPr>
      <t>合计</t>
    </r>
    <phoneticPr fontId="1" type="noConversion"/>
  </si>
  <si>
    <r>
      <rPr>
        <sz val="9"/>
        <rFont val="宋体"/>
        <family val="3"/>
        <charset val="134"/>
      </rPr>
      <t>账面余额</t>
    </r>
    <phoneticPr fontId="1" type="noConversion"/>
  </si>
  <si>
    <r>
      <rPr>
        <sz val="9"/>
        <rFont val="宋体"/>
        <family val="3"/>
        <charset val="134"/>
      </rPr>
      <t>收益率</t>
    </r>
    <r>
      <rPr>
        <sz val="9"/>
        <rFont val="Arial"/>
        <family val="2"/>
      </rPr>
      <t>(%)</t>
    </r>
    <phoneticPr fontId="1" type="noConversion"/>
  </si>
  <si>
    <r>
      <rPr>
        <sz val="9"/>
        <rFont val="宋体"/>
        <family val="3"/>
        <charset val="134"/>
      </rPr>
      <t>收益率曲线平移</t>
    </r>
    <r>
      <rPr>
        <sz val="9"/>
        <rFont val="Arial"/>
        <family val="2"/>
      </rPr>
      <t>-50BP</t>
    </r>
    <phoneticPr fontId="1" type="noConversion"/>
  </si>
  <si>
    <r>
      <rPr>
        <sz val="9"/>
        <rFont val="宋体"/>
        <family val="3"/>
        <charset val="134"/>
      </rPr>
      <t>持有到期金融资产</t>
    </r>
    <phoneticPr fontId="1" type="noConversion"/>
  </si>
  <si>
    <r>
      <rPr>
        <sz val="9"/>
        <rFont val="宋体"/>
        <family val="3"/>
        <charset val="134"/>
      </rPr>
      <t>贷款和应收帐款</t>
    </r>
    <phoneticPr fontId="1" type="noConversion"/>
  </si>
  <si>
    <r>
      <rPr>
        <sz val="9"/>
        <rFont val="宋体"/>
        <family val="3"/>
        <charset val="134"/>
      </rPr>
      <t>收益率曲线平移</t>
    </r>
    <r>
      <rPr>
        <sz val="9"/>
        <rFont val="Arial"/>
        <family val="2"/>
      </rPr>
      <t>-30BP</t>
    </r>
    <phoneticPr fontId="1" type="noConversion"/>
  </si>
  <si>
    <r>
      <rPr>
        <sz val="9"/>
        <rFont val="宋体"/>
        <family val="3"/>
        <charset val="134"/>
      </rPr>
      <t>收益率曲线平移</t>
    </r>
    <r>
      <rPr>
        <sz val="9"/>
        <rFont val="Arial"/>
        <family val="2"/>
      </rPr>
      <t>+50BP</t>
    </r>
    <phoneticPr fontId="1" type="noConversion"/>
  </si>
  <si>
    <r>
      <rPr>
        <sz val="9"/>
        <rFont val="宋体"/>
        <family val="3"/>
        <charset val="134"/>
      </rPr>
      <t>收益率曲线平移</t>
    </r>
    <r>
      <rPr>
        <sz val="9"/>
        <rFont val="Arial"/>
        <family val="2"/>
      </rPr>
      <t>+100BP</t>
    </r>
    <phoneticPr fontId="1" type="noConversion"/>
  </si>
  <si>
    <r>
      <rPr>
        <sz val="9"/>
        <rFont val="宋体"/>
        <family val="3"/>
        <charset val="134"/>
      </rPr>
      <t>收益率曲线平移</t>
    </r>
    <r>
      <rPr>
        <sz val="9"/>
        <rFont val="Arial"/>
        <family val="2"/>
      </rPr>
      <t>+150BP</t>
    </r>
    <phoneticPr fontId="1" type="noConversion"/>
  </si>
  <si>
    <r>
      <rPr>
        <sz val="9"/>
        <rFont val="宋体"/>
        <family val="3"/>
        <charset val="134"/>
      </rPr>
      <t>说明：</t>
    </r>
    <phoneticPr fontId="1" type="noConversion"/>
  </si>
  <si>
    <r>
      <rPr>
        <sz val="9"/>
        <rFont val="宋体"/>
        <family val="3"/>
        <charset val="134"/>
      </rPr>
      <t>收益率是指综合收益</t>
    </r>
    <phoneticPr fontId="1" type="noConversion"/>
  </si>
  <si>
    <r>
      <rPr>
        <sz val="9"/>
        <rFont val="宋体"/>
        <family val="3"/>
        <charset val="134"/>
      </rPr>
      <t>风险管理或相应职能部门负责人签字：</t>
    </r>
    <phoneticPr fontId="1" type="noConversion"/>
  </si>
  <si>
    <r>
      <rPr>
        <sz val="9"/>
        <rFont val="宋体"/>
        <family val="3"/>
        <charset val="134"/>
      </rPr>
      <t>公司负责人签字：</t>
    </r>
    <phoneticPr fontId="1" type="noConversion"/>
  </si>
  <si>
    <r>
      <t>1.</t>
    </r>
    <r>
      <rPr>
        <sz val="9"/>
        <rFont val="宋体"/>
        <family val="3"/>
        <charset val="134"/>
      </rPr>
      <t>固定收益部</t>
    </r>
    <phoneticPr fontId="1" type="noConversion"/>
  </si>
  <si>
    <r>
      <rPr>
        <sz val="9"/>
        <rFont val="宋体"/>
        <family val="3"/>
        <charset val="134"/>
      </rPr>
      <t>资产增量</t>
    </r>
    <phoneticPr fontId="1" type="noConversion"/>
  </si>
  <si>
    <r>
      <rPr>
        <sz val="9"/>
        <rFont val="宋体"/>
        <family val="3"/>
        <charset val="134"/>
      </rPr>
      <t>分红</t>
    </r>
    <phoneticPr fontId="1" type="noConversion"/>
  </si>
  <si>
    <r>
      <rPr>
        <sz val="9"/>
        <rFont val="宋体"/>
        <family val="3"/>
        <charset val="134"/>
      </rPr>
      <t>万能</t>
    </r>
    <phoneticPr fontId="1" type="noConversion"/>
  </si>
  <si>
    <r>
      <t>1</t>
    </r>
    <r>
      <rPr>
        <sz val="9"/>
        <rFont val="宋体"/>
        <family val="3"/>
        <charset val="134"/>
      </rPr>
      <t>年以下</t>
    </r>
    <phoneticPr fontId="1" type="noConversion"/>
  </si>
  <si>
    <r>
      <t>1</t>
    </r>
    <r>
      <rPr>
        <sz val="9"/>
        <rFont val="宋体"/>
        <family val="3"/>
        <charset val="134"/>
      </rPr>
      <t>年</t>
    </r>
    <r>
      <rPr>
        <sz val="9"/>
        <rFont val="Arial"/>
        <family val="2"/>
      </rPr>
      <t>-7</t>
    </r>
    <r>
      <rPr>
        <sz val="9"/>
        <rFont val="宋体"/>
        <family val="3"/>
        <charset val="134"/>
      </rPr>
      <t>年（含）</t>
    </r>
    <phoneticPr fontId="1" type="noConversion"/>
  </si>
  <si>
    <r>
      <t>7</t>
    </r>
    <r>
      <rPr>
        <sz val="9"/>
        <rFont val="宋体"/>
        <family val="3"/>
        <charset val="134"/>
      </rPr>
      <t>年</t>
    </r>
    <r>
      <rPr>
        <sz val="9"/>
        <rFont val="Arial"/>
        <family val="2"/>
      </rPr>
      <t>-15</t>
    </r>
    <r>
      <rPr>
        <sz val="9"/>
        <rFont val="宋体"/>
        <family val="3"/>
        <charset val="134"/>
      </rPr>
      <t>年（含）</t>
    </r>
    <phoneticPr fontId="1" type="noConversion"/>
  </si>
  <si>
    <r>
      <t>15</t>
    </r>
    <r>
      <rPr>
        <sz val="9"/>
        <rFont val="宋体"/>
        <family val="3"/>
        <charset val="134"/>
      </rPr>
      <t>年以上</t>
    </r>
    <phoneticPr fontId="1" type="noConversion"/>
  </si>
  <si>
    <r>
      <rPr>
        <sz val="9"/>
        <rFont val="宋体"/>
        <family val="3"/>
        <charset val="134"/>
      </rPr>
      <t>总计</t>
    </r>
    <phoneticPr fontId="1" type="noConversion"/>
  </si>
  <si>
    <r>
      <rPr>
        <sz val="9"/>
        <rFont val="宋体"/>
        <family val="3"/>
        <charset val="134"/>
      </rPr>
      <t>新增资产收益率（</t>
    </r>
    <r>
      <rPr>
        <sz val="9"/>
        <rFont val="Arial"/>
        <family val="2"/>
      </rPr>
      <t>%</t>
    </r>
    <r>
      <rPr>
        <sz val="9"/>
        <rFont val="宋体"/>
        <family val="3"/>
        <charset val="134"/>
      </rPr>
      <t>）</t>
    </r>
    <phoneticPr fontId="1" type="noConversion"/>
  </si>
  <si>
    <r>
      <t>2.</t>
    </r>
    <r>
      <rPr>
        <sz val="9"/>
        <rFont val="宋体"/>
        <family val="3"/>
        <charset val="134"/>
      </rPr>
      <t>总资产</t>
    </r>
    <phoneticPr fontId="1" type="noConversion"/>
  </si>
  <si>
    <r>
      <rPr>
        <sz val="9"/>
        <rFont val="宋体"/>
        <family val="3"/>
        <charset val="134"/>
      </rPr>
      <t>预计资产收益率（</t>
    </r>
    <r>
      <rPr>
        <sz val="9"/>
        <rFont val="Arial"/>
        <family val="2"/>
      </rPr>
      <t>%</t>
    </r>
    <r>
      <rPr>
        <sz val="9"/>
        <rFont val="宋体"/>
        <family val="3"/>
        <charset val="134"/>
      </rPr>
      <t>）</t>
    </r>
    <phoneticPr fontId="1" type="noConversion"/>
  </si>
  <si>
    <r>
      <t>3.</t>
    </r>
    <r>
      <rPr>
        <sz val="9"/>
        <rFont val="宋体"/>
        <family val="3"/>
        <charset val="134"/>
      </rPr>
      <t>风控数据</t>
    </r>
    <phoneticPr fontId="1" type="noConversion"/>
  </si>
  <si>
    <r>
      <rPr>
        <sz val="9"/>
        <rFont val="宋体"/>
        <family val="3"/>
        <charset val="134"/>
      </rPr>
      <t>债券</t>
    </r>
    <phoneticPr fontId="1" type="noConversion"/>
  </si>
  <si>
    <r>
      <rPr>
        <sz val="9"/>
        <rFont val="宋体"/>
        <family val="3"/>
        <charset val="134"/>
      </rPr>
      <t>平均修正久期</t>
    </r>
    <phoneticPr fontId="1" type="noConversion"/>
  </si>
  <si>
    <r>
      <rPr>
        <sz val="9"/>
        <rFont val="宋体"/>
        <family val="3"/>
        <charset val="134"/>
      </rPr>
      <t>传统</t>
    </r>
    <phoneticPr fontId="1" type="noConversion"/>
  </si>
  <si>
    <r>
      <rPr>
        <sz val="9"/>
        <rFont val="宋体"/>
        <family val="3"/>
        <charset val="134"/>
      </rPr>
      <t>交易性金融资产</t>
    </r>
    <phoneticPr fontId="1" type="noConversion"/>
  </si>
  <si>
    <r>
      <rPr>
        <sz val="9"/>
        <rFont val="宋体"/>
        <family val="3"/>
        <charset val="134"/>
      </rPr>
      <t>可供出售金融资产</t>
    </r>
    <phoneticPr fontId="1" type="noConversion"/>
  </si>
  <si>
    <r>
      <t>Beta</t>
    </r>
    <r>
      <rPr>
        <sz val="9"/>
        <rFont val="宋体"/>
        <family val="3"/>
        <charset val="134"/>
      </rPr>
      <t>（一年</t>
    </r>
    <r>
      <rPr>
        <sz val="9"/>
        <rFont val="Arial"/>
        <family val="2"/>
      </rPr>
      <t>)</t>
    </r>
    <phoneticPr fontId="1" type="noConversion"/>
  </si>
  <si>
    <r>
      <rPr>
        <sz val="9"/>
        <rFont val="宋体"/>
        <family val="3"/>
        <charset val="134"/>
      </rPr>
      <t>交易股票</t>
    </r>
    <phoneticPr fontId="1" type="noConversion"/>
  </si>
  <si>
    <r>
      <rPr>
        <sz val="9"/>
        <rFont val="宋体"/>
        <family val="3"/>
        <charset val="134"/>
      </rPr>
      <t>可供出售股票</t>
    </r>
    <phoneticPr fontId="1" type="noConversion"/>
  </si>
  <si>
    <t>交易基金</t>
    <phoneticPr fontId="1" type="noConversion"/>
  </si>
  <si>
    <r>
      <rPr>
        <sz val="9"/>
        <rFont val="宋体"/>
        <family val="3"/>
        <charset val="134"/>
      </rPr>
      <t>可供出售基金</t>
    </r>
    <phoneticPr fontId="1" type="noConversion"/>
  </si>
  <si>
    <t>AA-</t>
    <phoneticPr fontId="1" type="noConversion"/>
  </si>
  <si>
    <t>账面余额</t>
    <phoneticPr fontId="1" type="noConversion"/>
  </si>
  <si>
    <t>占比(%)</t>
    <phoneticPr fontId="1" type="noConversion"/>
  </si>
  <si>
    <t>表四：2012年4季度保险公司债券信用风险状况</t>
  </si>
  <si>
    <t>预计2013年末期限分布</t>
    <phoneticPr fontId="1" type="noConversion"/>
  </si>
  <si>
    <t>预计2013年末</t>
    <phoneticPr fontId="1" type="noConversion"/>
  </si>
  <si>
    <r>
      <t>2013</t>
    </r>
    <r>
      <rPr>
        <sz val="9"/>
        <rFont val="宋体"/>
        <family val="3"/>
        <charset val="134"/>
      </rPr>
      <t>年末固定收益资产</t>
    </r>
    <phoneticPr fontId="1" type="noConversion"/>
  </si>
  <si>
    <t>2013年新增资产</t>
    <phoneticPr fontId="1" type="noConversion"/>
  </si>
  <si>
    <t>农村商业银行债</t>
    <phoneticPr fontId="1" type="noConversion"/>
  </si>
  <si>
    <t>资产</t>
    <phoneticPr fontId="1" type="noConversion"/>
  </si>
  <si>
    <t>负债</t>
    <phoneticPr fontId="1" type="noConversion"/>
  </si>
  <si>
    <t>负债</t>
    <phoneticPr fontId="1" type="noConversion"/>
  </si>
  <si>
    <t>银行担保</t>
    <phoneticPr fontId="1" type="noConversion"/>
  </si>
  <si>
    <t>其他无担保债券</t>
    <phoneticPr fontId="1" type="noConversion"/>
  </si>
  <si>
    <t>地方国有企业担保</t>
    <phoneticPr fontId="1" type="noConversion"/>
  </si>
  <si>
    <r>
      <rPr>
        <sz val="9"/>
        <rFont val="宋体"/>
        <family val="3"/>
        <charset val="134"/>
      </rPr>
      <t>预计</t>
    </r>
    <r>
      <rPr>
        <sz val="9"/>
        <rFont val="Arial"/>
        <family val="2"/>
      </rPr>
      <t>2013</t>
    </r>
    <r>
      <rPr>
        <sz val="9"/>
        <rFont val="宋体"/>
        <family val="3"/>
        <charset val="134"/>
      </rPr>
      <t>年度</t>
    </r>
    <phoneticPr fontId="1" type="noConversion"/>
  </si>
  <si>
    <t>1季度末期限分布</t>
    <phoneticPr fontId="1" type="noConversion"/>
  </si>
  <si>
    <t>1季度末固定收益资产</t>
  </si>
  <si>
    <t>1季度末收益率曲线实际状况(基准情景)</t>
  </si>
  <si>
    <t>表二：2013年1季度保险公司固定收益资产利率压力测试</t>
    <phoneticPr fontId="1" type="noConversion"/>
  </si>
  <si>
    <t>1季度末上证指数点位</t>
    <phoneticPr fontId="1" type="noConversion"/>
  </si>
  <si>
    <t>表三：2013年1季度保险公司权益类资产市值压力测试</t>
    <phoneticPr fontId="1" type="noConversion"/>
  </si>
  <si>
    <t>不动产债权投资计划</t>
    <phoneticPr fontId="1" type="noConversion"/>
  </si>
  <si>
    <t>表一：2013年1季度保险公司资产负债匹配情况</t>
    <phoneticPr fontId="1" type="noConversion"/>
  </si>
  <si>
    <t>1季度末</t>
    <phoneticPr fontId="1" type="noConversion"/>
  </si>
  <si>
    <t>1、1季度末分红保险的分红储备金为（）亿元；
2、1季度末万能险平滑准备金为（）亿元。</t>
    <phoneticPr fontId="1" type="noConversion"/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</si>
</sst>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176" formatCode="0.00_ "/>
    <numFmt numFmtId="177" formatCode="0.00_);[Red]\(0.00\)"/>
    <numFmt numFmtId="178" formatCode="_ * #,##0_ ;_ * \-#,##0_ ;_ * &quot;-&quot;??_ ;_ @_ "/>
    <numFmt numFmtId="180" formatCode="_ * #,##0.0000_ ;_ * \-#,##0.0000_ ;_ * &quot;-&quot;??_ ;_ @_ "/>
    <numFmt numFmtId="181" formatCode="0.0_ "/>
    <numFmt numFmtId="182" formatCode="_ * #,##0.000000_ ;_ * \-#,##0.000000_ ;_ * &quot;-&quot;??_ ;_ @_ "/>
    <numFmt numFmtId="183" formatCode="_ * #,##0.000_ ;_ * \-#,##0.000_ ;_ * &quot;-&quot;??_ ;_ @_ "/>
    <numFmt numFmtId="184" formatCode="_ * #,##0.0_ ;_ * \-#,##0.0_ ;_ * &quot;-&quot;??_ ;_ @_ "/>
  </numFmts>
  <fonts count="18">
    <font>
      <sz val="12"/>
      <name val="宋体"/>
      <charset val="134"/>
    </font>
    <font>
      <sz val="9"/>
      <name val="宋体"/>
      <family val="3"/>
      <charset val="134"/>
    </font>
    <font>
      <sz val="9"/>
      <name val="Arial"/>
      <family val="2"/>
    </font>
    <font>
      <sz val="10"/>
      <name val="Helv"/>
      <family val="2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i/>
      <sz val="9"/>
      <color rgb="FFFF000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Arial"/>
      <family val="2"/>
    </font>
    <font>
      <sz val="10"/>
      <color rgb="FF00000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protection locked="0"/>
    </xf>
    <xf numFmtId="0" fontId="3" fillId="0" borderId="0">
      <protection locked="0"/>
    </xf>
    <xf numFmtId="43" fontId="5" fillId="0" borderId="0" applyFont="0" applyFill="0" applyBorder="0" applyAlignment="0" applyProtection="0">
      <alignment vertical="center"/>
    </xf>
    <xf numFmtId="0" fontId="7" fillId="0" borderId="0"/>
    <xf numFmtId="43" fontId="9" fillId="0" borderId="0" applyFont="0" applyFill="0" applyBorder="0" applyAlignment="0" applyProtection="0">
      <alignment vertical="center"/>
    </xf>
    <xf numFmtId="0" fontId="14" fillId="7" borderId="0">
      <alignment horizontal="right"/>
    </xf>
    <xf numFmtId="9" fontId="15" fillId="0" borderId="0" applyFont="0" applyFill="0" applyBorder="0" applyAlignment="0" applyProtection="0">
      <alignment vertical="center"/>
    </xf>
  </cellStyleXfs>
  <cellXfs count="186">
    <xf numFmtId="0" fontId="0" fillId="0" borderId="0" xfId="0" applyProtection="1"/>
    <xf numFmtId="0" fontId="2" fillId="0" borderId="1" xfId="0" applyFont="1" applyBorder="1" applyProtection="1"/>
    <xf numFmtId="43" fontId="2" fillId="0" borderId="1" xfId="0" applyNumberFormat="1" applyFont="1" applyBorder="1" applyProtection="1"/>
    <xf numFmtId="0" fontId="0" fillId="0" borderId="0" xfId="0" applyAlignment="1" applyProtection="1">
      <alignment vertical="center"/>
    </xf>
    <xf numFmtId="0" fontId="0" fillId="0" borderId="4" xfId="0" applyBorder="1" applyAlignment="1" applyProtection="1"/>
    <xf numFmtId="0" fontId="1" fillId="0" borderId="4" xfId="0" applyFont="1" applyBorder="1" applyAlignment="1" applyProtection="1"/>
    <xf numFmtId="0" fontId="0" fillId="0" borderId="0" xfId="0" applyBorder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1" fillId="0" borderId="1" xfId="1" applyFont="1" applyBorder="1" applyAlignment="1">
      <alignment vertical="center" wrapText="1"/>
      <protection locked="0"/>
    </xf>
    <xf numFmtId="176" fontId="2" fillId="0" borderId="1" xfId="1" applyNumberFormat="1" applyFont="1" applyFill="1" applyBorder="1" applyAlignment="1">
      <alignment horizontal="center" vertical="center"/>
      <protection locked="0"/>
    </xf>
    <xf numFmtId="176" fontId="2" fillId="2" borderId="1" xfId="0" applyNumberFormat="1" applyFont="1" applyFill="1" applyBorder="1" applyProtection="1"/>
    <xf numFmtId="176" fontId="2" fillId="3" borderId="1" xfId="0" applyNumberFormat="1" applyFont="1" applyFill="1" applyBorder="1" applyProtection="1"/>
    <xf numFmtId="43" fontId="2" fillId="4" borderId="1" xfId="0" applyNumberFormat="1" applyFont="1" applyFill="1" applyBorder="1" applyProtection="1"/>
    <xf numFmtId="43" fontId="2" fillId="5" borderId="1" xfId="0" applyNumberFormat="1" applyFont="1" applyFill="1" applyBorder="1" applyProtection="1"/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0" fontId="2" fillId="0" borderId="0" xfId="0" applyFont="1" applyProtection="1"/>
    <xf numFmtId="0" fontId="2" fillId="0" borderId="3" xfId="0" applyFont="1" applyBorder="1" applyProtection="1"/>
    <xf numFmtId="0" fontId="2" fillId="0" borderId="5" xfId="0" applyFont="1" applyBorder="1" applyProtection="1"/>
    <xf numFmtId="43" fontId="2" fillId="0" borderId="1" xfId="0" applyNumberFormat="1" applyFont="1" applyFill="1" applyBorder="1" applyProtection="1"/>
    <xf numFmtId="43" fontId="6" fillId="0" borderId="0" xfId="2" applyFont="1" applyFill="1" applyBorder="1" applyAlignment="1" applyProtection="1"/>
    <xf numFmtId="176" fontId="2" fillId="5" borderId="1" xfId="1" applyNumberFormat="1" applyFont="1" applyFill="1" applyBorder="1" applyAlignment="1">
      <alignment vertical="center"/>
      <protection locked="0"/>
    </xf>
    <xf numFmtId="176" fontId="2" fillId="4" borderId="1" xfId="1" applyNumberFormat="1" applyFont="1" applyFill="1" applyBorder="1" applyAlignment="1">
      <alignment vertical="center"/>
      <protection locked="0"/>
    </xf>
    <xf numFmtId="176" fontId="2" fillId="3" borderId="1" xfId="0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center"/>
    </xf>
    <xf numFmtId="43" fontId="2" fillId="4" borderId="1" xfId="2" applyFont="1" applyFill="1" applyBorder="1" applyAlignment="1" applyProtection="1"/>
    <xf numFmtId="43" fontId="2" fillId="5" borderId="1" xfId="2" applyFont="1" applyFill="1" applyBorder="1" applyAlignment="1" applyProtection="1"/>
    <xf numFmtId="43" fontId="2" fillId="0" borderId="1" xfId="2" applyFont="1" applyBorder="1" applyAlignment="1" applyProtection="1"/>
    <xf numFmtId="43" fontId="0" fillId="0" borderId="0" xfId="0" applyNumberFormat="1" applyAlignment="1" applyProtection="1">
      <alignment vertical="center"/>
    </xf>
    <xf numFmtId="43" fontId="0" fillId="0" borderId="0" xfId="2" applyFont="1" applyAlignment="1" applyProtection="1">
      <alignment vertical="center"/>
    </xf>
    <xf numFmtId="43" fontId="5" fillId="0" borderId="0" xfId="2" applyFont="1" applyBorder="1" applyAlignment="1" applyProtection="1">
      <alignment vertical="center"/>
    </xf>
    <xf numFmtId="43" fontId="5" fillId="0" borderId="0" xfId="2" applyFont="1" applyAlignment="1" applyProtection="1">
      <alignment vertical="center"/>
    </xf>
    <xf numFmtId="0" fontId="8" fillId="0" borderId="0" xfId="0" applyFont="1" applyProtection="1"/>
    <xf numFmtId="0" fontId="8" fillId="0" borderId="1" xfId="0" applyFont="1" applyBorder="1" applyProtection="1"/>
    <xf numFmtId="178" fontId="2" fillId="0" borderId="0" xfId="2" applyNumberFormat="1" applyFont="1" applyAlignment="1" applyProtection="1"/>
    <xf numFmtId="0" fontId="8" fillId="0" borderId="2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vertical="center"/>
    </xf>
    <xf numFmtId="0" fontId="8" fillId="0" borderId="3" xfId="0" applyFont="1" applyBorder="1" applyAlignment="1" applyProtection="1">
      <alignment vertical="center"/>
    </xf>
    <xf numFmtId="10" fontId="8" fillId="0" borderId="0" xfId="0" applyNumberFormat="1" applyFont="1" applyProtection="1"/>
    <xf numFmtId="176" fontId="8" fillId="0" borderId="0" xfId="0" applyNumberFormat="1" applyFont="1" applyProtection="1"/>
    <xf numFmtId="10" fontId="8" fillId="0" borderId="1" xfId="0" applyNumberFormat="1" applyFont="1" applyBorder="1" applyProtection="1"/>
    <xf numFmtId="176" fontId="8" fillId="0" borderId="1" xfId="0" applyNumberFormat="1" applyFont="1" applyBorder="1" applyProtection="1"/>
    <xf numFmtId="10" fontId="8" fillId="0" borderId="0" xfId="0" applyNumberFormat="1" applyFont="1" applyBorder="1" applyAlignment="1" applyProtection="1">
      <alignment vertical="center"/>
    </xf>
    <xf numFmtId="176" fontId="8" fillId="0" borderId="0" xfId="0" applyNumberFormat="1" applyFont="1" applyBorder="1" applyAlignment="1" applyProtection="1">
      <alignment vertical="center"/>
    </xf>
    <xf numFmtId="43" fontId="2" fillId="4" borderId="1" xfId="2" applyFont="1" applyFill="1" applyBorder="1" applyAlignment="1" applyProtection="1">
      <alignment vertical="center"/>
      <protection locked="0"/>
    </xf>
    <xf numFmtId="181" fontId="0" fillId="0" borderId="0" xfId="0" applyNumberFormat="1" applyProtection="1"/>
    <xf numFmtId="0" fontId="2" fillId="0" borderId="1" xfId="0" applyFont="1" applyBorder="1" applyAlignment="1" applyProtection="1">
      <alignment horizontal="center" vertical="center" wrapText="1"/>
    </xf>
    <xf numFmtId="43" fontId="2" fillId="0" borderId="0" xfId="0" applyNumberFormat="1" applyFont="1" applyProtection="1"/>
    <xf numFmtId="0" fontId="2" fillId="0" borderId="2" xfId="0" applyFont="1" applyBorder="1" applyAlignment="1" applyProtection="1">
      <alignment vertical="center"/>
    </xf>
    <xf numFmtId="177" fontId="6" fillId="0" borderId="0" xfId="0" applyNumberFormat="1" applyFont="1" applyProtection="1"/>
    <xf numFmtId="43" fontId="6" fillId="0" borderId="0" xfId="2" applyFont="1" applyAlignment="1" applyProtection="1"/>
    <xf numFmtId="177" fontId="2" fillId="0" borderId="0" xfId="0" applyNumberFormat="1" applyFont="1" applyProtection="1"/>
    <xf numFmtId="43" fontId="8" fillId="0" borderId="0" xfId="0" applyNumberFormat="1" applyFont="1" applyProtection="1"/>
    <xf numFmtId="0" fontId="2" fillId="0" borderId="1" xfId="0" applyFont="1" applyBorder="1" applyAlignment="1" applyProtection="1">
      <alignment horizontal="center" vertical="center"/>
    </xf>
    <xf numFmtId="0" fontId="1" fillId="0" borderId="0" xfId="0" applyFont="1" applyProtection="1"/>
    <xf numFmtId="180" fontId="2" fillId="0" borderId="0" xfId="2" applyNumberFormat="1" applyFont="1" applyAlignment="1" applyProtection="1"/>
    <xf numFmtId="178" fontId="2" fillId="0" borderId="0" xfId="2" applyNumberFormat="1" applyFont="1" applyAlignment="1" applyProtection="1">
      <alignment vertical="center"/>
    </xf>
    <xf numFmtId="178" fontId="1" fillId="0" borderId="0" xfId="2" applyNumberFormat="1" applyFont="1" applyAlignment="1" applyProtection="1"/>
    <xf numFmtId="43" fontId="2" fillId="3" borderId="1" xfId="2" applyFont="1" applyFill="1" applyBorder="1" applyAlignment="1" applyProtection="1"/>
    <xf numFmtId="178" fontId="2" fillId="0" borderId="1" xfId="2" applyNumberFormat="1" applyFont="1" applyFill="1" applyBorder="1" applyAlignment="1" applyProtection="1">
      <alignment horizontal="center" vertical="center"/>
    </xf>
    <xf numFmtId="178" fontId="2" fillId="0" borderId="1" xfId="2" applyNumberFormat="1" applyFont="1" applyBorder="1" applyAlignment="1" applyProtection="1">
      <alignment horizontal="center" vertical="center"/>
    </xf>
    <xf numFmtId="180" fontId="2" fillId="4" borderId="1" xfId="2" applyNumberFormat="1" applyFont="1" applyFill="1" applyBorder="1" applyAlignment="1" applyProtection="1">
      <alignment vertical="center"/>
    </xf>
    <xf numFmtId="180" fontId="2" fillId="0" borderId="1" xfId="2" applyNumberFormat="1" applyFont="1" applyBorder="1" applyAlignment="1" applyProtection="1">
      <alignment horizontal="center" vertical="center"/>
    </xf>
    <xf numFmtId="180" fontId="2" fillId="4" borderId="1" xfId="2" applyNumberFormat="1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</xf>
    <xf numFmtId="183" fontId="2" fillId="5" borderId="1" xfId="2" applyNumberFormat="1" applyFont="1" applyFill="1" applyBorder="1" applyAlignment="1" applyProtection="1">
      <alignment vertical="center"/>
      <protection locked="0"/>
    </xf>
    <xf numFmtId="43" fontId="1" fillId="0" borderId="1" xfId="2" applyFont="1" applyBorder="1" applyAlignment="1" applyProtection="1">
      <alignment vertical="center" wrapText="1"/>
      <protection locked="0"/>
    </xf>
    <xf numFmtId="43" fontId="0" fillId="0" borderId="0" xfId="2" applyFont="1" applyAlignment="1" applyProtection="1"/>
    <xf numFmtId="43" fontId="2" fillId="5" borderId="1" xfId="2" applyFont="1" applyFill="1" applyBorder="1" applyAlignment="1" applyProtection="1">
      <alignment vertical="center"/>
      <protection locked="0"/>
    </xf>
    <xf numFmtId="43" fontId="2" fillId="0" borderId="1" xfId="2" applyFont="1" applyFill="1" applyBorder="1" applyAlignment="1" applyProtection="1">
      <alignment horizontal="center" vertical="center"/>
      <protection locked="0"/>
    </xf>
    <xf numFmtId="182" fontId="0" fillId="0" borderId="0" xfId="0" applyNumberFormat="1" applyProtection="1"/>
    <xf numFmtId="43" fontId="1" fillId="0" borderId="0" xfId="2" applyFont="1" applyBorder="1" applyAlignment="1" applyProtection="1">
      <alignment vertical="center"/>
    </xf>
    <xf numFmtId="43" fontId="0" fillId="0" borderId="0" xfId="2" applyFont="1" applyBorder="1" applyAlignment="1" applyProtection="1"/>
    <xf numFmtId="43" fontId="1" fillId="0" borderId="0" xfId="2" applyFont="1" applyAlignment="1" applyProtection="1">
      <alignment horizontal="left" vertical="center"/>
    </xf>
    <xf numFmtId="43" fontId="0" fillId="0" borderId="0" xfId="0" applyNumberFormat="1" applyAlignment="1" applyProtection="1">
      <alignment horizontal="center" vertical="center"/>
    </xf>
    <xf numFmtId="180" fontId="2" fillId="4" borderId="1" xfId="2" applyNumberFormat="1" applyFont="1" applyFill="1" applyBorder="1" applyAlignment="1" applyProtection="1">
      <alignment vertical="center"/>
      <protection locked="0"/>
    </xf>
    <xf numFmtId="180" fontId="2" fillId="5" borderId="1" xfId="2" applyNumberFormat="1" applyFont="1" applyFill="1" applyBorder="1" applyAlignment="1" applyProtection="1">
      <alignment vertical="center"/>
      <protection locked="0"/>
    </xf>
    <xf numFmtId="43" fontId="2" fillId="0" borderId="0" xfId="2" applyNumberFormat="1" applyFont="1" applyAlignment="1" applyProtection="1"/>
    <xf numFmtId="43" fontId="2" fillId="0" borderId="0" xfId="2" applyFont="1" applyAlignment="1" applyProtection="1"/>
    <xf numFmtId="180" fontId="2" fillId="0" borderId="1" xfId="2" applyNumberFormat="1" applyFont="1" applyBorder="1" applyAlignment="1" applyProtection="1"/>
    <xf numFmtId="10" fontId="2" fillId="0" borderId="0" xfId="6" applyNumberFormat="1" applyFont="1" applyAlignment="1" applyProtection="1"/>
    <xf numFmtId="43" fontId="0" fillId="0" borderId="0" xfId="2" applyNumberFormat="1" applyFont="1" applyAlignment="1" applyProtection="1"/>
    <xf numFmtId="10" fontId="0" fillId="0" borderId="0" xfId="6" applyNumberFormat="1" applyFont="1" applyAlignment="1" applyProtection="1"/>
    <xf numFmtId="10" fontId="8" fillId="0" borderId="0" xfId="6" applyNumberFormat="1" applyFont="1" applyAlignment="1" applyProtection="1"/>
    <xf numFmtId="184" fontId="2" fillId="3" borderId="1" xfId="2" applyNumberFormat="1" applyFont="1" applyFill="1" applyBorder="1" applyAlignment="1" applyProtection="1">
      <alignment vertical="center"/>
    </xf>
    <xf numFmtId="0" fontId="8" fillId="8" borderId="1" xfId="0" applyFont="1" applyFill="1" applyBorder="1" applyProtection="1"/>
    <xf numFmtId="43" fontId="2" fillId="8" borderId="1" xfId="0" applyNumberFormat="1" applyFont="1" applyFill="1" applyBorder="1" applyProtection="1"/>
    <xf numFmtId="0" fontId="2" fillId="8" borderId="1" xfId="0" applyFont="1" applyFill="1" applyBorder="1" applyProtection="1"/>
    <xf numFmtId="0" fontId="8" fillId="8" borderId="0" xfId="0" applyFont="1" applyFill="1" applyProtection="1"/>
    <xf numFmtId="43" fontId="8" fillId="8" borderId="0" xfId="0" applyNumberFormat="1" applyFont="1" applyFill="1" applyProtection="1"/>
    <xf numFmtId="10" fontId="8" fillId="8" borderId="0" xfId="6" applyNumberFormat="1" applyFont="1" applyFill="1" applyAlignment="1" applyProtection="1"/>
    <xf numFmtId="180" fontId="8" fillId="0" borderId="0" xfId="0" applyNumberFormat="1" applyFont="1" applyProtection="1"/>
    <xf numFmtId="180" fontId="8" fillId="8" borderId="0" xfId="0" applyNumberFormat="1" applyFont="1" applyFill="1" applyProtection="1"/>
    <xf numFmtId="176" fontId="0" fillId="0" borderId="0" xfId="0" applyNumberFormat="1" applyProtection="1"/>
    <xf numFmtId="180" fontId="0" fillId="0" borderId="0" xfId="0" applyNumberFormat="1" applyAlignment="1" applyProtection="1">
      <alignment vertical="center"/>
    </xf>
    <xf numFmtId="180" fontId="2" fillId="0" borderId="0" xfId="0" applyNumberFormat="1" applyFont="1" applyProtection="1"/>
    <xf numFmtId="180" fontId="0" fillId="0" borderId="0" xfId="2" applyNumberFormat="1" applyFont="1" applyAlignment="1" applyProtection="1">
      <alignment vertical="center"/>
    </xf>
    <xf numFmtId="180" fontId="0" fillId="0" borderId="0" xfId="0" applyNumberFormat="1" applyAlignment="1" applyProtection="1">
      <alignment horizontal="center" vertical="center"/>
    </xf>
    <xf numFmtId="0" fontId="4" fillId="0" borderId="0" xfId="0" applyFont="1" applyAlignment="1" applyProtection="1">
      <alignment horizontal="center"/>
    </xf>
    <xf numFmtId="0" fontId="8" fillId="0" borderId="6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43" fontId="2" fillId="2" borderId="6" xfId="2" applyNumberFormat="1" applyFont="1" applyFill="1" applyBorder="1" applyAlignment="1" applyProtection="1">
      <alignment vertical="center"/>
    </xf>
    <xf numFmtId="43" fontId="2" fillId="2" borderId="7" xfId="2" applyNumberFormat="1" applyFont="1" applyFill="1" applyBorder="1" applyAlignment="1" applyProtection="1">
      <alignment vertical="center"/>
    </xf>
    <xf numFmtId="43" fontId="2" fillId="2" borderId="8" xfId="2" applyNumberFormat="1" applyFont="1" applyFill="1" applyBorder="1" applyAlignment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left" vertical="center" wrapText="1"/>
    </xf>
    <xf numFmtId="0" fontId="8" fillId="2" borderId="7" xfId="0" applyFont="1" applyFill="1" applyBorder="1" applyAlignment="1" applyProtection="1">
      <alignment horizontal="left" vertical="center" wrapText="1"/>
    </xf>
    <xf numFmtId="0" fontId="8" fillId="2" borderId="8" xfId="0" applyFont="1" applyFill="1" applyBorder="1" applyAlignment="1" applyProtection="1">
      <alignment horizontal="left" vertical="center" wrapText="1"/>
    </xf>
    <xf numFmtId="43" fontId="2" fillId="3" borderId="6" xfId="2" applyNumberFormat="1" applyFont="1" applyFill="1" applyBorder="1" applyAlignment="1" applyProtection="1">
      <alignment vertical="center"/>
    </xf>
    <xf numFmtId="43" fontId="2" fillId="3" borderId="7" xfId="2" applyNumberFormat="1" applyFont="1" applyFill="1" applyBorder="1" applyAlignment="1" applyProtection="1">
      <alignment vertical="center"/>
    </xf>
    <xf numFmtId="43" fontId="2" fillId="3" borderId="8" xfId="2" applyNumberFormat="1" applyFont="1" applyFill="1" applyBorder="1" applyAlignment="1" applyProtection="1">
      <alignment vertical="center"/>
    </xf>
    <xf numFmtId="43" fontId="2" fillId="0" borderId="6" xfId="2" applyNumberFormat="1" applyFont="1" applyBorder="1" applyAlignment="1" applyProtection="1">
      <alignment vertical="center"/>
    </xf>
    <xf numFmtId="43" fontId="2" fillId="0" borderId="7" xfId="2" applyNumberFormat="1" applyFont="1" applyBorder="1" applyAlignment="1" applyProtection="1">
      <alignment vertical="center"/>
    </xf>
    <xf numFmtId="43" fontId="2" fillId="0" borderId="8" xfId="2" applyNumberFormat="1" applyFont="1" applyBorder="1" applyAlignment="1" applyProtection="1">
      <alignment vertical="center"/>
    </xf>
    <xf numFmtId="43" fontId="2" fillId="6" borderId="6" xfId="2" applyNumberFormat="1" applyFont="1" applyFill="1" applyBorder="1" applyAlignment="1" applyProtection="1">
      <alignment vertical="center"/>
    </xf>
    <xf numFmtId="43" fontId="2" fillId="6" borderId="7" xfId="2" applyNumberFormat="1" applyFont="1" applyFill="1" applyBorder="1" applyAlignment="1" applyProtection="1">
      <alignment vertical="center"/>
    </xf>
    <xf numFmtId="43" fontId="2" fillId="6" borderId="8" xfId="2" applyNumberFormat="1" applyFont="1" applyFill="1" applyBorder="1" applyAlignment="1" applyProtection="1">
      <alignment vertical="center"/>
    </xf>
    <xf numFmtId="0" fontId="8" fillId="0" borderId="2" xfId="0" applyFont="1" applyBorder="1" applyAlignment="1" applyProtection="1">
      <alignment horizontal="left" vertical="center" wrapText="1"/>
    </xf>
    <xf numFmtId="0" fontId="2" fillId="0" borderId="2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13" fillId="0" borderId="0" xfId="0" applyFont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8" fillId="0" borderId="2" xfId="0" applyFont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8" fillId="0" borderId="4" xfId="0" applyFont="1" applyBorder="1" applyAlignment="1" applyProtection="1">
      <alignment horizontal="left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center" vertical="center" wrapText="1"/>
    </xf>
    <xf numFmtId="0" fontId="8" fillId="0" borderId="8" xfId="0" applyFont="1" applyBorder="1" applyAlignment="1" applyProtection="1">
      <alignment horizontal="center" vertical="center" wrapText="1"/>
    </xf>
    <xf numFmtId="0" fontId="1" fillId="0" borderId="3" xfId="1" applyFont="1" applyBorder="1" applyAlignment="1">
      <alignment vertical="center" wrapText="1"/>
      <protection locked="0"/>
    </xf>
    <xf numFmtId="0" fontId="3" fillId="0" borderId="5" xfId="0" applyFont="1" applyBorder="1" applyAlignment="1">
      <alignment vertical="center" wrapText="1"/>
      <protection locked="0"/>
    </xf>
    <xf numFmtId="0" fontId="1" fillId="0" borderId="6" xfId="1" applyFont="1" applyBorder="1" applyAlignment="1">
      <alignment horizontal="center" vertical="center" wrapText="1"/>
      <protection locked="0"/>
    </xf>
    <xf numFmtId="0" fontId="1" fillId="0" borderId="7" xfId="1" applyFont="1" applyBorder="1" applyAlignment="1">
      <alignment horizontal="center" vertical="center" wrapText="1"/>
      <protection locked="0"/>
    </xf>
    <xf numFmtId="0" fontId="1" fillId="0" borderId="8" xfId="1" applyFont="1" applyBorder="1" applyAlignment="1">
      <alignment horizontal="center" vertical="center" wrapText="1"/>
      <protection locked="0"/>
    </xf>
    <xf numFmtId="43" fontId="3" fillId="0" borderId="1" xfId="2" applyFont="1" applyBorder="1" applyAlignment="1" applyProtection="1">
      <alignment horizontal="center" vertical="center"/>
      <protection locked="0"/>
    </xf>
    <xf numFmtId="0" fontId="1" fillId="0" borderId="1" xfId="1" applyFont="1" applyBorder="1" applyAlignment="1">
      <alignment horizontal="center" vertical="center" wrapText="1"/>
      <protection locked="0"/>
    </xf>
    <xf numFmtId="0" fontId="1" fillId="0" borderId="3" xfId="1" applyFont="1" applyBorder="1" applyAlignment="1">
      <alignment horizontal="center" vertical="center" wrapText="1"/>
      <protection locked="0"/>
    </xf>
    <xf numFmtId="0" fontId="1" fillId="0" borderId="9" xfId="1" applyFont="1" applyBorder="1" applyAlignment="1">
      <alignment horizontal="center" vertical="center" wrapText="1"/>
      <protection locked="0"/>
    </xf>
    <xf numFmtId="0" fontId="1" fillId="0" borderId="5" xfId="1" applyFont="1" applyBorder="1" applyAlignment="1">
      <alignment horizontal="center" vertical="center" wrapText="1"/>
      <protection locked="0"/>
    </xf>
    <xf numFmtId="43" fontId="1" fillId="0" borderId="0" xfId="2" applyFont="1" applyAlignment="1" applyProtection="1">
      <alignment horizontal="left" vertical="center"/>
    </xf>
    <xf numFmtId="0" fontId="0" fillId="0" borderId="0" xfId="0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vertical="top" wrapText="1"/>
    </xf>
    <xf numFmtId="0" fontId="0" fillId="4" borderId="2" xfId="0" applyFill="1" applyBorder="1" applyAlignment="1" applyProtection="1">
      <alignment vertical="top"/>
    </xf>
    <xf numFmtId="0" fontId="0" fillId="4" borderId="11" xfId="0" applyFill="1" applyBorder="1" applyAlignment="1" applyProtection="1">
      <alignment vertical="top"/>
    </xf>
    <xf numFmtId="0" fontId="0" fillId="4" borderId="12" xfId="0" applyFill="1" applyBorder="1" applyAlignment="1" applyProtection="1">
      <alignment vertical="top"/>
    </xf>
    <xf numFmtId="0" fontId="0" fillId="4" borderId="0" xfId="0" applyFill="1" applyBorder="1" applyAlignment="1" applyProtection="1">
      <alignment vertical="top"/>
    </xf>
    <xf numFmtId="0" fontId="0" fillId="4" borderId="13" xfId="0" applyFill="1" applyBorder="1" applyAlignment="1" applyProtection="1">
      <alignment vertical="top"/>
    </xf>
    <xf numFmtId="0" fontId="0" fillId="4" borderId="14" xfId="0" applyFill="1" applyBorder="1" applyAlignment="1" applyProtection="1">
      <alignment vertical="top"/>
    </xf>
    <xf numFmtId="0" fontId="0" fillId="4" borderId="4" xfId="0" applyFill="1" applyBorder="1" applyAlignment="1" applyProtection="1">
      <alignment vertical="top"/>
    </xf>
    <xf numFmtId="0" fontId="0" fillId="4" borderId="15" xfId="0" applyFill="1" applyBorder="1" applyAlignment="1" applyProtection="1">
      <alignment vertical="top"/>
    </xf>
    <xf numFmtId="0" fontId="1" fillId="0" borderId="4" xfId="0" applyFont="1" applyBorder="1" applyAlignment="1" applyProtection="1">
      <alignment horizontal="left"/>
    </xf>
    <xf numFmtId="0" fontId="1" fillId="0" borderId="1" xfId="1" applyFont="1" applyBorder="1" applyAlignment="1">
      <alignment horizontal="center" vertical="center"/>
      <protection locked="0"/>
    </xf>
    <xf numFmtId="0" fontId="3" fillId="0" borderId="1" xfId="1" applyBorder="1" applyAlignment="1">
      <alignment horizontal="center" vertical="center"/>
      <protection locked="0"/>
    </xf>
    <xf numFmtId="0" fontId="1" fillId="0" borderId="6" xfId="1" applyFont="1" applyBorder="1" applyAlignment="1">
      <alignment horizontal="center" vertical="center"/>
      <protection locked="0"/>
    </xf>
    <xf numFmtId="0" fontId="1" fillId="0" borderId="7" xfId="1" applyFont="1" applyBorder="1" applyAlignment="1">
      <alignment horizontal="center" vertical="center"/>
      <protection locked="0"/>
    </xf>
    <xf numFmtId="0" fontId="1" fillId="0" borderId="8" xfId="1" applyFont="1" applyBorder="1" applyAlignment="1">
      <alignment horizontal="center" vertical="center"/>
      <protection locked="0"/>
    </xf>
    <xf numFmtId="180" fontId="2" fillId="0" borderId="6" xfId="2" applyNumberFormat="1" applyFont="1" applyBorder="1" applyAlignment="1" applyProtection="1">
      <alignment horizontal="center" vertical="center"/>
    </xf>
    <xf numFmtId="180" fontId="2" fillId="0" borderId="8" xfId="2" applyNumberFormat="1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</cellXfs>
  <cellStyles count="7">
    <cellStyle name="S7" xfId="5"/>
    <cellStyle name="百分比" xfId="6" builtinId="5"/>
    <cellStyle name="常规" xfId="0" builtinId="0"/>
    <cellStyle name="常规 2" xfId="3"/>
    <cellStyle name="常规_Sheet1" xfId="1"/>
    <cellStyle name="千位分隔" xfId="2" builtinId="3"/>
    <cellStyle name="千位分隔 2" xfId="4"/>
  </cellStyles>
  <dxfs count="17"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font>
        <sz val="9"/>
      </font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font>
        <sz val="9"/>
      </font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font>
        <sz val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U23"/>
  <sheetViews>
    <sheetView zoomScaleNormal="100" workbookViewId="0">
      <selection activeCell="E25" sqref="E25"/>
    </sheetView>
  </sheetViews>
  <sheetFormatPr defaultRowHeight="14.25"/>
  <cols>
    <col min="1" max="1" width="4.125" style="3" customWidth="1"/>
    <col min="2" max="2" width="6.25" style="3" customWidth="1"/>
    <col min="3" max="3" width="12" style="3" customWidth="1"/>
    <col min="4" max="4" width="13.375" style="3" customWidth="1"/>
    <col min="5" max="5" width="9.375" style="3" customWidth="1"/>
    <col min="6" max="6" width="10.75" style="3" customWidth="1"/>
    <col min="7" max="7" width="6" style="3" customWidth="1"/>
    <col min="8" max="8" width="9.25" style="3" customWidth="1"/>
    <col min="9" max="9" width="9.25" style="3" bestFit="1" customWidth="1"/>
    <col min="10" max="11" width="6" style="3" customWidth="1"/>
    <col min="12" max="12" width="6.75" style="3" customWidth="1"/>
    <col min="13" max="13" width="21" style="3" customWidth="1"/>
    <col min="14" max="14" width="18.375" style="30" bestFit="1" customWidth="1"/>
    <col min="15" max="16" width="16.125" style="30" customWidth="1"/>
    <col min="17" max="17" width="16.125" style="3" customWidth="1"/>
    <col min="18" max="18" width="12.75" style="30" customWidth="1"/>
    <col min="19" max="16384" width="9" style="3"/>
  </cols>
  <sheetData>
    <row r="1" spans="1:21" ht="18.75">
      <c r="A1" s="100" t="s">
        <v>141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3" spans="1:21">
      <c r="A3" s="106" t="s">
        <v>38</v>
      </c>
      <c r="B3" s="106"/>
      <c r="C3" s="107" t="s">
        <v>39</v>
      </c>
      <c r="D3" s="107"/>
      <c r="E3" s="107"/>
      <c r="F3" s="107"/>
      <c r="G3" s="107"/>
      <c r="H3" s="107"/>
      <c r="I3" s="107"/>
      <c r="J3" s="106" t="s">
        <v>5</v>
      </c>
      <c r="K3" s="106"/>
      <c r="L3" s="106"/>
    </row>
    <row r="4" spans="1:21">
      <c r="A4" s="104" t="s">
        <v>50</v>
      </c>
      <c r="B4" s="104"/>
      <c r="C4" s="104"/>
      <c r="D4" s="104" t="s">
        <v>40</v>
      </c>
      <c r="E4" s="104"/>
      <c r="F4" s="104"/>
      <c r="G4" s="104" t="s">
        <v>41</v>
      </c>
      <c r="H4" s="104"/>
      <c r="I4" s="104"/>
      <c r="J4" s="105" t="s">
        <v>51</v>
      </c>
      <c r="K4" s="105"/>
      <c r="L4" s="105"/>
    </row>
    <row r="5" spans="1:21">
      <c r="A5" s="105"/>
      <c r="B5" s="105"/>
      <c r="C5" s="105"/>
      <c r="D5" s="38" t="s">
        <v>52</v>
      </c>
      <c r="E5" s="38" t="s">
        <v>53</v>
      </c>
      <c r="F5" s="38" t="s">
        <v>54</v>
      </c>
      <c r="G5" s="38" t="s">
        <v>52</v>
      </c>
      <c r="H5" s="38" t="s">
        <v>53</v>
      </c>
      <c r="I5" s="38" t="s">
        <v>54</v>
      </c>
      <c r="J5" s="38" t="s">
        <v>52</v>
      </c>
      <c r="K5" s="38" t="s">
        <v>53</v>
      </c>
      <c r="L5" s="38" t="s">
        <v>54</v>
      </c>
      <c r="M5" s="3" t="s">
        <v>127</v>
      </c>
      <c r="N5" s="31" t="s">
        <v>128</v>
      </c>
      <c r="O5" s="3" t="s">
        <v>52</v>
      </c>
      <c r="P5" s="31" t="s">
        <v>53</v>
      </c>
      <c r="Q5" s="3" t="s">
        <v>127</v>
      </c>
      <c r="R5" s="32" t="s">
        <v>129</v>
      </c>
      <c r="S5" s="30"/>
    </row>
    <row r="6" spans="1:21" ht="12" customHeight="1">
      <c r="A6" s="108" t="s">
        <v>55</v>
      </c>
      <c r="B6" s="109" t="s">
        <v>134</v>
      </c>
      <c r="C6" s="38" t="s">
        <v>56</v>
      </c>
      <c r="D6" s="26"/>
      <c r="E6" s="10"/>
      <c r="F6" s="28"/>
      <c r="G6" s="26"/>
      <c r="H6" s="10"/>
      <c r="I6" s="81"/>
      <c r="J6" s="38"/>
      <c r="K6" s="38"/>
      <c r="L6" s="38"/>
      <c r="M6" s="96">
        <f>D6*10000</f>
        <v>0</v>
      </c>
      <c r="N6" s="98">
        <f>E6*10000</f>
        <v>0</v>
      </c>
      <c r="O6" s="96">
        <f>G6*10000</f>
        <v>0</v>
      </c>
      <c r="P6" s="30">
        <f>G6*10000</f>
        <v>0</v>
      </c>
      <c r="Q6" s="96">
        <f>G6*10000</f>
        <v>0</v>
      </c>
      <c r="R6" s="29">
        <f>H6*10000</f>
        <v>0</v>
      </c>
      <c r="S6" s="29"/>
      <c r="T6" s="29"/>
      <c r="U6" s="29"/>
    </row>
    <row r="7" spans="1:21" ht="15" customHeight="1">
      <c r="A7" s="108"/>
      <c r="B7" s="108"/>
      <c r="C7" s="38" t="s">
        <v>57</v>
      </c>
      <c r="D7" s="26"/>
      <c r="E7" s="10"/>
      <c r="F7" s="28"/>
      <c r="G7" s="26"/>
      <c r="H7" s="10"/>
      <c r="I7" s="81"/>
      <c r="J7" s="38"/>
      <c r="K7" s="38"/>
      <c r="L7" s="38"/>
      <c r="M7" s="96">
        <f t="shared" ref="M7:M13" si="0">D7*10000</f>
        <v>0</v>
      </c>
      <c r="N7" s="98">
        <f t="shared" ref="N7:N13" si="1">E7*10000</f>
        <v>0</v>
      </c>
      <c r="O7" s="96">
        <f t="shared" ref="O7:O13" si="2">G7*10000</f>
        <v>0</v>
      </c>
      <c r="P7" s="30">
        <f t="shared" ref="P7:P13" si="3">G7*10000</f>
        <v>0</v>
      </c>
      <c r="Q7" s="96">
        <f t="shared" ref="Q7:Q13" si="4">G7*10000</f>
        <v>0</v>
      </c>
      <c r="R7" s="29">
        <f t="shared" ref="R7:R13" si="5">H7*10000</f>
        <v>0</v>
      </c>
      <c r="S7" s="29"/>
      <c r="T7" s="29"/>
      <c r="U7" s="29"/>
    </row>
    <row r="8" spans="1:21">
      <c r="A8" s="108"/>
      <c r="B8" s="108"/>
      <c r="C8" s="38" t="s">
        <v>58</v>
      </c>
      <c r="D8" s="26"/>
      <c r="E8" s="10"/>
      <c r="F8" s="28"/>
      <c r="G8" s="26"/>
      <c r="H8" s="10"/>
      <c r="I8" s="81"/>
      <c r="J8" s="38"/>
      <c r="K8" s="38"/>
      <c r="L8" s="38"/>
      <c r="M8" s="96">
        <f t="shared" si="0"/>
        <v>0</v>
      </c>
      <c r="N8" s="98">
        <f t="shared" si="1"/>
        <v>0</v>
      </c>
      <c r="O8" s="96">
        <f t="shared" si="2"/>
        <v>0</v>
      </c>
      <c r="P8" s="30">
        <f t="shared" si="3"/>
        <v>0</v>
      </c>
      <c r="Q8" s="96">
        <f t="shared" si="4"/>
        <v>0</v>
      </c>
      <c r="R8" s="29">
        <f t="shared" si="5"/>
        <v>0</v>
      </c>
      <c r="S8" s="29"/>
      <c r="T8" s="29"/>
      <c r="U8" s="29"/>
    </row>
    <row r="9" spans="1:21">
      <c r="A9" s="108"/>
      <c r="B9" s="108"/>
      <c r="C9" s="38" t="s">
        <v>59</v>
      </c>
      <c r="D9" s="26"/>
      <c r="E9" s="10"/>
      <c r="F9" s="28"/>
      <c r="G9" s="26"/>
      <c r="H9" s="10"/>
      <c r="I9" s="81"/>
      <c r="J9" s="38"/>
      <c r="K9" s="38"/>
      <c r="L9" s="38"/>
      <c r="M9" s="96">
        <f t="shared" si="0"/>
        <v>0</v>
      </c>
      <c r="N9" s="98">
        <f t="shared" si="1"/>
        <v>0</v>
      </c>
      <c r="O9" s="96">
        <f t="shared" si="2"/>
        <v>0</v>
      </c>
      <c r="P9" s="30">
        <f t="shared" si="3"/>
        <v>0</v>
      </c>
      <c r="Q9" s="96">
        <f t="shared" si="4"/>
        <v>0</v>
      </c>
      <c r="R9" s="29">
        <f t="shared" si="5"/>
        <v>0</v>
      </c>
      <c r="S9" s="29"/>
      <c r="T9" s="29"/>
      <c r="U9" s="29"/>
    </row>
    <row r="10" spans="1:21">
      <c r="A10" s="108"/>
      <c r="B10" s="108" t="s">
        <v>122</v>
      </c>
      <c r="C10" s="38" t="s">
        <v>56</v>
      </c>
      <c r="D10" s="27"/>
      <c r="E10" s="10"/>
      <c r="F10" s="28"/>
      <c r="G10" s="27"/>
      <c r="H10" s="10"/>
      <c r="I10" s="81"/>
      <c r="J10" s="38"/>
      <c r="K10" s="38"/>
      <c r="L10" s="38"/>
      <c r="M10" s="96">
        <f t="shared" si="0"/>
        <v>0</v>
      </c>
      <c r="N10" s="98">
        <f t="shared" si="1"/>
        <v>0</v>
      </c>
      <c r="O10" s="96">
        <f t="shared" si="2"/>
        <v>0</v>
      </c>
      <c r="P10" s="30">
        <f t="shared" si="3"/>
        <v>0</v>
      </c>
      <c r="Q10" s="96">
        <f t="shared" si="4"/>
        <v>0</v>
      </c>
      <c r="R10" s="29">
        <f t="shared" si="5"/>
        <v>0</v>
      </c>
      <c r="S10" s="29"/>
      <c r="T10" s="29"/>
      <c r="U10" s="29"/>
    </row>
    <row r="11" spans="1:21">
      <c r="A11" s="108"/>
      <c r="B11" s="108"/>
      <c r="C11" s="38" t="s">
        <v>57</v>
      </c>
      <c r="D11" s="27"/>
      <c r="E11" s="10"/>
      <c r="F11" s="28"/>
      <c r="G11" s="27"/>
      <c r="H11" s="10"/>
      <c r="I11" s="81"/>
      <c r="J11" s="38"/>
      <c r="K11" s="38"/>
      <c r="L11" s="38"/>
      <c r="M11" s="96">
        <f t="shared" si="0"/>
        <v>0</v>
      </c>
      <c r="N11" s="98">
        <f t="shared" si="1"/>
        <v>0</v>
      </c>
      <c r="O11" s="96">
        <f t="shared" si="2"/>
        <v>0</v>
      </c>
      <c r="P11" s="30">
        <f t="shared" si="3"/>
        <v>0</v>
      </c>
      <c r="Q11" s="96">
        <f t="shared" si="4"/>
        <v>0</v>
      </c>
      <c r="R11" s="29">
        <f t="shared" si="5"/>
        <v>0</v>
      </c>
      <c r="S11" s="29"/>
      <c r="T11" s="29"/>
      <c r="U11" s="29"/>
    </row>
    <row r="12" spans="1:21">
      <c r="A12" s="108"/>
      <c r="B12" s="108"/>
      <c r="C12" s="38" t="s">
        <v>58</v>
      </c>
      <c r="D12" s="27"/>
      <c r="E12" s="10"/>
      <c r="F12" s="28"/>
      <c r="G12" s="27"/>
      <c r="H12" s="10"/>
      <c r="I12" s="81"/>
      <c r="J12" s="38"/>
      <c r="K12" s="38"/>
      <c r="L12" s="38"/>
      <c r="M12" s="96">
        <f t="shared" si="0"/>
        <v>0</v>
      </c>
      <c r="N12" s="98">
        <f t="shared" si="1"/>
        <v>0</v>
      </c>
      <c r="O12" s="96">
        <f t="shared" si="2"/>
        <v>0</v>
      </c>
      <c r="P12" s="30">
        <f t="shared" si="3"/>
        <v>0</v>
      </c>
      <c r="Q12" s="96">
        <f t="shared" si="4"/>
        <v>0</v>
      </c>
      <c r="R12" s="29">
        <f t="shared" si="5"/>
        <v>0</v>
      </c>
      <c r="S12" s="29"/>
      <c r="T12" s="29"/>
      <c r="U12" s="29"/>
    </row>
    <row r="13" spans="1:21">
      <c r="A13" s="108"/>
      <c r="B13" s="108"/>
      <c r="C13" s="38" t="s">
        <v>59</v>
      </c>
      <c r="D13" s="27"/>
      <c r="E13" s="10"/>
      <c r="F13" s="28"/>
      <c r="G13" s="27"/>
      <c r="H13" s="10"/>
      <c r="I13" s="81"/>
      <c r="J13" s="38"/>
      <c r="K13" s="38"/>
      <c r="L13" s="38"/>
      <c r="M13" s="96">
        <f t="shared" si="0"/>
        <v>0</v>
      </c>
      <c r="N13" s="98">
        <f t="shared" si="1"/>
        <v>0</v>
      </c>
      <c r="O13" s="96">
        <f t="shared" si="2"/>
        <v>0</v>
      </c>
      <c r="P13" s="30">
        <f t="shared" si="3"/>
        <v>0</v>
      </c>
      <c r="Q13" s="96">
        <f t="shared" si="4"/>
        <v>0</v>
      </c>
      <c r="R13" s="29">
        <f t="shared" si="5"/>
        <v>0</v>
      </c>
      <c r="S13" s="29"/>
      <c r="T13" s="29"/>
      <c r="U13" s="29"/>
    </row>
    <row r="14" spans="1:21" ht="12" customHeight="1">
      <c r="A14" s="108" t="s">
        <v>60</v>
      </c>
      <c r="B14" s="113" t="s">
        <v>142</v>
      </c>
      <c r="C14" s="38" t="s">
        <v>61</v>
      </c>
      <c r="D14" s="110"/>
      <c r="E14" s="111"/>
      <c r="F14" s="112"/>
      <c r="G14" s="110"/>
      <c r="H14" s="111"/>
      <c r="I14" s="112"/>
      <c r="J14" s="101"/>
      <c r="K14" s="102"/>
      <c r="L14" s="103"/>
      <c r="M14" s="76">
        <f>ROUND(D14,2)</f>
        <v>0</v>
      </c>
      <c r="N14" s="99">
        <f>ROUND(G14,2)</f>
        <v>0</v>
      </c>
      <c r="O14" s="76">
        <f>ROUND(F14,2)</f>
        <v>0</v>
      </c>
      <c r="P14" s="76">
        <f>ROUND(I14,2)</f>
        <v>0</v>
      </c>
    </row>
    <row r="15" spans="1:21">
      <c r="A15" s="108"/>
      <c r="B15" s="105"/>
      <c r="C15" s="38" t="s">
        <v>62</v>
      </c>
      <c r="D15" s="126"/>
      <c r="E15" s="127"/>
      <c r="F15" s="128"/>
      <c r="G15" s="126"/>
      <c r="H15" s="127"/>
      <c r="I15" s="128"/>
      <c r="J15" s="101"/>
      <c r="K15" s="102"/>
      <c r="L15" s="103"/>
      <c r="M15" s="76">
        <f t="shared" ref="M15:M19" si="6">ROUND(D15,2)</f>
        <v>0</v>
      </c>
      <c r="N15" s="76">
        <f t="shared" ref="N15:N19" si="7">ROUND(G15,2)</f>
        <v>0</v>
      </c>
      <c r="O15" s="76"/>
      <c r="P15" s="76"/>
    </row>
    <row r="16" spans="1:21">
      <c r="A16" s="108"/>
      <c r="B16" s="105"/>
      <c r="C16" s="38" t="s">
        <v>54</v>
      </c>
      <c r="D16" s="123"/>
      <c r="E16" s="124"/>
      <c r="F16" s="125"/>
      <c r="G16" s="123"/>
      <c r="H16" s="124"/>
      <c r="I16" s="125"/>
      <c r="J16" s="101"/>
      <c r="K16" s="102"/>
      <c r="L16" s="103"/>
      <c r="M16" s="76">
        <f t="shared" si="6"/>
        <v>0</v>
      </c>
      <c r="N16" s="76">
        <f t="shared" si="7"/>
        <v>0</v>
      </c>
      <c r="O16" s="76"/>
      <c r="P16" s="76"/>
    </row>
    <row r="17" spans="1:16">
      <c r="A17" s="108"/>
      <c r="B17" s="108" t="s">
        <v>123</v>
      </c>
      <c r="C17" s="38" t="s">
        <v>61</v>
      </c>
      <c r="D17" s="110"/>
      <c r="E17" s="111"/>
      <c r="F17" s="112"/>
      <c r="G17" s="110"/>
      <c r="H17" s="111"/>
      <c r="I17" s="112"/>
      <c r="J17" s="101"/>
      <c r="K17" s="102"/>
      <c r="L17" s="103"/>
      <c r="M17" s="76">
        <f t="shared" si="6"/>
        <v>0</v>
      </c>
      <c r="N17" s="76">
        <f t="shared" si="7"/>
        <v>0</v>
      </c>
      <c r="O17" s="76"/>
      <c r="P17" s="76"/>
    </row>
    <row r="18" spans="1:16">
      <c r="A18" s="108"/>
      <c r="B18" s="108"/>
      <c r="C18" s="38" t="s">
        <v>62</v>
      </c>
      <c r="D18" s="120"/>
      <c r="E18" s="121"/>
      <c r="F18" s="122"/>
      <c r="G18" s="120"/>
      <c r="H18" s="121"/>
      <c r="I18" s="122"/>
      <c r="J18" s="101"/>
      <c r="K18" s="102"/>
      <c r="L18" s="103"/>
      <c r="M18" s="76">
        <f t="shared" si="6"/>
        <v>0</v>
      </c>
      <c r="N18" s="76">
        <f t="shared" si="7"/>
        <v>0</v>
      </c>
      <c r="O18" s="76"/>
      <c r="P18" s="76"/>
    </row>
    <row r="19" spans="1:16">
      <c r="A19" s="108"/>
      <c r="B19" s="108"/>
      <c r="C19" s="38" t="s">
        <v>54</v>
      </c>
      <c r="D19" s="123"/>
      <c r="E19" s="124"/>
      <c r="F19" s="125"/>
      <c r="G19" s="123"/>
      <c r="H19" s="124"/>
      <c r="I19" s="125"/>
      <c r="J19" s="101"/>
      <c r="K19" s="102"/>
      <c r="L19" s="103"/>
      <c r="M19" s="76">
        <f t="shared" si="6"/>
        <v>0</v>
      </c>
      <c r="N19" s="76">
        <f t="shared" si="7"/>
        <v>0</v>
      </c>
      <c r="O19" s="76"/>
      <c r="P19" s="76"/>
    </row>
    <row r="20" spans="1:16" ht="26.25" customHeight="1">
      <c r="A20" s="39" t="s">
        <v>63</v>
      </c>
      <c r="B20" s="117" t="s">
        <v>143</v>
      </c>
      <c r="C20" s="118"/>
      <c r="D20" s="118"/>
      <c r="E20" s="118"/>
      <c r="F20" s="118"/>
      <c r="G20" s="118"/>
      <c r="H20" s="118"/>
      <c r="I20" s="118"/>
      <c r="J20" s="118"/>
      <c r="K20" s="118"/>
      <c r="L20" s="119"/>
    </row>
    <row r="21" spans="1:16" ht="80.25" customHeight="1">
      <c r="A21" s="115" t="s">
        <v>48</v>
      </c>
      <c r="B21" s="116"/>
      <c r="C21" s="129" t="s">
        <v>64</v>
      </c>
      <c r="D21" s="129"/>
      <c r="E21" s="129"/>
      <c r="F21" s="129"/>
      <c r="G21" s="129"/>
      <c r="H21" s="129"/>
      <c r="I21" s="129"/>
      <c r="J21" s="129"/>
      <c r="K21" s="129"/>
      <c r="L21" s="129"/>
    </row>
    <row r="23" spans="1:16">
      <c r="A23" s="114" t="s">
        <v>0</v>
      </c>
      <c r="B23" s="114"/>
      <c r="C23" s="114"/>
      <c r="D23" s="114"/>
      <c r="E23" s="6"/>
      <c r="F23" s="6"/>
      <c r="G23" s="6"/>
      <c r="H23" s="114" t="s">
        <v>6</v>
      </c>
      <c r="I23" s="114"/>
      <c r="J23" s="7"/>
      <c r="K23" s="6"/>
      <c r="L23" s="6"/>
    </row>
  </sheetData>
  <mergeCells count="37">
    <mergeCell ref="J18:L18"/>
    <mergeCell ref="J19:L19"/>
    <mergeCell ref="G18:I18"/>
    <mergeCell ref="G16:I16"/>
    <mergeCell ref="D16:F16"/>
    <mergeCell ref="D14:F14"/>
    <mergeCell ref="A23:D23"/>
    <mergeCell ref="A14:A19"/>
    <mergeCell ref="A21:B21"/>
    <mergeCell ref="B20:L20"/>
    <mergeCell ref="D17:F17"/>
    <mergeCell ref="D18:F18"/>
    <mergeCell ref="D19:F19"/>
    <mergeCell ref="G15:I15"/>
    <mergeCell ref="G19:I19"/>
    <mergeCell ref="H23:I23"/>
    <mergeCell ref="G14:I14"/>
    <mergeCell ref="C21:L21"/>
    <mergeCell ref="J16:L16"/>
    <mergeCell ref="J15:L15"/>
    <mergeCell ref="D15:F15"/>
    <mergeCell ref="A1:L1"/>
    <mergeCell ref="J17:L17"/>
    <mergeCell ref="A4:C5"/>
    <mergeCell ref="A3:B3"/>
    <mergeCell ref="J3:L3"/>
    <mergeCell ref="C3:I3"/>
    <mergeCell ref="J4:L4"/>
    <mergeCell ref="D4:F4"/>
    <mergeCell ref="A6:A13"/>
    <mergeCell ref="G4:I4"/>
    <mergeCell ref="J14:L14"/>
    <mergeCell ref="B6:B9"/>
    <mergeCell ref="B10:B13"/>
    <mergeCell ref="G17:I17"/>
    <mergeCell ref="B14:B16"/>
    <mergeCell ref="B17:B19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T53"/>
  <sheetViews>
    <sheetView zoomScaleNormal="100" workbookViewId="0">
      <pane xSplit="3" ySplit="5" topLeftCell="D6" activePane="bottomRight" state="frozen"/>
      <selection activeCell="E8" sqref="E8"/>
      <selection pane="topRight" activeCell="E8" sqref="E8"/>
      <selection pane="bottomLeft" activeCell="E8" sqref="E8"/>
      <selection pane="bottomRight" activeCell="D22" sqref="D22"/>
    </sheetView>
  </sheetViews>
  <sheetFormatPr defaultRowHeight="12"/>
  <cols>
    <col min="1" max="1" width="5.875" style="17" customWidth="1"/>
    <col min="2" max="2" width="7.875" style="17" customWidth="1"/>
    <col min="3" max="3" width="14.125" style="17" bestFit="1" customWidth="1"/>
    <col min="4" max="4" width="7.5" style="17" bestFit="1" customWidth="1"/>
    <col min="5" max="5" width="8.125" style="17" customWidth="1"/>
    <col min="6" max="6" width="7.5" style="17" bestFit="1" customWidth="1"/>
    <col min="7" max="7" width="5.625" style="17" customWidth="1"/>
    <col min="8" max="8" width="7.125" style="17" customWidth="1"/>
    <col min="9" max="9" width="6.125" style="17" customWidth="1"/>
    <col min="10" max="10" width="7.125" style="17" customWidth="1"/>
    <col min="11" max="11" width="5.625" style="17" customWidth="1"/>
    <col min="12" max="12" width="2.25" style="17" customWidth="1"/>
    <col min="13" max="13" width="13.375" style="17" bestFit="1" customWidth="1"/>
    <col min="14" max="14" width="5.75" style="17" bestFit="1" customWidth="1"/>
    <col min="15" max="15" width="9.125" style="17" bestFit="1" customWidth="1"/>
    <col min="16" max="16" width="5.75" style="17" bestFit="1" customWidth="1"/>
    <col min="17" max="17" width="11.375" style="17" bestFit="1" customWidth="1"/>
    <col min="18" max="18" width="5.5" style="80" customWidth="1"/>
    <col min="19" max="16384" width="9" style="17"/>
  </cols>
  <sheetData>
    <row r="1" spans="1:17">
      <c r="A1" s="139" t="s">
        <v>137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3" spans="1:17">
      <c r="A3" s="136" t="s">
        <v>74</v>
      </c>
      <c r="B3" s="136"/>
      <c r="C3" s="140" t="s">
        <v>75</v>
      </c>
      <c r="D3" s="140"/>
      <c r="E3" s="140"/>
      <c r="F3" s="140"/>
      <c r="G3" s="140"/>
      <c r="H3" s="141" t="s">
        <v>76</v>
      </c>
      <c r="I3" s="141"/>
      <c r="J3" s="141"/>
      <c r="K3" s="141"/>
    </row>
    <row r="4" spans="1:17" ht="24" customHeight="1">
      <c r="A4" s="135" t="s">
        <v>77</v>
      </c>
      <c r="B4" s="135"/>
      <c r="C4" s="135"/>
      <c r="D4" s="132" t="s">
        <v>78</v>
      </c>
      <c r="E4" s="133"/>
      <c r="F4" s="135" t="s">
        <v>79</v>
      </c>
      <c r="G4" s="135"/>
      <c r="H4" s="132" t="s">
        <v>80</v>
      </c>
      <c r="I4" s="133"/>
      <c r="J4" s="137" t="s">
        <v>81</v>
      </c>
      <c r="K4" s="138"/>
    </row>
    <row r="5" spans="1:17" ht="23.25">
      <c r="A5" s="135"/>
      <c r="B5" s="135"/>
      <c r="C5" s="135"/>
      <c r="D5" s="48" t="s">
        <v>82</v>
      </c>
      <c r="E5" s="48" t="s">
        <v>83</v>
      </c>
      <c r="F5" s="48" t="s">
        <v>82</v>
      </c>
      <c r="G5" s="48" t="s">
        <v>83</v>
      </c>
      <c r="H5" s="48" t="s">
        <v>82</v>
      </c>
      <c r="I5" s="48" t="s">
        <v>83</v>
      </c>
      <c r="J5" s="48" t="s">
        <v>82</v>
      </c>
      <c r="K5" s="48" t="s">
        <v>83</v>
      </c>
    </row>
    <row r="6" spans="1:17">
      <c r="A6" s="134" t="s">
        <v>84</v>
      </c>
      <c r="B6" s="134" t="s">
        <v>135</v>
      </c>
      <c r="C6" s="1" t="s">
        <v>36</v>
      </c>
      <c r="D6" s="13">
        <f>$D$18*(1+Data!$C$25*0.005)</f>
        <v>105</v>
      </c>
      <c r="E6" s="13">
        <f>$E$18+Data!$C$25*0.5</f>
        <v>15</v>
      </c>
      <c r="F6" s="13">
        <f>$F$18*(1+Data!$D$25*0.005)</f>
        <v>105</v>
      </c>
      <c r="G6" s="13">
        <f>IF(F6=0,0,$G$18+Data!$D$25*0.5)</f>
        <v>15</v>
      </c>
      <c r="H6" s="2"/>
      <c r="I6" s="2"/>
      <c r="J6" s="13">
        <f t="shared" ref="J6:J41" si="0">SUM(D6,F6,H6)</f>
        <v>210</v>
      </c>
      <c r="K6" s="13">
        <f>IF(J6=0,0,(D6*E6+F6*G6+H6*I6)/J6)</f>
        <v>15</v>
      </c>
      <c r="M6" s="97"/>
      <c r="N6" s="49"/>
      <c r="O6" s="49"/>
      <c r="P6" s="49"/>
      <c r="Q6" s="49"/>
    </row>
    <row r="7" spans="1:17">
      <c r="A7" s="134"/>
      <c r="B7" s="134"/>
      <c r="C7" s="1" t="s">
        <v>37</v>
      </c>
      <c r="D7" s="13">
        <f>$D$19*(1+Data!$C$26*0.005)</f>
        <v>105</v>
      </c>
      <c r="E7" s="13">
        <f>$E$19+Data!$C$26*0.5</f>
        <v>15</v>
      </c>
      <c r="F7" s="13">
        <f>$F$19*(1+Data!$D$26*0.005)</f>
        <v>105</v>
      </c>
      <c r="G7" s="13">
        <f>IF(F7=0,0,$G$19+Data!$D$26*0.5)</f>
        <v>15</v>
      </c>
      <c r="H7" s="2"/>
      <c r="I7" s="2"/>
      <c r="J7" s="13">
        <f t="shared" si="0"/>
        <v>210</v>
      </c>
      <c r="K7" s="13">
        <f t="shared" ref="K7:K41" si="1">IF(J7=0,0,(D7*E7+F7*G7+H7*I7)/J7)</f>
        <v>15</v>
      </c>
      <c r="M7" s="97"/>
      <c r="N7" s="49"/>
      <c r="O7" s="49"/>
      <c r="P7" s="49"/>
      <c r="Q7" s="49"/>
    </row>
    <row r="8" spans="1:17">
      <c r="A8" s="134"/>
      <c r="B8" s="134"/>
      <c r="C8" s="1" t="s">
        <v>85</v>
      </c>
      <c r="D8" s="13">
        <f>$D$20</f>
        <v>0</v>
      </c>
      <c r="E8" s="13">
        <f>$E$20</f>
        <v>0</v>
      </c>
      <c r="F8" s="13">
        <f>$F$20</f>
        <v>0</v>
      </c>
      <c r="G8" s="13">
        <f>$G$20</f>
        <v>0</v>
      </c>
      <c r="H8" s="2"/>
      <c r="I8" s="2"/>
      <c r="J8" s="13">
        <f t="shared" si="0"/>
        <v>0</v>
      </c>
      <c r="K8" s="13">
        <f t="shared" si="1"/>
        <v>0</v>
      </c>
      <c r="M8" s="97"/>
      <c r="N8" s="49"/>
      <c r="O8" s="49"/>
      <c r="P8" s="49"/>
      <c r="Q8" s="49"/>
    </row>
    <row r="9" spans="1:17">
      <c r="A9" s="134"/>
      <c r="B9" s="134"/>
      <c r="C9" s="1" t="s">
        <v>86</v>
      </c>
      <c r="D9" s="13">
        <f>$D$21</f>
        <v>0</v>
      </c>
      <c r="E9" s="13">
        <f>$E$21</f>
        <v>0</v>
      </c>
      <c r="F9" s="13">
        <f>$F$21</f>
        <v>0</v>
      </c>
      <c r="G9" s="13">
        <f>$G$21</f>
        <v>0</v>
      </c>
      <c r="H9" s="2"/>
      <c r="I9" s="2"/>
      <c r="J9" s="13">
        <f t="shared" si="0"/>
        <v>0</v>
      </c>
      <c r="K9" s="13">
        <f t="shared" si="1"/>
        <v>0</v>
      </c>
      <c r="M9" s="97"/>
      <c r="N9" s="49"/>
      <c r="O9" s="49"/>
      <c r="P9" s="49"/>
      <c r="Q9" s="49"/>
    </row>
    <row r="10" spans="1:17">
      <c r="A10" s="134"/>
      <c r="B10" s="135" t="s">
        <v>125</v>
      </c>
      <c r="C10" s="135"/>
      <c r="D10" s="13">
        <f>$D$22</f>
        <v>75</v>
      </c>
      <c r="E10" s="13">
        <f>$E$22</f>
        <v>0</v>
      </c>
      <c r="F10" s="13">
        <f>$F$22</f>
        <v>0</v>
      </c>
      <c r="G10" s="13">
        <f>$G$22</f>
        <v>0</v>
      </c>
      <c r="H10" s="2"/>
      <c r="I10" s="2"/>
      <c r="J10" s="13">
        <f t="shared" si="0"/>
        <v>75</v>
      </c>
      <c r="K10" s="13">
        <f t="shared" si="1"/>
        <v>0</v>
      </c>
      <c r="M10" s="97"/>
      <c r="N10" s="49"/>
      <c r="O10" s="49"/>
      <c r="P10" s="49"/>
      <c r="Q10" s="49"/>
    </row>
    <row r="11" spans="1:17">
      <c r="A11" s="134"/>
      <c r="B11" s="135" t="s">
        <v>124</v>
      </c>
      <c r="C11" s="135"/>
      <c r="D11" s="13">
        <f>SUM(D6:D10)</f>
        <v>285</v>
      </c>
      <c r="E11" s="13">
        <f>SUMPRODUCT(D6:D10,E6:E10)/SUM(D6:D10)</f>
        <v>11.052631578947368</v>
      </c>
      <c r="F11" s="13">
        <f>SUM(F6:F10)</f>
        <v>210</v>
      </c>
      <c r="G11" s="13">
        <f>SUMPRODUCT(F6:F10,G6:G10)/SUM(F6:F10)</f>
        <v>15</v>
      </c>
      <c r="H11" s="2"/>
      <c r="I11" s="2"/>
      <c r="J11" s="13">
        <f t="shared" si="0"/>
        <v>495</v>
      </c>
      <c r="K11" s="13">
        <f t="shared" si="1"/>
        <v>12.727272727272727</v>
      </c>
      <c r="M11" s="97"/>
      <c r="N11" s="49"/>
      <c r="O11" s="49"/>
      <c r="P11" s="49"/>
      <c r="Q11" s="49"/>
    </row>
    <row r="12" spans="1:17">
      <c r="A12" s="134" t="s">
        <v>87</v>
      </c>
      <c r="B12" s="134" t="s">
        <v>135</v>
      </c>
      <c r="C12" s="1" t="s">
        <v>36</v>
      </c>
      <c r="D12" s="13">
        <f>$D$18*(1+Data!$C$25*0.003)</f>
        <v>103</v>
      </c>
      <c r="E12" s="13">
        <f>$E$18+Data!$C$25*0.3</f>
        <v>13</v>
      </c>
      <c r="F12" s="13">
        <f>$F$18*(1+Data!$D$25*0.003)</f>
        <v>103</v>
      </c>
      <c r="G12" s="13">
        <f>IF(F12=0,0,$G$18+Data!$D$25*0.3)</f>
        <v>13</v>
      </c>
      <c r="H12" s="2"/>
      <c r="I12" s="2"/>
      <c r="J12" s="13">
        <f t="shared" si="0"/>
        <v>206</v>
      </c>
      <c r="K12" s="13">
        <f t="shared" si="1"/>
        <v>13</v>
      </c>
      <c r="M12" s="97"/>
      <c r="N12" s="49"/>
      <c r="O12" s="49"/>
      <c r="P12" s="49"/>
      <c r="Q12" s="49"/>
    </row>
    <row r="13" spans="1:17">
      <c r="A13" s="134"/>
      <c r="B13" s="134"/>
      <c r="C13" s="1" t="s">
        <v>37</v>
      </c>
      <c r="D13" s="13">
        <f>$D$19*(1+Data!$C$26*0.003)</f>
        <v>103</v>
      </c>
      <c r="E13" s="13">
        <f>$E$19+Data!$C$26*0.3</f>
        <v>13</v>
      </c>
      <c r="F13" s="13">
        <f>$F$19*(1+Data!$D$26*0.003)</f>
        <v>103</v>
      </c>
      <c r="G13" s="13">
        <f>IF(F13=0,0,$G$19+Data!$D$26*0.3)</f>
        <v>13</v>
      </c>
      <c r="H13" s="2"/>
      <c r="I13" s="2"/>
      <c r="J13" s="13">
        <f t="shared" si="0"/>
        <v>206</v>
      </c>
      <c r="K13" s="13">
        <f t="shared" si="1"/>
        <v>13</v>
      </c>
      <c r="M13" s="97"/>
      <c r="N13" s="49"/>
      <c r="O13" s="49"/>
      <c r="P13" s="49"/>
      <c r="Q13" s="49"/>
    </row>
    <row r="14" spans="1:17">
      <c r="A14" s="134"/>
      <c r="B14" s="134"/>
      <c r="C14" s="1" t="s">
        <v>85</v>
      </c>
      <c r="D14" s="13">
        <f>$D$20</f>
        <v>0</v>
      </c>
      <c r="E14" s="13">
        <f>$E$20</f>
        <v>0</v>
      </c>
      <c r="F14" s="13">
        <f>$F$20</f>
        <v>0</v>
      </c>
      <c r="G14" s="13">
        <f>$G$20</f>
        <v>0</v>
      </c>
      <c r="H14" s="2"/>
      <c r="I14" s="2"/>
      <c r="J14" s="13">
        <f t="shared" si="0"/>
        <v>0</v>
      </c>
      <c r="K14" s="13">
        <f t="shared" si="1"/>
        <v>0</v>
      </c>
      <c r="M14" s="97"/>
      <c r="N14" s="49"/>
      <c r="O14" s="49"/>
      <c r="P14" s="49"/>
      <c r="Q14" s="49"/>
    </row>
    <row r="15" spans="1:17">
      <c r="A15" s="134"/>
      <c r="B15" s="134"/>
      <c r="C15" s="1" t="s">
        <v>86</v>
      </c>
      <c r="D15" s="13">
        <f>$D$21</f>
        <v>0</v>
      </c>
      <c r="E15" s="13">
        <f>$E$21</f>
        <v>0</v>
      </c>
      <c r="F15" s="13">
        <f>$F$21</f>
        <v>0</v>
      </c>
      <c r="G15" s="13">
        <f>$G$21</f>
        <v>0</v>
      </c>
      <c r="H15" s="2"/>
      <c r="I15" s="2"/>
      <c r="J15" s="13">
        <f t="shared" si="0"/>
        <v>0</v>
      </c>
      <c r="K15" s="13">
        <f t="shared" si="1"/>
        <v>0</v>
      </c>
      <c r="M15" s="97"/>
      <c r="N15" s="49"/>
      <c r="O15" s="49"/>
      <c r="P15" s="49"/>
      <c r="Q15" s="49"/>
    </row>
    <row r="16" spans="1:17">
      <c r="A16" s="134"/>
      <c r="B16" s="135" t="s">
        <v>125</v>
      </c>
      <c r="C16" s="135"/>
      <c r="D16" s="13">
        <f>$D$22</f>
        <v>75</v>
      </c>
      <c r="E16" s="13">
        <f>$E$22</f>
        <v>0</v>
      </c>
      <c r="F16" s="13">
        <f>$F$22</f>
        <v>0</v>
      </c>
      <c r="G16" s="13">
        <f>$G$22</f>
        <v>0</v>
      </c>
      <c r="H16" s="2"/>
      <c r="I16" s="2"/>
      <c r="J16" s="13">
        <f t="shared" si="0"/>
        <v>75</v>
      </c>
      <c r="K16" s="13">
        <f t="shared" si="1"/>
        <v>0</v>
      </c>
      <c r="M16" s="97"/>
      <c r="N16" s="49"/>
      <c r="O16" s="49"/>
      <c r="P16" s="49"/>
      <c r="Q16" s="49"/>
    </row>
    <row r="17" spans="1:20">
      <c r="A17" s="134"/>
      <c r="B17" s="135" t="s">
        <v>124</v>
      </c>
      <c r="C17" s="135"/>
      <c r="D17" s="13">
        <f>SUM(D12:D16)</f>
        <v>281</v>
      </c>
      <c r="E17" s="13">
        <f>SUMPRODUCT(D12:D16,E12:E16)/SUM(D12:D16)</f>
        <v>9.530249110320284</v>
      </c>
      <c r="F17" s="13">
        <f>SUM(F12:F16)</f>
        <v>206</v>
      </c>
      <c r="G17" s="13">
        <f>SUMPRODUCT(F12:F16,G12:G16)/SUM(F12:F16)</f>
        <v>13</v>
      </c>
      <c r="H17" s="2"/>
      <c r="I17" s="2"/>
      <c r="J17" s="13">
        <f t="shared" si="0"/>
        <v>487</v>
      </c>
      <c r="K17" s="13">
        <f t="shared" si="1"/>
        <v>10.997946611909651</v>
      </c>
      <c r="M17" s="97"/>
      <c r="N17" s="49"/>
      <c r="O17" s="49"/>
      <c r="P17" s="49"/>
      <c r="Q17" s="49"/>
      <c r="S17" s="82"/>
      <c r="T17" s="49"/>
    </row>
    <row r="18" spans="1:20">
      <c r="A18" s="134" t="s">
        <v>136</v>
      </c>
      <c r="B18" s="134" t="s">
        <v>135</v>
      </c>
      <c r="C18" s="1" t="s">
        <v>36</v>
      </c>
      <c r="D18" s="12">
        <v>100</v>
      </c>
      <c r="E18" s="12">
        <v>10</v>
      </c>
      <c r="F18" s="12">
        <v>100</v>
      </c>
      <c r="G18" s="12">
        <v>10</v>
      </c>
      <c r="H18" s="20"/>
      <c r="I18" s="20"/>
      <c r="J18" s="13">
        <f t="shared" si="0"/>
        <v>200</v>
      </c>
      <c r="K18" s="13">
        <f t="shared" si="1"/>
        <v>10</v>
      </c>
      <c r="M18" s="97"/>
      <c r="N18" s="49"/>
      <c r="O18" s="49"/>
      <c r="P18" s="49"/>
      <c r="Q18" s="49"/>
      <c r="S18" s="82"/>
      <c r="T18" s="49"/>
    </row>
    <row r="19" spans="1:20">
      <c r="A19" s="134"/>
      <c r="B19" s="134"/>
      <c r="C19" s="1" t="s">
        <v>37</v>
      </c>
      <c r="D19" s="12">
        <v>100</v>
      </c>
      <c r="E19" s="12">
        <v>10</v>
      </c>
      <c r="F19" s="12">
        <v>100</v>
      </c>
      <c r="G19" s="12">
        <v>10</v>
      </c>
      <c r="H19" s="20"/>
      <c r="I19" s="20"/>
      <c r="J19" s="13">
        <f t="shared" si="0"/>
        <v>200</v>
      </c>
      <c r="K19" s="13">
        <f t="shared" si="1"/>
        <v>10</v>
      </c>
      <c r="M19" s="97"/>
      <c r="N19" s="49"/>
      <c r="O19" s="49"/>
      <c r="P19" s="49"/>
      <c r="Q19" s="49"/>
      <c r="S19" s="82"/>
      <c r="T19" s="49"/>
    </row>
    <row r="20" spans="1:20">
      <c r="A20" s="134"/>
      <c r="B20" s="134"/>
      <c r="C20" s="1" t="s">
        <v>85</v>
      </c>
      <c r="D20" s="12">
        <v>0</v>
      </c>
      <c r="E20" s="12"/>
      <c r="F20" s="12">
        <v>0</v>
      </c>
      <c r="G20" s="12"/>
      <c r="H20" s="20"/>
      <c r="I20" s="20"/>
      <c r="J20" s="13">
        <f t="shared" si="0"/>
        <v>0</v>
      </c>
      <c r="K20" s="13">
        <f t="shared" si="1"/>
        <v>0</v>
      </c>
      <c r="M20" s="97"/>
      <c r="N20" s="49"/>
      <c r="O20" s="49"/>
      <c r="P20" s="49"/>
      <c r="Q20" s="49"/>
    </row>
    <row r="21" spans="1:20">
      <c r="A21" s="134"/>
      <c r="B21" s="134"/>
      <c r="C21" s="1" t="s">
        <v>86</v>
      </c>
      <c r="D21" s="12">
        <v>0</v>
      </c>
      <c r="E21" s="12">
        <v>0</v>
      </c>
      <c r="F21" s="12">
        <v>0</v>
      </c>
      <c r="G21" s="12"/>
      <c r="H21" s="20"/>
      <c r="I21" s="20"/>
      <c r="J21" s="13">
        <f t="shared" si="0"/>
        <v>0</v>
      </c>
      <c r="K21" s="13">
        <f t="shared" si="1"/>
        <v>0</v>
      </c>
      <c r="M21" s="97"/>
      <c r="N21" s="49"/>
      <c r="O21" s="49"/>
      <c r="P21" s="49"/>
      <c r="Q21" s="49"/>
    </row>
    <row r="22" spans="1:20">
      <c r="A22" s="134"/>
      <c r="B22" s="135" t="s">
        <v>125</v>
      </c>
      <c r="C22" s="135"/>
      <c r="D22" s="13">
        <f>Data!$C$10*0.75</f>
        <v>75</v>
      </c>
      <c r="E22" s="13">
        <f>Data!$C$11</f>
        <v>0</v>
      </c>
      <c r="F22" s="13">
        <f>Data!$D$10*25%</f>
        <v>0</v>
      </c>
      <c r="G22" s="13">
        <f>Data!$D$11</f>
        <v>0</v>
      </c>
      <c r="H22" s="20"/>
      <c r="I22" s="20"/>
      <c r="J22" s="13">
        <f t="shared" si="0"/>
        <v>75</v>
      </c>
      <c r="K22" s="13">
        <f t="shared" si="1"/>
        <v>0</v>
      </c>
      <c r="M22" s="97"/>
      <c r="N22" s="49"/>
      <c r="O22" s="49"/>
      <c r="P22" s="49"/>
      <c r="Q22" s="49"/>
    </row>
    <row r="23" spans="1:20">
      <c r="A23" s="134"/>
      <c r="B23" s="135" t="s">
        <v>124</v>
      </c>
      <c r="C23" s="135"/>
      <c r="D23" s="13">
        <f>SUM(D18:D22)</f>
        <v>275</v>
      </c>
      <c r="E23" s="13">
        <f>SUMPRODUCT(D18:D22,E18:E22)/SUM(D18:D22)</f>
        <v>7.2727272727272725</v>
      </c>
      <c r="F23" s="13">
        <f>SUM(F18:F22)</f>
        <v>200</v>
      </c>
      <c r="G23" s="13">
        <f>SUMPRODUCT(F18:F22,G18:G22)/SUM(F18:F22)</f>
        <v>10</v>
      </c>
      <c r="H23" s="20"/>
      <c r="I23" s="20"/>
      <c r="J23" s="13">
        <f t="shared" si="0"/>
        <v>475</v>
      </c>
      <c r="K23" s="13">
        <f t="shared" si="1"/>
        <v>8.4210526315789469</v>
      </c>
      <c r="M23" s="97"/>
      <c r="N23" s="49"/>
      <c r="O23" s="49"/>
      <c r="P23" s="49"/>
      <c r="Q23" s="49"/>
    </row>
    <row r="24" spans="1:20">
      <c r="A24" s="134" t="s">
        <v>88</v>
      </c>
      <c r="B24" s="134" t="s">
        <v>135</v>
      </c>
      <c r="C24" s="1" t="s">
        <v>36</v>
      </c>
      <c r="D24" s="13">
        <f>$D$18*(1-Data!$C$25*0.005)</f>
        <v>95</v>
      </c>
      <c r="E24" s="13">
        <f>$E$18-Data!$C$25*0.5</f>
        <v>5</v>
      </c>
      <c r="F24" s="13">
        <f>$F$18*(1-Data!$D$25*0.005)</f>
        <v>95</v>
      </c>
      <c r="G24" s="13">
        <f>IF(F24=0,0,$G$18-Data!$D$25*0.5)</f>
        <v>5</v>
      </c>
      <c r="H24" s="2"/>
      <c r="I24" s="2"/>
      <c r="J24" s="13">
        <f t="shared" si="0"/>
        <v>190</v>
      </c>
      <c r="K24" s="13">
        <f t="shared" si="1"/>
        <v>5</v>
      </c>
      <c r="M24" s="97"/>
      <c r="N24" s="49"/>
      <c r="O24" s="49"/>
      <c r="P24" s="49"/>
      <c r="Q24" s="49"/>
    </row>
    <row r="25" spans="1:20">
      <c r="A25" s="134"/>
      <c r="B25" s="134"/>
      <c r="C25" s="1" t="s">
        <v>37</v>
      </c>
      <c r="D25" s="13">
        <f>$D$19*(1-Data!$C$26*0.005)</f>
        <v>95</v>
      </c>
      <c r="E25" s="13">
        <f>$E$19-Data!$C$26*0.5</f>
        <v>5</v>
      </c>
      <c r="F25" s="13">
        <f>$F$19*(1-Data!$D$26*0.005)</f>
        <v>95</v>
      </c>
      <c r="G25" s="13">
        <f>IF(F25=0,0,$G$19-Data!$D$26*0.5)</f>
        <v>5</v>
      </c>
      <c r="H25" s="2"/>
      <c r="I25" s="2"/>
      <c r="J25" s="13">
        <f t="shared" si="0"/>
        <v>190</v>
      </c>
      <c r="K25" s="13">
        <f t="shared" si="1"/>
        <v>5</v>
      </c>
      <c r="M25" s="97"/>
      <c r="N25" s="49"/>
      <c r="O25" s="49"/>
      <c r="P25" s="49"/>
      <c r="Q25" s="49"/>
    </row>
    <row r="26" spans="1:20">
      <c r="A26" s="134"/>
      <c r="B26" s="134"/>
      <c r="C26" s="1" t="s">
        <v>85</v>
      </c>
      <c r="D26" s="13">
        <f>$D$20</f>
        <v>0</v>
      </c>
      <c r="E26" s="13">
        <f>$E$20</f>
        <v>0</v>
      </c>
      <c r="F26" s="13">
        <f>$F$20</f>
        <v>0</v>
      </c>
      <c r="G26" s="13">
        <f>$G$20</f>
        <v>0</v>
      </c>
      <c r="H26" s="2"/>
      <c r="I26" s="2"/>
      <c r="J26" s="13">
        <f t="shared" si="0"/>
        <v>0</v>
      </c>
      <c r="K26" s="13">
        <f t="shared" si="1"/>
        <v>0</v>
      </c>
      <c r="M26" s="97"/>
      <c r="N26" s="49"/>
      <c r="O26" s="49"/>
      <c r="P26" s="49"/>
      <c r="Q26" s="49"/>
    </row>
    <row r="27" spans="1:20">
      <c r="A27" s="134"/>
      <c r="B27" s="134"/>
      <c r="C27" s="1" t="s">
        <v>86</v>
      </c>
      <c r="D27" s="13">
        <f>$D$21</f>
        <v>0</v>
      </c>
      <c r="E27" s="13">
        <f>$E$21</f>
        <v>0</v>
      </c>
      <c r="F27" s="13">
        <f>$F$21</f>
        <v>0</v>
      </c>
      <c r="G27" s="13">
        <f>$G$21</f>
        <v>0</v>
      </c>
      <c r="H27" s="2"/>
      <c r="I27" s="2"/>
      <c r="J27" s="13">
        <f t="shared" si="0"/>
        <v>0</v>
      </c>
      <c r="K27" s="13">
        <f t="shared" si="1"/>
        <v>0</v>
      </c>
      <c r="M27" s="97"/>
      <c r="N27" s="49"/>
      <c r="O27" s="49"/>
      <c r="P27" s="49"/>
      <c r="Q27" s="49"/>
    </row>
    <row r="28" spans="1:20">
      <c r="A28" s="134"/>
      <c r="B28" s="135" t="s">
        <v>125</v>
      </c>
      <c r="C28" s="135"/>
      <c r="D28" s="13">
        <f>$D$22</f>
        <v>75</v>
      </c>
      <c r="E28" s="13">
        <f>$E$22</f>
        <v>0</v>
      </c>
      <c r="F28" s="13">
        <f>$F$22</f>
        <v>0</v>
      </c>
      <c r="G28" s="13">
        <f>$G$22</f>
        <v>0</v>
      </c>
      <c r="H28" s="2"/>
      <c r="I28" s="2"/>
      <c r="J28" s="13">
        <f t="shared" si="0"/>
        <v>75</v>
      </c>
      <c r="K28" s="13">
        <f t="shared" si="1"/>
        <v>0</v>
      </c>
      <c r="M28" s="97"/>
      <c r="N28" s="49"/>
      <c r="O28" s="49"/>
      <c r="P28" s="49"/>
      <c r="Q28" s="49"/>
    </row>
    <row r="29" spans="1:20">
      <c r="A29" s="134"/>
      <c r="B29" s="135" t="s">
        <v>124</v>
      </c>
      <c r="C29" s="135"/>
      <c r="D29" s="13">
        <f>SUM(D24:D28)</f>
        <v>265</v>
      </c>
      <c r="E29" s="13">
        <f>SUMPRODUCT(D24:D28,E24:E28)/SUM(D24:D28)</f>
        <v>3.5849056603773586</v>
      </c>
      <c r="F29" s="13">
        <f>SUM(F24:F28)</f>
        <v>190</v>
      </c>
      <c r="G29" s="13">
        <f>SUMPRODUCT(F24:F28,G24:G28)/SUM(F24:F28)</f>
        <v>5</v>
      </c>
      <c r="H29" s="2"/>
      <c r="I29" s="2"/>
      <c r="J29" s="13">
        <f t="shared" si="0"/>
        <v>455</v>
      </c>
      <c r="K29" s="13">
        <f t="shared" si="1"/>
        <v>4.1758241758241761</v>
      </c>
      <c r="M29" s="97"/>
      <c r="N29" s="49"/>
      <c r="O29" s="49"/>
      <c r="P29" s="49"/>
      <c r="Q29" s="49"/>
    </row>
    <row r="30" spans="1:20">
      <c r="A30" s="134" t="s">
        <v>89</v>
      </c>
      <c r="B30" s="134" t="s">
        <v>135</v>
      </c>
      <c r="C30" s="1" t="s">
        <v>36</v>
      </c>
      <c r="D30" s="13">
        <f>$D$18*(1-Data!$C$25*0.01)</f>
        <v>90</v>
      </c>
      <c r="E30" s="13">
        <f>$E$18-Data!$C$25*1</f>
        <v>0</v>
      </c>
      <c r="F30" s="13">
        <f>$F$18*(1-Data!$D$25*0.01)</f>
        <v>90</v>
      </c>
      <c r="G30" s="13">
        <f>IF(F30=0,0,$G$18-Data!$D$25*1)</f>
        <v>0</v>
      </c>
      <c r="H30" s="2"/>
      <c r="I30" s="2"/>
      <c r="J30" s="13">
        <f t="shared" si="0"/>
        <v>180</v>
      </c>
      <c r="K30" s="13">
        <f t="shared" si="1"/>
        <v>0</v>
      </c>
      <c r="M30" s="97"/>
      <c r="N30" s="49"/>
      <c r="O30" s="49"/>
      <c r="P30" s="49"/>
      <c r="Q30" s="49"/>
    </row>
    <row r="31" spans="1:20">
      <c r="A31" s="134"/>
      <c r="B31" s="134"/>
      <c r="C31" s="1" t="s">
        <v>37</v>
      </c>
      <c r="D31" s="13">
        <f>$D$19*(1-Data!$C$26*0.01)</f>
        <v>90</v>
      </c>
      <c r="E31" s="13">
        <f>$E$19-Data!$C$26*1</f>
        <v>0</v>
      </c>
      <c r="F31" s="13">
        <f>$F$19*(1-Data!$D$26*0.01)</f>
        <v>90</v>
      </c>
      <c r="G31" s="13">
        <f>IF(F31=0,0,$G$19-Data!$D$26*1)</f>
        <v>0</v>
      </c>
      <c r="H31" s="2"/>
      <c r="I31" s="2"/>
      <c r="J31" s="13">
        <f t="shared" si="0"/>
        <v>180</v>
      </c>
      <c r="K31" s="13">
        <f t="shared" si="1"/>
        <v>0</v>
      </c>
      <c r="M31" s="97"/>
      <c r="N31" s="49"/>
      <c r="O31" s="49"/>
      <c r="P31" s="49"/>
      <c r="Q31" s="49"/>
    </row>
    <row r="32" spans="1:20">
      <c r="A32" s="134"/>
      <c r="B32" s="134"/>
      <c r="C32" s="1" t="s">
        <v>85</v>
      </c>
      <c r="D32" s="13">
        <f>$D$20</f>
        <v>0</v>
      </c>
      <c r="E32" s="13">
        <f>$E$20</f>
        <v>0</v>
      </c>
      <c r="F32" s="13">
        <f>$F$20</f>
        <v>0</v>
      </c>
      <c r="G32" s="13">
        <f>$G$20</f>
        <v>0</v>
      </c>
      <c r="H32" s="2"/>
      <c r="I32" s="2"/>
      <c r="J32" s="13">
        <f t="shared" si="0"/>
        <v>0</v>
      </c>
      <c r="K32" s="13">
        <f t="shared" si="1"/>
        <v>0</v>
      </c>
      <c r="M32" s="97"/>
      <c r="N32" s="49"/>
      <c r="O32" s="49"/>
      <c r="P32" s="49"/>
      <c r="Q32" s="49"/>
    </row>
    <row r="33" spans="1:18">
      <c r="A33" s="134"/>
      <c r="B33" s="134"/>
      <c r="C33" s="1" t="s">
        <v>86</v>
      </c>
      <c r="D33" s="13">
        <f>$D$21</f>
        <v>0</v>
      </c>
      <c r="E33" s="13">
        <f>$E$21</f>
        <v>0</v>
      </c>
      <c r="F33" s="13">
        <f>$F$21</f>
        <v>0</v>
      </c>
      <c r="G33" s="13">
        <f>$G$21</f>
        <v>0</v>
      </c>
      <c r="H33" s="2"/>
      <c r="I33" s="2"/>
      <c r="J33" s="13">
        <f t="shared" si="0"/>
        <v>0</v>
      </c>
      <c r="K33" s="13">
        <f t="shared" si="1"/>
        <v>0</v>
      </c>
      <c r="M33" s="97"/>
      <c r="N33" s="49"/>
      <c r="O33" s="49"/>
      <c r="P33" s="49"/>
      <c r="Q33" s="49"/>
    </row>
    <row r="34" spans="1:18">
      <c r="A34" s="134"/>
      <c r="B34" s="135" t="s">
        <v>125</v>
      </c>
      <c r="C34" s="135"/>
      <c r="D34" s="13">
        <f>$D$22</f>
        <v>75</v>
      </c>
      <c r="E34" s="13">
        <f>$E$22</f>
        <v>0</v>
      </c>
      <c r="F34" s="13">
        <f>$F$22</f>
        <v>0</v>
      </c>
      <c r="G34" s="13">
        <f>$G$22</f>
        <v>0</v>
      </c>
      <c r="H34" s="2"/>
      <c r="I34" s="2"/>
      <c r="J34" s="13">
        <f t="shared" si="0"/>
        <v>75</v>
      </c>
      <c r="K34" s="13">
        <f t="shared" si="1"/>
        <v>0</v>
      </c>
      <c r="M34" s="97"/>
      <c r="N34" s="49"/>
      <c r="O34" s="49"/>
      <c r="P34" s="49"/>
      <c r="Q34" s="49"/>
    </row>
    <row r="35" spans="1:18">
      <c r="A35" s="134"/>
      <c r="B35" s="135" t="s">
        <v>124</v>
      </c>
      <c r="C35" s="135"/>
      <c r="D35" s="13">
        <f>SUM(D30:D34)</f>
        <v>255</v>
      </c>
      <c r="E35" s="13">
        <f>SUMPRODUCT(D30:D34,E30:E34)/SUM(D30:D34)</f>
        <v>0</v>
      </c>
      <c r="F35" s="13">
        <f>SUM(F30:F34)</f>
        <v>180</v>
      </c>
      <c r="G35" s="13">
        <f>SUMPRODUCT(F30:F34,G30:G34)/SUM(F30:F34)</f>
        <v>0</v>
      </c>
      <c r="H35" s="2"/>
      <c r="I35" s="2"/>
      <c r="J35" s="13">
        <f t="shared" si="0"/>
        <v>435</v>
      </c>
      <c r="K35" s="13">
        <f t="shared" si="1"/>
        <v>0</v>
      </c>
      <c r="M35" s="97"/>
      <c r="N35" s="49"/>
      <c r="O35" s="49"/>
      <c r="P35" s="49"/>
      <c r="Q35" s="49"/>
    </row>
    <row r="36" spans="1:18">
      <c r="A36" s="134" t="s">
        <v>90</v>
      </c>
      <c r="B36" s="134" t="s">
        <v>135</v>
      </c>
      <c r="C36" s="1" t="s">
        <v>36</v>
      </c>
      <c r="D36" s="13">
        <f>$D$18*(1-Data!$C$25*0.015)</f>
        <v>85</v>
      </c>
      <c r="E36" s="13">
        <f>$E$18-Data!$C$25*1.5</f>
        <v>-5</v>
      </c>
      <c r="F36" s="13">
        <f>$F$18*(1-Data!$D$25*0.015)</f>
        <v>85</v>
      </c>
      <c r="G36" s="13">
        <f>IF(F36=0,0,$G$18-Data!$D$25*1.5)</f>
        <v>-5</v>
      </c>
      <c r="H36" s="2"/>
      <c r="I36" s="2"/>
      <c r="J36" s="13">
        <f t="shared" si="0"/>
        <v>170</v>
      </c>
      <c r="K36" s="13">
        <f t="shared" si="1"/>
        <v>-5</v>
      </c>
      <c r="M36" s="97"/>
      <c r="N36" s="49"/>
      <c r="O36" s="49"/>
      <c r="P36" s="49"/>
      <c r="Q36" s="49"/>
    </row>
    <row r="37" spans="1:18">
      <c r="A37" s="134"/>
      <c r="B37" s="134"/>
      <c r="C37" s="1" t="s">
        <v>37</v>
      </c>
      <c r="D37" s="13">
        <f>$D$19*(1-Data!$C$26*0.015)</f>
        <v>85</v>
      </c>
      <c r="E37" s="13">
        <f>$E$19-Data!$C$26*1.5</f>
        <v>-5</v>
      </c>
      <c r="F37" s="13">
        <f>$F$19*(1-Data!$D$26*0.015)</f>
        <v>85</v>
      </c>
      <c r="G37" s="13">
        <f>IF(F37=0,0,$G$19-Data!$D$26*1.5)</f>
        <v>-5</v>
      </c>
      <c r="H37" s="2"/>
      <c r="I37" s="2"/>
      <c r="J37" s="13">
        <f t="shared" si="0"/>
        <v>170</v>
      </c>
      <c r="K37" s="13">
        <f t="shared" si="1"/>
        <v>-5</v>
      </c>
      <c r="M37" s="97"/>
      <c r="N37" s="49"/>
      <c r="O37" s="49"/>
      <c r="P37" s="49"/>
      <c r="Q37" s="49"/>
    </row>
    <row r="38" spans="1:18">
      <c r="A38" s="134"/>
      <c r="B38" s="134"/>
      <c r="C38" s="1" t="s">
        <v>85</v>
      </c>
      <c r="D38" s="13">
        <f>$D$20</f>
        <v>0</v>
      </c>
      <c r="E38" s="13">
        <f>$E$20</f>
        <v>0</v>
      </c>
      <c r="F38" s="13">
        <f>$F$20</f>
        <v>0</v>
      </c>
      <c r="G38" s="13">
        <f>$G$20</f>
        <v>0</v>
      </c>
      <c r="H38" s="2"/>
      <c r="I38" s="2"/>
      <c r="J38" s="13">
        <f t="shared" si="0"/>
        <v>0</v>
      </c>
      <c r="K38" s="13">
        <f t="shared" si="1"/>
        <v>0</v>
      </c>
      <c r="M38" s="97"/>
      <c r="N38" s="49"/>
      <c r="O38" s="49"/>
      <c r="P38" s="49"/>
      <c r="Q38" s="49"/>
    </row>
    <row r="39" spans="1:18">
      <c r="A39" s="134"/>
      <c r="B39" s="134"/>
      <c r="C39" s="1" t="s">
        <v>86</v>
      </c>
      <c r="D39" s="13">
        <f>$D$21</f>
        <v>0</v>
      </c>
      <c r="E39" s="13">
        <f>$E$21</f>
        <v>0</v>
      </c>
      <c r="F39" s="13">
        <f>$F$21</f>
        <v>0</v>
      </c>
      <c r="G39" s="13">
        <f>$G$21</f>
        <v>0</v>
      </c>
      <c r="H39" s="2"/>
      <c r="I39" s="2"/>
      <c r="J39" s="13">
        <f t="shared" si="0"/>
        <v>0</v>
      </c>
      <c r="K39" s="13">
        <f t="shared" si="1"/>
        <v>0</v>
      </c>
      <c r="M39" s="97"/>
      <c r="N39" s="49"/>
      <c r="O39" s="49"/>
      <c r="P39" s="49"/>
      <c r="Q39" s="49"/>
    </row>
    <row r="40" spans="1:18">
      <c r="A40" s="134"/>
      <c r="B40" s="135" t="s">
        <v>125</v>
      </c>
      <c r="C40" s="135"/>
      <c r="D40" s="13">
        <f>$D$22</f>
        <v>75</v>
      </c>
      <c r="E40" s="13">
        <f>$E$22</f>
        <v>0</v>
      </c>
      <c r="F40" s="13">
        <f>$F$22</f>
        <v>0</v>
      </c>
      <c r="G40" s="13">
        <f>$G$22</f>
        <v>0</v>
      </c>
      <c r="H40" s="2"/>
      <c r="I40" s="2"/>
      <c r="J40" s="13">
        <f t="shared" si="0"/>
        <v>75</v>
      </c>
      <c r="K40" s="13">
        <f t="shared" si="1"/>
        <v>0</v>
      </c>
      <c r="M40" s="97"/>
      <c r="N40" s="49"/>
      <c r="O40" s="49"/>
      <c r="P40" s="49"/>
      <c r="Q40" s="49"/>
    </row>
    <row r="41" spans="1:18">
      <c r="A41" s="134"/>
      <c r="B41" s="135" t="s">
        <v>124</v>
      </c>
      <c r="C41" s="135"/>
      <c r="D41" s="13">
        <f>SUM(D36:D40)</f>
        <v>245</v>
      </c>
      <c r="E41" s="13">
        <f>SUMPRODUCT(D36:D40,E36:E40)/SUM(D36:D40)</f>
        <v>-3.4693877551020407</v>
      </c>
      <c r="F41" s="13">
        <f>SUM(F36:F40)</f>
        <v>170</v>
      </c>
      <c r="G41" s="13">
        <f>SUMPRODUCT(F36:F40,G36:G40)/SUM(F36:F40)</f>
        <v>-5</v>
      </c>
      <c r="H41" s="2"/>
      <c r="I41" s="2"/>
      <c r="J41" s="13">
        <f t="shared" si="0"/>
        <v>415</v>
      </c>
      <c r="K41" s="13">
        <f t="shared" si="1"/>
        <v>-4.096385542168675</v>
      </c>
      <c r="M41" s="97"/>
      <c r="N41" s="49"/>
      <c r="O41" s="49"/>
      <c r="P41" s="49"/>
      <c r="Q41" s="49"/>
    </row>
    <row r="42" spans="1:18">
      <c r="A42" s="50" t="s">
        <v>91</v>
      </c>
      <c r="B42" s="130" t="s">
        <v>92</v>
      </c>
      <c r="C42" s="130"/>
      <c r="D42" s="130"/>
      <c r="E42" s="130"/>
      <c r="F42" s="130"/>
      <c r="G42" s="130"/>
      <c r="H42" s="130"/>
      <c r="I42" s="130"/>
      <c r="J42" s="130"/>
      <c r="K42" s="130"/>
    </row>
    <row r="44" spans="1:18">
      <c r="B44" s="131" t="s">
        <v>93</v>
      </c>
      <c r="C44" s="131"/>
      <c r="D44" s="131"/>
      <c r="E44" s="131"/>
      <c r="F44" s="131"/>
      <c r="G44" s="25"/>
      <c r="H44" s="131" t="s">
        <v>94</v>
      </c>
      <c r="I44" s="131"/>
      <c r="J44" s="131"/>
      <c r="K44" s="131"/>
    </row>
    <row r="46" spans="1:18">
      <c r="E46" s="49"/>
      <c r="F46" s="49"/>
    </row>
    <row r="47" spans="1:18" s="53" customFormat="1">
      <c r="A47" s="51"/>
      <c r="B47" s="51"/>
      <c r="C47" s="51"/>
      <c r="D47" s="21"/>
      <c r="E47" s="52"/>
      <c r="F47" s="21"/>
      <c r="G47" s="52"/>
      <c r="H47" s="52"/>
      <c r="I47" s="52"/>
      <c r="J47" s="52"/>
      <c r="K47" s="52"/>
      <c r="R47" s="80"/>
    </row>
    <row r="49" spans="5:8">
      <c r="E49" s="49"/>
      <c r="F49" s="49"/>
      <c r="H49" s="49"/>
    </row>
    <row r="51" spans="5:8">
      <c r="G51" s="17">
        <v>2988264.7199999997</v>
      </c>
    </row>
    <row r="52" spans="5:8">
      <c r="G52" s="17">
        <f>540000000+G51</f>
        <v>542988264.72000003</v>
      </c>
    </row>
    <row r="53" spans="5:8">
      <c r="G53" s="17">
        <f>G52/100000000</f>
        <v>5.4298826472000004</v>
      </c>
    </row>
  </sheetData>
  <mergeCells count="36">
    <mergeCell ref="F4:G4"/>
    <mergeCell ref="J4:K4"/>
    <mergeCell ref="A1:K1"/>
    <mergeCell ref="C3:G3"/>
    <mergeCell ref="H3:K3"/>
    <mergeCell ref="D4:E4"/>
    <mergeCell ref="A6:A11"/>
    <mergeCell ref="B6:B9"/>
    <mergeCell ref="B10:C10"/>
    <mergeCell ref="B11:C11"/>
    <mergeCell ref="A3:B3"/>
    <mergeCell ref="A4:C5"/>
    <mergeCell ref="A18:A23"/>
    <mergeCell ref="B18:B21"/>
    <mergeCell ref="B22:C22"/>
    <mergeCell ref="B23:C23"/>
    <mergeCell ref="A12:A17"/>
    <mergeCell ref="B12:B15"/>
    <mergeCell ref="B16:C16"/>
    <mergeCell ref="B17:C17"/>
    <mergeCell ref="B42:K42"/>
    <mergeCell ref="B44:F44"/>
    <mergeCell ref="H44:K44"/>
    <mergeCell ref="H4:I4"/>
    <mergeCell ref="A36:A41"/>
    <mergeCell ref="B36:B39"/>
    <mergeCell ref="B40:C40"/>
    <mergeCell ref="B41:C41"/>
    <mergeCell ref="A30:A35"/>
    <mergeCell ref="B30:B33"/>
    <mergeCell ref="B34:C34"/>
    <mergeCell ref="B35:C35"/>
    <mergeCell ref="A24:A29"/>
    <mergeCell ref="B24:B27"/>
    <mergeCell ref="B28:C28"/>
    <mergeCell ref="B29:C29"/>
  </mergeCells>
  <phoneticPr fontId="1" type="noConversion"/>
  <pageMargins left="0.38" right="0.16" top="0.26" bottom="0.2" header="0.24" footer="0.1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2"/>
  <sheetViews>
    <sheetView workbookViewId="0">
      <selection activeCell="D40" sqref="D40"/>
    </sheetView>
  </sheetViews>
  <sheetFormatPr defaultRowHeight="11.25"/>
  <cols>
    <col min="1" max="1" width="6.5" style="33" customWidth="1"/>
    <col min="2" max="2" width="4.5" style="33" bestFit="1" customWidth="1"/>
    <col min="3" max="3" width="14.125" style="33" customWidth="1"/>
    <col min="4" max="4" width="12.625" style="33" customWidth="1"/>
    <col min="5" max="5" width="11.75" style="40" customWidth="1"/>
    <col min="6" max="6" width="12" style="41" customWidth="1"/>
    <col min="7" max="7" width="14.375" style="33" customWidth="1"/>
    <col min="8" max="8" width="3.375" style="33" customWidth="1"/>
    <col min="9" max="9" width="8.25" style="33" bestFit="1" customWidth="1"/>
    <col min="10" max="10" width="10.625" style="33" customWidth="1"/>
    <col min="11" max="11" width="6.75" style="33" customWidth="1"/>
    <col min="12" max="12" width="2.75" style="33" customWidth="1"/>
    <col min="13" max="13" width="12.25" style="33" bestFit="1" customWidth="1"/>
    <col min="14" max="15" width="9" style="33" customWidth="1"/>
    <col min="16" max="16" width="9.75" style="33" customWidth="1"/>
    <col min="17" max="17" width="9" style="85"/>
    <col min="18" max="16384" width="9" style="33"/>
  </cols>
  <sheetData>
    <row r="1" spans="1:17">
      <c r="A1" s="143" t="s">
        <v>139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</row>
    <row r="3" spans="1:17">
      <c r="A3" s="33" t="s">
        <v>38</v>
      </c>
      <c r="C3" s="147" t="s">
        <v>39</v>
      </c>
      <c r="D3" s="147"/>
      <c r="E3" s="147"/>
      <c r="F3" s="147"/>
      <c r="G3" s="147"/>
      <c r="H3" s="147"/>
      <c r="I3" s="142" t="s">
        <v>65</v>
      </c>
      <c r="J3" s="142"/>
      <c r="K3" s="142"/>
    </row>
    <row r="4" spans="1:17" ht="26.25" customHeight="1">
      <c r="A4" s="105" t="s">
        <v>66</v>
      </c>
      <c r="B4" s="105"/>
      <c r="C4" s="105"/>
      <c r="D4" s="151" t="s">
        <v>40</v>
      </c>
      <c r="E4" s="152"/>
      <c r="F4" s="105" t="s">
        <v>41</v>
      </c>
      <c r="G4" s="105"/>
      <c r="H4" s="151" t="s">
        <v>42</v>
      </c>
      <c r="I4" s="152"/>
      <c r="J4" s="105" t="s">
        <v>43</v>
      </c>
      <c r="K4" s="105"/>
    </row>
    <row r="5" spans="1:17">
      <c r="A5" s="105"/>
      <c r="B5" s="105"/>
      <c r="C5" s="105"/>
      <c r="D5" s="34" t="s">
        <v>44</v>
      </c>
      <c r="E5" s="42" t="s">
        <v>45</v>
      </c>
      <c r="F5" s="43" t="s">
        <v>44</v>
      </c>
      <c r="G5" s="34" t="s">
        <v>45</v>
      </c>
      <c r="H5" s="34" t="s">
        <v>44</v>
      </c>
      <c r="I5" s="34" t="s">
        <v>45</v>
      </c>
      <c r="J5" s="34" t="s">
        <v>44</v>
      </c>
      <c r="K5" s="34" t="s">
        <v>45</v>
      </c>
    </row>
    <row r="6" spans="1:17" ht="12">
      <c r="A6" s="148" t="s">
        <v>138</v>
      </c>
      <c r="B6" s="105" t="s">
        <v>67</v>
      </c>
      <c r="C6" s="34" t="s">
        <v>46</v>
      </c>
      <c r="D6" s="12">
        <v>100</v>
      </c>
      <c r="E6" s="12">
        <v>10</v>
      </c>
      <c r="F6" s="12">
        <v>100</v>
      </c>
      <c r="G6" s="12">
        <v>10</v>
      </c>
      <c r="H6" s="1"/>
      <c r="I6" s="1"/>
      <c r="J6" s="13">
        <f t="shared" ref="J6:J29" si="0">SUM(D6,F6,H6)</f>
        <v>200</v>
      </c>
      <c r="K6" s="13">
        <f>IF(J6=0,0,SUM(E6*D6,G6*F6,H6*I6)/J6)</f>
        <v>10</v>
      </c>
      <c r="M6" s="93"/>
      <c r="N6" s="54"/>
      <c r="O6" s="54"/>
      <c r="P6" s="54"/>
    </row>
    <row r="7" spans="1:17" ht="12">
      <c r="A7" s="149"/>
      <c r="B7" s="105"/>
      <c r="C7" s="34" t="s">
        <v>47</v>
      </c>
      <c r="D7" s="12">
        <v>100</v>
      </c>
      <c r="E7" s="12">
        <v>10</v>
      </c>
      <c r="F7" s="12">
        <v>100</v>
      </c>
      <c r="G7" s="12">
        <v>10</v>
      </c>
      <c r="H7" s="1"/>
      <c r="I7" s="1"/>
      <c r="J7" s="13">
        <f t="shared" si="0"/>
        <v>200</v>
      </c>
      <c r="K7" s="13">
        <f t="shared" ref="K7:K29" si="1">IF(J7=0,0,SUM(E7*D7,G7*F7,H7*I7)/J7)</f>
        <v>10</v>
      </c>
      <c r="M7" s="93"/>
      <c r="N7" s="54"/>
      <c r="O7" s="54"/>
      <c r="P7" s="54"/>
    </row>
    <row r="8" spans="1:17" ht="12">
      <c r="A8" s="149"/>
      <c r="B8" s="105" t="s">
        <v>68</v>
      </c>
      <c r="C8" s="34" t="s">
        <v>46</v>
      </c>
      <c r="D8" s="12">
        <v>100</v>
      </c>
      <c r="E8" s="12">
        <v>10</v>
      </c>
      <c r="F8" s="12">
        <v>100</v>
      </c>
      <c r="G8" s="12">
        <v>10</v>
      </c>
      <c r="H8" s="1"/>
      <c r="I8" s="1"/>
      <c r="J8" s="13">
        <f t="shared" si="0"/>
        <v>200</v>
      </c>
      <c r="K8" s="13">
        <f t="shared" si="1"/>
        <v>10</v>
      </c>
      <c r="M8" s="93"/>
      <c r="N8" s="54"/>
      <c r="O8" s="54"/>
      <c r="P8" s="54"/>
    </row>
    <row r="9" spans="1:17" ht="12">
      <c r="A9" s="149"/>
      <c r="B9" s="105"/>
      <c r="C9" s="34" t="s">
        <v>47</v>
      </c>
      <c r="D9" s="12">
        <v>100</v>
      </c>
      <c r="E9" s="12">
        <v>10</v>
      </c>
      <c r="F9" s="12">
        <v>100</v>
      </c>
      <c r="G9" s="12">
        <v>10</v>
      </c>
      <c r="H9" s="1"/>
      <c r="I9" s="1"/>
      <c r="J9" s="13">
        <f t="shared" si="0"/>
        <v>200</v>
      </c>
      <c r="K9" s="13">
        <f t="shared" si="1"/>
        <v>10</v>
      </c>
      <c r="M9" s="93"/>
      <c r="N9" s="54"/>
      <c r="O9" s="54"/>
      <c r="P9" s="54"/>
    </row>
    <row r="10" spans="1:17" s="90" customFormat="1" ht="12">
      <c r="A10" s="149"/>
      <c r="B10" s="105" t="s">
        <v>43</v>
      </c>
      <c r="C10" s="87" t="s">
        <v>46</v>
      </c>
      <c r="D10" s="88">
        <f>SUM(D6,D8)</f>
        <v>200</v>
      </c>
      <c r="E10" s="88">
        <f>IF(D10=0,0,SUM(E6*D6,E8*D8)/D10)</f>
        <v>10</v>
      </c>
      <c r="F10" s="88">
        <f>SUM(F6,F8)</f>
        <v>200</v>
      </c>
      <c r="G10" s="88">
        <f>IF(F10=0,0,SUM(G6*F6,G8*F8)/F10)</f>
        <v>10</v>
      </c>
      <c r="H10" s="89"/>
      <c r="I10" s="89"/>
      <c r="J10" s="88">
        <f t="shared" si="0"/>
        <v>400</v>
      </c>
      <c r="K10" s="88">
        <f t="shared" si="1"/>
        <v>10</v>
      </c>
      <c r="M10" s="94"/>
      <c r="N10" s="91"/>
      <c r="O10" s="91"/>
      <c r="P10" s="91"/>
      <c r="Q10" s="92"/>
    </row>
    <row r="11" spans="1:17" s="90" customFormat="1" ht="12">
      <c r="A11" s="150"/>
      <c r="B11" s="105"/>
      <c r="C11" s="87" t="s">
        <v>47</v>
      </c>
      <c r="D11" s="88">
        <f>SUM(D7,D9)</f>
        <v>200</v>
      </c>
      <c r="E11" s="88">
        <f>IF(D11=0,0,SUM(E7*D7,E9*D9)/D11)</f>
        <v>10</v>
      </c>
      <c r="F11" s="88">
        <f>F7+F9</f>
        <v>200</v>
      </c>
      <c r="G11" s="88">
        <f>IF(F11=0,0,SUM(G7*F7,G9*F9)/F11)</f>
        <v>10</v>
      </c>
      <c r="H11" s="89"/>
      <c r="I11" s="89"/>
      <c r="J11" s="88">
        <f t="shared" si="0"/>
        <v>400</v>
      </c>
      <c r="K11" s="88">
        <f t="shared" si="1"/>
        <v>10</v>
      </c>
      <c r="M11" s="91"/>
      <c r="N11" s="91"/>
      <c r="O11" s="91"/>
      <c r="P11" s="91"/>
      <c r="Q11" s="92"/>
    </row>
    <row r="12" spans="1:17" ht="12">
      <c r="A12" s="148" t="s">
        <v>69</v>
      </c>
      <c r="B12" s="105" t="s">
        <v>67</v>
      </c>
      <c r="C12" s="34" t="s">
        <v>46</v>
      </c>
      <c r="D12" s="13">
        <f>$D$6*(1-0.1*Data!$C$31)</f>
        <v>90</v>
      </c>
      <c r="E12" s="13">
        <f>IF(E6&gt;0,(1+E6)*(1-0.1*Data!C31)-1,(1+E6)*(1+0.1*Data!C31)-1)</f>
        <v>8.9</v>
      </c>
      <c r="F12" s="13">
        <f>IF(F6&gt;0,F6*(1-0.1*Data!D31),F6*(1+0.1*Data!D31))</f>
        <v>90</v>
      </c>
      <c r="G12" s="13">
        <f>IF(G6&gt;0,(1+G6)*(1-0.1*Data!D31)-1,(1+G6)*(1+0.1*Data!D31)-1)</f>
        <v>8.9</v>
      </c>
      <c r="H12" s="1"/>
      <c r="I12" s="1"/>
      <c r="J12" s="13">
        <f t="shared" si="0"/>
        <v>180</v>
      </c>
      <c r="K12" s="13">
        <f t="shared" si="1"/>
        <v>8.9</v>
      </c>
      <c r="M12" s="54"/>
      <c r="N12" s="54"/>
      <c r="O12" s="54"/>
      <c r="P12" s="54"/>
    </row>
    <row r="13" spans="1:17" ht="12">
      <c r="A13" s="149"/>
      <c r="B13" s="105"/>
      <c r="C13" s="34" t="s">
        <v>47</v>
      </c>
      <c r="D13" s="13">
        <f>$D$7*(1-0.1*Data!$C$32)</f>
        <v>90</v>
      </c>
      <c r="E13" s="13">
        <f>IF(E7&gt;0,(1+E7)*(1-0.1*Data!C32)-1,(1+E7)*(1+0.1*Data!C32)-1)</f>
        <v>8.9</v>
      </c>
      <c r="F13" s="13">
        <f>IF(F7&gt;0,F7*(1-0.1*Data!D32),F7*(1+0.1*Data!D32))</f>
        <v>90</v>
      </c>
      <c r="G13" s="13">
        <f>IF(G7&gt;0,(1+G7)*(1-0.1*Data!D32)-1,(1+G7)*(1+0.1*Data!D32)-1)</f>
        <v>8.9</v>
      </c>
      <c r="H13" s="1"/>
      <c r="I13" s="1"/>
      <c r="J13" s="13">
        <f t="shared" si="0"/>
        <v>180</v>
      </c>
      <c r="K13" s="13">
        <f t="shared" si="1"/>
        <v>8.9</v>
      </c>
      <c r="M13" s="54"/>
      <c r="N13" s="54"/>
      <c r="O13" s="54"/>
      <c r="P13" s="54"/>
    </row>
    <row r="14" spans="1:17" ht="12">
      <c r="A14" s="149"/>
      <c r="B14" s="105" t="s">
        <v>68</v>
      </c>
      <c r="C14" s="34" t="s">
        <v>46</v>
      </c>
      <c r="D14" s="13">
        <f>$D$8*(1-0.1*Data!$C$33)</f>
        <v>90</v>
      </c>
      <c r="E14" s="13">
        <f>IF(E8&gt;0,(1+E8)*(1-0.1*Data!C33)-1,(1+E8)*(1+0.1*Data!C33)-1)</f>
        <v>8.9</v>
      </c>
      <c r="F14" s="13">
        <f>IF(F8&gt;0,F8*(1-0.1*Data!D33),F8*(1+0.1*Data!D33))</f>
        <v>90</v>
      </c>
      <c r="G14" s="13">
        <f>IF(G8&gt;0,(1+G8)*(1-0.1*Data!D33)-1,(1+G8)*(1+0.1*Data!D33)-1)</f>
        <v>8.9</v>
      </c>
      <c r="H14" s="1"/>
      <c r="I14" s="1"/>
      <c r="J14" s="13">
        <f t="shared" si="0"/>
        <v>180</v>
      </c>
      <c r="K14" s="13">
        <f t="shared" si="1"/>
        <v>8.9</v>
      </c>
      <c r="M14" s="54"/>
      <c r="N14" s="54"/>
      <c r="O14" s="54"/>
      <c r="P14" s="54"/>
    </row>
    <row r="15" spans="1:17" ht="12">
      <c r="A15" s="149"/>
      <c r="B15" s="105"/>
      <c r="C15" s="34" t="s">
        <v>47</v>
      </c>
      <c r="D15" s="13">
        <f>$D$9*(1-0.1*Data!$C$34)</f>
        <v>90</v>
      </c>
      <c r="E15" s="13">
        <f>IF(E9&gt;0,(1+E9)*(1-0.1*Data!C34)-1,(1+E9)*(1+0.1*Data!C34)-1)</f>
        <v>8.9</v>
      </c>
      <c r="F15" s="13">
        <f>IF(F9&gt;0,F9*(1-0.1*Data!D34),F9*(1+0.1*Data!D34))</f>
        <v>90</v>
      </c>
      <c r="G15" s="13">
        <f>IF(G9&gt;0,(1+G9)*(1-0.1*Data!D34)-1,(1+G9)*(1+0.1*Data!D34)-1)</f>
        <v>8.9</v>
      </c>
      <c r="H15" s="1"/>
      <c r="I15" s="1"/>
      <c r="J15" s="13">
        <f t="shared" si="0"/>
        <v>180</v>
      </c>
      <c r="K15" s="13">
        <f t="shared" si="1"/>
        <v>8.9</v>
      </c>
      <c r="M15" s="54"/>
      <c r="N15" s="54"/>
      <c r="O15" s="54"/>
      <c r="P15" s="54"/>
    </row>
    <row r="16" spans="1:17" s="90" customFormat="1" ht="12">
      <c r="A16" s="149"/>
      <c r="B16" s="105" t="s">
        <v>43</v>
      </c>
      <c r="C16" s="87" t="s">
        <v>46</v>
      </c>
      <c r="D16" s="88">
        <f>SUM(D12,D14)</f>
        <v>180</v>
      </c>
      <c r="E16" s="88">
        <f>IF(D16=0,0,SUM(E12*D12,E14*D14)/D16)</f>
        <v>8.9</v>
      </c>
      <c r="F16" s="88">
        <f>SUM(F12,F14)</f>
        <v>180</v>
      </c>
      <c r="G16" s="88">
        <f>IF(F16=0,0,SUM(G12*F12,G14*F14)/F16)</f>
        <v>8.9</v>
      </c>
      <c r="H16" s="89"/>
      <c r="I16" s="89"/>
      <c r="J16" s="88">
        <f t="shared" si="0"/>
        <v>360</v>
      </c>
      <c r="K16" s="88">
        <f t="shared" si="1"/>
        <v>8.9</v>
      </c>
      <c r="M16" s="91"/>
      <c r="N16" s="91"/>
      <c r="O16" s="91"/>
      <c r="P16" s="91"/>
      <c r="Q16" s="92"/>
    </row>
    <row r="17" spans="1:17" s="90" customFormat="1" ht="12">
      <c r="A17" s="150"/>
      <c r="B17" s="105"/>
      <c r="C17" s="87" t="s">
        <v>47</v>
      </c>
      <c r="D17" s="88">
        <f>SUM(D13,D15)</f>
        <v>180</v>
      </c>
      <c r="E17" s="88">
        <f>IF(D17=0,0,SUM(E13*D13,E15*D15)/D17)</f>
        <v>8.9</v>
      </c>
      <c r="F17" s="88">
        <f>F13+F15</f>
        <v>180</v>
      </c>
      <c r="G17" s="88">
        <f>IF(F17=0,0,SUM(G13*F13,G15*F15)/F17)</f>
        <v>8.9</v>
      </c>
      <c r="H17" s="89"/>
      <c r="I17" s="89"/>
      <c r="J17" s="88">
        <f t="shared" si="0"/>
        <v>360</v>
      </c>
      <c r="K17" s="88">
        <f t="shared" si="1"/>
        <v>8.9</v>
      </c>
      <c r="M17" s="91"/>
      <c r="N17" s="91"/>
      <c r="O17" s="91"/>
      <c r="P17" s="91"/>
      <c r="Q17" s="92"/>
    </row>
    <row r="18" spans="1:17" ht="12">
      <c r="A18" s="148" t="s">
        <v>70</v>
      </c>
      <c r="B18" s="105" t="s">
        <v>67</v>
      </c>
      <c r="C18" s="34" t="s">
        <v>46</v>
      </c>
      <c r="D18" s="13">
        <f>$D$6*(1-0.2*Data!$C$31)</f>
        <v>80</v>
      </c>
      <c r="E18" s="13">
        <f>IF(E6&gt;0,(1+E6)*(1-0.2*Data!C31)-1,(1+E6)*(1+0.2*Data!C31)-1)</f>
        <v>7.8000000000000007</v>
      </c>
      <c r="F18" s="13">
        <f>IF(F6&gt;0,F6*(1-0.2*Data!D31),F6*(1+0.2*Data!D31))</f>
        <v>80</v>
      </c>
      <c r="G18" s="13">
        <f>IF(G6&gt;0,(1+G6)*(1-0.2*Data!D31)-1,(1+G6)*(1+0.2*Data!D31)-1)</f>
        <v>7.8000000000000007</v>
      </c>
      <c r="H18" s="1"/>
      <c r="I18" s="1"/>
      <c r="J18" s="13">
        <f t="shared" si="0"/>
        <v>160</v>
      </c>
      <c r="K18" s="13">
        <f t="shared" si="1"/>
        <v>7.8</v>
      </c>
      <c r="M18" s="54"/>
      <c r="N18" s="54"/>
      <c r="O18" s="54"/>
      <c r="P18" s="54"/>
    </row>
    <row r="19" spans="1:17" ht="12">
      <c r="A19" s="149"/>
      <c r="B19" s="105"/>
      <c r="C19" s="34" t="s">
        <v>47</v>
      </c>
      <c r="D19" s="13">
        <f>$D$7*(1-0.2*Data!$C$32)</f>
        <v>80</v>
      </c>
      <c r="E19" s="13">
        <f>IF(E7&gt;0,(1+E7)*(1-0.2*Data!C32)-1,(1+E7)*(1+0.2*Data!C32)-1)</f>
        <v>7.8000000000000007</v>
      </c>
      <c r="F19" s="13">
        <f>IF(F7&gt;0,F7*(1-0.2*Data!D32),F7*(1+0.2*Data!D32))</f>
        <v>80</v>
      </c>
      <c r="G19" s="13">
        <f>IF(G7&gt;0,(1+G7)*(1-0.2*Data!D32)-1,(1+G7)*(1+0.2*Data!D32)-1)</f>
        <v>7.8000000000000007</v>
      </c>
      <c r="H19" s="1"/>
      <c r="I19" s="1"/>
      <c r="J19" s="13">
        <f t="shared" si="0"/>
        <v>160</v>
      </c>
      <c r="K19" s="13">
        <f t="shared" si="1"/>
        <v>7.8</v>
      </c>
      <c r="M19" s="54"/>
      <c r="N19" s="54"/>
      <c r="O19" s="54"/>
      <c r="P19" s="54"/>
    </row>
    <row r="20" spans="1:17" ht="12">
      <c r="A20" s="149"/>
      <c r="B20" s="105" t="s">
        <v>68</v>
      </c>
      <c r="C20" s="34" t="s">
        <v>46</v>
      </c>
      <c r="D20" s="13">
        <f>$D$8*(1-0.2*Data!$C$33)</f>
        <v>80</v>
      </c>
      <c r="E20" s="13">
        <f>IF(E8&gt;0,(1+E8)*(1-0.2*Data!C33)-1,(1+E8)*(1+0.2*Data!C33)-1)</f>
        <v>7.8000000000000007</v>
      </c>
      <c r="F20" s="13">
        <f>IF(F8&gt;0,F8*(1-0.2*Data!D33),F8*(1+0.2*Data!D33))</f>
        <v>80</v>
      </c>
      <c r="G20" s="13">
        <f>IF(G8&gt;0,(1+G8)*(1-0.2*Data!D33)-1,(1+G8)*(1+0.2*Data!D33)-1)</f>
        <v>7.8000000000000007</v>
      </c>
      <c r="H20" s="1"/>
      <c r="I20" s="1"/>
      <c r="J20" s="13">
        <f t="shared" si="0"/>
        <v>160</v>
      </c>
      <c r="K20" s="13">
        <f t="shared" si="1"/>
        <v>7.8</v>
      </c>
      <c r="M20" s="54"/>
      <c r="N20" s="54"/>
      <c r="O20" s="54"/>
      <c r="P20" s="54"/>
    </row>
    <row r="21" spans="1:17" ht="12">
      <c r="A21" s="149"/>
      <c r="B21" s="105"/>
      <c r="C21" s="34" t="s">
        <v>47</v>
      </c>
      <c r="D21" s="13">
        <f>$D$9*(1-0.2*Data!$C$34)</f>
        <v>80</v>
      </c>
      <c r="E21" s="13">
        <f>IF(E9&gt;0,(1+E9)*(1-0.2*Data!C34)-1,(1+E9)*(1+0.2*Data!C34)-1)</f>
        <v>7.8000000000000007</v>
      </c>
      <c r="F21" s="13">
        <f>IF(F9&gt;0,F9*(1-0.2*Data!D34),F9*(1+0.2*Data!D34))</f>
        <v>80</v>
      </c>
      <c r="G21" s="13">
        <f>IF(G9&gt;0,(1+G9)*(1-0.2*Data!D34)-1,(1+G9)*(1+0.2*Data!D34)-1)</f>
        <v>7.8000000000000007</v>
      </c>
      <c r="H21" s="1"/>
      <c r="I21" s="1"/>
      <c r="J21" s="13">
        <f t="shared" si="0"/>
        <v>160</v>
      </c>
      <c r="K21" s="13">
        <f t="shared" si="1"/>
        <v>7.8</v>
      </c>
      <c r="M21" s="54"/>
      <c r="N21" s="54"/>
      <c r="O21" s="54"/>
      <c r="P21" s="54"/>
    </row>
    <row r="22" spans="1:17" s="90" customFormat="1" ht="12">
      <c r="A22" s="149"/>
      <c r="B22" s="105" t="s">
        <v>43</v>
      </c>
      <c r="C22" s="87" t="s">
        <v>46</v>
      </c>
      <c r="D22" s="88">
        <f>SUM(D18,D20)</f>
        <v>160</v>
      </c>
      <c r="E22" s="88">
        <f>IF(D22=0,0,SUM(E18*D18,E20*D20)/D22)</f>
        <v>7.8</v>
      </c>
      <c r="F22" s="88">
        <f>SUM(F18,F20)</f>
        <v>160</v>
      </c>
      <c r="G22" s="88">
        <f>IF(F22=0,0,SUM(G18*F18,G20*F20)/F22)</f>
        <v>7.8</v>
      </c>
      <c r="H22" s="89"/>
      <c r="I22" s="89"/>
      <c r="J22" s="88">
        <f t="shared" si="0"/>
        <v>320</v>
      </c>
      <c r="K22" s="88">
        <f t="shared" si="1"/>
        <v>7.8</v>
      </c>
      <c r="M22" s="91"/>
      <c r="N22" s="91"/>
      <c r="O22" s="91"/>
      <c r="P22" s="91"/>
      <c r="Q22" s="92"/>
    </row>
    <row r="23" spans="1:17" s="90" customFormat="1" ht="12">
      <c r="A23" s="150"/>
      <c r="B23" s="105"/>
      <c r="C23" s="87" t="s">
        <v>47</v>
      </c>
      <c r="D23" s="88">
        <f>SUM(D19,D21)</f>
        <v>160</v>
      </c>
      <c r="E23" s="88">
        <f>IF(D23=0,0,SUM(E19*D19,E21*D21)/D23)</f>
        <v>7.8</v>
      </c>
      <c r="F23" s="88">
        <f>F19+F21</f>
        <v>160</v>
      </c>
      <c r="G23" s="88">
        <f>IF(F23=0,0,SUM(G19*F19,G21*F21)/F23)</f>
        <v>7.8</v>
      </c>
      <c r="H23" s="89"/>
      <c r="I23" s="89"/>
      <c r="J23" s="88">
        <f t="shared" si="0"/>
        <v>320</v>
      </c>
      <c r="K23" s="88">
        <f t="shared" si="1"/>
        <v>7.8</v>
      </c>
      <c r="M23" s="91"/>
      <c r="N23" s="91"/>
      <c r="O23" s="91"/>
      <c r="P23" s="91"/>
      <c r="Q23" s="92"/>
    </row>
    <row r="24" spans="1:17" ht="12">
      <c r="A24" s="148" t="s">
        <v>71</v>
      </c>
      <c r="B24" s="105" t="s">
        <v>67</v>
      </c>
      <c r="C24" s="34" t="s">
        <v>46</v>
      </c>
      <c r="D24" s="13">
        <f>$D$6*(1-0.3*Data!$C$31)</f>
        <v>70</v>
      </c>
      <c r="E24" s="13">
        <f>IF(E6&gt;0,(1+E6)*(1-0.3*Data!C31)-1,(1+E6)*(1+0.3*Data!C31)-1)</f>
        <v>6.6999999999999993</v>
      </c>
      <c r="F24" s="13">
        <f>$F$6*(1-0.3*Data!$D$31)</f>
        <v>70</v>
      </c>
      <c r="G24" s="13">
        <f>(1+$G$6)*(1-0.3*Data!$D$31)-1</f>
        <v>6.6999999999999993</v>
      </c>
      <c r="H24" s="1"/>
      <c r="I24" s="1"/>
      <c r="J24" s="13">
        <f t="shared" si="0"/>
        <v>140</v>
      </c>
      <c r="K24" s="13">
        <f t="shared" si="1"/>
        <v>6.6999999999999993</v>
      </c>
      <c r="M24" s="54"/>
      <c r="N24" s="54"/>
      <c r="O24" s="54"/>
      <c r="P24" s="54"/>
    </row>
    <row r="25" spans="1:17" ht="12">
      <c r="A25" s="149"/>
      <c r="B25" s="105"/>
      <c r="C25" s="34" t="s">
        <v>47</v>
      </c>
      <c r="D25" s="13">
        <f>$D$7*(1-0.3*Data!$C$32)</f>
        <v>70</v>
      </c>
      <c r="E25" s="13">
        <f>IF(E7&gt;0,(1+E7)*(1-0.3*Data!C32)-1,(1+E7)*(1+0.3*Data!C32)-1)</f>
        <v>6.6999999999999993</v>
      </c>
      <c r="F25" s="13">
        <f>$F$7*(1-0.3*Data!$D$32)</f>
        <v>70</v>
      </c>
      <c r="G25" s="13">
        <f>(1+$G$7)*(1-0.3*Data!$D$32)-1</f>
        <v>6.6999999999999993</v>
      </c>
      <c r="H25" s="1"/>
      <c r="I25" s="1"/>
      <c r="J25" s="13">
        <f t="shared" si="0"/>
        <v>140</v>
      </c>
      <c r="K25" s="13">
        <f t="shared" si="1"/>
        <v>6.6999999999999993</v>
      </c>
      <c r="M25" s="54"/>
      <c r="N25" s="54"/>
      <c r="O25" s="54"/>
      <c r="P25" s="54"/>
    </row>
    <row r="26" spans="1:17" ht="12">
      <c r="A26" s="149"/>
      <c r="B26" s="105" t="s">
        <v>68</v>
      </c>
      <c r="C26" s="34" t="s">
        <v>46</v>
      </c>
      <c r="D26" s="13">
        <f>$D$8*(1-0.3*Data!$C$33)</f>
        <v>70</v>
      </c>
      <c r="E26" s="13">
        <f>IF(E8&gt;0,(1+E8)*(1-0.3*Data!C33)-1,(1+E8)*(1+0.3*Data!C33)-1)</f>
        <v>6.6999999999999993</v>
      </c>
      <c r="F26" s="13">
        <f>$F$8*(1-0.3*Data!$D$33)</f>
        <v>70</v>
      </c>
      <c r="G26" s="13">
        <f>(1+$G$8)*(1-0.3*Data!$D$33)-1</f>
        <v>6.6999999999999993</v>
      </c>
      <c r="H26" s="1"/>
      <c r="I26" s="1"/>
      <c r="J26" s="13">
        <f t="shared" si="0"/>
        <v>140</v>
      </c>
      <c r="K26" s="13">
        <f t="shared" si="1"/>
        <v>6.6999999999999993</v>
      </c>
      <c r="M26" s="54"/>
      <c r="N26" s="54"/>
      <c r="O26" s="54"/>
      <c r="P26" s="54"/>
    </row>
    <row r="27" spans="1:17" ht="12">
      <c r="A27" s="149"/>
      <c r="B27" s="105"/>
      <c r="C27" s="34" t="s">
        <v>47</v>
      </c>
      <c r="D27" s="13">
        <f>$D$9*(1-0.3*Data!$C$34)</f>
        <v>70</v>
      </c>
      <c r="E27" s="13">
        <f>IF(E9&gt;0,(1+E9)*(1-0.3*Data!C34)-1,(1+E9)*(1+0.3*Data!C34)-1)</f>
        <v>6.6999999999999993</v>
      </c>
      <c r="F27" s="13">
        <f>$F$9*(1-0.3*Data!$D$34)</f>
        <v>70</v>
      </c>
      <c r="G27" s="13">
        <f>(1+$G$9)*(1-0.3*Data!$D$34)-1</f>
        <v>6.6999999999999993</v>
      </c>
      <c r="H27" s="1"/>
      <c r="I27" s="1"/>
      <c r="J27" s="13">
        <f t="shared" si="0"/>
        <v>140</v>
      </c>
      <c r="K27" s="13">
        <f t="shared" si="1"/>
        <v>6.6999999999999993</v>
      </c>
      <c r="M27" s="54"/>
      <c r="N27" s="54"/>
      <c r="O27" s="54"/>
      <c r="P27" s="54"/>
    </row>
    <row r="28" spans="1:17" s="90" customFormat="1" ht="12">
      <c r="A28" s="149"/>
      <c r="B28" s="105" t="s">
        <v>43</v>
      </c>
      <c r="C28" s="87" t="s">
        <v>46</v>
      </c>
      <c r="D28" s="88">
        <f>SUM(D24,D26)</f>
        <v>140</v>
      </c>
      <c r="E28" s="88">
        <f>IF(D28=0,0,SUM(E24*D24,E26*D26)/D28)</f>
        <v>6.6999999999999993</v>
      </c>
      <c r="F28" s="88">
        <f>SUM(F24,F26)</f>
        <v>140</v>
      </c>
      <c r="G28" s="88">
        <f>IF(F28=0,0,SUM(G24*F24,G26*F26)/F28)</f>
        <v>6.6999999999999993</v>
      </c>
      <c r="H28" s="89"/>
      <c r="I28" s="89"/>
      <c r="J28" s="88">
        <f t="shared" si="0"/>
        <v>280</v>
      </c>
      <c r="K28" s="88">
        <f t="shared" si="1"/>
        <v>6.6999999999999993</v>
      </c>
      <c r="M28" s="91"/>
      <c r="N28" s="91"/>
      <c r="O28" s="91"/>
      <c r="P28" s="91"/>
      <c r="Q28" s="92"/>
    </row>
    <row r="29" spans="1:17" s="90" customFormat="1" ht="12">
      <c r="A29" s="150"/>
      <c r="B29" s="105"/>
      <c r="C29" s="87" t="s">
        <v>47</v>
      </c>
      <c r="D29" s="88">
        <f>SUM(D25,D27)</f>
        <v>140</v>
      </c>
      <c r="E29" s="88">
        <f>IF(D29=0,0,SUM(E25*D25,E27*D27)/D29)</f>
        <v>6.6999999999999993</v>
      </c>
      <c r="F29" s="88">
        <f>F25+F27</f>
        <v>140</v>
      </c>
      <c r="G29" s="88">
        <f>IF(F29=0,0,SUM(G25*F25,G27*F27)/F29)</f>
        <v>6.6999999999999993</v>
      </c>
      <c r="H29" s="89"/>
      <c r="I29" s="89"/>
      <c r="J29" s="88">
        <f t="shared" si="0"/>
        <v>280</v>
      </c>
      <c r="K29" s="88">
        <f t="shared" si="1"/>
        <v>6.6999999999999993</v>
      </c>
      <c r="M29" s="91"/>
      <c r="N29" s="91"/>
      <c r="O29" s="91"/>
      <c r="P29" s="91"/>
      <c r="Q29" s="92"/>
    </row>
    <row r="30" spans="1:17">
      <c r="A30" s="36" t="s">
        <v>48</v>
      </c>
      <c r="B30" s="144" t="s">
        <v>49</v>
      </c>
      <c r="C30" s="144"/>
      <c r="D30" s="145"/>
      <c r="E30" s="145"/>
      <c r="F30" s="145"/>
      <c r="G30" s="145"/>
      <c r="H30" s="145"/>
      <c r="I30" s="145"/>
      <c r="J30" s="145"/>
      <c r="K30" s="145"/>
    </row>
    <row r="32" spans="1:17">
      <c r="B32" s="146" t="s">
        <v>72</v>
      </c>
      <c r="C32" s="146"/>
      <c r="D32" s="146"/>
      <c r="E32" s="44"/>
      <c r="F32" s="45"/>
      <c r="G32" s="37"/>
      <c r="H32" s="146" t="s">
        <v>73</v>
      </c>
      <c r="I32" s="146"/>
      <c r="J32" s="37"/>
      <c r="K32" s="37"/>
    </row>
  </sheetData>
  <mergeCells count="27">
    <mergeCell ref="B14:B15"/>
    <mergeCell ref="B16:B17"/>
    <mergeCell ref="H4:I4"/>
    <mergeCell ref="J4:K4"/>
    <mergeCell ref="A6:A11"/>
    <mergeCell ref="B6:B7"/>
    <mergeCell ref="B8:B9"/>
    <mergeCell ref="B10:B11"/>
    <mergeCell ref="A4:C5"/>
    <mergeCell ref="D4:E4"/>
    <mergeCell ref="F4:G4"/>
    <mergeCell ref="I3:K3"/>
    <mergeCell ref="A1:K1"/>
    <mergeCell ref="B30:K30"/>
    <mergeCell ref="B32:D32"/>
    <mergeCell ref="H32:I32"/>
    <mergeCell ref="C3:H3"/>
    <mergeCell ref="A24:A29"/>
    <mergeCell ref="B24:B25"/>
    <mergeCell ref="B26:B27"/>
    <mergeCell ref="B28:B29"/>
    <mergeCell ref="A18:A23"/>
    <mergeCell ref="B18:B19"/>
    <mergeCell ref="B20:B21"/>
    <mergeCell ref="B22:B23"/>
    <mergeCell ref="A12:A17"/>
    <mergeCell ref="B12:B13"/>
  </mergeCells>
  <phoneticPr fontId="1" type="noConversion"/>
  <pageMargins left="0.15748031496062992" right="0.15748031496062992" top="0.51181102362204722" bottom="0.47244094488188981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V36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7" sqref="E7:T24"/>
    </sheetView>
  </sheetViews>
  <sheetFormatPr defaultColWidth="5.625" defaultRowHeight="14.25"/>
  <cols>
    <col min="1" max="1" width="2.5" customWidth="1"/>
    <col min="2" max="2" width="3.25" customWidth="1"/>
    <col min="3" max="3" width="5" customWidth="1"/>
    <col min="4" max="4" width="13.125" customWidth="1"/>
    <col min="5" max="5" width="9.75" style="69" customWidth="1"/>
    <col min="6" max="6" width="6.625" style="69" customWidth="1"/>
    <col min="7" max="7" width="5.125" style="69" customWidth="1"/>
    <col min="8" max="8" width="3.875" style="69" customWidth="1"/>
    <col min="9" max="9" width="7.25" style="69" customWidth="1"/>
    <col min="10" max="10" width="7" style="69" bestFit="1" customWidth="1"/>
    <col min="11" max="11" width="7.625" style="69" customWidth="1"/>
    <col min="12" max="12" width="9.375" style="69" customWidth="1"/>
    <col min="13" max="13" width="5.75" style="69" customWidth="1"/>
    <col min="14" max="14" width="5.75" customWidth="1"/>
    <col min="15" max="15" width="4.625" customWidth="1"/>
    <col min="16" max="16" width="7" customWidth="1"/>
    <col min="17" max="18" width="4.625" customWidth="1"/>
    <col min="19" max="19" width="10.125" bestFit="1" customWidth="1"/>
    <col min="20" max="20" width="6.625" bestFit="1" customWidth="1"/>
    <col min="21" max="21" width="19.375" bestFit="1" customWidth="1"/>
    <col min="22" max="22" width="7.5" bestFit="1" customWidth="1"/>
  </cols>
  <sheetData>
    <row r="1" spans="1:21" ht="18.75">
      <c r="A1" s="100" t="s">
        <v>121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1">
      <c r="S2" s="72"/>
    </row>
    <row r="3" spans="1:21">
      <c r="A3" s="5" t="s">
        <v>1</v>
      </c>
      <c r="B3" s="5"/>
      <c r="C3" s="4"/>
      <c r="D3" s="177" t="s">
        <v>4</v>
      </c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Q3" s="5" t="s">
        <v>8</v>
      </c>
      <c r="R3" s="5"/>
      <c r="S3" s="5"/>
      <c r="T3" s="5"/>
    </row>
    <row r="4" spans="1:21">
      <c r="A4" s="178" t="s">
        <v>9</v>
      </c>
      <c r="B4" s="178"/>
      <c r="C4" s="178"/>
      <c r="D4" s="178"/>
      <c r="E4" s="180" t="s">
        <v>10</v>
      </c>
      <c r="F4" s="181"/>
      <c r="G4" s="181"/>
      <c r="H4" s="181"/>
      <c r="I4" s="181"/>
      <c r="J4" s="181"/>
      <c r="K4" s="181"/>
      <c r="L4" s="181"/>
      <c r="M4" s="181"/>
      <c r="N4" s="182"/>
      <c r="O4" s="178" t="s">
        <v>11</v>
      </c>
      <c r="P4" s="179"/>
      <c r="Q4" s="179"/>
      <c r="R4" s="179"/>
      <c r="S4" s="178" t="s">
        <v>12</v>
      </c>
      <c r="T4" s="178"/>
    </row>
    <row r="5" spans="1:21">
      <c r="A5" s="178"/>
      <c r="B5" s="178"/>
      <c r="C5" s="178"/>
      <c r="D5" s="178"/>
      <c r="E5" s="158" t="s">
        <v>13</v>
      </c>
      <c r="F5" s="158"/>
      <c r="G5" s="158" t="s">
        <v>14</v>
      </c>
      <c r="H5" s="158"/>
      <c r="I5" s="158" t="s">
        <v>15</v>
      </c>
      <c r="J5" s="158"/>
      <c r="K5" s="158" t="s">
        <v>16</v>
      </c>
      <c r="L5" s="158"/>
      <c r="M5" s="179" t="s">
        <v>118</v>
      </c>
      <c r="N5" s="179"/>
      <c r="O5" s="179" t="s">
        <v>17</v>
      </c>
      <c r="P5" s="179"/>
      <c r="Q5" s="179" t="s">
        <v>18</v>
      </c>
      <c r="R5" s="179"/>
      <c r="S5" s="178"/>
      <c r="T5" s="178"/>
    </row>
    <row r="6" spans="1:21" ht="33.75">
      <c r="A6" s="178"/>
      <c r="B6" s="178"/>
      <c r="C6" s="178"/>
      <c r="D6" s="178"/>
      <c r="E6" s="68" t="s">
        <v>19</v>
      </c>
      <c r="F6" s="68" t="s">
        <v>20</v>
      </c>
      <c r="G6" s="68" t="s">
        <v>19</v>
      </c>
      <c r="H6" s="68" t="s">
        <v>20</v>
      </c>
      <c r="I6" s="68" t="s">
        <v>19</v>
      </c>
      <c r="J6" s="68" t="s">
        <v>20</v>
      </c>
      <c r="K6" s="68" t="s">
        <v>19</v>
      </c>
      <c r="L6" s="68" t="s">
        <v>20</v>
      </c>
      <c r="M6" s="68" t="s">
        <v>119</v>
      </c>
      <c r="N6" s="8" t="s">
        <v>20</v>
      </c>
      <c r="O6" s="8" t="s">
        <v>119</v>
      </c>
      <c r="P6" s="8" t="s">
        <v>120</v>
      </c>
      <c r="Q6" s="8" t="s">
        <v>119</v>
      </c>
      <c r="R6" s="8" t="s">
        <v>120</v>
      </c>
      <c r="S6" s="8" t="s">
        <v>19</v>
      </c>
      <c r="T6" s="8" t="s">
        <v>20</v>
      </c>
    </row>
    <row r="7" spans="1:21" ht="15" customHeight="1">
      <c r="A7" s="159" t="s">
        <v>21</v>
      </c>
      <c r="B7" s="155" t="s">
        <v>22</v>
      </c>
      <c r="C7" s="156"/>
      <c r="D7" s="157"/>
      <c r="E7" s="46"/>
      <c r="F7" s="70"/>
      <c r="G7" s="71"/>
      <c r="H7" s="71"/>
      <c r="I7" s="46"/>
      <c r="J7" s="70"/>
      <c r="K7" s="46"/>
      <c r="L7" s="70"/>
      <c r="M7" s="46"/>
      <c r="N7" s="22"/>
      <c r="O7" s="23"/>
      <c r="P7" s="22"/>
      <c r="Q7" s="23"/>
      <c r="R7" s="22"/>
      <c r="S7" s="22"/>
      <c r="T7" s="22"/>
    </row>
    <row r="8" spans="1:21" ht="15" customHeight="1">
      <c r="A8" s="159"/>
      <c r="B8" s="155" t="s">
        <v>23</v>
      </c>
      <c r="C8" s="156"/>
      <c r="D8" s="157"/>
      <c r="E8" s="46"/>
      <c r="F8" s="70"/>
      <c r="G8" s="71"/>
      <c r="H8" s="71"/>
      <c r="I8" s="46"/>
      <c r="J8" s="70"/>
      <c r="K8" s="46"/>
      <c r="L8" s="70"/>
      <c r="M8" s="46"/>
      <c r="N8" s="22"/>
      <c r="O8" s="23"/>
      <c r="P8" s="22"/>
      <c r="Q8" s="23"/>
      <c r="R8" s="22"/>
      <c r="S8" s="22"/>
      <c r="T8" s="22"/>
    </row>
    <row r="9" spans="1:21" ht="15" customHeight="1">
      <c r="A9" s="159"/>
      <c r="B9" s="155" t="s">
        <v>24</v>
      </c>
      <c r="C9" s="156"/>
      <c r="D9" s="157"/>
      <c r="E9" s="46"/>
      <c r="F9" s="70"/>
      <c r="G9" s="71"/>
      <c r="H9" s="71"/>
      <c r="I9" s="46"/>
      <c r="J9" s="70"/>
      <c r="K9" s="46"/>
      <c r="L9" s="70"/>
      <c r="M9" s="46"/>
      <c r="N9" s="22"/>
      <c r="O9" s="23"/>
      <c r="P9" s="22"/>
      <c r="Q9" s="23"/>
      <c r="R9" s="22"/>
      <c r="S9" s="22"/>
      <c r="T9" s="22"/>
    </row>
    <row r="10" spans="1:21" ht="15" customHeight="1">
      <c r="A10" s="159"/>
      <c r="B10" s="155" t="s">
        <v>25</v>
      </c>
      <c r="C10" s="156"/>
      <c r="D10" s="157"/>
      <c r="E10" s="46"/>
      <c r="F10" s="70"/>
      <c r="G10" s="71"/>
      <c r="H10" s="71"/>
      <c r="I10" s="46"/>
      <c r="J10" s="70"/>
      <c r="K10" s="46"/>
      <c r="L10" s="70"/>
      <c r="M10" s="46"/>
      <c r="N10" s="22"/>
      <c r="O10" s="23"/>
      <c r="P10" s="22"/>
      <c r="Q10" s="23"/>
      <c r="R10" s="22"/>
      <c r="S10" s="22"/>
      <c r="T10" s="22"/>
    </row>
    <row r="11" spans="1:21" ht="15" customHeight="1">
      <c r="A11" s="159"/>
      <c r="B11" s="155" t="s">
        <v>126</v>
      </c>
      <c r="C11" s="156"/>
      <c r="D11" s="157"/>
      <c r="E11" s="46"/>
      <c r="F11" s="70"/>
      <c r="G11" s="71"/>
      <c r="H11" s="71"/>
      <c r="I11" s="46"/>
      <c r="J11" s="70"/>
      <c r="K11" s="46"/>
      <c r="L11" s="70"/>
      <c r="M11" s="46"/>
      <c r="N11" s="22"/>
      <c r="O11" s="23"/>
      <c r="P11" s="22"/>
      <c r="Q11" s="23"/>
      <c r="R11" s="22"/>
      <c r="S11" s="22"/>
      <c r="T11" s="22"/>
    </row>
    <row r="12" spans="1:21" ht="15" customHeight="1">
      <c r="A12" s="159"/>
      <c r="B12" s="155" t="s">
        <v>26</v>
      </c>
      <c r="C12" s="156"/>
      <c r="D12" s="157"/>
      <c r="E12" s="46"/>
      <c r="F12" s="70"/>
      <c r="G12" s="71"/>
      <c r="H12" s="71"/>
      <c r="I12" s="46"/>
      <c r="J12" s="70"/>
      <c r="K12" s="46"/>
      <c r="L12" s="70"/>
      <c r="M12" s="46"/>
      <c r="N12" s="22"/>
      <c r="O12" s="23"/>
      <c r="P12" s="22"/>
      <c r="Q12" s="23"/>
      <c r="R12" s="22"/>
      <c r="S12" s="22"/>
      <c r="T12" s="22"/>
      <c r="U12" s="95"/>
    </row>
    <row r="13" spans="1:21" ht="15" customHeight="1">
      <c r="A13" s="159"/>
      <c r="B13" s="155" t="s">
        <v>12</v>
      </c>
      <c r="C13" s="156"/>
      <c r="D13" s="157"/>
      <c r="E13" s="70"/>
      <c r="F13" s="70"/>
      <c r="G13" s="71"/>
      <c r="H13" s="71"/>
      <c r="I13" s="70"/>
      <c r="J13" s="70"/>
      <c r="K13" s="70"/>
      <c r="L13" s="70"/>
      <c r="M13" s="70"/>
      <c r="N13" s="22"/>
      <c r="O13" s="22"/>
      <c r="P13" s="22"/>
      <c r="Q13" s="23"/>
      <c r="R13" s="22"/>
      <c r="S13" s="22"/>
      <c r="T13" s="22"/>
    </row>
    <row r="14" spans="1:21" ht="45" customHeight="1">
      <c r="A14" s="159" t="s">
        <v>27</v>
      </c>
      <c r="B14" s="159" t="s">
        <v>28</v>
      </c>
      <c r="C14" s="153" t="s">
        <v>29</v>
      </c>
      <c r="D14" s="8" t="s">
        <v>130</v>
      </c>
      <c r="E14" s="46"/>
      <c r="F14" s="70"/>
      <c r="G14" s="71"/>
      <c r="H14" s="71"/>
      <c r="I14" s="46"/>
      <c r="J14" s="70"/>
      <c r="K14" s="46"/>
      <c r="L14" s="70"/>
      <c r="M14" s="46"/>
      <c r="N14" s="22"/>
      <c r="O14" s="23"/>
      <c r="P14" s="22"/>
      <c r="Q14" s="23"/>
      <c r="R14" s="22"/>
      <c r="S14" s="22"/>
      <c r="T14" s="22"/>
    </row>
    <row r="15" spans="1:21" ht="22.5" customHeight="1">
      <c r="A15" s="159"/>
      <c r="B15" s="159"/>
      <c r="C15" s="154"/>
      <c r="D15" s="8" t="s">
        <v>30</v>
      </c>
      <c r="E15" s="46"/>
      <c r="F15" s="70"/>
      <c r="G15" s="71"/>
      <c r="H15" s="71"/>
      <c r="I15" s="46"/>
      <c r="J15" s="70"/>
      <c r="K15" s="46"/>
      <c r="L15" s="70"/>
      <c r="M15" s="46"/>
      <c r="N15" s="22"/>
      <c r="O15" s="23"/>
      <c r="P15" s="22"/>
      <c r="Q15" s="23"/>
      <c r="R15" s="22"/>
      <c r="S15" s="22"/>
      <c r="T15" s="22"/>
    </row>
    <row r="16" spans="1:21">
      <c r="A16" s="159"/>
      <c r="B16" s="159"/>
      <c r="C16" s="160" t="s">
        <v>31</v>
      </c>
      <c r="D16" s="8" t="s">
        <v>32</v>
      </c>
      <c r="E16" s="46"/>
      <c r="F16" s="70"/>
      <c r="G16" s="71"/>
      <c r="H16" s="71"/>
      <c r="I16" s="46"/>
      <c r="J16" s="70"/>
      <c r="K16" s="46"/>
      <c r="L16" s="70"/>
      <c r="M16" s="46"/>
      <c r="N16" s="22"/>
      <c r="O16" s="23"/>
      <c r="P16" s="22"/>
      <c r="Q16" s="23"/>
      <c r="R16" s="22"/>
      <c r="S16" s="22"/>
      <c r="T16" s="22"/>
    </row>
    <row r="17" spans="1:22">
      <c r="A17" s="159"/>
      <c r="B17" s="159"/>
      <c r="C17" s="161"/>
      <c r="D17" s="8" t="s">
        <v>132</v>
      </c>
      <c r="E17" s="46"/>
      <c r="F17" s="70"/>
      <c r="G17" s="71"/>
      <c r="H17" s="71"/>
      <c r="I17" s="77"/>
      <c r="J17" s="70"/>
      <c r="K17" s="46"/>
      <c r="L17" s="70"/>
      <c r="M17" s="46"/>
      <c r="N17" s="22"/>
      <c r="O17" s="23"/>
      <c r="P17" s="22"/>
      <c r="Q17" s="23"/>
      <c r="R17" s="22"/>
      <c r="S17" s="22"/>
      <c r="T17" s="22"/>
    </row>
    <row r="18" spans="1:22">
      <c r="A18" s="159"/>
      <c r="B18" s="159"/>
      <c r="C18" s="162"/>
      <c r="D18" s="8" t="s">
        <v>33</v>
      </c>
      <c r="E18" s="46"/>
      <c r="F18" s="70"/>
      <c r="G18" s="71"/>
      <c r="H18" s="71"/>
      <c r="I18" s="46"/>
      <c r="J18" s="70"/>
      <c r="K18" s="46"/>
      <c r="L18" s="70"/>
      <c r="M18" s="46"/>
      <c r="N18" s="22"/>
      <c r="O18" s="23"/>
      <c r="P18" s="22"/>
      <c r="Q18" s="23"/>
      <c r="R18" s="22"/>
      <c r="S18" s="22"/>
      <c r="T18" s="22"/>
    </row>
    <row r="19" spans="1:22">
      <c r="A19" s="159"/>
      <c r="B19" s="159"/>
      <c r="C19" s="159" t="s">
        <v>12</v>
      </c>
      <c r="D19" s="159"/>
      <c r="E19" s="70"/>
      <c r="F19" s="70"/>
      <c r="G19" s="71"/>
      <c r="H19" s="71"/>
      <c r="I19" s="70"/>
      <c r="J19" s="70"/>
      <c r="K19" s="70"/>
      <c r="L19" s="70"/>
      <c r="M19" s="70"/>
      <c r="N19" s="70"/>
      <c r="O19" s="22"/>
      <c r="P19" s="22"/>
      <c r="Q19" s="22"/>
      <c r="R19" s="22"/>
      <c r="S19" s="22"/>
      <c r="T19" s="22"/>
    </row>
    <row r="20" spans="1:22" ht="15" customHeight="1">
      <c r="A20" s="159"/>
      <c r="B20" s="159" t="s">
        <v>34</v>
      </c>
      <c r="C20" s="159"/>
      <c r="D20" s="159"/>
      <c r="E20" s="46"/>
      <c r="F20" s="71"/>
      <c r="G20" s="71"/>
      <c r="H20" s="71"/>
      <c r="I20" s="46"/>
      <c r="J20" s="71"/>
      <c r="K20" s="46"/>
      <c r="L20" s="71"/>
      <c r="M20" s="46"/>
      <c r="N20" s="9"/>
      <c r="O20" s="23"/>
      <c r="P20" s="9"/>
      <c r="Q20" s="23"/>
      <c r="R20" s="9"/>
      <c r="S20" s="22"/>
      <c r="T20" s="22"/>
    </row>
    <row r="21" spans="1:22" ht="15" customHeight="1">
      <c r="A21" s="159"/>
      <c r="B21" s="159" t="s">
        <v>131</v>
      </c>
      <c r="C21" s="159"/>
      <c r="D21" s="159"/>
      <c r="E21" s="46"/>
      <c r="F21" s="70"/>
      <c r="G21" s="71"/>
      <c r="H21" s="71"/>
      <c r="I21" s="46"/>
      <c r="J21" s="71"/>
      <c r="K21" s="46"/>
      <c r="L21" s="71"/>
      <c r="M21" s="46"/>
      <c r="N21" s="9"/>
      <c r="O21" s="23"/>
      <c r="P21" s="9"/>
      <c r="Q21" s="23"/>
      <c r="R21" s="9"/>
      <c r="S21" s="22"/>
      <c r="T21" s="22"/>
    </row>
    <row r="22" spans="1:22" ht="15" customHeight="1">
      <c r="A22" s="159"/>
      <c r="B22" s="159" t="s">
        <v>12</v>
      </c>
      <c r="C22" s="159"/>
      <c r="D22" s="159"/>
      <c r="E22" s="70"/>
      <c r="F22" s="70"/>
      <c r="G22" s="71"/>
      <c r="H22" s="71"/>
      <c r="I22" s="78"/>
      <c r="J22" s="70"/>
      <c r="K22" s="70"/>
      <c r="L22" s="70"/>
      <c r="M22" s="70"/>
      <c r="N22" s="22"/>
      <c r="O22" s="22"/>
      <c r="P22" s="22"/>
      <c r="Q22" s="22"/>
      <c r="R22" s="22"/>
      <c r="S22" s="22"/>
      <c r="T22" s="22"/>
    </row>
    <row r="23" spans="1:22" ht="15" customHeight="1">
      <c r="A23" s="159" t="s">
        <v>140</v>
      </c>
      <c r="B23" s="159"/>
      <c r="C23" s="159"/>
      <c r="D23" s="159"/>
      <c r="E23" s="71"/>
      <c r="F23" s="71"/>
      <c r="G23" s="71"/>
      <c r="H23" s="71"/>
      <c r="I23" s="71"/>
      <c r="J23" s="71"/>
      <c r="K23" s="71"/>
      <c r="L23" s="71"/>
      <c r="M23" s="71"/>
      <c r="N23" s="9"/>
      <c r="O23" s="9"/>
      <c r="P23" s="9"/>
      <c r="Q23" s="9"/>
      <c r="R23" s="9"/>
      <c r="S23" s="22"/>
      <c r="T23" s="22"/>
    </row>
    <row r="24" spans="1:22" ht="15" customHeight="1">
      <c r="A24" s="159" t="s">
        <v>12</v>
      </c>
      <c r="B24" s="159"/>
      <c r="C24" s="159"/>
      <c r="D24" s="159"/>
      <c r="E24" s="70"/>
      <c r="F24" s="70"/>
      <c r="G24" s="71"/>
      <c r="H24" s="71"/>
      <c r="I24" s="70"/>
      <c r="J24" s="70"/>
      <c r="K24" s="70"/>
      <c r="L24" s="70"/>
      <c r="M24" s="70"/>
      <c r="N24" s="22"/>
      <c r="O24" s="22"/>
      <c r="P24" s="22"/>
      <c r="Q24" s="22"/>
      <c r="R24" s="22"/>
      <c r="S24" s="67"/>
      <c r="T24" s="22"/>
      <c r="U24" s="83"/>
      <c r="V24" s="84"/>
    </row>
    <row r="25" spans="1:22" ht="45" customHeight="1">
      <c r="A25" s="165" t="s">
        <v>35</v>
      </c>
      <c r="B25" s="168" t="s">
        <v>2</v>
      </c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70"/>
      <c r="U25" s="47"/>
    </row>
    <row r="26" spans="1:22">
      <c r="A26" s="166"/>
      <c r="B26" s="171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3"/>
    </row>
    <row r="27" spans="1:22">
      <c r="A27" s="166"/>
      <c r="B27" s="171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3"/>
    </row>
    <row r="28" spans="1:22">
      <c r="A28" s="166"/>
      <c r="B28" s="171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3"/>
    </row>
    <row r="29" spans="1:22">
      <c r="A29" s="166"/>
      <c r="B29" s="171"/>
      <c r="C29" s="172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3"/>
    </row>
    <row r="30" spans="1:22">
      <c r="A30" s="166"/>
      <c r="B30" s="171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3"/>
    </row>
    <row r="31" spans="1:22">
      <c r="A31" s="166"/>
      <c r="B31" s="171"/>
      <c r="C31" s="172"/>
      <c r="D31" s="172"/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3"/>
    </row>
    <row r="32" spans="1:22">
      <c r="A32" s="166"/>
      <c r="B32" s="171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3"/>
    </row>
    <row r="33" spans="1:20">
      <c r="A33" s="166"/>
      <c r="B33" s="171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3"/>
    </row>
    <row r="34" spans="1:20" ht="22.5" customHeight="1">
      <c r="A34" s="167"/>
      <c r="B34" s="174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6"/>
    </row>
    <row r="36" spans="1:20">
      <c r="B36" s="114" t="s">
        <v>7</v>
      </c>
      <c r="C36" s="114"/>
      <c r="D36" s="114"/>
      <c r="E36" s="114"/>
      <c r="F36" s="114"/>
      <c r="G36" s="73"/>
      <c r="H36" s="73"/>
      <c r="I36" s="74"/>
      <c r="J36" s="163" t="s">
        <v>3</v>
      </c>
      <c r="K36" s="163"/>
      <c r="L36" s="163"/>
      <c r="M36" s="75"/>
      <c r="N36" s="66"/>
      <c r="O36" s="164"/>
      <c r="P36" s="164"/>
      <c r="Q36" s="164"/>
      <c r="R36" s="164"/>
      <c r="S36" s="164"/>
    </row>
  </sheetData>
  <mergeCells count="36">
    <mergeCell ref="D3:O3"/>
    <mergeCell ref="A1:T1"/>
    <mergeCell ref="A4:D6"/>
    <mergeCell ref="O4:R4"/>
    <mergeCell ref="S4:T5"/>
    <mergeCell ref="E5:F5"/>
    <mergeCell ref="G5:H5"/>
    <mergeCell ref="I5:J5"/>
    <mergeCell ref="Q5:R5"/>
    <mergeCell ref="O5:P5"/>
    <mergeCell ref="M5:N5"/>
    <mergeCell ref="E4:N4"/>
    <mergeCell ref="C19:D19"/>
    <mergeCell ref="J36:L36"/>
    <mergeCell ref="O36:S36"/>
    <mergeCell ref="A23:D23"/>
    <mergeCell ref="A24:D24"/>
    <mergeCell ref="A25:A34"/>
    <mergeCell ref="B25:T34"/>
    <mergeCell ref="B36:F36"/>
    <mergeCell ref="C14:C15"/>
    <mergeCell ref="B12:D12"/>
    <mergeCell ref="K5:L5"/>
    <mergeCell ref="A14:A22"/>
    <mergeCell ref="B14:B19"/>
    <mergeCell ref="A7:A13"/>
    <mergeCell ref="B9:D9"/>
    <mergeCell ref="B10:D10"/>
    <mergeCell ref="C16:C18"/>
    <mergeCell ref="B20:D20"/>
    <mergeCell ref="B21:D21"/>
    <mergeCell ref="B22:D22"/>
    <mergeCell ref="B11:D11"/>
    <mergeCell ref="B13:D13"/>
    <mergeCell ref="B7:D7"/>
    <mergeCell ref="B8:D8"/>
  </mergeCells>
  <phoneticPr fontId="1" type="noConversion"/>
  <pageMargins left="0.15748031496062992" right="0.15748031496062992" top="0.18" bottom="0.18" header="0.26" footer="0.21"/>
  <pageSetup paperSize="9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AB40"/>
  <sheetViews>
    <sheetView tabSelected="1" workbookViewId="0">
      <selection activeCell="F19" sqref="F19"/>
    </sheetView>
  </sheetViews>
  <sheetFormatPr defaultRowHeight="12"/>
  <cols>
    <col min="1" max="1" width="1.375" style="17" customWidth="1"/>
    <col min="2" max="2" width="14.125" style="17" customWidth="1"/>
    <col min="3" max="3" width="9" style="17" customWidth="1"/>
    <col min="4" max="6" width="16.125" style="35" bestFit="1" customWidth="1"/>
    <col min="7" max="15" width="16.125" style="35" customWidth="1"/>
    <col min="16" max="17" width="19.75" style="35" customWidth="1"/>
    <col min="18" max="28" width="10.5" style="35" customWidth="1"/>
    <col min="29" max="16384" width="9" style="17"/>
  </cols>
  <sheetData>
    <row r="2" spans="1:6">
      <c r="A2" s="17" t="s">
        <v>95</v>
      </c>
    </row>
    <row r="4" spans="1:6">
      <c r="B4" s="1"/>
      <c r="C4" s="185" t="s">
        <v>133</v>
      </c>
      <c r="D4" s="185"/>
    </row>
    <row r="5" spans="1:6" ht="14.25" customHeight="1">
      <c r="B5" s="1" t="s">
        <v>96</v>
      </c>
      <c r="C5" s="14" t="s">
        <v>97</v>
      </c>
      <c r="D5" s="61" t="s">
        <v>98</v>
      </c>
    </row>
    <row r="6" spans="1:6">
      <c r="B6" s="15" t="s">
        <v>99</v>
      </c>
      <c r="C6" s="11"/>
      <c r="D6" s="60"/>
    </row>
    <row r="7" spans="1:6">
      <c r="B7" s="15" t="s">
        <v>100</v>
      </c>
      <c r="C7" s="11"/>
      <c r="D7" s="60"/>
    </row>
    <row r="8" spans="1:6">
      <c r="B8" s="15" t="s">
        <v>101</v>
      </c>
      <c r="C8" s="11"/>
      <c r="D8" s="60"/>
    </row>
    <row r="9" spans="1:6">
      <c r="B9" s="15" t="s">
        <v>102</v>
      </c>
      <c r="C9" s="11"/>
      <c r="D9" s="60"/>
    </row>
    <row r="10" spans="1:6">
      <c r="B10" s="16" t="s">
        <v>103</v>
      </c>
      <c r="C10" s="11">
        <v>100</v>
      </c>
      <c r="D10" s="60"/>
      <c r="F10" s="79"/>
    </row>
    <row r="11" spans="1:6">
      <c r="B11" s="16" t="s">
        <v>104</v>
      </c>
      <c r="C11" s="11"/>
      <c r="D11" s="60"/>
    </row>
    <row r="14" spans="1:6">
      <c r="A14" s="17" t="s">
        <v>105</v>
      </c>
    </row>
    <row r="16" spans="1:6">
      <c r="B16" s="18"/>
      <c r="C16" s="185" t="s">
        <v>133</v>
      </c>
      <c r="D16" s="185"/>
    </row>
    <row r="17" spans="1:4">
      <c r="B17" s="19"/>
      <c r="C17" s="14" t="s">
        <v>97</v>
      </c>
      <c r="D17" s="61" t="s">
        <v>98</v>
      </c>
    </row>
    <row r="18" spans="1:4">
      <c r="B18" s="15" t="s">
        <v>106</v>
      </c>
      <c r="C18" s="24"/>
      <c r="D18" s="86"/>
    </row>
    <row r="21" spans="1:4">
      <c r="A21" s="17" t="s">
        <v>107</v>
      </c>
    </row>
    <row r="23" spans="1:4">
      <c r="B23" s="18" t="s">
        <v>108</v>
      </c>
      <c r="C23" s="137" t="s">
        <v>109</v>
      </c>
      <c r="D23" s="138"/>
    </row>
    <row r="24" spans="1:4">
      <c r="B24" s="19"/>
      <c r="C24" s="55" t="s">
        <v>110</v>
      </c>
      <c r="D24" s="62" t="s">
        <v>98</v>
      </c>
    </row>
    <row r="25" spans="1:4">
      <c r="B25" s="1" t="s">
        <v>111</v>
      </c>
      <c r="C25" s="63">
        <v>10</v>
      </c>
      <c r="D25" s="63">
        <v>10</v>
      </c>
    </row>
    <row r="26" spans="1:4">
      <c r="B26" s="1" t="s">
        <v>112</v>
      </c>
      <c r="C26" s="63">
        <v>10</v>
      </c>
      <c r="D26" s="63">
        <v>10</v>
      </c>
    </row>
    <row r="27" spans="1:4">
      <c r="C27" s="57"/>
      <c r="D27" s="57"/>
    </row>
    <row r="28" spans="1:4">
      <c r="C28" s="57"/>
      <c r="D28" s="57"/>
    </row>
    <row r="29" spans="1:4">
      <c r="B29" s="18"/>
      <c r="C29" s="183" t="s">
        <v>113</v>
      </c>
      <c r="D29" s="184"/>
    </row>
    <row r="30" spans="1:4">
      <c r="B30" s="19"/>
      <c r="C30" s="64" t="s">
        <v>110</v>
      </c>
      <c r="D30" s="64" t="s">
        <v>98</v>
      </c>
    </row>
    <row r="31" spans="1:4">
      <c r="B31" s="19" t="s">
        <v>114</v>
      </c>
      <c r="C31" s="65">
        <v>1</v>
      </c>
      <c r="D31" s="65">
        <v>1</v>
      </c>
    </row>
    <row r="32" spans="1:4">
      <c r="B32" s="1" t="s">
        <v>115</v>
      </c>
      <c r="C32" s="65">
        <v>1</v>
      </c>
      <c r="D32" s="65">
        <v>1</v>
      </c>
    </row>
    <row r="33" spans="2:7">
      <c r="B33" s="1" t="s">
        <v>116</v>
      </c>
      <c r="C33" s="63">
        <v>1</v>
      </c>
      <c r="D33" s="63">
        <v>1</v>
      </c>
    </row>
    <row r="34" spans="2:7">
      <c r="B34" s="1" t="s">
        <v>117</v>
      </c>
      <c r="C34" s="63">
        <v>1</v>
      </c>
      <c r="D34" s="63">
        <v>1</v>
      </c>
    </row>
    <row r="36" spans="2:7">
      <c r="B36" s="25"/>
      <c r="C36" s="25"/>
      <c r="D36" s="58"/>
      <c r="E36" s="58"/>
      <c r="F36" s="58"/>
      <c r="G36" s="58"/>
    </row>
    <row r="37" spans="2:7" ht="15">
      <c r="B37"/>
      <c r="C37"/>
      <c r="D37"/>
      <c r="E37"/>
      <c r="F37"/>
      <c r="G37" s="59"/>
    </row>
    <row r="38" spans="2:7" ht="15">
      <c r="B38"/>
      <c r="C38"/>
      <c r="D38"/>
      <c r="E38"/>
      <c r="F38"/>
      <c r="G38" s="59"/>
    </row>
    <row r="39" spans="2:7" ht="15">
      <c r="B39"/>
      <c r="C39"/>
      <c r="D39"/>
      <c r="E39"/>
      <c r="F39"/>
      <c r="G39" s="59"/>
    </row>
    <row r="40" spans="2:7">
      <c r="B40" s="56"/>
      <c r="C40" s="56"/>
      <c r="D40" s="59"/>
      <c r="E40" s="59"/>
      <c r="F40" s="59"/>
      <c r="G40" s="59"/>
    </row>
  </sheetData>
  <mergeCells count="4">
    <mergeCell ref="C29:D29"/>
    <mergeCell ref="C4:D4"/>
    <mergeCell ref="C16:D16"/>
    <mergeCell ref="C23:D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表1</vt:lpstr>
      <vt:lpstr>表2</vt:lpstr>
      <vt:lpstr>表3</vt:lpstr>
      <vt:lpstr>表4</vt:lpstr>
      <vt:lpstr>Data</vt:lpstr>
      <vt:lpstr>表2!Print_Area</vt:lpstr>
      <vt:lpstr>表3!Print_Area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2010-07-13T08:47:24Z</cp:lastPrinted>
  <dcterms:created xsi:type="dcterms:W3CDTF">1996-12-17T01:32:42Z</dcterms:created>
  <dcterms:modified xsi:type="dcterms:W3CDTF">2014-04-18T05:55:11Z</dcterms:modified>
</cp:coreProperties>
</file>