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ama Al Mazloum\Desktop\Baraa School stuff\Spring 2022\CANDEV\"/>
    </mc:Choice>
  </mc:AlternateContent>
  <xr:revisionPtr revIDLastSave="0" documentId="13_ncr:1_{AE138BA5-7F9F-41A9-BE11-A71C3F7FB891}" xr6:coauthVersionLast="47" xr6:coauthVersionMax="47" xr10:uidLastSave="{00000000-0000-0000-0000-000000000000}"/>
  <bookViews>
    <workbookView xWindow="20370" yWindow="1050" windowWidth="29040" windowHeight="15840" xr2:uid="{094C0949-C810-4DC7-921B-8A7BDFC28F2B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4" i="1" l="1"/>
  <c r="S28" i="1"/>
  <c r="S29" i="1"/>
  <c r="S30" i="1"/>
  <c r="S31" i="1"/>
  <c r="S32" i="1"/>
  <c r="S33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S5" i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R5" i="1"/>
  <c r="R6" i="1"/>
  <c r="R7" i="1"/>
  <c r="R8" i="1"/>
  <c r="R9" i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</calcChain>
</file>

<file path=xl/sharedStrings.xml><?xml version="1.0" encoding="utf-8"?>
<sst xmlns="http://schemas.openxmlformats.org/spreadsheetml/2006/main" count="115" uniqueCount="61">
  <si>
    <t xml:space="preserve">Unemployement rate </t>
  </si>
  <si>
    <t>15 to 24 yrs</t>
  </si>
  <si>
    <t xml:space="preserve">25 to 54 </t>
  </si>
  <si>
    <t>55 +</t>
  </si>
  <si>
    <t>Ontario</t>
  </si>
  <si>
    <t>Population (million)</t>
  </si>
  <si>
    <t># unemployed</t>
  </si>
  <si>
    <t>-</t>
  </si>
  <si>
    <t xml:space="preserve">Long term Unemployment 27 weeks or more </t>
  </si>
  <si>
    <t xml:space="preserve">Cases </t>
  </si>
  <si>
    <t>Accommodation and food services</t>
  </si>
  <si>
    <t>Women</t>
  </si>
  <si>
    <t>Men</t>
  </si>
  <si>
    <t>Total</t>
  </si>
  <si>
    <t>Average weeks of receipt for all workers including non recipients</t>
    <phoneticPr fontId="0" type="noConversion"/>
  </si>
  <si>
    <t>Average number of weeks of receipt for CERB recipients</t>
  </si>
  <si>
    <t>Percentage of workers in 2019 who received some CERB in 2020</t>
    <phoneticPr fontId="0" type="noConversion"/>
  </si>
  <si>
    <t>Average number of weeks of receipt for CERB recipients</t>
    <phoneticPr fontId="0" type="noConversion"/>
  </si>
  <si>
    <t>Percentage of workers in 2019 who received some CERB in 2020</t>
    <phoneticPr fontId="0" type="noConversion"/>
  </si>
  <si>
    <t>Total hours worked (000)</t>
  </si>
  <si>
    <t>Cases in ON</t>
  </si>
  <si>
    <t>Sector Jobs (000s)</t>
  </si>
  <si>
    <t>Eligibility Period</t>
  </si>
  <si>
    <t>Province/Territory</t>
  </si>
  <si>
    <t>Number of Applications</t>
  </si>
  <si>
    <t>Total Gross Amount ($000)</t>
  </si>
  <si>
    <t xml:space="preserve"> 2020-09-27 to 2020-10-10</t>
  </si>
  <si>
    <t xml:space="preserve"> 2020-10-11 to 2020-10-24</t>
  </si>
  <si>
    <t xml:space="preserve"> 2020-10-25 to 2020-11-07</t>
  </si>
  <si>
    <t xml:space="preserve"> 2020-11-08 to 2020-11-21</t>
  </si>
  <si>
    <t xml:space="preserve"> 2020-11-22 to 2020-12-05</t>
  </si>
  <si>
    <t xml:space="preserve"> 2020-12-06 to 2020-12-19</t>
  </si>
  <si>
    <t xml:space="preserve"> 2020-12-20 to 2021-01-02</t>
  </si>
  <si>
    <t xml:space="preserve"> 2021-01-03 to 2021-01-16</t>
  </si>
  <si>
    <t xml:space="preserve"> 2021-01-17 to 2021-01-30</t>
  </si>
  <si>
    <t xml:space="preserve"> 2021-01-31 to 2021-02-13</t>
  </si>
  <si>
    <t xml:space="preserve"> 2021-02-14 to 2021-02-27</t>
  </si>
  <si>
    <t xml:space="preserve"> 2021-02-28 to 2021-03-13</t>
  </si>
  <si>
    <t xml:space="preserve"> 2021-03-14 to 2021-03-27</t>
  </si>
  <si>
    <t xml:space="preserve"> 2021-03-28 to 2021-04-10</t>
  </si>
  <si>
    <t xml:space="preserve"> 2021-04-11 to 2021-04-24</t>
  </si>
  <si>
    <t xml:space="preserve"> 2021-04-25 to 2021-05-08</t>
  </si>
  <si>
    <t xml:space="preserve"> 2021-05-09 to 2021-05-22</t>
  </si>
  <si>
    <t xml:space="preserve"> 2021-05-23 to 2021-06-05</t>
  </si>
  <si>
    <t xml:space="preserve"> 2021-06-06 to 2021-06-19</t>
  </si>
  <si>
    <t xml:space="preserve"> 2021-06-20 to 2021-07-03</t>
  </si>
  <si>
    <t xml:space="preserve"> 2021-07-04 to 2021-07-17</t>
  </si>
  <si>
    <t xml:space="preserve"> 2021-07-18 to 2021-07-31</t>
  </si>
  <si>
    <t xml:space="preserve"> 2021-08-01 to 2021-08-14</t>
  </si>
  <si>
    <t xml:space="preserve"> 2021-08-15 to 2021-08-28</t>
  </si>
  <si>
    <t xml:space="preserve"> 2021-08-29 to 2021-09-11</t>
  </si>
  <si>
    <t xml:space="preserve"> 2021-09-12 to 2021-09-25</t>
  </si>
  <si>
    <t>Date</t>
  </si>
  <si>
    <t>Jobs available to 15 to 24 yrs</t>
  </si>
  <si>
    <t xml:space="preserve">Jobs available to 25 to 54 </t>
  </si>
  <si>
    <t>Jobs available to 55 +</t>
  </si>
  <si>
    <t>CERB: 15 to 24 yrs</t>
  </si>
  <si>
    <t xml:space="preserve">CERB: 25 to 54 </t>
  </si>
  <si>
    <t>CERB: 55 +</t>
  </si>
  <si>
    <t xml:space="preserve">TOTAL 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</si>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</sst>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0"/>
      <color rgb="FF000000"/>
      <name val="Noto Sans"/>
      <family val="2"/>
    </font>
    <font>
      <b/>
      <sz val="10"/>
      <color rgb="FF000000"/>
      <name val="Noto Sans"/>
      <family val="2"/>
    </font>
    <font>
      <u/>
      <sz val="11"/>
      <color theme="10"/>
      <name val="Calibri"/>
      <family val="2"/>
      <scheme val="minor"/>
    </font>
    <font>
      <b/>
      <sz val="11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medium">
        <color rgb="FFD4D4D4"/>
      </left>
      <right style="medium">
        <color rgb="FFD4D4D4"/>
      </right>
      <top style="medium">
        <color rgb="FFD4D4D4"/>
      </top>
      <bottom style="medium">
        <color rgb="FFD4D4D4"/>
      </bottom>
      <diagonal/>
    </border>
    <border>
      <left/>
      <right/>
      <top/>
      <bottom style="medium">
        <color rgb="FFD4D4D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10" fontId="0" fillId="0" borderId="0" xfId="0" applyNumberFormat="1"/>
    <xf numFmtId="3" fontId="0" fillId="0" borderId="0" xfId="0" applyNumberFormat="1"/>
    <xf numFmtId="17" fontId="0" fillId="0" borderId="0" xfId="0" applyNumberFormat="1"/>
    <xf numFmtId="0" fontId="0" fillId="0" borderId="0" xfId="0" applyAlignment="1"/>
    <xf numFmtId="0" fontId="1" fillId="2" borderId="1" xfId="0" applyFont="1" applyFill="1" applyBorder="1" applyAlignment="1">
      <alignment horizontal="right" vertical="top" wrapText="1"/>
    </xf>
    <xf numFmtId="0" fontId="1" fillId="0" borderId="0" xfId="0" applyFont="1"/>
    <xf numFmtId="0" fontId="2" fillId="2" borderId="1" xfId="0" applyFont="1" applyFill="1" applyBorder="1" applyAlignment="1">
      <alignment horizontal="right" vertical="top" wrapText="1"/>
    </xf>
    <xf numFmtId="0" fontId="4" fillId="0" borderId="2" xfId="1" applyFont="1" applyBorder="1" applyAlignment="1">
      <alignment horizontal="center" wrapText="1"/>
    </xf>
    <xf numFmtId="49" fontId="2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left" vertical="top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4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150.statcan.gc.ca/n1/pub/45-28-0001/2021001/article/00021-eng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BE518-D92D-4226-8748-DD9D961E2A60}">
  <dimension ref="A1:X33"/>
  <sheetViews>
    <sheetView tabSelected="1" workbookViewId="0">
      <pane xSplit="1" topLeftCell="B1" activePane="topRight" state="frozen"/>
      <selection activeCell="A4" sqref="A4"/>
      <selection pane="topRight" activeCell="L1" sqref="L1"/>
    </sheetView>
  </sheetViews>
  <sheetFormatPr defaultRowHeight="15"/>
  <cols>
    <col min="1" max="1" width="22" customWidth="1"/>
    <col min="2" max="2" width="23.5703125" customWidth="1"/>
    <col min="3" max="3" width="20.7109375" bestFit="1" customWidth="1"/>
    <col min="4" max="6" width="20.7109375" customWidth="1"/>
    <col min="7" max="7" width="24.5703125" bestFit="1" customWidth="1"/>
    <col min="8" max="8" width="15.42578125" customWidth="1"/>
    <col min="9" max="9" width="26.42578125" customWidth="1"/>
    <col min="10" max="10" width="13.28515625" customWidth="1"/>
    <col min="11" max="11" width="9.140625" customWidth="1"/>
    <col min="12" max="12" width="23.28515625" customWidth="1"/>
    <col min="13" max="13" width="21.140625" bestFit="1" customWidth="1"/>
    <col min="14" max="14" width="11.5703125" customWidth="1"/>
    <col min="15" max="16" width="10.140625" bestFit="1" customWidth="1"/>
    <col min="18" max="18" width="10.140625" bestFit="1" customWidth="1"/>
    <col min="19" max="19" width="10.140625" customWidth="1"/>
    <col min="20" max="20" width="28.85546875" customWidth="1"/>
    <col min="22" max="22" width="22.7109375" customWidth="1"/>
    <col min="23" max="23" width="13.140625" customWidth="1"/>
  </cols>
  <sheetData>
    <row r="1" spans="1:24" ht="15" customHeight="1">
      <c r="A1" t="s">
        <v>52</v>
      </c>
      <c r="B1" s="4" t="s">
        <v>5</v>
      </c>
      <c r="C1" s="4" t="s">
        <v>0</v>
      </c>
      <c r="D1" t="s">
        <v>1</v>
      </c>
      <c r="E1" t="s">
        <v>2</v>
      </c>
      <c r="F1" t="s">
        <v>3</v>
      </c>
      <c r="G1" s="14" t="s">
        <v>8</v>
      </c>
      <c r="H1" s="4" t="s">
        <v>6</v>
      </c>
      <c r="I1" s="14" t="s">
        <v>53</v>
      </c>
      <c r="J1" t="s">
        <v>54</v>
      </c>
      <c r="K1" s="4" t="s">
        <v>55</v>
      </c>
      <c r="L1" s="4" t="s">
        <v>21</v>
      </c>
      <c r="M1" s="4" t="s">
        <v>20</v>
      </c>
      <c r="N1" s="14" t="s">
        <v>19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  <c r="T1" s="4" t="s">
        <v>22</v>
      </c>
      <c r="U1" s="4" t="s">
        <v>23</v>
      </c>
      <c r="V1" t="s">
        <v>24</v>
      </c>
      <c r="W1" t="s">
        <v>25</v>
      </c>
      <c r="X1" t="s">
        <v>9</v>
      </c>
    </row>
    <row r="2" spans="1:24">
      <c r="A2" s="3">
        <v>43891</v>
      </c>
      <c r="B2">
        <v>12.3</v>
      </c>
      <c r="C2" s="1">
        <v>7.5999999999999998E-2</v>
      </c>
      <c r="D2" s="1">
        <v>0.158</v>
      </c>
      <c r="E2" s="1">
        <v>6.7000000000000004E-2</v>
      </c>
      <c r="F2" s="1">
        <v>5.3999999999999999E-2</v>
      </c>
      <c r="G2" s="2" t="s">
        <v>7</v>
      </c>
      <c r="H2" s="2">
        <v>585600</v>
      </c>
      <c r="I2" s="2">
        <v>-7600</v>
      </c>
      <c r="J2" s="2">
        <v>-179200</v>
      </c>
      <c r="K2" s="2">
        <v>-64800</v>
      </c>
      <c r="L2" s="15">
        <f>-35.7*1000</f>
        <v>-35700</v>
      </c>
      <c r="M2" s="2">
        <v>12072</v>
      </c>
      <c r="N2" s="2">
        <v>19423.599999999999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 t="s">
        <v>4</v>
      </c>
      <c r="V2">
        <v>0</v>
      </c>
      <c r="W2">
        <v>0</v>
      </c>
      <c r="X2">
        <v>0</v>
      </c>
    </row>
    <row r="3" spans="1:24">
      <c r="A3" s="3">
        <v>43922</v>
      </c>
      <c r="B3">
        <v>12.3</v>
      </c>
      <c r="C3" s="1">
        <v>0.113</v>
      </c>
      <c r="D3" s="1">
        <v>0.24</v>
      </c>
      <c r="E3" s="1">
        <v>9.5000000000000001E-2</v>
      </c>
      <c r="F3" s="1">
        <v>9.5000000000000001E-2</v>
      </c>
      <c r="G3" s="2" t="s">
        <v>7</v>
      </c>
      <c r="H3">
        <v>822400</v>
      </c>
      <c r="I3" s="2">
        <v>-166800</v>
      </c>
      <c r="J3" s="2">
        <v>-378300</v>
      </c>
      <c r="K3" s="2">
        <v>-144000</v>
      </c>
      <c r="L3" s="4">
        <f>-138.2*1000</f>
        <v>-138200</v>
      </c>
      <c r="M3" s="2">
        <v>271235</v>
      </c>
      <c r="N3" s="2">
        <v>12212.1</v>
      </c>
      <c r="O3">
        <v>0</v>
      </c>
      <c r="P3">
        <v>0</v>
      </c>
      <c r="Q3">
        <v>0</v>
      </c>
      <c r="R3">
        <v>0</v>
      </c>
      <c r="S3">
        <v>2</v>
      </c>
      <c r="T3">
        <v>0</v>
      </c>
      <c r="U3" t="s">
        <v>4</v>
      </c>
      <c r="V3">
        <v>0</v>
      </c>
      <c r="W3">
        <v>0</v>
      </c>
      <c r="X3">
        <v>0</v>
      </c>
    </row>
    <row r="4" spans="1:24">
      <c r="A4" s="3">
        <v>43952</v>
      </c>
      <c r="B4">
        <v>12.3</v>
      </c>
      <c r="C4">
        <v>13.6</v>
      </c>
      <c r="D4" s="1">
        <v>0.3</v>
      </c>
      <c r="E4" s="1">
        <v>0.114</v>
      </c>
      <c r="F4" s="1">
        <v>9.5000000000000001E-2</v>
      </c>
      <c r="G4" s="2" t="s">
        <v>7</v>
      </c>
      <c r="H4" s="2">
        <v>1000000</v>
      </c>
      <c r="I4" s="2">
        <v>-196900</v>
      </c>
      <c r="J4" s="2">
        <v>-402000</v>
      </c>
      <c r="K4" s="2">
        <v>-154800</v>
      </c>
      <c r="L4" s="4">
        <f>-215.9*1000</f>
        <v>-215900</v>
      </c>
      <c r="M4" s="2">
        <v>693810</v>
      </c>
      <c r="N4" s="2">
        <v>12460.7</v>
      </c>
      <c r="O4">
        <v>0</v>
      </c>
      <c r="P4">
        <v>0</v>
      </c>
      <c r="Q4">
        <v>0</v>
      </c>
      <c r="R4">
        <v>0</v>
      </c>
      <c r="S4">
        <v>3</v>
      </c>
      <c r="T4">
        <v>0</v>
      </c>
      <c r="U4" t="s">
        <v>4</v>
      </c>
      <c r="V4">
        <v>0</v>
      </c>
      <c r="W4">
        <v>0</v>
      </c>
      <c r="X4">
        <v>0</v>
      </c>
    </row>
    <row r="5" spans="1:24">
      <c r="A5" s="3">
        <v>43983</v>
      </c>
      <c r="B5">
        <v>12.3</v>
      </c>
      <c r="C5" s="1">
        <v>0.122</v>
      </c>
      <c r="D5" s="1">
        <v>0.3</v>
      </c>
      <c r="E5" s="1">
        <v>9.8000000000000004E-2</v>
      </c>
      <c r="F5" s="1">
        <v>0.107</v>
      </c>
      <c r="G5" s="2" t="s">
        <v>7</v>
      </c>
      <c r="H5" s="2">
        <v>943400</v>
      </c>
      <c r="I5" s="2">
        <f>I4+78700</f>
        <v>-118200</v>
      </c>
      <c r="J5" s="2">
        <f>J4+248400</f>
        <v>-153600</v>
      </c>
      <c r="K5" s="2">
        <f>K4+50800</f>
        <v>-104000</v>
      </c>
      <c r="L5" s="4">
        <f>-230.7*1000</f>
        <v>-230700</v>
      </c>
      <c r="M5" s="2">
        <v>966323</v>
      </c>
      <c r="N5" s="2">
        <v>18107.5</v>
      </c>
      <c r="O5">
        <v>620810</v>
      </c>
      <c r="P5" s="2">
        <v>1960600</v>
      </c>
      <c r="Q5" s="2">
        <v>688880</v>
      </c>
      <c r="R5" s="2">
        <f>SUM(O5:Q5)</f>
        <v>3270290</v>
      </c>
      <c r="S5" s="2">
        <f>S4+1</f>
        <v>4</v>
      </c>
      <c r="T5" s="2">
        <v>0</v>
      </c>
      <c r="U5" t="s">
        <v>4</v>
      </c>
      <c r="V5">
        <v>0</v>
      </c>
      <c r="W5">
        <v>0</v>
      </c>
      <c r="X5">
        <v>0</v>
      </c>
    </row>
    <row r="6" spans="1:24">
      <c r="A6" s="3">
        <v>44013</v>
      </c>
      <c r="B6">
        <v>12.3</v>
      </c>
      <c r="C6" s="1">
        <v>0.113</v>
      </c>
      <c r="D6" s="1">
        <v>0.28399999999999997</v>
      </c>
      <c r="E6" s="1">
        <v>8.8000000000000009E-2</v>
      </c>
      <c r="F6" s="1">
        <v>7.8E-2</v>
      </c>
      <c r="G6" s="2" t="s">
        <v>7</v>
      </c>
      <c r="H6" s="2">
        <v>886600</v>
      </c>
      <c r="I6" s="2">
        <f>I5+58600</f>
        <v>-59600</v>
      </c>
      <c r="J6" s="2">
        <f>J5+60600</f>
        <v>-93000</v>
      </c>
      <c r="K6" s="2">
        <f>K5+31400</f>
        <v>-72600</v>
      </c>
      <c r="L6" s="4">
        <f>-229.2*1000</f>
        <v>-229200</v>
      </c>
      <c r="M6" s="2">
        <v>1154665</v>
      </c>
      <c r="N6" s="2">
        <v>20272.099999999999</v>
      </c>
      <c r="O6">
        <v>2504400</v>
      </c>
      <c r="P6" s="2">
        <v>8038690</v>
      </c>
      <c r="Q6" s="2">
        <v>2828260</v>
      </c>
      <c r="R6" s="2">
        <f t="shared" ref="R6:R9" si="0">SUM(O6:Q6)</f>
        <v>13371350</v>
      </c>
      <c r="S6" s="2">
        <f t="shared" ref="S6:S33" si="1">S5+1</f>
        <v>5</v>
      </c>
      <c r="T6" s="2">
        <v>0</v>
      </c>
      <c r="U6" t="s">
        <v>4</v>
      </c>
      <c r="V6">
        <v>0</v>
      </c>
      <c r="W6">
        <v>0</v>
      </c>
      <c r="X6">
        <v>0</v>
      </c>
    </row>
    <row r="7" spans="1:24">
      <c r="A7" s="3">
        <v>44044</v>
      </c>
      <c r="B7">
        <v>12.3</v>
      </c>
      <c r="C7" s="1">
        <v>0.106</v>
      </c>
      <c r="D7" s="1">
        <v>0.27699999999999997</v>
      </c>
      <c r="E7" s="1">
        <v>7.5999999999999998E-2</v>
      </c>
      <c r="F7" s="1">
        <v>7.8E-2</v>
      </c>
      <c r="G7" s="2" t="s">
        <v>7</v>
      </c>
      <c r="H7" s="2">
        <v>841400</v>
      </c>
      <c r="I7" s="2">
        <f>I6+16400</f>
        <v>-43200</v>
      </c>
      <c r="J7" s="2">
        <f>J6+86200</f>
        <v>-6800</v>
      </c>
      <c r="K7" s="2">
        <f>K6+39200</f>
        <v>-33400</v>
      </c>
      <c r="L7" s="4">
        <f>17.25*1000</f>
        <v>17250</v>
      </c>
      <c r="M7" s="2">
        <v>1262620</v>
      </c>
      <c r="N7" s="2">
        <v>23872.1</v>
      </c>
      <c r="O7">
        <v>3166750</v>
      </c>
      <c r="P7" s="2">
        <v>10322650</v>
      </c>
      <c r="Q7" s="2">
        <v>3627690</v>
      </c>
      <c r="R7" s="2">
        <f t="shared" si="0"/>
        <v>17117090</v>
      </c>
      <c r="S7" s="2">
        <f t="shared" si="1"/>
        <v>6</v>
      </c>
      <c r="T7" s="2">
        <v>0</v>
      </c>
      <c r="U7" t="s">
        <v>4</v>
      </c>
      <c r="V7">
        <v>0</v>
      </c>
      <c r="W7">
        <v>0</v>
      </c>
      <c r="X7">
        <v>0</v>
      </c>
    </row>
    <row r="8" spans="1:24">
      <c r="A8" s="3">
        <v>44075</v>
      </c>
      <c r="B8">
        <v>12.3</v>
      </c>
      <c r="C8" s="1">
        <v>9.5000000000000001E-2</v>
      </c>
      <c r="D8" s="1">
        <v>0.23</v>
      </c>
      <c r="E8" s="1">
        <v>7.2999999999999995E-2</v>
      </c>
      <c r="F8" s="1">
        <v>7.0999999999999994E-2</v>
      </c>
      <c r="G8" s="2" t="s">
        <v>7</v>
      </c>
      <c r="H8" s="2">
        <v>757400</v>
      </c>
      <c r="I8" s="2">
        <f>I7+80700</f>
        <v>37500</v>
      </c>
      <c r="J8" s="2">
        <f>J7+78600</f>
        <v>71800</v>
      </c>
      <c r="K8" s="2">
        <f>K7+8300</f>
        <v>-25100</v>
      </c>
      <c r="L8" s="4">
        <f>1000*-13.8</f>
        <v>-13800</v>
      </c>
      <c r="M8" s="2">
        <v>1377133</v>
      </c>
      <c r="N8" s="2">
        <v>25822</v>
      </c>
      <c r="O8">
        <v>2560070</v>
      </c>
      <c r="P8" s="2">
        <v>8434760</v>
      </c>
      <c r="Q8" s="2">
        <v>2956690</v>
      </c>
      <c r="R8" s="2">
        <f t="shared" si="0"/>
        <v>13951520</v>
      </c>
      <c r="S8" s="2">
        <f t="shared" si="1"/>
        <v>7</v>
      </c>
      <c r="T8" t="s">
        <v>26</v>
      </c>
      <c r="U8" t="s">
        <v>4</v>
      </c>
      <c r="V8">
        <v>470890</v>
      </c>
      <c r="W8">
        <v>470890</v>
      </c>
      <c r="X8">
        <v>755251</v>
      </c>
    </row>
    <row r="9" spans="1:24">
      <c r="A9" s="3">
        <v>44105</v>
      </c>
      <c r="B9">
        <v>12.4</v>
      </c>
      <c r="C9" s="1">
        <v>9.6000000000000002E-2</v>
      </c>
      <c r="D9" s="1">
        <v>0.221</v>
      </c>
      <c r="E9" s="1">
        <v>7.4999999999999997E-2</v>
      </c>
      <c r="F9" s="1">
        <v>7.2999999999999995E-2</v>
      </c>
      <c r="G9" s="2">
        <v>190300</v>
      </c>
      <c r="H9" s="2">
        <v>768000</v>
      </c>
      <c r="I9" s="2">
        <f>I8+13100</f>
        <v>50600</v>
      </c>
      <c r="J9" s="2">
        <f>J8+22900</f>
        <v>94700</v>
      </c>
      <c r="K9" s="2">
        <f>K8-5300</f>
        <v>-30400</v>
      </c>
      <c r="L9" s="4">
        <f>1000*-15.7</f>
        <v>-15700</v>
      </c>
      <c r="M9" s="2">
        <v>1883600</v>
      </c>
      <c r="N9" s="2">
        <v>25794.5</v>
      </c>
      <c r="O9">
        <v>643550</v>
      </c>
      <c r="P9" s="2">
        <v>2129370</v>
      </c>
      <c r="Q9" s="2">
        <v>745470</v>
      </c>
      <c r="R9" s="2">
        <f t="shared" si="0"/>
        <v>3518390</v>
      </c>
      <c r="S9" s="2">
        <f t="shared" si="1"/>
        <v>8</v>
      </c>
      <c r="T9" t="s">
        <v>27</v>
      </c>
      <c r="U9" t="s">
        <v>4</v>
      </c>
      <c r="V9">
        <v>488900</v>
      </c>
      <c r="W9">
        <v>488900</v>
      </c>
      <c r="X9">
        <v>896439</v>
      </c>
    </row>
    <row r="10" spans="1:24">
      <c r="A10" s="3">
        <v>44136</v>
      </c>
      <c r="B10">
        <v>12.4</v>
      </c>
      <c r="C10" s="1">
        <v>9.0999999999999998E-2</v>
      </c>
      <c r="D10" s="1">
        <v>0.20199999999999999</v>
      </c>
      <c r="E10" s="1">
        <v>7.5999999999999998E-2</v>
      </c>
      <c r="F10" s="1">
        <v>6.5000000000000002E-2</v>
      </c>
      <c r="G10" s="2">
        <v>184600</v>
      </c>
      <c r="H10" s="2">
        <v>733700</v>
      </c>
      <c r="I10" s="2">
        <f>I9+12100</f>
        <v>62700</v>
      </c>
      <c r="J10" s="2">
        <f>J9+0</f>
        <v>94700</v>
      </c>
      <c r="K10" s="2">
        <f>K9+22800</f>
        <v>-7600</v>
      </c>
      <c r="L10" s="4">
        <f>1000*-19.1</f>
        <v>-19100</v>
      </c>
      <c r="M10" s="2">
        <v>2851843</v>
      </c>
      <c r="N10" s="2">
        <v>24998.3</v>
      </c>
      <c r="O10">
        <v>0</v>
      </c>
      <c r="P10">
        <v>0</v>
      </c>
      <c r="Q10">
        <v>0</v>
      </c>
      <c r="R10">
        <v>0</v>
      </c>
      <c r="S10" s="2">
        <f t="shared" si="1"/>
        <v>9</v>
      </c>
      <c r="T10" t="s">
        <v>28</v>
      </c>
      <c r="U10" t="s">
        <v>4</v>
      </c>
      <c r="V10">
        <v>503050</v>
      </c>
      <c r="W10">
        <v>503050</v>
      </c>
      <c r="X10">
        <v>1068764</v>
      </c>
    </row>
    <row r="11" spans="1:24">
      <c r="A11" s="3">
        <v>44166</v>
      </c>
      <c r="B11">
        <v>12.4</v>
      </c>
      <c r="C11" s="1">
        <v>9.5000000000000001E-2</v>
      </c>
      <c r="D11" s="1">
        <v>0.20899999999999999</v>
      </c>
      <c r="E11" s="1">
        <v>7.5999999999999998E-2</v>
      </c>
      <c r="F11" s="1">
        <v>7.2000000000000008E-2</v>
      </c>
      <c r="G11" s="2">
        <v>239100</v>
      </c>
      <c r="H11" s="2">
        <v>762500</v>
      </c>
      <c r="I11" s="2">
        <f>I10+15400</f>
        <v>78100</v>
      </c>
      <c r="J11" s="2">
        <f>J10-35300</f>
        <v>59400</v>
      </c>
      <c r="K11" s="2">
        <f>K10+8000</f>
        <v>400</v>
      </c>
      <c r="L11" s="4">
        <f>1000*-23.9</f>
        <v>-23900</v>
      </c>
      <c r="M11" s="2">
        <v>4586380</v>
      </c>
      <c r="N11" s="2">
        <v>22716.5</v>
      </c>
      <c r="O11">
        <v>0</v>
      </c>
      <c r="P11">
        <v>0</v>
      </c>
      <c r="Q11">
        <v>0</v>
      </c>
      <c r="R11">
        <v>0</v>
      </c>
      <c r="S11" s="2">
        <f t="shared" si="1"/>
        <v>10</v>
      </c>
      <c r="T11" t="s">
        <v>29</v>
      </c>
      <c r="U11" t="s">
        <v>4</v>
      </c>
      <c r="V11">
        <v>509030</v>
      </c>
      <c r="W11">
        <v>509030</v>
      </c>
      <c r="X11">
        <v>1305217</v>
      </c>
    </row>
    <row r="12" spans="1:24">
      <c r="A12" s="3">
        <v>44197</v>
      </c>
      <c r="B12">
        <v>12.3</v>
      </c>
      <c r="C12" s="1">
        <v>0.10199999999999999</v>
      </c>
      <c r="D12" s="1">
        <v>0.218</v>
      </c>
      <c r="E12" s="1">
        <v>8.3000000000000004E-2</v>
      </c>
      <c r="F12" s="1">
        <v>7.5999999999999998E-2</v>
      </c>
      <c r="G12" s="2">
        <v>225800</v>
      </c>
      <c r="H12" s="2">
        <v>802400</v>
      </c>
      <c r="I12" s="2">
        <f>I11-90100</f>
        <v>-12000</v>
      </c>
      <c r="J12" s="2">
        <f>J11-51700</f>
        <v>7700</v>
      </c>
      <c r="K12" s="2">
        <f>K11-11700</f>
        <v>-11300</v>
      </c>
      <c r="L12" s="4">
        <f>1000*-35.4</f>
        <v>-35400</v>
      </c>
      <c r="M12" s="2">
        <v>6897097</v>
      </c>
      <c r="N12" s="2">
        <v>22348.6</v>
      </c>
      <c r="O12">
        <v>0</v>
      </c>
      <c r="P12">
        <v>0</v>
      </c>
      <c r="Q12">
        <v>0</v>
      </c>
      <c r="R12">
        <v>0</v>
      </c>
      <c r="S12" s="2">
        <f t="shared" si="1"/>
        <v>11</v>
      </c>
      <c r="T12" t="s">
        <v>30</v>
      </c>
      <c r="U12" t="s">
        <v>4</v>
      </c>
      <c r="V12">
        <v>490990</v>
      </c>
      <c r="W12">
        <v>490990</v>
      </c>
      <c r="X12">
        <v>1597437</v>
      </c>
    </row>
    <row r="13" spans="1:24">
      <c r="A13" s="3">
        <v>44228</v>
      </c>
      <c r="B13">
        <v>12.3</v>
      </c>
      <c r="C13" s="1">
        <v>9.1999999999999998E-2</v>
      </c>
      <c r="D13" s="1">
        <v>0.20899999999999999</v>
      </c>
      <c r="E13" s="1">
        <v>7.2999999999999995E-2</v>
      </c>
      <c r="F13" s="1">
        <v>7.0999999999999994E-2</v>
      </c>
      <c r="G13" s="2">
        <v>195100</v>
      </c>
      <c r="H13" s="2">
        <v>726500</v>
      </c>
      <c r="I13" s="2">
        <f>I12+23100</f>
        <v>11100</v>
      </c>
      <c r="J13" s="2">
        <f>J12+66700</f>
        <v>74400</v>
      </c>
      <c r="K13" s="2">
        <f>K12+10500</f>
        <v>-800</v>
      </c>
      <c r="L13" s="4">
        <f>1000*-121.9</f>
        <v>-121900</v>
      </c>
      <c r="M13" s="2">
        <v>8006016</v>
      </c>
      <c r="N13" s="2">
        <v>23671.200000000001</v>
      </c>
      <c r="O13">
        <v>0</v>
      </c>
      <c r="P13">
        <v>0</v>
      </c>
      <c r="Q13">
        <v>0</v>
      </c>
      <c r="R13">
        <v>0</v>
      </c>
      <c r="S13" s="2">
        <f t="shared" si="1"/>
        <v>12</v>
      </c>
      <c r="T13" t="s">
        <v>31</v>
      </c>
      <c r="U13" t="s">
        <v>4</v>
      </c>
      <c r="V13">
        <v>503300</v>
      </c>
      <c r="W13">
        <v>503300</v>
      </c>
      <c r="X13">
        <v>1957242</v>
      </c>
    </row>
    <row r="14" spans="1:24">
      <c r="A14" s="3">
        <v>44256</v>
      </c>
      <c r="B14">
        <v>12.3</v>
      </c>
      <c r="C14" s="1">
        <v>7.4999999999999997E-2</v>
      </c>
      <c r="D14" s="1">
        <v>0.151</v>
      </c>
      <c r="E14" s="1">
        <v>6.7000000000000004E-2</v>
      </c>
      <c r="F14" s="1">
        <v>0.05</v>
      </c>
      <c r="G14" s="2">
        <v>206200</v>
      </c>
      <c r="H14" s="2">
        <v>596400</v>
      </c>
      <c r="I14" s="2">
        <f>I13+59000</f>
        <v>70100</v>
      </c>
      <c r="J14" s="2">
        <f>J13+61700</f>
        <v>136100</v>
      </c>
      <c r="K14" s="2">
        <f>K13+61600</f>
        <v>60800</v>
      </c>
      <c r="L14" s="4">
        <f>1000*-111.5</f>
        <v>-111500</v>
      </c>
      <c r="M14" s="2">
        <v>1519171</v>
      </c>
      <c r="N14" s="2">
        <v>24123.9</v>
      </c>
      <c r="O14">
        <v>0</v>
      </c>
      <c r="P14">
        <v>0</v>
      </c>
      <c r="Q14">
        <v>0</v>
      </c>
      <c r="R14">
        <v>0</v>
      </c>
      <c r="S14" s="2">
        <f t="shared" si="1"/>
        <v>13</v>
      </c>
      <c r="T14" t="s">
        <v>32</v>
      </c>
      <c r="U14" t="s">
        <v>4</v>
      </c>
      <c r="V14">
        <v>545570</v>
      </c>
      <c r="W14">
        <v>545570</v>
      </c>
      <c r="X14">
        <v>2392993</v>
      </c>
    </row>
    <row r="15" spans="1:24">
      <c r="A15" s="3">
        <v>44287</v>
      </c>
      <c r="B15">
        <v>12.3</v>
      </c>
      <c r="C15" s="1">
        <v>0.09</v>
      </c>
      <c r="D15" s="1">
        <v>0.20399999999999999</v>
      </c>
      <c r="E15" s="1">
        <v>7.2999999999999995E-2</v>
      </c>
      <c r="F15" s="1">
        <v>7.2000000000000008E-2</v>
      </c>
      <c r="G15" s="2">
        <v>210700</v>
      </c>
      <c r="H15" s="2">
        <v>716800</v>
      </c>
      <c r="I15" s="2">
        <f>I14-73000</f>
        <v>-2900</v>
      </c>
      <c r="J15" s="2">
        <f>J14-98500</f>
        <v>37600</v>
      </c>
      <c r="K15" s="2">
        <f>K14-42100</f>
        <v>18700</v>
      </c>
      <c r="L15" s="4">
        <f>1000*-135.1</f>
        <v>-135100</v>
      </c>
      <c r="M15" s="2">
        <v>15141933</v>
      </c>
      <c r="N15" s="2">
        <v>21042.5</v>
      </c>
      <c r="O15">
        <v>0</v>
      </c>
      <c r="P15">
        <v>0</v>
      </c>
      <c r="Q15">
        <v>0</v>
      </c>
      <c r="R15">
        <v>0</v>
      </c>
      <c r="S15" s="2">
        <f t="shared" si="1"/>
        <v>14</v>
      </c>
      <c r="T15" t="s">
        <v>33</v>
      </c>
      <c r="U15" t="s">
        <v>4</v>
      </c>
      <c r="V15">
        <v>561170</v>
      </c>
      <c r="W15">
        <v>561170</v>
      </c>
      <c r="X15">
        <v>2984572</v>
      </c>
    </row>
    <row r="16" spans="1:24">
      <c r="A16" s="3">
        <v>44317</v>
      </c>
      <c r="B16">
        <v>12.3</v>
      </c>
      <c r="C16" s="1">
        <v>9.3000000000000013E-2</v>
      </c>
      <c r="D16" s="1">
        <v>0.20699999999999999</v>
      </c>
      <c r="E16" s="1">
        <v>7.0000000000000007E-2</v>
      </c>
      <c r="F16" s="1">
        <v>8.8000000000000009E-2</v>
      </c>
      <c r="G16" s="2">
        <v>218800</v>
      </c>
      <c r="H16" s="2">
        <v>733000</v>
      </c>
      <c r="I16" s="2">
        <f>I15-23000</f>
        <v>-25900</v>
      </c>
      <c r="J16" s="2">
        <f>J15-7700</f>
        <v>29900</v>
      </c>
      <c r="K16" s="2">
        <f>K15-16200</f>
        <v>2500</v>
      </c>
      <c r="L16" s="4">
        <f>-116.3*1000</f>
        <v>-116300</v>
      </c>
      <c r="M16" s="2">
        <v>16197151</v>
      </c>
      <c r="N16" s="2">
        <v>20305.099999999999</v>
      </c>
      <c r="O16">
        <v>0</v>
      </c>
      <c r="P16">
        <v>0</v>
      </c>
      <c r="Q16">
        <v>0</v>
      </c>
      <c r="R16">
        <v>0</v>
      </c>
      <c r="S16" s="2">
        <f t="shared" si="1"/>
        <v>15</v>
      </c>
      <c r="T16" t="s">
        <v>34</v>
      </c>
      <c r="U16" t="s">
        <v>4</v>
      </c>
      <c r="V16">
        <v>570030</v>
      </c>
      <c r="W16">
        <v>570030</v>
      </c>
      <c r="X16">
        <v>3539892</v>
      </c>
    </row>
    <row r="17" spans="1:24">
      <c r="A17" s="3">
        <v>44348</v>
      </c>
      <c r="B17">
        <v>12.3</v>
      </c>
      <c r="C17" s="1">
        <v>8.4000000000000005E-2</v>
      </c>
      <c r="D17" s="1">
        <v>0.17199999999999999</v>
      </c>
      <c r="E17" s="1">
        <v>6.5000000000000002E-2</v>
      </c>
      <c r="F17" s="1">
        <v>8.3000000000000004E-2</v>
      </c>
      <c r="G17" s="2">
        <v>215700</v>
      </c>
      <c r="H17" s="2">
        <v>668800</v>
      </c>
      <c r="I17" s="2">
        <f>I16+85700</f>
        <v>59800</v>
      </c>
      <c r="J17" s="2">
        <f>J16+20000</f>
        <v>49900</v>
      </c>
      <c r="K17" s="2">
        <f>K16+11100</f>
        <v>13600</v>
      </c>
      <c r="L17" s="4">
        <f>1000*-100.8</f>
        <v>-100800</v>
      </c>
      <c r="M17" s="2">
        <v>16983190</v>
      </c>
      <c r="N17" s="2">
        <v>23472.3</v>
      </c>
      <c r="O17">
        <v>0</v>
      </c>
      <c r="P17">
        <v>0</v>
      </c>
      <c r="Q17">
        <v>0</v>
      </c>
      <c r="R17">
        <v>0</v>
      </c>
      <c r="S17" s="2">
        <f t="shared" si="1"/>
        <v>16</v>
      </c>
      <c r="T17" t="s">
        <v>35</v>
      </c>
      <c r="U17" t="s">
        <v>4</v>
      </c>
      <c r="V17">
        <v>569500</v>
      </c>
      <c r="W17">
        <v>569500</v>
      </c>
      <c r="X17">
        <v>3877845</v>
      </c>
    </row>
    <row r="18" spans="1:24">
      <c r="A18" s="3">
        <v>44378</v>
      </c>
      <c r="B18">
        <v>12.3</v>
      </c>
      <c r="C18" s="1">
        <v>0.08</v>
      </c>
      <c r="D18" s="1">
        <v>0.14499999999999999</v>
      </c>
      <c r="E18" s="1">
        <v>6.5000000000000002E-2</v>
      </c>
      <c r="F18" s="1">
        <v>8.199999999999999E-2</v>
      </c>
      <c r="G18" s="2">
        <v>170600</v>
      </c>
      <c r="H18" s="2">
        <v>641900</v>
      </c>
      <c r="I18" s="2">
        <f>I17+42500</f>
        <v>102300</v>
      </c>
      <c r="J18" s="2">
        <f>J17+47200</f>
        <v>97100</v>
      </c>
      <c r="K18" s="2">
        <f>K17-17400</f>
        <v>-3800</v>
      </c>
      <c r="L18" s="4">
        <f>1000*-80.2</f>
        <v>-80200</v>
      </c>
      <c r="M18" s="2">
        <v>16432754</v>
      </c>
      <c r="N18" s="2">
        <v>25458.1</v>
      </c>
      <c r="O18">
        <v>0</v>
      </c>
      <c r="P18">
        <v>0</v>
      </c>
      <c r="Q18">
        <v>0</v>
      </c>
      <c r="R18">
        <v>0</v>
      </c>
      <c r="S18" s="2">
        <f t="shared" si="1"/>
        <v>17</v>
      </c>
      <c r="T18" t="s">
        <v>36</v>
      </c>
      <c r="U18" t="s">
        <v>4</v>
      </c>
      <c r="V18">
        <v>554730</v>
      </c>
      <c r="W18">
        <v>554730</v>
      </c>
      <c r="X18">
        <v>4095566</v>
      </c>
    </row>
    <row r="19" spans="1:24">
      <c r="A19" s="3">
        <v>44409</v>
      </c>
      <c r="B19">
        <v>12.4</v>
      </c>
      <c r="C19" s="1">
        <v>7.5999999999999998E-2</v>
      </c>
      <c r="D19" s="1">
        <v>0.13800000000000001</v>
      </c>
      <c r="E19" s="1">
        <v>6.3E-2</v>
      </c>
      <c r="F19" s="1">
        <v>7.0999999999999994E-2</v>
      </c>
      <c r="G19" s="2">
        <v>152900</v>
      </c>
      <c r="H19" s="2">
        <v>607500</v>
      </c>
      <c r="I19" s="2">
        <f>I18+26500</f>
        <v>128800</v>
      </c>
      <c r="J19" s="2">
        <f>J18+8500</f>
        <v>105600</v>
      </c>
      <c r="K19" s="2">
        <f>K18+18200</f>
        <v>14400</v>
      </c>
      <c r="L19" s="4">
        <f>1000*-29.6</f>
        <v>-29600</v>
      </c>
      <c r="M19" s="2">
        <v>17258170</v>
      </c>
      <c r="N19" s="2">
        <v>27527.200000000001</v>
      </c>
      <c r="O19">
        <v>0</v>
      </c>
      <c r="P19">
        <v>0</v>
      </c>
      <c r="Q19">
        <v>0</v>
      </c>
      <c r="R19">
        <v>0</v>
      </c>
      <c r="S19" s="2">
        <f t="shared" si="1"/>
        <v>18</v>
      </c>
      <c r="T19" t="s">
        <v>37</v>
      </c>
      <c r="U19" t="s">
        <v>4</v>
      </c>
      <c r="V19">
        <v>544250</v>
      </c>
      <c r="W19">
        <v>544250</v>
      </c>
      <c r="X19">
        <v>4313517</v>
      </c>
    </row>
    <row r="20" spans="1:24">
      <c r="A20" s="3">
        <v>44440</v>
      </c>
      <c r="B20">
        <v>12.4</v>
      </c>
      <c r="C20" s="1">
        <v>7.5999999999999998E-2</v>
      </c>
      <c r="D20" s="1">
        <v>0.125</v>
      </c>
      <c r="E20" s="1">
        <v>6.4000000000000001E-2</v>
      </c>
      <c r="F20" s="1">
        <v>7.0999999999999994E-2</v>
      </c>
      <c r="G20" s="2">
        <v>169800</v>
      </c>
      <c r="H20" s="2">
        <v>591600</v>
      </c>
      <c r="I20" s="2">
        <f>I19+18800</f>
        <v>147600</v>
      </c>
      <c r="J20" s="2">
        <f>J19+53700</f>
        <v>159300</v>
      </c>
      <c r="K20" s="2">
        <f>K19</f>
        <v>14400</v>
      </c>
      <c r="L20" s="4">
        <f>1000*-44.8</f>
        <v>-44800</v>
      </c>
      <c r="M20" s="2">
        <v>17301792</v>
      </c>
      <c r="N20" s="2">
        <v>27618</v>
      </c>
      <c r="O20">
        <v>0</v>
      </c>
      <c r="P20">
        <v>0</v>
      </c>
      <c r="Q20">
        <v>0</v>
      </c>
      <c r="R20">
        <v>0</v>
      </c>
      <c r="S20" s="2">
        <f t="shared" si="1"/>
        <v>19</v>
      </c>
      <c r="T20" t="s">
        <v>38</v>
      </c>
      <c r="U20" t="s">
        <v>4</v>
      </c>
      <c r="V20">
        <v>544390</v>
      </c>
      <c r="W20">
        <v>544390</v>
      </c>
      <c r="X20">
        <v>4595987</v>
      </c>
    </row>
    <row r="21" spans="1:24">
      <c r="A21" s="3">
        <v>44470</v>
      </c>
      <c r="B21">
        <v>12.4</v>
      </c>
      <c r="C21" s="1">
        <v>7.0000000000000007E-2</v>
      </c>
      <c r="D21" s="1">
        <v>9.9000000000000005E-2</v>
      </c>
      <c r="E21" s="1">
        <v>6.3E-2</v>
      </c>
      <c r="F21" s="1">
        <v>7.2000000000000008E-2</v>
      </c>
      <c r="G21" s="2">
        <v>157100</v>
      </c>
      <c r="H21" s="2">
        <v>567900</v>
      </c>
      <c r="I21" s="2">
        <f>I20+18100</f>
        <v>165700</v>
      </c>
      <c r="J21" s="2">
        <f>J20+18100</f>
        <v>177400</v>
      </c>
      <c r="K21" s="2">
        <f>K20</f>
        <v>14400</v>
      </c>
      <c r="L21" s="4">
        <f>1000*-40.1</f>
        <v>-40100</v>
      </c>
      <c r="M21" s="2">
        <v>18414724</v>
      </c>
      <c r="N21" s="2">
        <v>27618.2</v>
      </c>
      <c r="O21">
        <v>0</v>
      </c>
      <c r="P21">
        <v>0</v>
      </c>
      <c r="Q21">
        <v>0</v>
      </c>
      <c r="R21">
        <v>0</v>
      </c>
      <c r="S21" s="2">
        <f t="shared" si="1"/>
        <v>20</v>
      </c>
      <c r="T21" t="s">
        <v>39</v>
      </c>
      <c r="U21" t="s">
        <v>4</v>
      </c>
      <c r="V21">
        <v>565180</v>
      </c>
      <c r="W21">
        <v>565180</v>
      </c>
      <c r="X21">
        <v>5051572</v>
      </c>
    </row>
    <row r="22" spans="1:24">
      <c r="A22" s="3">
        <v>44501</v>
      </c>
      <c r="B22">
        <v>12.4</v>
      </c>
      <c r="C22" s="1">
        <v>6.4000000000000001E-2</v>
      </c>
      <c r="D22" s="1">
        <v>0.114</v>
      </c>
      <c r="E22" s="1">
        <v>5.0999999999999997E-2</v>
      </c>
      <c r="F22" s="1">
        <v>6.9000000000000006E-2</v>
      </c>
      <c r="G22" s="2">
        <v>129500</v>
      </c>
      <c r="H22" s="2">
        <v>519100</v>
      </c>
      <c r="I22" s="2">
        <f>I21-11600</f>
        <v>154100</v>
      </c>
      <c r="J22" s="2">
        <f>J21+63800</f>
        <v>241200</v>
      </c>
      <c r="K22" s="2">
        <f>K21+15900</f>
        <v>30300</v>
      </c>
      <c r="L22" s="4">
        <f>1000*-50.3</f>
        <v>-50300</v>
      </c>
      <c r="M22" s="2">
        <v>18253389</v>
      </c>
      <c r="N22" s="2">
        <v>27199.1</v>
      </c>
      <c r="O22">
        <v>0</v>
      </c>
      <c r="P22">
        <v>0</v>
      </c>
      <c r="Q22">
        <v>0</v>
      </c>
      <c r="R22">
        <v>0</v>
      </c>
      <c r="S22" s="2">
        <f t="shared" si="1"/>
        <v>21</v>
      </c>
      <c r="T22" t="s">
        <v>40</v>
      </c>
      <c r="U22" t="s">
        <v>4</v>
      </c>
      <c r="V22">
        <v>574630</v>
      </c>
      <c r="W22">
        <v>574630</v>
      </c>
      <c r="X22">
        <v>5799820</v>
      </c>
    </row>
    <row r="23" spans="1:24">
      <c r="A23" s="3">
        <v>44531</v>
      </c>
      <c r="B23">
        <v>12.4</v>
      </c>
      <c r="C23" s="1">
        <v>0.06</v>
      </c>
      <c r="D23" s="1">
        <v>0.10800000000000001</v>
      </c>
      <c r="E23" s="1">
        <v>0.05</v>
      </c>
      <c r="F23" s="1">
        <v>0.06</v>
      </c>
      <c r="G23" s="2">
        <v>125700</v>
      </c>
      <c r="H23" s="2">
        <v>491900</v>
      </c>
      <c r="I23" s="2">
        <f>I22+18800</f>
        <v>172900</v>
      </c>
      <c r="J23" s="2">
        <f>J22+28500</f>
        <v>269700</v>
      </c>
      <c r="K23" s="2">
        <f>K22</f>
        <v>30300</v>
      </c>
      <c r="L23" s="4">
        <f>1000*-50.5</f>
        <v>-50500</v>
      </c>
      <c r="M23" s="2">
        <v>20330389</v>
      </c>
      <c r="N23" s="2">
        <v>27500.9</v>
      </c>
      <c r="O23">
        <v>0</v>
      </c>
      <c r="P23">
        <v>0</v>
      </c>
      <c r="Q23">
        <v>0</v>
      </c>
      <c r="R23">
        <v>0</v>
      </c>
      <c r="S23" s="2">
        <f t="shared" si="1"/>
        <v>22</v>
      </c>
      <c r="T23" t="s">
        <v>41</v>
      </c>
      <c r="U23" t="s">
        <v>4</v>
      </c>
      <c r="V23">
        <v>568880</v>
      </c>
      <c r="W23">
        <v>568880</v>
      </c>
      <c r="X23">
        <v>6550576</v>
      </c>
    </row>
    <row r="24" spans="1:24">
      <c r="R24" s="2">
        <f>SUM(R5:R9)</f>
        <v>51228640</v>
      </c>
      <c r="S24" s="2">
        <f t="shared" si="1"/>
        <v>23</v>
      </c>
      <c r="T24" t="s">
        <v>42</v>
      </c>
      <c r="U24" t="s">
        <v>4</v>
      </c>
      <c r="V24">
        <v>553790</v>
      </c>
      <c r="W24">
        <v>553790</v>
      </c>
      <c r="X24">
        <v>7103085</v>
      </c>
    </row>
    <row r="25" spans="1:24">
      <c r="S25" s="2">
        <f t="shared" si="1"/>
        <v>24</v>
      </c>
      <c r="T25" t="s">
        <v>43</v>
      </c>
      <c r="U25" t="s">
        <v>4</v>
      </c>
      <c r="V25">
        <v>542040</v>
      </c>
      <c r="W25">
        <v>542040</v>
      </c>
      <c r="X25">
        <v>7413420</v>
      </c>
    </row>
    <row r="26" spans="1:24">
      <c r="S26" s="2">
        <f t="shared" si="1"/>
        <v>25</v>
      </c>
      <c r="T26" t="s">
        <v>44</v>
      </c>
      <c r="U26" t="s">
        <v>4</v>
      </c>
      <c r="V26">
        <v>522660</v>
      </c>
      <c r="W26">
        <v>522660</v>
      </c>
      <c r="X26">
        <v>7548767</v>
      </c>
    </row>
    <row r="27" spans="1:24">
      <c r="S27" s="2">
        <f t="shared" si="1"/>
        <v>26</v>
      </c>
      <c r="T27" t="s">
        <v>45</v>
      </c>
      <c r="U27" t="s">
        <v>4</v>
      </c>
      <c r="V27">
        <v>498320</v>
      </c>
      <c r="W27">
        <v>498320</v>
      </c>
      <c r="X27">
        <v>7615632</v>
      </c>
    </row>
    <row r="28" spans="1:24">
      <c r="S28" s="2">
        <f t="shared" si="1"/>
        <v>27</v>
      </c>
      <c r="T28" t="s">
        <v>46</v>
      </c>
      <c r="U28" t="s">
        <v>4</v>
      </c>
      <c r="V28">
        <v>472960</v>
      </c>
      <c r="W28">
        <v>472960</v>
      </c>
      <c r="X28">
        <v>7657804</v>
      </c>
    </row>
    <row r="29" spans="1:24">
      <c r="S29" s="2">
        <f t="shared" si="1"/>
        <v>28</v>
      </c>
      <c r="T29" t="s">
        <v>47</v>
      </c>
      <c r="U29" t="s">
        <v>4</v>
      </c>
      <c r="V29">
        <v>452230</v>
      </c>
      <c r="W29">
        <v>379850</v>
      </c>
      <c r="X29">
        <v>7689234</v>
      </c>
    </row>
    <row r="30" spans="1:24">
      <c r="S30" s="2">
        <f t="shared" si="1"/>
        <v>29</v>
      </c>
      <c r="T30" t="s">
        <v>48</v>
      </c>
      <c r="U30" t="s">
        <v>4</v>
      </c>
      <c r="V30">
        <v>438750</v>
      </c>
      <c r="W30">
        <v>352590</v>
      </c>
      <c r="X30">
        <v>7734000</v>
      </c>
    </row>
    <row r="31" spans="1:24">
      <c r="S31" s="2">
        <f t="shared" si="1"/>
        <v>30</v>
      </c>
      <c r="T31" t="s">
        <v>49</v>
      </c>
      <c r="U31" t="s">
        <v>4</v>
      </c>
      <c r="V31">
        <v>426240</v>
      </c>
      <c r="W31">
        <v>332200</v>
      </c>
      <c r="X31">
        <v>7829264</v>
      </c>
    </row>
    <row r="32" spans="1:24">
      <c r="S32" s="2">
        <f t="shared" si="1"/>
        <v>31</v>
      </c>
      <c r="T32" t="s">
        <v>50</v>
      </c>
      <c r="U32" t="s">
        <v>4</v>
      </c>
      <c r="V32">
        <v>408330</v>
      </c>
      <c r="W32">
        <v>310100</v>
      </c>
      <c r="X32">
        <v>7965783</v>
      </c>
    </row>
    <row r="33" spans="19:24">
      <c r="S33" s="2">
        <f t="shared" si="1"/>
        <v>32</v>
      </c>
      <c r="T33" t="s">
        <v>51</v>
      </c>
      <c r="U33" t="s">
        <v>4</v>
      </c>
      <c r="V33">
        <v>389710</v>
      </c>
      <c r="W33">
        <v>275510</v>
      </c>
      <c r="X33">
        <v>8105788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C2295-BE9B-488E-8557-DB774945393B}">
  <dimension ref="A1:J8"/>
  <sheetViews>
    <sheetView workbookViewId="0">
      <selection activeCell="B2" sqref="B2"/>
    </sheetView>
  </sheetViews>
  <sheetFormatPr defaultRowHeight="15"/>
  <cols>
    <col min="1" max="1" width="14.7109375" customWidth="1"/>
    <col min="2" max="2" width="12.140625" customWidth="1"/>
    <col min="4" max="4" width="8.28515625" bestFit="1" customWidth="1"/>
    <col min="7" max="7" width="21.28515625" customWidth="1"/>
  </cols>
  <sheetData>
    <row r="1" spans="1:10" ht="49.5" customHeight="1" thickBot="1">
      <c r="B1" s="10" t="s">
        <v>16</v>
      </c>
      <c r="C1" s="10"/>
      <c r="D1" s="10"/>
      <c r="E1" s="9" t="s">
        <v>15</v>
      </c>
      <c r="F1" s="9"/>
      <c r="G1" s="9"/>
      <c r="H1" s="8" t="s">
        <v>14</v>
      </c>
      <c r="I1" s="8"/>
      <c r="J1" s="8"/>
    </row>
    <row r="2" spans="1:10" ht="15.75" thickBot="1">
      <c r="B2" s="7" t="s">
        <v>13</v>
      </c>
      <c r="C2" s="7" t="s">
        <v>12</v>
      </c>
      <c r="D2" s="7" t="s">
        <v>11</v>
      </c>
      <c r="E2" s="7" t="s">
        <v>13</v>
      </c>
      <c r="F2" s="7" t="s">
        <v>12</v>
      </c>
      <c r="G2" s="7" t="s">
        <v>11</v>
      </c>
      <c r="H2" s="7" t="s">
        <v>13</v>
      </c>
      <c r="I2" s="7" t="s">
        <v>12</v>
      </c>
      <c r="J2" s="7" t="s">
        <v>11</v>
      </c>
    </row>
    <row r="3" spans="1:10" ht="16.5" thickBot="1">
      <c r="A3" s="6" t="s">
        <v>10</v>
      </c>
      <c r="B3" s="5">
        <v>66.599999999999994</v>
      </c>
      <c r="C3" s="5">
        <v>66.2</v>
      </c>
      <c r="D3" s="5">
        <v>66.8</v>
      </c>
      <c r="E3" s="5">
        <v>19.600000000000001</v>
      </c>
      <c r="F3" s="5">
        <v>19.5</v>
      </c>
      <c r="G3" s="5">
        <v>19.8</v>
      </c>
      <c r="H3" s="5">
        <v>13.1</v>
      </c>
      <c r="I3" s="5">
        <v>12.9</v>
      </c>
      <c r="J3" s="5">
        <v>13.2</v>
      </c>
    </row>
    <row r="6" spans="1:10" ht="51" customHeight="1" thickBot="1">
      <c r="B6" s="13" t="s">
        <v>18</v>
      </c>
      <c r="C6" s="13"/>
      <c r="D6" s="13"/>
      <c r="E6" s="12" t="s">
        <v>17</v>
      </c>
      <c r="F6" s="12"/>
      <c r="G6" s="12"/>
      <c r="H6" s="12" t="s">
        <v>14</v>
      </c>
      <c r="I6" s="12"/>
      <c r="J6" s="12"/>
    </row>
    <row r="7" spans="1:10" ht="15.75" thickBot="1">
      <c r="B7" s="7" t="s">
        <v>13</v>
      </c>
      <c r="C7" s="7" t="s">
        <v>12</v>
      </c>
      <c r="D7" s="7" t="s">
        <v>11</v>
      </c>
      <c r="E7" s="7" t="s">
        <v>13</v>
      </c>
      <c r="F7" s="7" t="s">
        <v>12</v>
      </c>
      <c r="G7" s="7" t="s">
        <v>11</v>
      </c>
      <c r="H7" s="7" t="s">
        <v>13</v>
      </c>
      <c r="I7" s="7" t="s">
        <v>12</v>
      </c>
      <c r="J7" s="7" t="s">
        <v>11</v>
      </c>
    </row>
    <row r="8" spans="1:10" ht="15.75" thickBot="1">
      <c r="A8" s="11" t="s">
        <v>4</v>
      </c>
      <c r="B8" s="5">
        <v>35.799999999999997</v>
      </c>
      <c r="C8" s="5">
        <v>34.4</v>
      </c>
      <c r="D8" s="5">
        <v>37.200000000000003</v>
      </c>
      <c r="E8" s="5">
        <v>17.7</v>
      </c>
      <c r="F8" s="5">
        <v>17.3</v>
      </c>
      <c r="G8" s="5">
        <v>18.2</v>
      </c>
      <c r="H8" s="5">
        <v>6.3</v>
      </c>
      <c r="I8" s="5">
        <v>6</v>
      </c>
      <c r="J8" s="5">
        <v>6.8</v>
      </c>
    </row>
  </sheetData>
  <mergeCells count="6">
    <mergeCell ref="B1:D1"/>
    <mergeCell ref="E1:G1"/>
    <mergeCell ref="H1:J1"/>
    <mergeCell ref="B6:D6"/>
    <mergeCell ref="E6:G6"/>
    <mergeCell ref="H6:J6"/>
  </mergeCells>
  <hyperlinks>
    <hyperlink ref="H1" r:id="rId1" location="tbl01n_1" display="https://www150.statcan.gc.ca/n1/pub/45-28-0001/2021001/article/00021-eng.htm - tbl01n_1" xr:uid="{8764B439-C6ED-4370-9EE8-80E4BB5B4E2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Al Mazloum</dc:creator>
  <cp:lastModifiedBy>Osama Al Mazloum</cp:lastModifiedBy>
  <dcterms:created xsi:type="dcterms:W3CDTF">2022-02-05T17:41:11Z</dcterms:created>
  <dcterms:modified xsi:type="dcterms:W3CDTF">2022-02-06T05:37:45Z</dcterms:modified>
</cp:coreProperties>
</file>