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555" windowHeight="11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7" i="1" l="1"/>
  <c r="B68" i="1"/>
  <c r="C46" i="1"/>
  <c r="C60" i="1"/>
  <c r="C57" i="1"/>
  <c r="C56" i="1"/>
  <c r="C55" i="1"/>
  <c r="C44" i="1" l="1"/>
  <c r="C17" i="1" l="1"/>
  <c r="C21" i="1"/>
  <c r="C49" i="1" l="1"/>
  <c r="C41" i="1"/>
  <c r="C35" i="1"/>
  <c r="C53" i="1"/>
  <c r="C48" i="1" l="1"/>
  <c r="C47" i="1"/>
  <c r="C45" i="1"/>
  <c r="B31" i="1" l="1"/>
  <c r="C16" i="1"/>
  <c r="C27" i="1"/>
  <c r="C22" i="1"/>
  <c r="E20" i="1"/>
  <c r="I9" i="1" l="1"/>
  <c r="C5" i="1"/>
  <c r="C20" i="1" l="1"/>
  <c r="I29" i="1"/>
  <c r="C4" i="1"/>
  <c r="G18" i="1"/>
  <c r="C7" i="1"/>
  <c r="C15" i="1"/>
  <c r="B32" i="1" l="1"/>
  <c r="C18" i="1" l="1"/>
  <c r="C19" i="1" s="1"/>
  <c r="C38" i="1" s="1"/>
  <c r="C1" i="1"/>
</calcChain>
</file>

<file path=xl/sharedStrings.xml><?xml version="1.0" encoding="utf-8"?>
<sst xmlns="http://schemas.openxmlformats.org/spreadsheetml/2006/main" count="161" uniqueCount="152">
  <si>
    <t>HU</t>
    <phoneticPr fontId="1" type="noConversion"/>
  </si>
  <si>
    <t>max temp</t>
    <phoneticPr fontId="1" type="noConversion"/>
  </si>
  <si>
    <t>min temp</t>
    <phoneticPr fontId="1" type="noConversion"/>
  </si>
  <si>
    <t>Base temp</t>
    <phoneticPr fontId="1" type="noConversion"/>
  </si>
  <si>
    <t>PEA</t>
    <phoneticPr fontId="1" type="noConversion"/>
  </si>
  <si>
    <t>stage 1</t>
    <phoneticPr fontId="1" type="noConversion"/>
  </si>
  <si>
    <t>stage 6</t>
    <phoneticPr fontId="1" type="noConversion"/>
  </si>
  <si>
    <t>stage 7</t>
    <phoneticPr fontId="1" type="noConversion"/>
  </si>
  <si>
    <t>stage 8</t>
    <phoneticPr fontId="1" type="noConversion"/>
  </si>
  <si>
    <t>stage 9</t>
    <phoneticPr fontId="1" type="noConversion"/>
  </si>
  <si>
    <t>HUI</t>
    <phoneticPr fontId="1" type="noConversion"/>
  </si>
  <si>
    <t xml:space="preserve">heat unit index </t>
    <phoneticPr fontId="1" type="noConversion"/>
  </si>
  <si>
    <t>HU*</t>
    <phoneticPr fontId="1" type="noConversion"/>
  </si>
  <si>
    <t>cumulative heat units</t>
    <phoneticPr fontId="1" type="noConversion"/>
  </si>
  <si>
    <t>Sunlight</t>
    <phoneticPr fontId="1" type="noConversion"/>
  </si>
  <si>
    <t>RA</t>
    <phoneticPr fontId="1" type="noConversion"/>
  </si>
  <si>
    <t>일조량</t>
    <phoneticPr fontId="1" type="noConversion"/>
  </si>
  <si>
    <t>h</t>
    <phoneticPr fontId="1" type="noConversion"/>
  </si>
  <si>
    <t>MJ/m2</t>
    <phoneticPr fontId="1" type="noConversion"/>
  </si>
  <si>
    <t>PAR</t>
    <phoneticPr fontId="1" type="noConversion"/>
  </si>
  <si>
    <t>photoactive rad</t>
    <phoneticPr fontId="1" type="noConversion"/>
  </si>
  <si>
    <t>LAI</t>
    <phoneticPr fontId="1" type="noConversion"/>
  </si>
  <si>
    <t>leaf area index</t>
    <phoneticPr fontId="1" type="noConversion"/>
  </si>
  <si>
    <t>note: 0(bare ground)~10(dense coniferous)</t>
    <phoneticPr fontId="1" type="noConversion"/>
  </si>
  <si>
    <t>&lt;vapour pressure&gt;</t>
    <phoneticPr fontId="1" type="noConversion"/>
  </si>
  <si>
    <t>humidity</t>
    <phoneticPr fontId="1" type="noConversion"/>
  </si>
  <si>
    <t>VPD</t>
    <phoneticPr fontId="1" type="noConversion"/>
  </si>
  <si>
    <t>kPa</t>
    <phoneticPr fontId="1" type="noConversion"/>
  </si>
  <si>
    <t>Temp</t>
    <phoneticPr fontId="1" type="noConversion"/>
  </si>
  <si>
    <t>Psat (svp)</t>
    <phoneticPr fontId="1" type="noConversion"/>
  </si>
  <si>
    <t>CO2 ppm</t>
    <phoneticPr fontId="1" type="noConversion"/>
  </si>
  <si>
    <t>ppm</t>
    <phoneticPr fontId="1" type="noConversion"/>
  </si>
  <si>
    <t>biomassToEnergyRatioCO2Params[0 </t>
    <phoneticPr fontId="1" type="noConversion"/>
  </si>
  <si>
    <t>bc(1)</t>
    <phoneticPr fontId="1" type="noConversion"/>
  </si>
  <si>
    <t>bc(2)</t>
    <phoneticPr fontId="1" type="noConversion"/>
  </si>
  <si>
    <t>bc(3)</t>
    <phoneticPr fontId="1" type="noConversion"/>
  </si>
  <si>
    <t>biomassToEnergyRatioCO2Params[1</t>
    <phoneticPr fontId="1" type="noConversion"/>
  </si>
  <si>
    <t xml:space="preserve">biomassToEnergyRatioVPDParam </t>
    <phoneticPr fontId="1" type="noConversion"/>
  </si>
  <si>
    <t>(6~8)</t>
    <phoneticPr fontId="1" type="noConversion"/>
  </si>
  <si>
    <t>Co2 curve</t>
    <phoneticPr fontId="1" type="noConversion"/>
  </si>
  <si>
    <t>note: The range of the s-curve</t>
    <phoneticPr fontId="1" type="noConversion"/>
  </si>
  <si>
    <t>&lt;potential biomass&gt;</t>
    <phoneticPr fontId="1" type="noConversion"/>
  </si>
  <si>
    <t>diff of slope</t>
    <phoneticPr fontId="1" type="noConversion"/>
  </si>
  <si>
    <t>BE*</t>
    <phoneticPr fontId="1" type="noConversion"/>
  </si>
  <si>
    <t>conv factor*</t>
    <phoneticPr fontId="1" type="noConversion"/>
  </si>
  <si>
    <t>BE'</t>
    <phoneticPr fontId="1" type="noConversion"/>
  </si>
  <si>
    <t>conv factor'</t>
    <phoneticPr fontId="1" type="noConversion"/>
  </si>
  <si>
    <t>(VPD &gt; 0.5)</t>
    <phoneticPr fontId="1" type="noConversion"/>
  </si>
  <si>
    <t>ΔBiomass(potential)</t>
    <phoneticPr fontId="1" type="noConversion"/>
  </si>
  <si>
    <t>deltaB(p)</t>
    <phoneticPr fontId="1" type="noConversion"/>
  </si>
  <si>
    <t>tons / ha</t>
    <phoneticPr fontId="1" type="noConversion"/>
  </si>
  <si>
    <t>wattage</t>
    <phoneticPr fontId="1" type="noConversion"/>
  </si>
  <si>
    <t>W/m^2</t>
    <phoneticPr fontId="1" type="noConversion"/>
  </si>
  <si>
    <t>kg / m^2</t>
    <phoneticPr fontId="1" type="noConversion"/>
  </si>
  <si>
    <t>HUF</t>
    <phoneticPr fontId="1" type="noConversion"/>
  </si>
  <si>
    <t>~stage 5</t>
    <phoneticPr fontId="1" type="noConversion"/>
  </si>
  <si>
    <t>&lt;LAI difference&gt;</t>
    <phoneticPr fontId="1" type="noConversion"/>
  </si>
  <si>
    <t>LAI(i-1)</t>
    <phoneticPr fontId="1" type="noConversion"/>
  </si>
  <si>
    <t>deltaLAI</t>
    <phoneticPr fontId="1" type="noConversion"/>
  </si>
  <si>
    <t>ΔLAI</t>
    <phoneticPr fontId="1" type="noConversion"/>
  </si>
  <si>
    <t>prev HUF</t>
    <phoneticPr fontId="1" type="noConversion"/>
  </si>
  <si>
    <t>prev HUI</t>
    <phoneticPr fontId="1" type="noConversion"/>
  </si>
  <si>
    <t>ΔHUF</t>
    <phoneticPr fontId="1" type="noConversion"/>
  </si>
  <si>
    <t>°C</t>
    <phoneticPr fontId="1" type="noConversion"/>
  </si>
  <si>
    <t>CHT</t>
    <phoneticPr fontId="1" type="noConversion"/>
  </si>
  <si>
    <t>Plant height</t>
    <phoneticPr fontId="1" type="noConversion"/>
  </si>
  <si>
    <t>Plant size</t>
    <phoneticPr fontId="1" type="noConversion"/>
  </si>
  <si>
    <t>HMX</t>
    <phoneticPr fontId="1" type="noConversion"/>
  </si>
  <si>
    <t>Max height</t>
    <phoneticPr fontId="1" type="noConversion"/>
  </si>
  <si>
    <t>m</t>
    <phoneticPr fontId="1" type="noConversion"/>
  </si>
  <si>
    <t>ar(1)</t>
    <phoneticPr fontId="1" type="noConversion"/>
  </si>
  <si>
    <t>ar(2)</t>
    <phoneticPr fontId="1" type="noConversion"/>
  </si>
  <si>
    <t>fraction of root weight at emergence</t>
    <phoneticPr fontId="1" type="noConversion"/>
  </si>
  <si>
    <t>fraction of root weight at maturity</t>
    <phoneticPr fontId="1" type="noConversion"/>
  </si>
  <si>
    <t>note: 0.3~0.5</t>
    <phoneticPr fontId="1" type="noConversion"/>
  </si>
  <si>
    <t>note: 0.05~0.20</t>
    <phoneticPr fontId="1" type="noConversion"/>
  </si>
  <si>
    <t>deltaRWT</t>
    <phoneticPr fontId="1" type="noConversion"/>
  </si>
  <si>
    <t>ΔHeat Units</t>
    <phoneticPr fontId="1" type="noConversion"/>
  </si>
  <si>
    <t>kg/m^2</t>
    <phoneticPr fontId="1" type="noConversion"/>
  </si>
  <si>
    <t>IF dRWT &lt; 0</t>
    <phoneticPr fontId="1" type="noConversion"/>
  </si>
  <si>
    <t>dRWT = -0.01 * RWT</t>
    <phoneticPr fontId="1" type="noConversion"/>
  </si>
  <si>
    <t>deltaRW</t>
    <phoneticPr fontId="1" type="noConversion"/>
  </si>
  <si>
    <t>change in root weight for a layer</t>
    <phoneticPr fontId="1" type="noConversion"/>
  </si>
  <si>
    <t>=deltaRTW * u / (total u)</t>
    <phoneticPr fontId="1" type="noConversion"/>
  </si>
  <si>
    <t>** u = water usage for layer</t>
    <phoneticPr fontId="1" type="noConversion"/>
  </si>
  <si>
    <t>deltaRD</t>
    <phoneticPr fontId="1" type="noConversion"/>
  </si>
  <si>
    <t>Δtotal root weight</t>
    <phoneticPr fontId="1" type="noConversion"/>
  </si>
  <si>
    <t>Δroot depth</t>
    <phoneticPr fontId="1" type="noConversion"/>
  </si>
  <si>
    <t>RMAX</t>
    <phoneticPr fontId="1" type="noConversion"/>
  </si>
  <si>
    <t>max root depth</t>
    <phoneticPr fontId="1" type="noConversion"/>
  </si>
  <si>
    <t>m</t>
    <phoneticPr fontId="1" type="noConversion"/>
  </si>
  <si>
    <t>&lt;potential evap&gt;</t>
    <phoneticPr fontId="1" type="noConversion"/>
  </si>
  <si>
    <t>delta</t>
    <phoneticPr fontId="1" type="noConversion"/>
  </si>
  <si>
    <t>slope of saturated vapor curve</t>
    <phoneticPr fontId="1" type="noConversion"/>
  </si>
  <si>
    <t>A = 6.66 x 10 - 4 (K - 1) for t’ greater than 0 °C</t>
  </si>
  <si>
    <t>A = 5.94 x 10 - 4 (K - 1) for t’ less than 0 °C</t>
  </si>
  <si>
    <t>gamma</t>
    <phoneticPr fontId="1" type="noConversion"/>
  </si>
  <si>
    <t>psychometric constant</t>
    <phoneticPr fontId="1" type="noConversion"/>
  </si>
  <si>
    <t>h(0)</t>
    <phoneticPr fontId="1" type="noConversion"/>
  </si>
  <si>
    <t>net radiation</t>
    <phoneticPr fontId="1" type="noConversion"/>
  </si>
  <si>
    <t>MJ</t>
    <phoneticPr fontId="1" type="noConversion"/>
  </si>
  <si>
    <t>K^-1</t>
    <phoneticPr fontId="1" type="noConversion"/>
  </si>
  <si>
    <t>kPa / °C</t>
    <phoneticPr fontId="1" type="noConversion"/>
  </si>
  <si>
    <t>G</t>
    <phoneticPr fontId="1" type="noConversion"/>
  </si>
  <si>
    <t>HV</t>
    <phoneticPr fontId="1" type="noConversion"/>
  </si>
  <si>
    <t>latent heat of vaporization (water)</t>
    <phoneticPr fontId="1" type="noConversion"/>
  </si>
  <si>
    <t>MJ/kg</t>
    <phoneticPr fontId="1" type="noConversion"/>
  </si>
  <si>
    <t>f(V)</t>
    <phoneticPr fontId="1" type="noConversion"/>
  </si>
  <si>
    <t>wind speed</t>
    <phoneticPr fontId="1" type="noConversion"/>
  </si>
  <si>
    <t>mm/day*kPa</t>
    <phoneticPr fontId="1" type="noConversion"/>
  </si>
  <si>
    <t>** roughly 2.257</t>
    <phoneticPr fontId="1" type="noConversion"/>
  </si>
  <si>
    <t>PB</t>
    <phoneticPr fontId="1" type="noConversion"/>
  </si>
  <si>
    <t>barometric pressure</t>
    <phoneticPr fontId="1" type="noConversion"/>
  </si>
  <si>
    <t>heat flux</t>
    <phoneticPr fontId="1" type="noConversion"/>
  </si>
  <si>
    <t>V</t>
    <phoneticPr fontId="1" type="noConversion"/>
  </si>
  <si>
    <t>mean wind speed</t>
    <phoneticPr fontId="1" type="noConversion"/>
  </si>
  <si>
    <t>m/s</t>
    <phoneticPr fontId="1" type="noConversion"/>
  </si>
  <si>
    <t>Altitude</t>
    <phoneticPr fontId="1" type="noConversion"/>
  </si>
  <si>
    <t>m</t>
    <phoneticPr fontId="1" type="noConversion"/>
  </si>
  <si>
    <t>kPa</t>
    <phoneticPr fontId="1" type="noConversion"/>
  </si>
  <si>
    <t>//// can be excluded</t>
    <phoneticPr fontId="1" type="noConversion"/>
  </si>
  <si>
    <t>ELEV</t>
    <phoneticPr fontId="1" type="noConversion"/>
  </si>
  <si>
    <t>Albedo</t>
    <phoneticPr fontId="1" type="noConversion"/>
  </si>
  <si>
    <t>http://en.wikipedia.org/wiki/Albedo</t>
  </si>
  <si>
    <t>E(0)</t>
    <phoneticPr fontId="1" type="noConversion"/>
  </si>
  <si>
    <t>potential soil evap</t>
    <phoneticPr fontId="1" type="noConversion"/>
  </si>
  <si>
    <t>mm</t>
    <phoneticPr fontId="1" type="noConversion"/>
  </si>
  <si>
    <t>stage 10</t>
    <phoneticPr fontId="1" type="noConversion"/>
  </si>
  <si>
    <t>post growth</t>
    <phoneticPr fontId="1" type="noConversion"/>
  </si>
  <si>
    <t>water use</t>
    <phoneticPr fontId="1" type="noConversion"/>
  </si>
  <si>
    <t>lambda?</t>
    <phoneticPr fontId="1" type="noConversion"/>
  </si>
  <si>
    <t>high lambda(10) = uses much water near surface</t>
    <phoneticPr fontId="1" type="noConversion"/>
  </si>
  <si>
    <t>UC</t>
    <phoneticPr fontId="1" type="noConversion"/>
  </si>
  <si>
    <t>Water deficit compensation factor. 1=perfect compensation, can compensate for lack of water in one layer with abundance in another. 0 = can't</t>
    <phoneticPr fontId="1" type="noConversion"/>
  </si>
  <si>
    <t>Hargreaves method</t>
    <phoneticPr fontId="1" type="noConversion"/>
  </si>
  <si>
    <t>RAMX</t>
    <phoneticPr fontId="1" type="noConversion"/>
  </si>
  <si>
    <t>max possible radiation</t>
    <phoneticPr fontId="1" type="noConversion"/>
  </si>
  <si>
    <t>HV</t>
    <phoneticPr fontId="1" type="noConversion"/>
  </si>
  <si>
    <t>latent heat of vaporization (water)</t>
    <phoneticPr fontId="1" type="noConversion"/>
  </si>
  <si>
    <t>T</t>
    <phoneticPr fontId="1" type="noConversion"/>
  </si>
  <si>
    <t>mean temperature</t>
    <phoneticPr fontId="1" type="noConversion"/>
  </si>
  <si>
    <t>T mx</t>
    <phoneticPr fontId="1" type="noConversion"/>
  </si>
  <si>
    <t>T mn</t>
    <phoneticPr fontId="1" type="noConversion"/>
  </si>
  <si>
    <t>max temperature</t>
    <phoneticPr fontId="1" type="noConversion"/>
  </si>
  <si>
    <t>min temperature</t>
    <phoneticPr fontId="1" type="noConversion"/>
  </si>
  <si>
    <t>C</t>
    <phoneticPr fontId="1" type="noConversion"/>
  </si>
  <si>
    <t>E(0)</t>
    <phoneticPr fontId="1" type="noConversion"/>
  </si>
  <si>
    <t>potential soil evap</t>
    <phoneticPr fontId="1" type="noConversion"/>
  </si>
  <si>
    <t>mm</t>
    <phoneticPr fontId="1" type="noConversion"/>
  </si>
  <si>
    <t>plant evap</t>
    <phoneticPr fontId="1" type="noConversion"/>
  </si>
  <si>
    <t>E(p)</t>
    <phoneticPr fontId="1" type="noConversion"/>
  </si>
  <si>
    <t>LAI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</si>
</sst>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6" workbookViewId="0">
      <selection activeCell="B66" sqref="B66"/>
    </sheetView>
  </sheetViews>
  <sheetFormatPr defaultRowHeight="16.5" x14ac:dyDescent="0.3"/>
  <cols>
    <col min="2" max="2" width="23.75" customWidth="1"/>
    <col min="3" max="3" width="12.75" bestFit="1" customWidth="1"/>
    <col min="6" max="6" width="13.125" bestFit="1" customWidth="1"/>
  </cols>
  <sheetData>
    <row r="1" spans="1:9" x14ac:dyDescent="0.3">
      <c r="A1" t="s">
        <v>0</v>
      </c>
      <c r="B1" t="s">
        <v>77</v>
      </c>
      <c r="C1">
        <f>(E28+F28) / 2 - C2</f>
        <v>17</v>
      </c>
      <c r="F1" t="s">
        <v>16</v>
      </c>
      <c r="G1">
        <v>7.3</v>
      </c>
      <c r="H1" t="s">
        <v>17</v>
      </c>
    </row>
    <row r="2" spans="1:9" x14ac:dyDescent="0.3">
      <c r="B2" t="s">
        <v>3</v>
      </c>
      <c r="C2">
        <v>8</v>
      </c>
      <c r="D2" t="s">
        <v>63</v>
      </c>
      <c r="F2" t="s">
        <v>51</v>
      </c>
      <c r="G2">
        <v>445</v>
      </c>
      <c r="H2" t="s">
        <v>52</v>
      </c>
    </row>
    <row r="3" spans="1:9" x14ac:dyDescent="0.3">
      <c r="A3" t="s">
        <v>12</v>
      </c>
      <c r="B3" t="s">
        <v>13</v>
      </c>
      <c r="C3">
        <v>240</v>
      </c>
    </row>
    <row r="4" spans="1:9" x14ac:dyDescent="0.3">
      <c r="A4" t="s">
        <v>10</v>
      </c>
      <c r="B4" t="s">
        <v>11</v>
      </c>
      <c r="C4">
        <f>C3/$H$33</f>
        <v>0.14234875444839859</v>
      </c>
    </row>
    <row r="5" spans="1:9" x14ac:dyDescent="0.3">
      <c r="A5" t="s">
        <v>15</v>
      </c>
      <c r="B5" t="s">
        <v>14</v>
      </c>
      <c r="C5">
        <f>G2*G1*60*60/1000000</f>
        <v>11.694599999999999</v>
      </c>
      <c r="D5" t="s">
        <v>18</v>
      </c>
    </row>
    <row r="6" spans="1:9" x14ac:dyDescent="0.3">
      <c r="A6" t="s">
        <v>21</v>
      </c>
      <c r="B6" t="s">
        <v>22</v>
      </c>
      <c r="C6">
        <v>5</v>
      </c>
      <c r="D6" t="s">
        <v>23</v>
      </c>
    </row>
    <row r="7" spans="1:9" x14ac:dyDescent="0.3">
      <c r="A7" t="s">
        <v>19</v>
      </c>
      <c r="B7" t="s">
        <v>20</v>
      </c>
      <c r="C7">
        <f>0.5*C5*G1*(1-EXP(-0.65*C6))</f>
        <v>41.030201694182672</v>
      </c>
    </row>
    <row r="8" spans="1:9" x14ac:dyDescent="0.3">
      <c r="B8" t="s">
        <v>25</v>
      </c>
      <c r="C8">
        <v>60</v>
      </c>
    </row>
    <row r="9" spans="1:9" x14ac:dyDescent="0.3">
      <c r="B9" t="s">
        <v>30</v>
      </c>
      <c r="C9">
        <v>440</v>
      </c>
      <c r="D9" t="s">
        <v>31</v>
      </c>
      <c r="I9">
        <f>60*60/1000000</f>
        <v>3.5999999999999999E-3</v>
      </c>
    </row>
    <row r="10" spans="1:9" x14ac:dyDescent="0.3">
      <c r="A10" s="4" t="s">
        <v>41</v>
      </c>
      <c r="B10" s="4"/>
      <c r="C10" s="4"/>
      <c r="D10" s="4"/>
    </row>
    <row r="11" spans="1:9" x14ac:dyDescent="0.3">
      <c r="A11" t="s">
        <v>33</v>
      </c>
      <c r="B11" s="1" t="s">
        <v>32</v>
      </c>
      <c r="C11">
        <v>495</v>
      </c>
    </row>
    <row r="12" spans="1:9" x14ac:dyDescent="0.3">
      <c r="A12" t="s">
        <v>34</v>
      </c>
      <c r="B12" s="1" t="s">
        <v>36</v>
      </c>
      <c r="C12">
        <v>0.04</v>
      </c>
    </row>
    <row r="13" spans="1:9" x14ac:dyDescent="0.3">
      <c r="B13" t="s">
        <v>42</v>
      </c>
      <c r="C13">
        <v>0.1</v>
      </c>
      <c r="D13" t="s">
        <v>40</v>
      </c>
    </row>
    <row r="14" spans="1:9" x14ac:dyDescent="0.3">
      <c r="A14" t="s">
        <v>35</v>
      </c>
      <c r="B14" t="s">
        <v>37</v>
      </c>
      <c r="C14">
        <v>7</v>
      </c>
      <c r="D14" t="s">
        <v>38</v>
      </c>
    </row>
    <row r="15" spans="1:9" x14ac:dyDescent="0.3">
      <c r="B15" t="s">
        <v>39</v>
      </c>
      <c r="C15">
        <f>C13 / (1 + EXP(-C12 * (C9 - C11))) + 1</f>
        <v>1.0099750489119685</v>
      </c>
    </row>
    <row r="16" spans="1:9" x14ac:dyDescent="0.3">
      <c r="A16" t="s">
        <v>43</v>
      </c>
      <c r="B16" t="s">
        <v>44</v>
      </c>
      <c r="C16">
        <f>100 * C15</f>
        <v>100.99750489119685</v>
      </c>
    </row>
    <row r="17" spans="1:9" x14ac:dyDescent="0.3">
      <c r="A17" t="s">
        <v>45</v>
      </c>
      <c r="B17" t="s">
        <v>46</v>
      </c>
      <c r="C17">
        <f>C16 - C14 * (B32-1)</f>
        <v>101.4517005331893</v>
      </c>
      <c r="D17" t="s">
        <v>47</v>
      </c>
    </row>
    <row r="18" spans="1:9" x14ac:dyDescent="0.3">
      <c r="A18" t="s">
        <v>49</v>
      </c>
      <c r="B18" t="s">
        <v>48</v>
      </c>
      <c r="C18">
        <f>0.001*C17 * C7</f>
        <v>4.1625837350945769</v>
      </c>
      <c r="D18" t="s">
        <v>50</v>
      </c>
      <c r="G18">
        <f>5837/20</f>
        <v>291.85000000000002</v>
      </c>
    </row>
    <row r="19" spans="1:9" x14ac:dyDescent="0.3">
      <c r="C19">
        <f>C18/10</f>
        <v>0.41625837350945771</v>
      </c>
      <c r="D19" t="s">
        <v>53</v>
      </c>
    </row>
    <row r="20" spans="1:9" x14ac:dyDescent="0.3">
      <c r="B20" t="s">
        <v>60</v>
      </c>
      <c r="C20">
        <f>1/(1+ EXP(-17 * (E20 - 0.18)))</f>
        <v>0.30757461014852672</v>
      </c>
      <c r="D20" t="s">
        <v>61</v>
      </c>
      <c r="E20">
        <f>223 / 1686</f>
        <v>0.13226571767497033</v>
      </c>
    </row>
    <row r="21" spans="1:9" x14ac:dyDescent="0.3">
      <c r="B21" t="s">
        <v>54</v>
      </c>
      <c r="C21">
        <f>1/(1+ EXP(-17 * (C4 - 0.18)))</f>
        <v>0.34523045050567203</v>
      </c>
    </row>
    <row r="22" spans="1:9" x14ac:dyDescent="0.3">
      <c r="B22" t="s">
        <v>62</v>
      </c>
      <c r="C22">
        <f>C21-C20</f>
        <v>3.7655840357145309E-2</v>
      </c>
    </row>
    <row r="24" spans="1:9" x14ac:dyDescent="0.3">
      <c r="A24" t="s">
        <v>114</v>
      </c>
      <c r="B24" t="s">
        <v>115</v>
      </c>
      <c r="C24">
        <v>2</v>
      </c>
      <c r="D24" t="s">
        <v>116</v>
      </c>
    </row>
    <row r="25" spans="1:9" x14ac:dyDescent="0.3">
      <c r="A25" s="4" t="s">
        <v>56</v>
      </c>
      <c r="B25" s="4"/>
      <c r="C25" s="4"/>
      <c r="D25" s="4"/>
    </row>
    <row r="26" spans="1:9" x14ac:dyDescent="0.3">
      <c r="A26" s="4" t="s">
        <v>57</v>
      </c>
      <c r="B26" s="4"/>
      <c r="C26">
        <v>10</v>
      </c>
    </row>
    <row r="27" spans="1:9" x14ac:dyDescent="0.3">
      <c r="A27" t="s">
        <v>58</v>
      </c>
      <c r="B27" t="s">
        <v>59</v>
      </c>
      <c r="C27">
        <f>10 * (1-EXP(5 *(C26 - 10))) * C22</f>
        <v>0</v>
      </c>
      <c r="E27" t="s">
        <v>1</v>
      </c>
      <c r="F27" t="s">
        <v>2</v>
      </c>
      <c r="H27" t="s">
        <v>4</v>
      </c>
    </row>
    <row r="28" spans="1:9" x14ac:dyDescent="0.3">
      <c r="E28">
        <v>30</v>
      </c>
      <c r="F28">
        <v>20</v>
      </c>
      <c r="G28" t="s">
        <v>5</v>
      </c>
      <c r="H28">
        <v>560</v>
      </c>
    </row>
    <row r="29" spans="1:9" x14ac:dyDescent="0.3">
      <c r="A29" s="4" t="s">
        <v>24</v>
      </c>
      <c r="B29" s="4"/>
      <c r="C29" s="4"/>
      <c r="G29" t="s">
        <v>55</v>
      </c>
      <c r="H29">
        <v>724</v>
      </c>
      <c r="I29">
        <f>724/1686</f>
        <v>0.42941874258600238</v>
      </c>
    </row>
    <row r="30" spans="1:9" x14ac:dyDescent="0.3">
      <c r="A30" t="s">
        <v>28</v>
      </c>
      <c r="B30">
        <v>20</v>
      </c>
      <c r="C30" t="s">
        <v>63</v>
      </c>
      <c r="G30" t="s">
        <v>6</v>
      </c>
      <c r="H30">
        <v>982</v>
      </c>
    </row>
    <row r="31" spans="1:9" x14ac:dyDescent="0.3">
      <c r="A31" t="s">
        <v>29</v>
      </c>
      <c r="B31">
        <f>610.7*10^(7.5*B30 / (237.3 + B30)) / 1000</f>
        <v>2.3377872707169831</v>
      </c>
      <c r="C31" t="s">
        <v>27</v>
      </c>
      <c r="G31" t="s">
        <v>7</v>
      </c>
      <c r="H31">
        <v>1158</v>
      </c>
    </row>
    <row r="32" spans="1:9" x14ac:dyDescent="0.3">
      <c r="A32" t="s">
        <v>26</v>
      </c>
      <c r="B32">
        <f>((100-C8)/100)*B31</f>
        <v>0.93511490828679333</v>
      </c>
      <c r="C32" t="s">
        <v>27</v>
      </c>
      <c r="G32" t="s">
        <v>8</v>
      </c>
      <c r="H32">
        <v>1451</v>
      </c>
    </row>
    <row r="33" spans="1:9" x14ac:dyDescent="0.3">
      <c r="A33" s="4" t="s">
        <v>66</v>
      </c>
      <c r="B33" s="4"/>
      <c r="C33" s="4"/>
      <c r="G33" t="s">
        <v>9</v>
      </c>
      <c r="H33">
        <v>1686</v>
      </c>
    </row>
    <row r="34" spans="1:9" x14ac:dyDescent="0.3">
      <c r="A34" t="s">
        <v>67</v>
      </c>
      <c r="B34" t="s">
        <v>68</v>
      </c>
      <c r="C34">
        <v>1</v>
      </c>
      <c r="D34" t="s">
        <v>69</v>
      </c>
      <c r="G34" t="s">
        <v>127</v>
      </c>
      <c r="H34">
        <v>1800</v>
      </c>
      <c r="I34" t="s">
        <v>128</v>
      </c>
    </row>
    <row r="35" spans="1:9" x14ac:dyDescent="0.3">
      <c r="A35" t="s">
        <v>64</v>
      </c>
      <c r="B35" t="s">
        <v>65</v>
      </c>
      <c r="C35">
        <f>C34 * SQRT(C21)</f>
        <v>0.58756314597298565</v>
      </c>
      <c r="D35" t="s">
        <v>69</v>
      </c>
    </row>
    <row r="36" spans="1:9" x14ac:dyDescent="0.3">
      <c r="A36" t="s">
        <v>70</v>
      </c>
      <c r="B36" t="s">
        <v>72</v>
      </c>
      <c r="C36">
        <v>0.3</v>
      </c>
      <c r="D36" t="s">
        <v>74</v>
      </c>
    </row>
    <row r="37" spans="1:9" x14ac:dyDescent="0.3">
      <c r="A37" t="s">
        <v>71</v>
      </c>
      <c r="B37" t="s">
        <v>73</v>
      </c>
      <c r="C37">
        <v>0.05</v>
      </c>
      <c r="D37" t="s">
        <v>75</v>
      </c>
    </row>
    <row r="38" spans="1:9" x14ac:dyDescent="0.3">
      <c r="A38" t="s">
        <v>76</v>
      </c>
      <c r="B38" t="s">
        <v>86</v>
      </c>
      <c r="C38">
        <f>C19 * (C36 - C37 * C4)</f>
        <v>0.12191481900294794</v>
      </c>
      <c r="D38" t="s">
        <v>78</v>
      </c>
    </row>
    <row r="39" spans="1:9" x14ac:dyDescent="0.3">
      <c r="B39" t="s">
        <v>79</v>
      </c>
      <c r="C39" s="2" t="s">
        <v>80</v>
      </c>
    </row>
    <row r="40" spans="1:9" x14ac:dyDescent="0.3">
      <c r="A40" t="s">
        <v>81</v>
      </c>
      <c r="B40" t="s">
        <v>82</v>
      </c>
      <c r="C40" s="2" t="s">
        <v>83</v>
      </c>
      <c r="F40" t="s">
        <v>84</v>
      </c>
    </row>
    <row r="41" spans="1:9" x14ac:dyDescent="0.3">
      <c r="A41" t="s">
        <v>85</v>
      </c>
      <c r="B41" t="s">
        <v>87</v>
      </c>
      <c r="C41">
        <f>2.5 * C42 * C21</f>
        <v>1.2946141893962702</v>
      </c>
      <c r="D41" t="s">
        <v>90</v>
      </c>
    </row>
    <row r="42" spans="1:9" x14ac:dyDescent="0.3">
      <c r="A42" t="s">
        <v>88</v>
      </c>
      <c r="B42" t="s">
        <v>89</v>
      </c>
      <c r="C42">
        <v>1.5</v>
      </c>
      <c r="D42" t="s">
        <v>90</v>
      </c>
    </row>
    <row r="43" spans="1:9" x14ac:dyDescent="0.3">
      <c r="A43" s="4" t="s">
        <v>91</v>
      </c>
      <c r="B43" s="4"/>
      <c r="C43" s="4"/>
      <c r="F43" t="s">
        <v>94</v>
      </c>
    </row>
    <row r="44" spans="1:9" x14ac:dyDescent="0.3">
      <c r="A44" t="s">
        <v>92</v>
      </c>
      <c r="B44" t="s">
        <v>93</v>
      </c>
      <c r="C44">
        <f>2502.66*EXP(17.2694*B30/(B30+238.3)) / (B30+237.3)^2</f>
        <v>0.14396030885462024</v>
      </c>
      <c r="D44" t="s">
        <v>102</v>
      </c>
      <c r="F44" t="s">
        <v>95</v>
      </c>
    </row>
    <row r="45" spans="1:9" x14ac:dyDescent="0.3">
      <c r="A45" t="s">
        <v>96</v>
      </c>
      <c r="B45" t="s">
        <v>97</v>
      </c>
      <c r="C45">
        <f>6.66*10^-4</f>
        <v>6.6600000000000003E-4</v>
      </c>
      <c r="D45" t="s">
        <v>101</v>
      </c>
    </row>
    <row r="46" spans="1:9" x14ac:dyDescent="0.3">
      <c r="A46" t="s">
        <v>98</v>
      </c>
      <c r="B46" t="s">
        <v>99</v>
      </c>
      <c r="C46">
        <f>C5*(1-C52)</f>
        <v>9.004842</v>
      </c>
      <c r="D46" t="s">
        <v>100</v>
      </c>
    </row>
    <row r="47" spans="1:9" x14ac:dyDescent="0.3">
      <c r="A47" t="s">
        <v>104</v>
      </c>
      <c r="B47" t="s">
        <v>105</v>
      </c>
      <c r="C47">
        <f>2.5 - 0.0022 * B30</f>
        <v>2.456</v>
      </c>
      <c r="D47" t="s">
        <v>106</v>
      </c>
      <c r="E47" t="s">
        <v>110</v>
      </c>
    </row>
    <row r="48" spans="1:9" x14ac:dyDescent="0.3">
      <c r="A48" t="s">
        <v>107</v>
      </c>
      <c r="B48" t="s">
        <v>108</v>
      </c>
      <c r="C48">
        <f>2.7 + 1.63 * C24</f>
        <v>5.96</v>
      </c>
      <c r="D48" t="s">
        <v>109</v>
      </c>
    </row>
    <row r="49" spans="1:5" x14ac:dyDescent="0.3">
      <c r="A49" t="s">
        <v>111</v>
      </c>
      <c r="B49" t="s">
        <v>112</v>
      </c>
      <c r="C49">
        <f>101 - 0.0115 * C51 + 5.44*10^(-7) * SQRT(C51)</f>
        <v>100.86200188447127</v>
      </c>
      <c r="D49" t="s">
        <v>119</v>
      </c>
    </row>
    <row r="50" spans="1:5" x14ac:dyDescent="0.3">
      <c r="A50" t="s">
        <v>103</v>
      </c>
      <c r="B50" t="s">
        <v>113</v>
      </c>
      <c r="C50" t="s">
        <v>120</v>
      </c>
    </row>
    <row r="51" spans="1:5" x14ac:dyDescent="0.3">
      <c r="A51" t="s">
        <v>121</v>
      </c>
      <c r="B51" t="s">
        <v>117</v>
      </c>
      <c r="C51">
        <v>12</v>
      </c>
      <c r="D51" t="s">
        <v>118</v>
      </c>
    </row>
    <row r="52" spans="1:5" x14ac:dyDescent="0.3">
      <c r="B52" t="s">
        <v>122</v>
      </c>
      <c r="C52">
        <v>0.23</v>
      </c>
      <c r="D52" t="s">
        <v>123</v>
      </c>
    </row>
    <row r="53" spans="1:5" x14ac:dyDescent="0.3">
      <c r="A53" t="s">
        <v>124</v>
      </c>
      <c r="B53" t="s">
        <v>125</v>
      </c>
      <c r="C53">
        <f>(C44/(C44+C45))*(C46 - 0) / C47 + (C45 / (C45+ C44))*C48 * B32</f>
        <v>3.6752474556322419</v>
      </c>
      <c r="D53" t="s">
        <v>126</v>
      </c>
    </row>
    <row r="54" spans="1:5" x14ac:dyDescent="0.3">
      <c r="A54" s="4" t="s">
        <v>134</v>
      </c>
      <c r="B54" s="4"/>
      <c r="C54" s="4"/>
    </row>
    <row r="55" spans="1:5" x14ac:dyDescent="0.3">
      <c r="A55" s="3" t="s">
        <v>135</v>
      </c>
      <c r="B55" s="3" t="s">
        <v>136</v>
      </c>
      <c r="C55" s="3">
        <f>C5</f>
        <v>11.694599999999999</v>
      </c>
    </row>
    <row r="56" spans="1:5" x14ac:dyDescent="0.3">
      <c r="A56" s="3" t="s">
        <v>137</v>
      </c>
      <c r="B56" s="3" t="s">
        <v>138</v>
      </c>
      <c r="C56" s="3">
        <f>C47</f>
        <v>2.456</v>
      </c>
      <c r="D56" t="s">
        <v>106</v>
      </c>
      <c r="E56" t="s">
        <v>110</v>
      </c>
    </row>
    <row r="57" spans="1:5" x14ac:dyDescent="0.3">
      <c r="A57" s="3" t="s">
        <v>139</v>
      </c>
      <c r="B57" s="3" t="s">
        <v>140</v>
      </c>
      <c r="C57" s="3">
        <f>(C58+C59)/2</f>
        <v>20.5</v>
      </c>
      <c r="D57" t="s">
        <v>145</v>
      </c>
    </row>
    <row r="58" spans="1:5" x14ac:dyDescent="0.3">
      <c r="A58" s="3" t="s">
        <v>141</v>
      </c>
      <c r="B58" s="3" t="s">
        <v>143</v>
      </c>
      <c r="C58" s="3">
        <v>25</v>
      </c>
      <c r="D58" t="s">
        <v>145</v>
      </c>
    </row>
    <row r="59" spans="1:5" x14ac:dyDescent="0.3">
      <c r="A59" s="3" t="s">
        <v>142</v>
      </c>
      <c r="B59" s="3" t="s">
        <v>144</v>
      </c>
      <c r="C59">
        <v>16</v>
      </c>
      <c r="D59" t="s">
        <v>145</v>
      </c>
    </row>
    <row r="60" spans="1:5" x14ac:dyDescent="0.3">
      <c r="A60" s="3" t="s">
        <v>146</v>
      </c>
      <c r="B60" s="3" t="s">
        <v>147</v>
      </c>
      <c r="C60">
        <f>0.0032 * (C55/C56)*(C57+17.8)*POWER(C58-C59, 0.6)</f>
        <v>2.1809779124879931</v>
      </c>
      <c r="D60" t="s">
        <v>148</v>
      </c>
    </row>
    <row r="61" spans="1:5" x14ac:dyDescent="0.3">
      <c r="A61" s="4" t="s">
        <v>129</v>
      </c>
      <c r="B61" s="4"/>
      <c r="C61" s="4"/>
    </row>
    <row r="63" spans="1:5" x14ac:dyDescent="0.3">
      <c r="A63" t="s">
        <v>130</v>
      </c>
      <c r="C63" t="s">
        <v>131</v>
      </c>
    </row>
    <row r="64" spans="1:5" x14ac:dyDescent="0.3">
      <c r="A64" t="s">
        <v>132</v>
      </c>
      <c r="B64">
        <v>0.8</v>
      </c>
      <c r="C64" t="s">
        <v>133</v>
      </c>
    </row>
    <row r="65" spans="1:3" x14ac:dyDescent="0.3">
      <c r="A65" s="4" t="s">
        <v>149</v>
      </c>
      <c r="B65" s="4"/>
      <c r="C65" s="4"/>
    </row>
    <row r="66" spans="1:3" x14ac:dyDescent="0.3">
      <c r="A66" s="3" t="s">
        <v>151</v>
      </c>
      <c r="B66" s="3">
        <v>6</v>
      </c>
      <c r="C66" s="3"/>
    </row>
    <row r="67" spans="1:3" x14ac:dyDescent="0.3">
      <c r="A67" t="s">
        <v>146</v>
      </c>
      <c r="B67">
        <f>C60</f>
        <v>2.1809779124879931</v>
      </c>
    </row>
    <row r="68" spans="1:3" x14ac:dyDescent="0.3">
      <c r="A68" t="s">
        <v>150</v>
      </c>
      <c r="B68">
        <f>MIN(B67*B66/3, B67)</f>
        <v>2.1809779124879931</v>
      </c>
    </row>
  </sheetData>
  <mergeCells count="9">
    <mergeCell ref="A65:C65"/>
    <mergeCell ref="A61:C61"/>
    <mergeCell ref="A43:C43"/>
    <mergeCell ref="A26:B26"/>
    <mergeCell ref="A10:D10"/>
    <mergeCell ref="A25:D25"/>
    <mergeCell ref="A29:C29"/>
    <mergeCell ref="A33:C33"/>
    <mergeCell ref="A54:C5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2013-05-31T14:24:10Z</dcterms:created>
  <dcterms:modified xsi:type="dcterms:W3CDTF">2013-11-07T06:07:07Z</dcterms:modified>
</cp:coreProperties>
</file>