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555" windowHeight="11655"/>
  </bookViews>
  <sheets>
    <sheet name="mechanics" sheetId="1" r:id="rId1"/>
    <sheet name="Sheet2" sheetId="2" r:id="rId2"/>
    <sheet name="pea N content" sheetId="3" r:id="rId3"/>
  </sheets>
  <calcPr calcId="145621"/>
</workbook>
</file>

<file path=xl/calcChain.xml><?xml version="1.0" encoding="utf-8"?>
<calcChain xmlns="http://schemas.openxmlformats.org/spreadsheetml/2006/main">
  <c r="H13" i="3" l="1"/>
  <c r="H14" i="3"/>
  <c r="F13" i="3"/>
  <c r="G13" i="3"/>
  <c r="G14" i="3" s="1"/>
  <c r="E19" i="3" l="1"/>
  <c r="G19" i="3" s="1"/>
  <c r="F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F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F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F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F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F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F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F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F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F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4" i="3" s="1"/>
  <c r="F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F121" i="3" s="1"/>
  <c r="E122" i="3"/>
  <c r="G122" i="3" s="1"/>
  <c r="E123" i="3"/>
  <c r="G123" i="3" s="1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G131" i="3" s="1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F127" i="3" l="1"/>
  <c r="F119" i="3"/>
  <c r="F135" i="3"/>
  <c r="F111" i="3"/>
  <c r="F95" i="3"/>
  <c r="F32" i="3"/>
  <c r="F134" i="3"/>
  <c r="F64" i="3"/>
  <c r="F38" i="3"/>
  <c r="F79" i="3"/>
  <c r="F31" i="3"/>
  <c r="F131" i="3"/>
  <c r="F115" i="3"/>
  <c r="F99" i="3"/>
  <c r="F125" i="3"/>
  <c r="F101" i="3"/>
  <c r="F77" i="3"/>
  <c r="F61" i="3"/>
  <c r="F45" i="3"/>
  <c r="F29" i="3"/>
  <c r="F90" i="3"/>
  <c r="F67" i="3"/>
  <c r="F59" i="3"/>
  <c r="F35" i="3"/>
  <c r="F132" i="3"/>
  <c r="F116" i="3"/>
  <c r="F100" i="3"/>
  <c r="F92" i="3"/>
  <c r="F84" i="3"/>
  <c r="F68" i="3"/>
  <c r="F52" i="3"/>
  <c r="F36" i="3"/>
  <c r="F28" i="3"/>
  <c r="F110" i="3"/>
  <c r="F87" i="3"/>
  <c r="F63" i="3"/>
  <c r="F80" i="3"/>
  <c r="F117" i="3"/>
  <c r="F93" i="3"/>
  <c r="F30" i="3"/>
  <c r="F55" i="3"/>
  <c r="F124" i="3"/>
  <c r="F108" i="3"/>
  <c r="F85" i="3"/>
  <c r="F69" i="3"/>
  <c r="F53" i="3"/>
  <c r="F37" i="3"/>
  <c r="F21" i="3"/>
  <c r="F126" i="3"/>
  <c r="F107" i="3"/>
  <c r="F91" i="3"/>
  <c r="F76" i="3"/>
  <c r="F60" i="3"/>
  <c r="F44" i="3"/>
  <c r="F20" i="3"/>
  <c r="F97" i="3"/>
  <c r="F123" i="3"/>
  <c r="F83" i="3"/>
  <c r="F75" i="3"/>
  <c r="F51" i="3"/>
  <c r="F43" i="3"/>
  <c r="F27" i="3"/>
  <c r="F103" i="3"/>
  <c r="F72" i="3"/>
  <c r="F24" i="3"/>
  <c r="F118" i="3"/>
  <c r="F94" i="3"/>
  <c r="F71" i="3"/>
  <c r="F47" i="3"/>
  <c r="F23" i="3"/>
  <c r="F133" i="3"/>
  <c r="F109" i="3"/>
  <c r="F46" i="3"/>
  <c r="F39" i="3"/>
  <c r="F112" i="3"/>
  <c r="F104" i="3"/>
  <c r="F96" i="3"/>
  <c r="F74" i="3"/>
  <c r="F102" i="3"/>
  <c r="F88" i="3"/>
  <c r="F81" i="3"/>
  <c r="F73" i="3"/>
  <c r="F65" i="3"/>
  <c r="F22" i="3"/>
  <c r="F130" i="3"/>
  <c r="F129" i="3"/>
  <c r="F86" i="3"/>
  <c r="F56" i="3"/>
  <c r="F49" i="3"/>
  <c r="F58" i="3"/>
  <c r="F122" i="3"/>
  <c r="F42" i="3"/>
  <c r="F137" i="3"/>
  <c r="F136" i="3"/>
  <c r="F128" i="3"/>
  <c r="F106" i="3"/>
  <c r="F78" i="3"/>
  <c r="F70" i="3"/>
  <c r="F62" i="3"/>
  <c r="F48" i="3"/>
  <c r="F26" i="3"/>
  <c r="F66" i="3"/>
  <c r="F120" i="3"/>
  <c r="F113" i="3"/>
  <c r="F54" i="3"/>
  <c r="F40" i="3"/>
  <c r="F33" i="3"/>
  <c r="E18" i="3"/>
  <c r="G18" i="3" s="1"/>
  <c r="F14" i="3"/>
  <c r="C84" i="1"/>
  <c r="C83" i="1"/>
  <c r="B68" i="1"/>
  <c r="F18" i="3" l="1"/>
  <c r="B19" i="3"/>
  <c r="B17" i="3"/>
  <c r="B15" i="3"/>
  <c r="B14" i="3"/>
  <c r="C3" i="3"/>
  <c r="C4" i="3"/>
  <c r="C5" i="3"/>
  <c r="C6" i="3"/>
  <c r="C7" i="3"/>
  <c r="C8" i="3"/>
  <c r="C2" i="3"/>
  <c r="C76" i="1"/>
  <c r="C75" i="1" l="1"/>
  <c r="C15" i="1"/>
  <c r="B67" i="1" l="1"/>
  <c r="C46" i="1"/>
  <c r="C60" i="1"/>
  <c r="C57" i="1"/>
  <c r="C56" i="1"/>
  <c r="C55" i="1"/>
  <c r="C44" i="1" l="1"/>
  <c r="C17" i="1" l="1"/>
  <c r="C21" i="1"/>
  <c r="C49" i="1" l="1"/>
  <c r="C41" i="1"/>
  <c r="C35" i="1"/>
  <c r="C53" i="1"/>
  <c r="C48" i="1" l="1"/>
  <c r="C47" i="1"/>
  <c r="C45" i="1"/>
  <c r="B31" i="1" l="1"/>
  <c r="C16" i="1"/>
  <c r="C27" i="1"/>
  <c r="C22" i="1"/>
  <c r="E20" i="1"/>
  <c r="I9" i="1" l="1"/>
  <c r="C5" i="1"/>
  <c r="C20" i="1" l="1"/>
  <c r="I29" i="1"/>
  <c r="C4" i="1"/>
  <c r="G18" i="1"/>
  <c r="C7" i="1"/>
  <c r="B32" i="1" l="1"/>
  <c r="C18" i="1" l="1"/>
  <c r="C19" i="1" s="1"/>
  <c r="C38" i="1" s="1"/>
  <c r="C1" i="1"/>
</calcChain>
</file>

<file path=xl/sharedStrings.xml><?xml version="1.0" encoding="utf-8"?>
<sst xmlns="http://schemas.openxmlformats.org/spreadsheetml/2006/main" count="214" uniqueCount="200">
  <si>
    <t>HU</t>
    <phoneticPr fontId="1" type="noConversion"/>
  </si>
  <si>
    <t>max temp</t>
    <phoneticPr fontId="1" type="noConversion"/>
  </si>
  <si>
    <t>min temp</t>
    <phoneticPr fontId="1" type="noConversion"/>
  </si>
  <si>
    <t>Base temp</t>
    <phoneticPr fontId="1" type="noConversion"/>
  </si>
  <si>
    <t>PEA</t>
    <phoneticPr fontId="1" type="noConversion"/>
  </si>
  <si>
    <t>stage 1</t>
    <phoneticPr fontId="1" type="noConversion"/>
  </si>
  <si>
    <t>stage 6</t>
    <phoneticPr fontId="1" type="noConversion"/>
  </si>
  <si>
    <t>stage 7</t>
    <phoneticPr fontId="1" type="noConversion"/>
  </si>
  <si>
    <t>stage 8</t>
    <phoneticPr fontId="1" type="noConversion"/>
  </si>
  <si>
    <t>stage 9</t>
    <phoneticPr fontId="1" type="noConversion"/>
  </si>
  <si>
    <t>HUI</t>
    <phoneticPr fontId="1" type="noConversion"/>
  </si>
  <si>
    <t xml:space="preserve">heat unit index </t>
    <phoneticPr fontId="1" type="noConversion"/>
  </si>
  <si>
    <t>HU*</t>
    <phoneticPr fontId="1" type="noConversion"/>
  </si>
  <si>
    <t>cumulative heat units</t>
    <phoneticPr fontId="1" type="noConversion"/>
  </si>
  <si>
    <t>Sunlight</t>
    <phoneticPr fontId="1" type="noConversion"/>
  </si>
  <si>
    <t>RA</t>
    <phoneticPr fontId="1" type="noConversion"/>
  </si>
  <si>
    <t>일조량</t>
    <phoneticPr fontId="1" type="noConversion"/>
  </si>
  <si>
    <t>h</t>
    <phoneticPr fontId="1" type="noConversion"/>
  </si>
  <si>
    <t>MJ/m2</t>
    <phoneticPr fontId="1" type="noConversion"/>
  </si>
  <si>
    <t>PAR</t>
    <phoneticPr fontId="1" type="noConversion"/>
  </si>
  <si>
    <t>photoactive rad</t>
    <phoneticPr fontId="1" type="noConversion"/>
  </si>
  <si>
    <t>LAI</t>
    <phoneticPr fontId="1" type="noConversion"/>
  </si>
  <si>
    <t>leaf area index</t>
    <phoneticPr fontId="1" type="noConversion"/>
  </si>
  <si>
    <t>note: 0(bare ground)~10(dense coniferous)</t>
    <phoneticPr fontId="1" type="noConversion"/>
  </si>
  <si>
    <t>&lt;vapour pressure&gt;</t>
    <phoneticPr fontId="1" type="noConversion"/>
  </si>
  <si>
    <t>humidity</t>
    <phoneticPr fontId="1" type="noConversion"/>
  </si>
  <si>
    <t>VPD</t>
    <phoneticPr fontId="1" type="noConversion"/>
  </si>
  <si>
    <t>kPa</t>
    <phoneticPr fontId="1" type="noConversion"/>
  </si>
  <si>
    <t>Temp</t>
    <phoneticPr fontId="1" type="noConversion"/>
  </si>
  <si>
    <t>Psat (svp)</t>
    <phoneticPr fontId="1" type="noConversion"/>
  </si>
  <si>
    <t>CO2 ppm</t>
    <phoneticPr fontId="1" type="noConversion"/>
  </si>
  <si>
    <t>ppm</t>
    <phoneticPr fontId="1" type="noConversion"/>
  </si>
  <si>
    <t>biomassToEnergyRatioCO2Params[0 </t>
    <phoneticPr fontId="1" type="noConversion"/>
  </si>
  <si>
    <t>bc(1)</t>
    <phoneticPr fontId="1" type="noConversion"/>
  </si>
  <si>
    <t>bc(2)</t>
    <phoneticPr fontId="1" type="noConversion"/>
  </si>
  <si>
    <t>bc(3)</t>
    <phoneticPr fontId="1" type="noConversion"/>
  </si>
  <si>
    <t>biomassToEnergyRatioCO2Params[1</t>
    <phoneticPr fontId="1" type="noConversion"/>
  </si>
  <si>
    <t xml:space="preserve">biomassToEnergyRatioVPDParam </t>
    <phoneticPr fontId="1" type="noConversion"/>
  </si>
  <si>
    <t>(6~8)</t>
    <phoneticPr fontId="1" type="noConversion"/>
  </si>
  <si>
    <t>Co2 curve</t>
    <phoneticPr fontId="1" type="noConversion"/>
  </si>
  <si>
    <t>note: The range of the s-curve</t>
    <phoneticPr fontId="1" type="noConversion"/>
  </si>
  <si>
    <t>&lt;potential biomass&gt;</t>
    <phoneticPr fontId="1" type="noConversion"/>
  </si>
  <si>
    <t>diff of slope</t>
    <phoneticPr fontId="1" type="noConversion"/>
  </si>
  <si>
    <t>BE*</t>
    <phoneticPr fontId="1" type="noConversion"/>
  </si>
  <si>
    <t>conv factor*</t>
    <phoneticPr fontId="1" type="noConversion"/>
  </si>
  <si>
    <t>BE'</t>
    <phoneticPr fontId="1" type="noConversion"/>
  </si>
  <si>
    <t>conv factor'</t>
    <phoneticPr fontId="1" type="noConversion"/>
  </si>
  <si>
    <t>(VPD &gt; 0.5)</t>
    <phoneticPr fontId="1" type="noConversion"/>
  </si>
  <si>
    <t>ΔBiomass(potential)</t>
    <phoneticPr fontId="1" type="noConversion"/>
  </si>
  <si>
    <t>deltaB(p)</t>
    <phoneticPr fontId="1" type="noConversion"/>
  </si>
  <si>
    <t>tons / ha</t>
    <phoneticPr fontId="1" type="noConversion"/>
  </si>
  <si>
    <t>wattage</t>
    <phoneticPr fontId="1" type="noConversion"/>
  </si>
  <si>
    <t>W/m^2</t>
    <phoneticPr fontId="1" type="noConversion"/>
  </si>
  <si>
    <t>kg / m^2</t>
    <phoneticPr fontId="1" type="noConversion"/>
  </si>
  <si>
    <t>HUF</t>
    <phoneticPr fontId="1" type="noConversion"/>
  </si>
  <si>
    <t>~stage 5</t>
    <phoneticPr fontId="1" type="noConversion"/>
  </si>
  <si>
    <t>&lt;LAI difference&gt;</t>
    <phoneticPr fontId="1" type="noConversion"/>
  </si>
  <si>
    <t>LAI(i-1)</t>
    <phoneticPr fontId="1" type="noConversion"/>
  </si>
  <si>
    <t>deltaLAI</t>
    <phoneticPr fontId="1" type="noConversion"/>
  </si>
  <si>
    <t>ΔLAI</t>
    <phoneticPr fontId="1" type="noConversion"/>
  </si>
  <si>
    <t>prev HUF</t>
    <phoneticPr fontId="1" type="noConversion"/>
  </si>
  <si>
    <t>prev HUI</t>
    <phoneticPr fontId="1" type="noConversion"/>
  </si>
  <si>
    <t>ΔHUF</t>
    <phoneticPr fontId="1" type="noConversion"/>
  </si>
  <si>
    <t>°C</t>
    <phoneticPr fontId="1" type="noConversion"/>
  </si>
  <si>
    <t>CHT</t>
    <phoneticPr fontId="1" type="noConversion"/>
  </si>
  <si>
    <t>Plant height</t>
    <phoneticPr fontId="1" type="noConversion"/>
  </si>
  <si>
    <t>Plant size</t>
    <phoneticPr fontId="1" type="noConversion"/>
  </si>
  <si>
    <t>HMX</t>
    <phoneticPr fontId="1" type="noConversion"/>
  </si>
  <si>
    <t>Max height</t>
    <phoneticPr fontId="1" type="noConversion"/>
  </si>
  <si>
    <t>m</t>
    <phoneticPr fontId="1" type="noConversion"/>
  </si>
  <si>
    <t>ar(1)</t>
    <phoneticPr fontId="1" type="noConversion"/>
  </si>
  <si>
    <t>ar(2)</t>
    <phoneticPr fontId="1" type="noConversion"/>
  </si>
  <si>
    <t>fraction of root weight at emergence</t>
    <phoneticPr fontId="1" type="noConversion"/>
  </si>
  <si>
    <t>fraction of root weight at maturity</t>
    <phoneticPr fontId="1" type="noConversion"/>
  </si>
  <si>
    <t>note: 0.3~0.5</t>
    <phoneticPr fontId="1" type="noConversion"/>
  </si>
  <si>
    <t>note: 0.05~0.20</t>
    <phoneticPr fontId="1" type="noConversion"/>
  </si>
  <si>
    <t>deltaRWT</t>
    <phoneticPr fontId="1" type="noConversion"/>
  </si>
  <si>
    <t>ΔHeat Units</t>
    <phoneticPr fontId="1" type="noConversion"/>
  </si>
  <si>
    <t>kg/m^2</t>
    <phoneticPr fontId="1" type="noConversion"/>
  </si>
  <si>
    <t>IF dRWT &lt; 0</t>
    <phoneticPr fontId="1" type="noConversion"/>
  </si>
  <si>
    <t>dRWT = -0.01 * RWT</t>
    <phoneticPr fontId="1" type="noConversion"/>
  </si>
  <si>
    <t>deltaRW</t>
    <phoneticPr fontId="1" type="noConversion"/>
  </si>
  <si>
    <t>change in root weight for a layer</t>
    <phoneticPr fontId="1" type="noConversion"/>
  </si>
  <si>
    <t>=deltaRTW * u / (total u)</t>
    <phoneticPr fontId="1" type="noConversion"/>
  </si>
  <si>
    <t>** u = water usage for layer</t>
    <phoneticPr fontId="1" type="noConversion"/>
  </si>
  <si>
    <t>deltaRD</t>
    <phoneticPr fontId="1" type="noConversion"/>
  </si>
  <si>
    <t>Δtotal root weight</t>
    <phoneticPr fontId="1" type="noConversion"/>
  </si>
  <si>
    <t>Δroot depth</t>
    <phoneticPr fontId="1" type="noConversion"/>
  </si>
  <si>
    <t>RMAX</t>
    <phoneticPr fontId="1" type="noConversion"/>
  </si>
  <si>
    <t>max root depth</t>
    <phoneticPr fontId="1" type="noConversion"/>
  </si>
  <si>
    <t>m</t>
    <phoneticPr fontId="1" type="noConversion"/>
  </si>
  <si>
    <t>&lt;potential evap&gt;</t>
    <phoneticPr fontId="1" type="noConversion"/>
  </si>
  <si>
    <t>delta</t>
    <phoneticPr fontId="1" type="noConversion"/>
  </si>
  <si>
    <t>slope of saturated vapor curve</t>
    <phoneticPr fontId="1" type="noConversion"/>
  </si>
  <si>
    <t>A = 6.66 x 10 - 4 (K - 1) for t’ greater than 0 °C</t>
  </si>
  <si>
    <t>A = 5.94 x 10 - 4 (K - 1) for t’ less than 0 °C</t>
  </si>
  <si>
    <t>gamma</t>
    <phoneticPr fontId="1" type="noConversion"/>
  </si>
  <si>
    <t>psychometric constant</t>
    <phoneticPr fontId="1" type="noConversion"/>
  </si>
  <si>
    <t>h(0)</t>
    <phoneticPr fontId="1" type="noConversion"/>
  </si>
  <si>
    <t>net radiation</t>
    <phoneticPr fontId="1" type="noConversion"/>
  </si>
  <si>
    <t>MJ</t>
    <phoneticPr fontId="1" type="noConversion"/>
  </si>
  <si>
    <t>K^-1</t>
    <phoneticPr fontId="1" type="noConversion"/>
  </si>
  <si>
    <t>kPa / °C</t>
    <phoneticPr fontId="1" type="noConversion"/>
  </si>
  <si>
    <t>G</t>
    <phoneticPr fontId="1" type="noConversion"/>
  </si>
  <si>
    <t>HV</t>
    <phoneticPr fontId="1" type="noConversion"/>
  </si>
  <si>
    <t>latent heat of vaporization (water)</t>
    <phoneticPr fontId="1" type="noConversion"/>
  </si>
  <si>
    <t>MJ/kg</t>
    <phoneticPr fontId="1" type="noConversion"/>
  </si>
  <si>
    <t>f(V)</t>
    <phoneticPr fontId="1" type="noConversion"/>
  </si>
  <si>
    <t>wind speed</t>
    <phoneticPr fontId="1" type="noConversion"/>
  </si>
  <si>
    <t>mm/day*kPa</t>
    <phoneticPr fontId="1" type="noConversion"/>
  </si>
  <si>
    <t>** roughly 2.257</t>
    <phoneticPr fontId="1" type="noConversion"/>
  </si>
  <si>
    <t>PB</t>
    <phoneticPr fontId="1" type="noConversion"/>
  </si>
  <si>
    <t>barometric pressure</t>
    <phoneticPr fontId="1" type="noConversion"/>
  </si>
  <si>
    <t>heat flux</t>
    <phoneticPr fontId="1" type="noConversion"/>
  </si>
  <si>
    <t>V</t>
    <phoneticPr fontId="1" type="noConversion"/>
  </si>
  <si>
    <t>mean wind speed</t>
    <phoneticPr fontId="1" type="noConversion"/>
  </si>
  <si>
    <t>m/s</t>
    <phoneticPr fontId="1" type="noConversion"/>
  </si>
  <si>
    <t>Altitude</t>
    <phoneticPr fontId="1" type="noConversion"/>
  </si>
  <si>
    <t>m</t>
    <phoneticPr fontId="1" type="noConversion"/>
  </si>
  <si>
    <t>kPa</t>
    <phoneticPr fontId="1" type="noConversion"/>
  </si>
  <si>
    <t>//// can be excluded</t>
    <phoneticPr fontId="1" type="noConversion"/>
  </si>
  <si>
    <t>ELEV</t>
    <phoneticPr fontId="1" type="noConversion"/>
  </si>
  <si>
    <t>Albedo</t>
    <phoneticPr fontId="1" type="noConversion"/>
  </si>
  <si>
    <t>http://en.wikipedia.org/wiki/Albedo</t>
  </si>
  <si>
    <t>E(0)</t>
    <phoneticPr fontId="1" type="noConversion"/>
  </si>
  <si>
    <t>potential soil evap</t>
    <phoneticPr fontId="1" type="noConversion"/>
  </si>
  <si>
    <t>mm</t>
    <phoneticPr fontId="1" type="noConversion"/>
  </si>
  <si>
    <t>stage 10</t>
    <phoneticPr fontId="1" type="noConversion"/>
  </si>
  <si>
    <t>post growth</t>
    <phoneticPr fontId="1" type="noConversion"/>
  </si>
  <si>
    <t>water use</t>
    <phoneticPr fontId="1" type="noConversion"/>
  </si>
  <si>
    <t>lambda?</t>
    <phoneticPr fontId="1" type="noConversion"/>
  </si>
  <si>
    <t>high lambda(10) = uses much water near surface</t>
    <phoneticPr fontId="1" type="noConversion"/>
  </si>
  <si>
    <t>UC</t>
    <phoneticPr fontId="1" type="noConversion"/>
  </si>
  <si>
    <t>Water deficit compensation factor. 1=perfect compensation, can compensate for lack of water in one layer with abundance in another. 0 = can't</t>
    <phoneticPr fontId="1" type="noConversion"/>
  </si>
  <si>
    <t>Hargreaves method</t>
    <phoneticPr fontId="1" type="noConversion"/>
  </si>
  <si>
    <t>RAMX</t>
    <phoneticPr fontId="1" type="noConversion"/>
  </si>
  <si>
    <t>max possible radiation</t>
    <phoneticPr fontId="1" type="noConversion"/>
  </si>
  <si>
    <t>HV</t>
    <phoneticPr fontId="1" type="noConversion"/>
  </si>
  <si>
    <t>latent heat of vaporization (water)</t>
    <phoneticPr fontId="1" type="noConversion"/>
  </si>
  <si>
    <t>T</t>
    <phoneticPr fontId="1" type="noConversion"/>
  </si>
  <si>
    <t>mean temperature</t>
    <phoneticPr fontId="1" type="noConversion"/>
  </si>
  <si>
    <t>T mx</t>
    <phoneticPr fontId="1" type="noConversion"/>
  </si>
  <si>
    <t>T mn</t>
    <phoneticPr fontId="1" type="noConversion"/>
  </si>
  <si>
    <t>max temperature</t>
    <phoneticPr fontId="1" type="noConversion"/>
  </si>
  <si>
    <t>min temperature</t>
    <phoneticPr fontId="1" type="noConversion"/>
  </si>
  <si>
    <t>C</t>
    <phoneticPr fontId="1" type="noConversion"/>
  </si>
  <si>
    <t>E(0)</t>
    <phoneticPr fontId="1" type="noConversion"/>
  </si>
  <si>
    <t>potential soil evap</t>
    <phoneticPr fontId="1" type="noConversion"/>
  </si>
  <si>
    <t>mm</t>
    <phoneticPr fontId="1" type="noConversion"/>
  </si>
  <si>
    <t>plant evap</t>
    <phoneticPr fontId="1" type="noConversion"/>
  </si>
  <si>
    <t>E(p)</t>
    <phoneticPr fontId="1" type="noConversion"/>
  </si>
  <si>
    <t>LAI</t>
    <phoneticPr fontId="1" type="noConversion"/>
  </si>
  <si>
    <t>Nitrogen usage</t>
    <phoneticPr fontId="1" type="noConversion"/>
  </si>
  <si>
    <t>bn(1)</t>
    <phoneticPr fontId="1" type="noConversion"/>
  </si>
  <si>
    <t>bn(2)</t>
    <phoneticPr fontId="1" type="noConversion"/>
  </si>
  <si>
    <t>y = a / (1 + e^(-b * (x - c))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</si>
  <si>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</si>
  <si>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</si>
  <si>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</si>
  <si>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bn(3)</t>
    <phoneticPr fontId="1" type="noConversion"/>
  </si>
  <si>
    <t>y = a + b * e^(-c * HUI)</t>
    <phoneticPr fontId="1" type="noConversion"/>
  </si>
  <si>
    <t>HUI</t>
    <phoneticPr fontId="1" type="noConversion"/>
  </si>
  <si>
    <t>Heat unit index</t>
    <phoneticPr fontId="1" type="noConversion"/>
  </si>
  <si>
    <t>c(NB)</t>
    <phoneticPr fontId="1" type="noConversion"/>
  </si>
  <si>
    <t>optimum nitrogen concentration</t>
    <phoneticPr fontId="1" type="noConversion"/>
  </si>
  <si>
    <t>=&gt; is nice to set as 1, to make e() range from 1 to around 0.4. Use other factors to change curve shape.</t>
    <phoneticPr fontId="1" type="noConversion"/>
  </si>
  <si>
    <t>u(l)</t>
    <phoneticPr fontId="1" type="noConversion"/>
  </si>
  <si>
    <t>plant water use (uptake)</t>
    <phoneticPr fontId="1" type="noConversion"/>
  </si>
  <si>
    <t>WNO3</t>
    <phoneticPr fontId="1" type="noConversion"/>
  </si>
  <si>
    <t>nitrate supply</t>
    <phoneticPr fontId="1" type="noConversion"/>
  </si>
  <si>
    <t>mm</t>
    <phoneticPr fontId="1" type="noConversion"/>
  </si>
  <si>
    <t>kg/ha</t>
    <phoneticPr fontId="1" type="noConversion"/>
  </si>
  <si>
    <t>organic matter</t>
    <phoneticPr fontId="1" type="noConversion"/>
  </si>
  <si>
    <t>(NO3-)</t>
    <phoneticPr fontId="1" type="noConversion"/>
  </si>
  <si>
    <t>SW</t>
    <phoneticPr fontId="1" type="noConversion"/>
  </si>
  <si>
    <t>soil water</t>
    <phoneticPr fontId="1" type="noConversion"/>
  </si>
  <si>
    <t>mm</t>
    <phoneticPr fontId="1" type="noConversion"/>
  </si>
  <si>
    <t>UN(l)</t>
    <phoneticPr fontId="1" type="noConversion"/>
  </si>
  <si>
    <t>nitrogen supplied for layer</t>
    <phoneticPr fontId="1" type="noConversion"/>
  </si>
  <si>
    <t>UND(i-1)</t>
    <phoneticPr fontId="1" type="noConversion"/>
  </si>
  <si>
    <t>current N demand, just before taking up new nitrogen</t>
    <phoneticPr fontId="1" type="noConversion"/>
  </si>
  <si>
    <t>nitrogen demand</t>
    <phoneticPr fontId="1" type="noConversion"/>
  </si>
  <si>
    <t>biomass</t>
    <phoneticPr fontId="1" type="noConversion"/>
  </si>
  <si>
    <t>B</t>
    <phoneticPr fontId="1" type="noConversion"/>
  </si>
  <si>
    <t>kg/m^2</t>
    <phoneticPr fontId="1" type="noConversion"/>
  </si>
  <si>
    <t>N</t>
    <phoneticPr fontId="1" type="noConversion"/>
  </si>
  <si>
    <t>current nitrogen in plant</t>
    <phoneticPr fontId="1" type="noConversion"/>
  </si>
  <si>
    <t>forage</t>
    <phoneticPr fontId="1" type="noConversion"/>
  </si>
  <si>
    <t>nit up</t>
    <phoneticPr fontId="1" type="noConversion"/>
  </si>
  <si>
    <t>forage %</t>
    <phoneticPr fontId="1" type="noConversion"/>
  </si>
  <si>
    <t>two points</t>
    <phoneticPr fontId="1" type="noConversion"/>
  </si>
  <si>
    <t>a=</t>
    <phoneticPr fontId="1" type="noConversion"/>
  </si>
  <si>
    <t>b=</t>
    <phoneticPr fontId="1" type="noConversion"/>
  </si>
  <si>
    <t>c=</t>
    <phoneticPr fontId="1" type="noConversion"/>
  </si>
  <si>
    <t>SN(s)</t>
    <phoneticPr fontId="1" type="noConversion"/>
  </si>
  <si>
    <t>SN</t>
    <phoneticPr fontId="1" type="noConversion"/>
  </si>
  <si>
    <t>Nitrogen</t>
    <phoneticPr fontId="1" type="noConversion"/>
  </si>
  <si>
    <t>Optimal nitrogen</t>
    <phoneticPr fontId="1" type="noConversion"/>
  </si>
  <si>
    <t>Optimal 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</si>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</sst>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3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1" applyFont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'pea N content'!$C$2:$C$7</c:f>
              <c:numCache>
                <c:formatCode>General</c:formatCode>
                <c:ptCount val="6"/>
                <c:pt idx="0">
                  <c:v>3.0508474576271188E-2</c:v>
                </c:pt>
                <c:pt idx="1">
                  <c:v>2.0707442888725131E-2</c:v>
                </c:pt>
                <c:pt idx="2">
                  <c:v>1.4454094292803971E-2</c:v>
                </c:pt>
                <c:pt idx="3">
                  <c:v>1.20849609375E-2</c:v>
                </c:pt>
                <c:pt idx="4">
                  <c:v>1.2051988972036236E-2</c:v>
                </c:pt>
                <c:pt idx="5">
                  <c:v>1.0273387441264418E-2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568"/>
        <c:axId val="173639360"/>
      </c:lineChart>
      <c:catAx>
        <c:axId val="1802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39360"/>
        <c:crosses val="autoZero"/>
        <c:auto val="1"/>
        <c:lblAlgn val="ctr"/>
        <c:lblOffset val="100"/>
        <c:noMultiLvlLbl val="0"/>
      </c:catAx>
      <c:valAx>
        <c:axId val="1736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'pea N content'!$F$17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'pea N content'!$E$18:$E$137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28.000000000000004</c:v>
                </c:pt>
                <c:pt idx="29">
                  <c:v>28.999999999999996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55.000000000000007</c:v>
                </c:pt>
                <c:pt idx="56">
                  <c:v>56.000000000000007</c:v>
                </c:pt>
                <c:pt idx="57">
                  <c:v>56.999999999999993</c:v>
                </c:pt>
                <c:pt idx="58">
                  <c:v>57.999999999999993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109.00000000000001</c:v>
                </c:pt>
                <c:pt idx="110">
                  <c:v>110.00000000000001</c:v>
                </c:pt>
                <c:pt idx="111">
                  <c:v>111.00000000000001</c:v>
                </c:pt>
                <c:pt idx="112">
                  <c:v>112.00000000000001</c:v>
                </c:pt>
                <c:pt idx="113">
                  <c:v>112.99999999999999</c:v>
                </c:pt>
                <c:pt idx="114">
                  <c:v>113.99999999999999</c:v>
                </c:pt>
                <c:pt idx="115">
                  <c:v>114.99999999999999</c:v>
                </c:pt>
                <c:pt idx="116">
                  <c:v>115.99999999999999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'pea N content'!$F$18:$F$137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5.8698306604229922E-2</c:v>
                </c:pt>
                <c:pt idx="52">
                  <c:v>0.1161191305494956</c:v>
                </c:pt>
                <c:pt idx="53">
                  <c:v>0.17189722089389997</c:v>
                </c:pt>
                <c:pt idx="54">
                  <c:v>0.22573394941145769</c:v>
                </c:pt>
                <c:pt idx="55">
                  <c:v>0.27739607197912097</c:v>
                </c:pt>
                <c:pt idx="56">
                  <c:v>0.32671217017807658</c:v>
                </c:pt>
                <c:pt idx="57">
                  <c:v>0.37356741706286695</c:v>
                </c:pt>
                <c:pt idx="58">
                  <c:v>0.41789727721338249</c:v>
                </c:pt>
                <c:pt idx="59">
                  <c:v>0.45968067540490826</c:v>
                </c:pt>
                <c:pt idx="60">
                  <c:v>0.49893307000787374</c:v>
                </c:pt>
                <c:pt idx="61">
                  <c:v>0.53569976259081542</c:v>
                </c:pt>
                <c:pt idx="62">
                  <c:v>0.57004967572358223</c:v>
                </c:pt>
                <c:pt idx="63">
                  <c:v>0.60206974384438638</c:v>
                </c:pt>
                <c:pt idx="64">
                  <c:v>0.63185999073251875</c:v>
                </c:pt>
                <c:pt idx="65">
                  <c:v>0.65952931231781986</c:v>
                </c:pt>
                <c:pt idx="66">
                  <c:v>0.6851919441374501</c:v>
                </c:pt>
                <c:pt idx="67">
                  <c:v>0.70896456658754603</c:v>
                </c:pt>
                <c:pt idx="68">
                  <c:v>0.73096398567734866</c:v>
                </c:pt>
                <c:pt idx="69">
                  <c:v>0.75130531975018533</c:v>
                </c:pt>
                <c:pt idx="70">
                  <c:v>0.77010062131360812</c:v>
                </c:pt>
                <c:pt idx="71">
                  <c:v>0.78745786580989041</c:v>
                </c:pt>
                <c:pt idx="72">
                  <c:v>0.80348024434244214</c:v>
                </c:pt>
                <c:pt idx="73">
                  <c:v>0.81826570390965248</c:v>
                </c:pt>
                <c:pt idx="74">
                  <c:v>0.83190668576313542</c:v>
                </c:pt>
                <c:pt idx="75">
                  <c:v>0.84449001954269987</c:v>
                </c:pt>
                <c:pt idx="76">
                  <c:v>0.85609693748960625</c:v>
                </c:pt>
                <c:pt idx="77">
                  <c:v>0.8668031790982782</c:v>
                </c:pt>
                <c:pt idx="78">
                  <c:v>0.87667916193785367</c:v>
                </c:pt>
                <c:pt idx="79">
                  <c:v>0.88579019903536615</c:v>
                </c:pt>
                <c:pt idx="80">
                  <c:v>0.89419674718551434</c:v>
                </c:pt>
                <c:pt idx="81">
                  <c:v>0.9019546738893861</c:v>
                </c:pt>
                <c:pt idx="82">
                  <c:v>0.90911553339184215</c:v>
                </c:pt>
                <c:pt idx="83">
                  <c:v>0.9157268445554535</c:v>
                </c:pt>
                <c:pt idx="84">
                  <c:v>0.92183236514801947</c:v>
                </c:pt>
                <c:pt idx="85">
                  <c:v>0.92747235859658772</c:v>
                </c:pt>
                <c:pt idx="86">
                  <c:v>0.93268385043315138</c:v>
                </c:pt>
                <c:pt idx="87">
                  <c:v>0.93750087257841397</c:v>
                </c:pt>
                <c:pt idx="88">
                  <c:v>0.9419546943256506</c:v>
                </c:pt>
                <c:pt idx="89">
                  <c:v>0.94607403943552837</c:v>
                </c:pt>
                <c:pt idx="90">
                  <c:v>0.94988528916731207</c:v>
                </c:pt>
                <c:pt idx="91">
                  <c:v>0.95341267137926122</c:v>
                </c:pt>
                <c:pt idx="92">
                  <c:v>0.9566784360535433</c:v>
                </c:pt>
                <c:pt idx="93">
                  <c:v>0.95970301775686351</c:v>
                </c:pt>
                <c:pt idx="94">
                  <c:v>0.96250518565204701</c:v>
                </c:pt>
                <c:pt idx="95">
                  <c:v>0.9651021817399229</c:v>
                </c:pt>
                <c:pt idx="96">
                  <c:v>0.96750984804457973</c:v>
                </c:pt>
                <c:pt idx="97">
                  <c:v>0.96974274346599476</c:v>
                </c:pt>
                <c:pt idx="98">
                  <c:v>0.97181425101816021</c:v>
                </c:pt>
                <c:pt idx="99">
                  <c:v>0.97373667615285775</c:v>
                </c:pt>
                <c:pt idx="100">
                  <c:v>0.97552133684282494</c:v>
                </c:pt>
                <c:pt idx="101">
                  <c:v>0.97717864606604687</c:v>
                </c:pt>
                <c:pt idx="102">
                  <c:v>0.97871818729745952</c:v>
                </c:pt>
                <c:pt idx="103">
                  <c:v>0.98014878357711066</c:v>
                </c:pt>
                <c:pt idx="104">
                  <c:v>0.98147856068600725</c:v>
                </c:pt>
                <c:pt idx="105">
                  <c:v>0.98271500492338526</c:v>
                </c:pt>
                <c:pt idx="106">
                  <c:v>0.98386501594261078</c:v>
                </c:pt>
                <c:pt idx="107">
                  <c:v>0.98493495506780615</c:v>
                </c:pt>
                <c:pt idx="108">
                  <c:v>0.98593068947988172</c:v>
                </c:pt>
                <c:pt idx="109">
                  <c:v>0.98685763262912074</c:v>
                </c:pt>
                <c:pt idx="110">
                  <c:v>0.9877207812019122</c:v>
                </c:pt>
                <c:pt idx="111">
                  <c:v>0.9885247489416612</c:v>
                </c:pt>
                <c:pt idx="112">
                  <c:v>0.98927379759833178</c:v>
                </c:pt>
                <c:pt idx="113">
                  <c:v>0.98997186525741765</c:v>
                </c:pt>
                <c:pt idx="114">
                  <c:v>0.99062259227732974</c:v>
                </c:pt>
                <c:pt idx="115">
                  <c:v>0.99122934504413329</c:v>
                </c:pt>
                <c:pt idx="116">
                  <c:v>0.99179523773416789</c:v>
                </c:pt>
                <c:pt idx="117">
                  <c:v>0.99232315225823275</c:v>
                </c:pt>
                <c:pt idx="118">
                  <c:v>0.99281575654560383</c:v>
                </c:pt>
                <c:pt idx="119">
                  <c:v>0.99327552131207486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1088"/>
        <c:axId val="173641664"/>
      </c:scatterChart>
      <c:valAx>
        <c:axId val="1736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Nitrogen content</a:t>
                </a:r>
                <a:r>
                  <a:rPr lang="en-US" altLang="ko-KR" baseline="0"/>
                  <a:t>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41664"/>
        <c:crosses val="autoZero"/>
        <c:crossBetween val="midCat"/>
      </c:valAx>
      <c:valAx>
        <c:axId val="17364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stress factor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138112</xdr:rowOff>
    </xdr:from>
    <xdr:to>
      <xdr:col>16</xdr:col>
      <xdr:colOff>542925</xdr:colOff>
      <xdr:row>15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20</xdr:row>
      <xdr:rowOff>14287</xdr:rowOff>
    </xdr:from>
    <xdr:to>
      <xdr:col>15</xdr:col>
      <xdr:colOff>200025</xdr:colOff>
      <xdr:row>33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E14" sqref="E14"/>
    </sheetView>
  </sheetViews>
  <sheetFormatPr defaultRowHeight="16.5" x14ac:dyDescent="0.3"/>
  <cols>
    <col min="2" max="2" width="23.75" customWidth="1"/>
    <col min="3" max="3" width="12.75" bestFit="1" customWidth="1"/>
    <col min="6" max="6" width="13.125" bestFit="1" customWidth="1"/>
  </cols>
  <sheetData>
    <row r="1" spans="1:9" x14ac:dyDescent="0.3">
      <c r="A1" t="s">
        <v>0</v>
      </c>
      <c r="B1" t="s">
        <v>77</v>
      </c>
      <c r="C1">
        <f>(E28+F28) / 2 - C2</f>
        <v>17</v>
      </c>
      <c r="F1" t="s">
        <v>16</v>
      </c>
      <c r="G1">
        <v>7.3</v>
      </c>
      <c r="H1" t="s">
        <v>17</v>
      </c>
    </row>
    <row r="2" spans="1:9" x14ac:dyDescent="0.3">
      <c r="B2" t="s">
        <v>3</v>
      </c>
      <c r="C2">
        <v>8</v>
      </c>
      <c r="D2" t="s">
        <v>63</v>
      </c>
      <c r="F2" t="s">
        <v>51</v>
      </c>
      <c r="G2">
        <v>445</v>
      </c>
      <c r="H2" t="s">
        <v>52</v>
      </c>
    </row>
    <row r="3" spans="1:9" x14ac:dyDescent="0.3">
      <c r="A3" t="s">
        <v>12</v>
      </c>
      <c r="B3" t="s">
        <v>13</v>
      </c>
      <c r="C3">
        <v>240</v>
      </c>
    </row>
    <row r="4" spans="1:9" x14ac:dyDescent="0.3">
      <c r="A4" t="s">
        <v>10</v>
      </c>
      <c r="B4" t="s">
        <v>11</v>
      </c>
      <c r="C4">
        <f>C3/$H$33</f>
        <v>0.14234875444839859</v>
      </c>
    </row>
    <row r="5" spans="1:9" x14ac:dyDescent="0.3">
      <c r="A5" t="s">
        <v>15</v>
      </c>
      <c r="B5" t="s">
        <v>14</v>
      </c>
      <c r="C5">
        <f>G2*G1*60*60/1000000</f>
        <v>11.694599999999999</v>
      </c>
      <c r="D5" t="s">
        <v>18</v>
      </c>
    </row>
    <row r="6" spans="1:9" x14ac:dyDescent="0.3">
      <c r="A6" t="s">
        <v>21</v>
      </c>
      <c r="B6" t="s">
        <v>22</v>
      </c>
      <c r="C6">
        <v>5</v>
      </c>
      <c r="D6" t="s">
        <v>23</v>
      </c>
    </row>
    <row r="7" spans="1:9" x14ac:dyDescent="0.3">
      <c r="A7" t="s">
        <v>19</v>
      </c>
      <c r="B7" t="s">
        <v>20</v>
      </c>
      <c r="C7">
        <f>0.5*C5*G1*(1-EXP(-0.65*C6))</f>
        <v>41.030201694182672</v>
      </c>
    </row>
    <row r="8" spans="1:9" x14ac:dyDescent="0.3">
      <c r="B8" t="s">
        <v>25</v>
      </c>
      <c r="C8">
        <v>60</v>
      </c>
    </row>
    <row r="9" spans="1:9" x14ac:dyDescent="0.3">
      <c r="B9" t="s">
        <v>30</v>
      </c>
      <c r="C9">
        <v>440</v>
      </c>
      <c r="D9" t="s">
        <v>31</v>
      </c>
      <c r="I9">
        <f>60*60/1000000</f>
        <v>3.5999999999999999E-3</v>
      </c>
    </row>
    <row r="10" spans="1:9" x14ac:dyDescent="0.3">
      <c r="A10" s="4" t="s">
        <v>41</v>
      </c>
      <c r="B10" s="4"/>
      <c r="C10" s="4"/>
      <c r="D10" s="4"/>
    </row>
    <row r="11" spans="1:9" x14ac:dyDescent="0.3">
      <c r="A11" t="s">
        <v>33</v>
      </c>
      <c r="B11" s="1" t="s">
        <v>32</v>
      </c>
      <c r="C11">
        <v>495</v>
      </c>
    </row>
    <row r="12" spans="1:9" x14ac:dyDescent="0.3">
      <c r="A12" t="s">
        <v>34</v>
      </c>
      <c r="B12" s="1" t="s">
        <v>36</v>
      </c>
      <c r="C12">
        <v>0.04</v>
      </c>
    </row>
    <row r="13" spans="1:9" x14ac:dyDescent="0.3">
      <c r="B13" t="s">
        <v>42</v>
      </c>
      <c r="C13">
        <v>0.1</v>
      </c>
      <c r="D13" t="s">
        <v>40</v>
      </c>
    </row>
    <row r="14" spans="1:9" x14ac:dyDescent="0.3">
      <c r="A14" t="s">
        <v>35</v>
      </c>
      <c r="B14" t="s">
        <v>37</v>
      </c>
      <c r="C14">
        <v>7</v>
      </c>
      <c r="D14" t="s">
        <v>38</v>
      </c>
    </row>
    <row r="15" spans="1:9" x14ac:dyDescent="0.3">
      <c r="B15" t="s">
        <v>39</v>
      </c>
      <c r="C15">
        <f>C13 / (1 + EXP(-C12 * (C9 - C11))) + 1</f>
        <v>1.0099750489119685</v>
      </c>
    </row>
    <row r="16" spans="1:9" x14ac:dyDescent="0.3">
      <c r="A16" t="s">
        <v>43</v>
      </c>
      <c r="B16" t="s">
        <v>44</v>
      </c>
      <c r="C16">
        <f>100 * C15</f>
        <v>100.99750489119685</v>
      </c>
    </row>
    <row r="17" spans="1:9" x14ac:dyDescent="0.3">
      <c r="A17" t="s">
        <v>45</v>
      </c>
      <c r="B17" t="s">
        <v>46</v>
      </c>
      <c r="C17">
        <f>C16 - C14 * (B32-1)</f>
        <v>101.4517005331893</v>
      </c>
      <c r="D17" t="s">
        <v>47</v>
      </c>
    </row>
    <row r="18" spans="1:9" x14ac:dyDescent="0.3">
      <c r="A18" t="s">
        <v>49</v>
      </c>
      <c r="B18" t="s">
        <v>48</v>
      </c>
      <c r="C18">
        <f>0.001*C17 * C7</f>
        <v>4.1625837350945769</v>
      </c>
      <c r="D18" t="s">
        <v>50</v>
      </c>
      <c r="G18">
        <f>5837/20</f>
        <v>291.85000000000002</v>
      </c>
    </row>
    <row r="19" spans="1:9" x14ac:dyDescent="0.3">
      <c r="C19">
        <f>C18/10</f>
        <v>0.41625837350945771</v>
      </c>
      <c r="D19" t="s">
        <v>53</v>
      </c>
    </row>
    <row r="20" spans="1:9" x14ac:dyDescent="0.3">
      <c r="B20" t="s">
        <v>60</v>
      </c>
      <c r="C20">
        <f>1/(1+ EXP(-17 * (E20 - 0.18)))</f>
        <v>0.30757461014852672</v>
      </c>
      <c r="D20" t="s">
        <v>61</v>
      </c>
      <c r="E20">
        <f>223 / 1686</f>
        <v>0.13226571767497033</v>
      </c>
    </row>
    <row r="21" spans="1:9" x14ac:dyDescent="0.3">
      <c r="B21" t="s">
        <v>54</v>
      </c>
      <c r="C21">
        <f>1/(1+ EXP(-17 * (C4 - 0.18)))</f>
        <v>0.34523045050567203</v>
      </c>
    </row>
    <row r="22" spans="1:9" x14ac:dyDescent="0.3">
      <c r="B22" t="s">
        <v>62</v>
      </c>
      <c r="C22">
        <f>C21-C20</f>
        <v>3.7655840357145309E-2</v>
      </c>
    </row>
    <row r="24" spans="1:9" x14ac:dyDescent="0.3">
      <c r="A24" t="s">
        <v>114</v>
      </c>
      <c r="B24" t="s">
        <v>115</v>
      </c>
      <c r="C24">
        <v>2</v>
      </c>
      <c r="D24" t="s">
        <v>116</v>
      </c>
    </row>
    <row r="25" spans="1:9" x14ac:dyDescent="0.3">
      <c r="A25" s="4" t="s">
        <v>56</v>
      </c>
      <c r="B25" s="4"/>
      <c r="C25" s="4"/>
      <c r="D25" s="4"/>
    </row>
    <row r="26" spans="1:9" x14ac:dyDescent="0.3">
      <c r="A26" s="4" t="s">
        <v>57</v>
      </c>
      <c r="B26" s="4"/>
      <c r="C26">
        <v>10</v>
      </c>
    </row>
    <row r="27" spans="1:9" x14ac:dyDescent="0.3">
      <c r="A27" t="s">
        <v>58</v>
      </c>
      <c r="B27" t="s">
        <v>59</v>
      </c>
      <c r="C27">
        <f>10 * (1-EXP(5 *(C26 - 10))) * C22</f>
        <v>0</v>
      </c>
      <c r="E27" t="s">
        <v>1</v>
      </c>
      <c r="F27" t="s">
        <v>2</v>
      </c>
      <c r="H27" t="s">
        <v>4</v>
      </c>
    </row>
    <row r="28" spans="1:9" x14ac:dyDescent="0.3">
      <c r="E28">
        <v>30</v>
      </c>
      <c r="F28">
        <v>20</v>
      </c>
      <c r="G28" t="s">
        <v>5</v>
      </c>
      <c r="H28">
        <v>560</v>
      </c>
    </row>
    <row r="29" spans="1:9" x14ac:dyDescent="0.3">
      <c r="A29" s="4" t="s">
        <v>24</v>
      </c>
      <c r="B29" s="4"/>
      <c r="C29" s="4"/>
      <c r="G29" t="s">
        <v>55</v>
      </c>
      <c r="H29">
        <v>724</v>
      </c>
      <c r="I29">
        <f>724/1686</f>
        <v>0.42941874258600238</v>
      </c>
    </row>
    <row r="30" spans="1:9" x14ac:dyDescent="0.3">
      <c r="A30" t="s">
        <v>28</v>
      </c>
      <c r="B30">
        <v>20</v>
      </c>
      <c r="C30" t="s">
        <v>63</v>
      </c>
      <c r="G30" t="s">
        <v>6</v>
      </c>
      <c r="H30">
        <v>982</v>
      </c>
    </row>
    <row r="31" spans="1:9" x14ac:dyDescent="0.3">
      <c r="A31" t="s">
        <v>29</v>
      </c>
      <c r="B31">
        <f>610.7*10^(7.5*B30 / (237.3 + B30)) / 1000</f>
        <v>2.3377872707169831</v>
      </c>
      <c r="C31" t="s">
        <v>27</v>
      </c>
      <c r="G31" t="s">
        <v>7</v>
      </c>
      <c r="H31">
        <v>1158</v>
      </c>
    </row>
    <row r="32" spans="1:9" x14ac:dyDescent="0.3">
      <c r="A32" t="s">
        <v>26</v>
      </c>
      <c r="B32">
        <f>((100-C8)/100)*B31</f>
        <v>0.93511490828679333</v>
      </c>
      <c r="C32" t="s">
        <v>27</v>
      </c>
      <c r="G32" t="s">
        <v>8</v>
      </c>
      <c r="H32">
        <v>1451</v>
      </c>
    </row>
    <row r="33" spans="1:9" x14ac:dyDescent="0.3">
      <c r="A33" s="5" t="s">
        <v>66</v>
      </c>
      <c r="B33" s="5"/>
      <c r="C33" s="5"/>
      <c r="G33" t="s">
        <v>9</v>
      </c>
      <c r="H33">
        <v>1686</v>
      </c>
    </row>
    <row r="34" spans="1:9" x14ac:dyDescent="0.3">
      <c r="A34" t="s">
        <v>67</v>
      </c>
      <c r="B34" t="s">
        <v>68</v>
      </c>
      <c r="C34">
        <v>1</v>
      </c>
      <c r="D34" t="s">
        <v>69</v>
      </c>
      <c r="G34" t="s">
        <v>127</v>
      </c>
      <c r="H34">
        <v>1800</v>
      </c>
      <c r="I34" t="s">
        <v>128</v>
      </c>
    </row>
    <row r="35" spans="1:9" x14ac:dyDescent="0.3">
      <c r="A35" t="s">
        <v>64</v>
      </c>
      <c r="B35" t="s">
        <v>65</v>
      </c>
      <c r="C35">
        <f>C34 * SQRT(C21)</f>
        <v>0.58756314597298565</v>
      </c>
      <c r="D35" t="s">
        <v>69</v>
      </c>
    </row>
    <row r="36" spans="1:9" x14ac:dyDescent="0.3">
      <c r="A36" t="s">
        <v>70</v>
      </c>
      <c r="B36" t="s">
        <v>72</v>
      </c>
      <c r="C36">
        <v>0.3</v>
      </c>
      <c r="D36" t="s">
        <v>74</v>
      </c>
    </row>
    <row r="37" spans="1:9" x14ac:dyDescent="0.3">
      <c r="A37" t="s">
        <v>71</v>
      </c>
      <c r="B37" t="s">
        <v>73</v>
      </c>
      <c r="C37">
        <v>0.05</v>
      </c>
      <c r="D37" t="s">
        <v>75</v>
      </c>
    </row>
    <row r="38" spans="1:9" x14ac:dyDescent="0.3">
      <c r="A38" t="s">
        <v>76</v>
      </c>
      <c r="B38" t="s">
        <v>86</v>
      </c>
      <c r="C38">
        <f>C19 * (C36 - C37 * C4)</f>
        <v>0.12191481900294794</v>
      </c>
      <c r="D38" t="s">
        <v>78</v>
      </c>
    </row>
    <row r="39" spans="1:9" x14ac:dyDescent="0.3">
      <c r="B39" t="s">
        <v>79</v>
      </c>
      <c r="C39" s="2" t="s">
        <v>80</v>
      </c>
    </row>
    <row r="40" spans="1:9" x14ac:dyDescent="0.3">
      <c r="A40" t="s">
        <v>81</v>
      </c>
      <c r="B40" t="s">
        <v>82</v>
      </c>
      <c r="C40" s="2" t="s">
        <v>83</v>
      </c>
      <c r="F40" t="s">
        <v>84</v>
      </c>
    </row>
    <row r="41" spans="1:9" x14ac:dyDescent="0.3">
      <c r="A41" t="s">
        <v>85</v>
      </c>
      <c r="B41" t="s">
        <v>87</v>
      </c>
      <c r="C41">
        <f>2.5 * C42 * C21</f>
        <v>1.2946141893962702</v>
      </c>
      <c r="D41" t="s">
        <v>90</v>
      </c>
    </row>
    <row r="42" spans="1:9" x14ac:dyDescent="0.3">
      <c r="A42" t="s">
        <v>88</v>
      </c>
      <c r="B42" t="s">
        <v>89</v>
      </c>
      <c r="C42">
        <v>1.5</v>
      </c>
      <c r="D42" t="s">
        <v>90</v>
      </c>
    </row>
    <row r="43" spans="1:9" x14ac:dyDescent="0.3">
      <c r="A43" s="4" t="s">
        <v>91</v>
      </c>
      <c r="B43" s="4"/>
      <c r="C43" s="4"/>
      <c r="F43" t="s">
        <v>94</v>
      </c>
    </row>
    <row r="44" spans="1:9" x14ac:dyDescent="0.3">
      <c r="A44" t="s">
        <v>92</v>
      </c>
      <c r="B44" t="s">
        <v>93</v>
      </c>
      <c r="C44">
        <f>2502.66*EXP(17.2694*B30/(B30+238.3)) / (B30+237.3)^2</f>
        <v>0.14396030885462024</v>
      </c>
      <c r="D44" t="s">
        <v>102</v>
      </c>
      <c r="F44" t="s">
        <v>95</v>
      </c>
    </row>
    <row r="45" spans="1:9" x14ac:dyDescent="0.3">
      <c r="A45" t="s">
        <v>96</v>
      </c>
      <c r="B45" t="s">
        <v>97</v>
      </c>
      <c r="C45">
        <f>6.66*10^-4</f>
        <v>6.6600000000000003E-4</v>
      </c>
      <c r="D45" t="s">
        <v>101</v>
      </c>
    </row>
    <row r="46" spans="1:9" x14ac:dyDescent="0.3">
      <c r="A46" t="s">
        <v>98</v>
      </c>
      <c r="B46" t="s">
        <v>99</v>
      </c>
      <c r="C46">
        <f>C5*(1-C52)</f>
        <v>9.004842</v>
      </c>
      <c r="D46" t="s">
        <v>100</v>
      </c>
    </row>
    <row r="47" spans="1:9" x14ac:dyDescent="0.3">
      <c r="A47" t="s">
        <v>104</v>
      </c>
      <c r="B47" t="s">
        <v>105</v>
      </c>
      <c r="C47">
        <f>2.5 - 0.0022 * B30</f>
        <v>2.456</v>
      </c>
      <c r="D47" t="s">
        <v>106</v>
      </c>
      <c r="E47" t="s">
        <v>110</v>
      </c>
    </row>
    <row r="48" spans="1:9" x14ac:dyDescent="0.3">
      <c r="A48" t="s">
        <v>107</v>
      </c>
      <c r="B48" t="s">
        <v>108</v>
      </c>
      <c r="C48">
        <f>2.7 + 1.63 * C24</f>
        <v>5.96</v>
      </c>
      <c r="D48" t="s">
        <v>109</v>
      </c>
    </row>
    <row r="49" spans="1:5" x14ac:dyDescent="0.3">
      <c r="A49" t="s">
        <v>111</v>
      </c>
      <c r="B49" t="s">
        <v>112</v>
      </c>
      <c r="C49">
        <f>101 - 0.0115 * C51 + 5.44*10^(-7) * SQRT(C51)</f>
        <v>100.86200188447127</v>
      </c>
      <c r="D49" t="s">
        <v>119</v>
      </c>
    </row>
    <row r="50" spans="1:5" x14ac:dyDescent="0.3">
      <c r="A50" t="s">
        <v>103</v>
      </c>
      <c r="B50" t="s">
        <v>113</v>
      </c>
      <c r="C50" t="s">
        <v>120</v>
      </c>
    </row>
    <row r="51" spans="1:5" x14ac:dyDescent="0.3">
      <c r="A51" t="s">
        <v>121</v>
      </c>
      <c r="B51" t="s">
        <v>117</v>
      </c>
      <c r="C51">
        <v>12</v>
      </c>
      <c r="D51" t="s">
        <v>118</v>
      </c>
    </row>
    <row r="52" spans="1:5" x14ac:dyDescent="0.3">
      <c r="B52" t="s">
        <v>122</v>
      </c>
      <c r="C52">
        <v>0.23</v>
      </c>
      <c r="D52" t="s">
        <v>123</v>
      </c>
    </row>
    <row r="53" spans="1:5" x14ac:dyDescent="0.3">
      <c r="A53" t="s">
        <v>124</v>
      </c>
      <c r="B53" t="s">
        <v>125</v>
      </c>
      <c r="C53">
        <f>(C44/(C44+C45))*(C46 - 0) / C47 + (C45 / (C45+ C44))*C48 * B32</f>
        <v>3.6752474556322419</v>
      </c>
      <c r="D53" t="s">
        <v>126</v>
      </c>
    </row>
    <row r="54" spans="1:5" x14ac:dyDescent="0.3">
      <c r="A54" s="4" t="s">
        <v>134</v>
      </c>
      <c r="B54" s="4"/>
      <c r="C54" s="4"/>
    </row>
    <row r="55" spans="1:5" x14ac:dyDescent="0.3">
      <c r="A55" s="3" t="s">
        <v>135</v>
      </c>
      <c r="B55" s="3" t="s">
        <v>136</v>
      </c>
      <c r="C55" s="3">
        <f>C5</f>
        <v>11.694599999999999</v>
      </c>
    </row>
    <row r="56" spans="1:5" x14ac:dyDescent="0.3">
      <c r="A56" s="3" t="s">
        <v>137</v>
      </c>
      <c r="B56" s="3" t="s">
        <v>138</v>
      </c>
      <c r="C56" s="3">
        <f>C47</f>
        <v>2.456</v>
      </c>
      <c r="D56" t="s">
        <v>106</v>
      </c>
      <c r="E56" t="s">
        <v>110</v>
      </c>
    </row>
    <row r="57" spans="1:5" x14ac:dyDescent="0.3">
      <c r="A57" s="3" t="s">
        <v>139</v>
      </c>
      <c r="B57" s="3" t="s">
        <v>140</v>
      </c>
      <c r="C57" s="3">
        <f>(C58+C59)/2</f>
        <v>20.5</v>
      </c>
      <c r="D57" t="s">
        <v>145</v>
      </c>
    </row>
    <row r="58" spans="1:5" x14ac:dyDescent="0.3">
      <c r="A58" s="3" t="s">
        <v>141</v>
      </c>
      <c r="B58" s="3" t="s">
        <v>143</v>
      </c>
      <c r="C58" s="3">
        <v>25</v>
      </c>
      <c r="D58" t="s">
        <v>145</v>
      </c>
    </row>
    <row r="59" spans="1:5" x14ac:dyDescent="0.3">
      <c r="A59" s="3" t="s">
        <v>142</v>
      </c>
      <c r="B59" s="3" t="s">
        <v>144</v>
      </c>
      <c r="C59">
        <v>16</v>
      </c>
      <c r="D59" t="s">
        <v>145</v>
      </c>
    </row>
    <row r="60" spans="1:5" x14ac:dyDescent="0.3">
      <c r="A60" s="3" t="s">
        <v>146</v>
      </c>
      <c r="B60" s="3" t="s">
        <v>147</v>
      </c>
      <c r="C60">
        <f>0.0032 * (C55/C56)*(C57+17.8)*POWER(C58-C59, 0.6)</f>
        <v>2.1809779124879931</v>
      </c>
      <c r="D60" t="s">
        <v>148</v>
      </c>
    </row>
    <row r="61" spans="1:5" x14ac:dyDescent="0.3">
      <c r="A61" s="5" t="s">
        <v>129</v>
      </c>
      <c r="B61" s="5"/>
      <c r="C61" s="5"/>
    </row>
    <row r="63" spans="1:5" x14ac:dyDescent="0.3">
      <c r="A63" t="s">
        <v>130</v>
      </c>
      <c r="C63" t="s">
        <v>131</v>
      </c>
    </row>
    <row r="64" spans="1:5" x14ac:dyDescent="0.3">
      <c r="A64" t="s">
        <v>132</v>
      </c>
      <c r="B64">
        <v>0.8</v>
      </c>
      <c r="C64" t="s">
        <v>133</v>
      </c>
    </row>
    <row r="65" spans="1:6" x14ac:dyDescent="0.3">
      <c r="A65" s="5" t="s">
        <v>149</v>
      </c>
      <c r="B65" s="5"/>
      <c r="C65" s="5"/>
    </row>
    <row r="66" spans="1:6" x14ac:dyDescent="0.3">
      <c r="A66" s="3" t="s">
        <v>151</v>
      </c>
      <c r="B66" s="3">
        <v>6</v>
      </c>
      <c r="C66" s="3"/>
    </row>
    <row r="67" spans="1:6" x14ac:dyDescent="0.3">
      <c r="A67" t="s">
        <v>146</v>
      </c>
      <c r="B67">
        <f>C60</f>
        <v>2.1809779124879931</v>
      </c>
    </row>
    <row r="68" spans="1:6" x14ac:dyDescent="0.3">
      <c r="A68" t="s">
        <v>150</v>
      </c>
      <c r="B68">
        <f>MIN(B67*B66/3, B67)</f>
        <v>2.1809779124879931</v>
      </c>
    </row>
    <row r="70" spans="1:6" x14ac:dyDescent="0.3">
      <c r="A70" s="5" t="s">
        <v>152</v>
      </c>
      <c r="B70" s="5"/>
      <c r="C70" s="5"/>
      <c r="F70" t="s">
        <v>155</v>
      </c>
    </row>
    <row r="71" spans="1:6" x14ac:dyDescent="0.3">
      <c r="A71" t="s">
        <v>153</v>
      </c>
      <c r="B71" t="s">
        <v>156</v>
      </c>
      <c r="C71">
        <v>0</v>
      </c>
      <c r="F71" t="s">
        <v>160</v>
      </c>
    </row>
    <row r="72" spans="1:6" x14ac:dyDescent="0.3">
      <c r="A72" t="s">
        <v>154</v>
      </c>
      <c r="B72" t="s">
        <v>157</v>
      </c>
      <c r="C72">
        <v>0.18</v>
      </c>
    </row>
    <row r="73" spans="1:6" x14ac:dyDescent="0.3">
      <c r="A73" t="s">
        <v>159</v>
      </c>
      <c r="B73" t="s">
        <v>158</v>
      </c>
      <c r="C73">
        <v>4</v>
      </c>
      <c r="D73" s="2" t="s">
        <v>165</v>
      </c>
    </row>
    <row r="74" spans="1:6" x14ac:dyDescent="0.3">
      <c r="A74" t="s">
        <v>161</v>
      </c>
      <c r="B74" t="s">
        <v>162</v>
      </c>
      <c r="C74">
        <v>0.2</v>
      </c>
    </row>
    <row r="75" spans="1:6" x14ac:dyDescent="0.3">
      <c r="A75" t="s">
        <v>163</v>
      </c>
      <c r="B75" t="s">
        <v>164</v>
      </c>
      <c r="C75">
        <f>C71 + C72 * EXP(-C73 * C74)</f>
        <v>8.0879213541099879E-2</v>
      </c>
    </row>
    <row r="76" spans="1:6" x14ac:dyDescent="0.3">
      <c r="A76" t="s">
        <v>183</v>
      </c>
      <c r="B76" t="s">
        <v>182</v>
      </c>
      <c r="C76">
        <f>2600 / 1000</f>
        <v>2.6</v>
      </c>
      <c r="D76" t="s">
        <v>184</v>
      </c>
    </row>
    <row r="77" spans="1:6" x14ac:dyDescent="0.3">
      <c r="A77" t="s">
        <v>185</v>
      </c>
      <c r="B77" t="s">
        <v>186</v>
      </c>
      <c r="C77">
        <v>0</v>
      </c>
      <c r="D77" t="s">
        <v>171</v>
      </c>
    </row>
    <row r="79" spans="1:6" x14ac:dyDescent="0.3">
      <c r="B79" t="s">
        <v>172</v>
      </c>
      <c r="C79">
        <v>560.4</v>
      </c>
      <c r="D79" t="s">
        <v>171</v>
      </c>
    </row>
    <row r="80" spans="1:6" x14ac:dyDescent="0.3">
      <c r="A80" t="s">
        <v>168</v>
      </c>
      <c r="B80" t="s">
        <v>169</v>
      </c>
      <c r="C80">
        <v>56.04</v>
      </c>
      <c r="D80" t="s">
        <v>171</v>
      </c>
      <c r="E80" t="s">
        <v>173</v>
      </c>
    </row>
    <row r="81" spans="1:5" x14ac:dyDescent="0.3">
      <c r="A81" t="s">
        <v>166</v>
      </c>
      <c r="B81" t="s">
        <v>167</v>
      </c>
      <c r="C81">
        <v>2.1809779119999999</v>
      </c>
      <c r="D81" t="s">
        <v>170</v>
      </c>
    </row>
    <row r="82" spans="1:5" x14ac:dyDescent="0.3">
      <c r="A82" t="s">
        <v>174</v>
      </c>
      <c r="B82" t="s">
        <v>175</v>
      </c>
      <c r="C82">
        <v>67</v>
      </c>
      <c r="D82" t="s">
        <v>176</v>
      </c>
    </row>
    <row r="83" spans="1:5" x14ac:dyDescent="0.3">
      <c r="A83" t="s">
        <v>177</v>
      </c>
      <c r="B83" t="s">
        <v>178</v>
      </c>
      <c r="C83">
        <f>C81/C82 * C80</f>
        <v>1.8242089878877612</v>
      </c>
      <c r="D83" t="s">
        <v>171</v>
      </c>
    </row>
    <row r="84" spans="1:5" x14ac:dyDescent="0.3">
      <c r="A84" t="s">
        <v>179</v>
      </c>
      <c r="B84" t="s">
        <v>181</v>
      </c>
      <c r="C84">
        <f>C75 * C76 - C77</f>
        <v>0.21028595520685969</v>
      </c>
      <c r="E84" t="s">
        <v>180</v>
      </c>
    </row>
  </sheetData>
  <mergeCells count="10">
    <mergeCell ref="A70:C70"/>
    <mergeCell ref="A65:C65"/>
    <mergeCell ref="A61:C61"/>
    <mergeCell ref="A43:C43"/>
    <mergeCell ref="A26:B26"/>
    <mergeCell ref="A10:D10"/>
    <mergeCell ref="A25:D25"/>
    <mergeCell ref="A29:C29"/>
    <mergeCell ref="A33:C33"/>
    <mergeCell ref="A54:C5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3" workbookViewId="0">
      <selection activeCell="I16" sqref="I16"/>
    </sheetView>
  </sheetViews>
  <sheetFormatPr defaultRowHeight="16.5" x14ac:dyDescent="0.3"/>
  <sheetData>
    <row r="1" spans="1:8" x14ac:dyDescent="0.3">
      <c r="A1" t="s">
        <v>187</v>
      </c>
      <c r="B1" t="s">
        <v>188</v>
      </c>
      <c r="C1" t="s">
        <v>189</v>
      </c>
    </row>
    <row r="2" spans="1:8" x14ac:dyDescent="0.3">
      <c r="A2">
        <v>295</v>
      </c>
      <c r="B2">
        <v>9</v>
      </c>
      <c r="C2">
        <f>B2/A2</f>
        <v>3.0508474576271188E-2</v>
      </c>
    </row>
    <row r="3" spans="1:8" x14ac:dyDescent="0.3">
      <c r="A3">
        <v>1357</v>
      </c>
      <c r="B3">
        <v>28.1</v>
      </c>
      <c r="C3">
        <f t="shared" ref="C3:C8" si="0">B3/A3</f>
        <v>2.0707442888725131E-2</v>
      </c>
    </row>
    <row r="4" spans="1:8" x14ac:dyDescent="0.3">
      <c r="A4">
        <v>3224</v>
      </c>
      <c r="B4">
        <v>46.6</v>
      </c>
      <c r="C4">
        <f t="shared" si="0"/>
        <v>1.4454094292803971E-2</v>
      </c>
    </row>
    <row r="5" spans="1:8" x14ac:dyDescent="0.3">
      <c r="A5">
        <v>4096</v>
      </c>
      <c r="B5">
        <v>49.5</v>
      </c>
      <c r="C5">
        <f t="shared" si="0"/>
        <v>1.20849609375E-2</v>
      </c>
    </row>
    <row r="6" spans="1:8" x14ac:dyDescent="0.3">
      <c r="A6">
        <v>5078</v>
      </c>
      <c r="B6">
        <v>61.2</v>
      </c>
      <c r="C6">
        <f t="shared" si="0"/>
        <v>1.2051988972036236E-2</v>
      </c>
    </row>
    <row r="7" spans="1:8" x14ac:dyDescent="0.3">
      <c r="A7">
        <v>4682</v>
      </c>
      <c r="B7">
        <v>48.1</v>
      </c>
      <c r="C7">
        <f t="shared" si="0"/>
        <v>1.0273387441264418E-2</v>
      </c>
    </row>
    <row r="8" spans="1:8" x14ac:dyDescent="0.3">
      <c r="A8">
        <v>396</v>
      </c>
      <c r="B8">
        <v>13.1</v>
      </c>
      <c r="C8">
        <f t="shared" si="0"/>
        <v>3.3080808080808079E-2</v>
      </c>
    </row>
    <row r="11" spans="1:8" x14ac:dyDescent="0.3">
      <c r="E11" t="s">
        <v>196</v>
      </c>
      <c r="F11">
        <v>0.25</v>
      </c>
      <c r="G11">
        <v>0.25</v>
      </c>
      <c r="H11">
        <v>0.27</v>
      </c>
    </row>
    <row r="12" spans="1:8" x14ac:dyDescent="0.3">
      <c r="E12" t="s">
        <v>197</v>
      </c>
      <c r="F12">
        <v>0.5</v>
      </c>
      <c r="G12">
        <v>0.5</v>
      </c>
      <c r="H12">
        <v>0.5</v>
      </c>
    </row>
    <row r="13" spans="1:8" x14ac:dyDescent="0.3">
      <c r="A13" t="s">
        <v>190</v>
      </c>
      <c r="E13" t="s">
        <v>194</v>
      </c>
      <c r="F13" t="e">
        <f>200 * F11/(F12 - 0.5)</f>
        <v>#DIV/0!</v>
      </c>
      <c r="G13">
        <f>MIN(100*G11/(G12 * 0.5), 100)</f>
        <v>100</v>
      </c>
      <c r="H13">
        <f>MAX(200 * H11/H12 - 100,0)</f>
        <v>8</v>
      </c>
    </row>
    <row r="14" spans="1:8" x14ac:dyDescent="0.3">
      <c r="A14">
        <v>0</v>
      </c>
      <c r="B14">
        <f>C2</f>
        <v>3.0508474576271188E-2</v>
      </c>
      <c r="E14" t="s">
        <v>195</v>
      </c>
      <c r="F14" t="e">
        <f>F13 / (F13 + EXP(3.52 - 0.026 * F13))</f>
        <v>#DIV/0!</v>
      </c>
      <c r="G14">
        <f>G13 / (G13 + EXP(3.52 - 0.026 * G13))</f>
        <v>0.97552133684282494</v>
      </c>
      <c r="H14">
        <f>H13 / (H13 + EXP(3.52 - 0.026 * H13))</f>
        <v>0.22573394941145769</v>
      </c>
    </row>
    <row r="15" spans="1:8" x14ac:dyDescent="0.3">
      <c r="A15">
        <v>1</v>
      </c>
      <c r="B15">
        <f>C7</f>
        <v>1.0273387441264418E-2</v>
      </c>
    </row>
    <row r="16" spans="1:8" x14ac:dyDescent="0.3">
      <c r="A16" t="s">
        <v>192</v>
      </c>
      <c r="B16">
        <v>0.5</v>
      </c>
      <c r="E16" t="s">
        <v>198</v>
      </c>
      <c r="F16">
        <v>100</v>
      </c>
    </row>
    <row r="17" spans="1:7" x14ac:dyDescent="0.3">
      <c r="A17" t="s">
        <v>191</v>
      </c>
      <c r="B17">
        <f>B14-B16</f>
        <v>-0.46949152542372879</v>
      </c>
      <c r="E17" t="s">
        <v>199</v>
      </c>
      <c r="F17" t="s">
        <v>195</v>
      </c>
      <c r="G17" t="s">
        <v>194</v>
      </c>
    </row>
    <row r="18" spans="1:7" x14ac:dyDescent="0.3">
      <c r="D18">
        <v>0</v>
      </c>
      <c r="E18">
        <f>D18*$F$16</f>
        <v>0</v>
      </c>
      <c r="F18">
        <f>G18 / (G18 + EXP(3.52 - 0.026 * G18))</f>
        <v>0</v>
      </c>
      <c r="G18">
        <f>MAX(200 * E18/$F$16 - 100, 0)</f>
        <v>0</v>
      </c>
    </row>
    <row r="19" spans="1:7" x14ac:dyDescent="0.3">
      <c r="A19" t="s">
        <v>193</v>
      </c>
      <c r="B19">
        <f>-LN((B15-B17)/B16)</f>
        <v>4.1311879358838156E-2</v>
      </c>
      <c r="D19">
        <v>0.01</v>
      </c>
      <c r="E19">
        <f>D19*$F$16</f>
        <v>1</v>
      </c>
      <c r="F19">
        <f t="shared" ref="F19:F82" si="1">G19 / (G19 + EXP(3.52 - 0.026 * G19))</f>
        <v>0</v>
      </c>
      <c r="G19">
        <f t="shared" ref="G19:G82" si="2">MAX(200 * E19/$F$16 - 100, 0)</f>
        <v>0</v>
      </c>
    </row>
    <row r="20" spans="1:7" x14ac:dyDescent="0.3">
      <c r="D20">
        <v>0.02</v>
      </c>
      <c r="E20">
        <f t="shared" ref="E20:E82" si="3">D20*$F$16</f>
        <v>2</v>
      </c>
      <c r="F20">
        <f t="shared" si="1"/>
        <v>0</v>
      </c>
      <c r="G20">
        <f t="shared" si="2"/>
        <v>0</v>
      </c>
    </row>
    <row r="21" spans="1:7" x14ac:dyDescent="0.3">
      <c r="D21">
        <v>0.03</v>
      </c>
      <c r="E21">
        <f t="shared" si="3"/>
        <v>3</v>
      </c>
      <c r="F21">
        <f t="shared" si="1"/>
        <v>0</v>
      </c>
      <c r="G21">
        <f t="shared" si="2"/>
        <v>0</v>
      </c>
    </row>
    <row r="22" spans="1:7" x14ac:dyDescent="0.3">
      <c r="D22">
        <v>0.04</v>
      </c>
      <c r="E22">
        <f t="shared" si="3"/>
        <v>4</v>
      </c>
      <c r="F22">
        <f t="shared" si="1"/>
        <v>0</v>
      </c>
      <c r="G22">
        <f t="shared" si="2"/>
        <v>0</v>
      </c>
    </row>
    <row r="23" spans="1:7" x14ac:dyDescent="0.3">
      <c r="D23">
        <v>0.05</v>
      </c>
      <c r="E23">
        <f t="shared" si="3"/>
        <v>5</v>
      </c>
      <c r="F23">
        <f t="shared" si="1"/>
        <v>0</v>
      </c>
      <c r="G23">
        <f t="shared" si="2"/>
        <v>0</v>
      </c>
    </row>
    <row r="24" spans="1:7" x14ac:dyDescent="0.3">
      <c r="D24">
        <v>0.06</v>
      </c>
      <c r="E24">
        <f t="shared" si="3"/>
        <v>6</v>
      </c>
      <c r="F24">
        <f t="shared" si="1"/>
        <v>0</v>
      </c>
      <c r="G24">
        <f t="shared" si="2"/>
        <v>0</v>
      </c>
    </row>
    <row r="25" spans="1:7" x14ac:dyDescent="0.3">
      <c r="D25">
        <v>7.0000000000000007E-2</v>
      </c>
      <c r="E25">
        <f t="shared" si="3"/>
        <v>7.0000000000000009</v>
      </c>
      <c r="F25">
        <f t="shared" si="1"/>
        <v>0</v>
      </c>
      <c r="G25">
        <f t="shared" si="2"/>
        <v>0</v>
      </c>
    </row>
    <row r="26" spans="1:7" x14ac:dyDescent="0.3">
      <c r="D26">
        <v>0.08</v>
      </c>
      <c r="E26">
        <f t="shared" si="3"/>
        <v>8</v>
      </c>
      <c r="F26">
        <f t="shared" si="1"/>
        <v>0</v>
      </c>
      <c r="G26">
        <f t="shared" si="2"/>
        <v>0</v>
      </c>
    </row>
    <row r="27" spans="1:7" x14ac:dyDescent="0.3">
      <c r="D27">
        <v>0.09</v>
      </c>
      <c r="E27">
        <f t="shared" si="3"/>
        <v>9</v>
      </c>
      <c r="F27">
        <f t="shared" si="1"/>
        <v>0</v>
      </c>
      <c r="G27">
        <f t="shared" si="2"/>
        <v>0</v>
      </c>
    </row>
    <row r="28" spans="1:7" x14ac:dyDescent="0.3">
      <c r="D28">
        <v>0.1</v>
      </c>
      <c r="E28">
        <f t="shared" si="3"/>
        <v>10</v>
      </c>
      <c r="F28">
        <f t="shared" si="1"/>
        <v>0</v>
      </c>
      <c r="G28">
        <f t="shared" si="2"/>
        <v>0</v>
      </c>
    </row>
    <row r="29" spans="1:7" x14ac:dyDescent="0.3">
      <c r="D29">
        <v>0.11</v>
      </c>
      <c r="E29">
        <f t="shared" si="3"/>
        <v>11</v>
      </c>
      <c r="F29">
        <f t="shared" si="1"/>
        <v>0</v>
      </c>
      <c r="G29">
        <f t="shared" si="2"/>
        <v>0</v>
      </c>
    </row>
    <row r="30" spans="1:7" x14ac:dyDescent="0.3">
      <c r="D30">
        <v>0.12</v>
      </c>
      <c r="E30">
        <f t="shared" si="3"/>
        <v>12</v>
      </c>
      <c r="F30">
        <f t="shared" si="1"/>
        <v>0</v>
      </c>
      <c r="G30">
        <f t="shared" si="2"/>
        <v>0</v>
      </c>
    </row>
    <row r="31" spans="1:7" x14ac:dyDescent="0.3">
      <c r="D31">
        <v>0.13</v>
      </c>
      <c r="E31">
        <f t="shared" si="3"/>
        <v>13</v>
      </c>
      <c r="F31">
        <f t="shared" si="1"/>
        <v>0</v>
      </c>
      <c r="G31">
        <f t="shared" si="2"/>
        <v>0</v>
      </c>
    </row>
    <row r="32" spans="1:7" x14ac:dyDescent="0.3">
      <c r="D32">
        <v>0.14000000000000001</v>
      </c>
      <c r="E32">
        <f t="shared" si="3"/>
        <v>14.000000000000002</v>
      </c>
      <c r="F32">
        <f t="shared" si="1"/>
        <v>0</v>
      </c>
      <c r="G32">
        <f t="shared" si="2"/>
        <v>0</v>
      </c>
    </row>
    <row r="33" spans="4:7" x14ac:dyDescent="0.3">
      <c r="D33">
        <v>0.15</v>
      </c>
      <c r="E33">
        <f t="shared" si="3"/>
        <v>15</v>
      </c>
      <c r="F33">
        <f t="shared" si="1"/>
        <v>0</v>
      </c>
      <c r="G33">
        <f t="shared" si="2"/>
        <v>0</v>
      </c>
    </row>
    <row r="34" spans="4:7" x14ac:dyDescent="0.3">
      <c r="D34">
        <v>0.16</v>
      </c>
      <c r="E34">
        <f t="shared" si="3"/>
        <v>16</v>
      </c>
      <c r="F34">
        <f t="shared" si="1"/>
        <v>0</v>
      </c>
      <c r="G34">
        <f t="shared" si="2"/>
        <v>0</v>
      </c>
    </row>
    <row r="35" spans="4:7" x14ac:dyDescent="0.3">
      <c r="D35">
        <v>0.17</v>
      </c>
      <c r="E35">
        <f t="shared" si="3"/>
        <v>17</v>
      </c>
      <c r="F35">
        <f t="shared" si="1"/>
        <v>0</v>
      </c>
      <c r="G35">
        <f t="shared" si="2"/>
        <v>0</v>
      </c>
    </row>
    <row r="36" spans="4:7" x14ac:dyDescent="0.3">
      <c r="D36">
        <v>0.18</v>
      </c>
      <c r="E36">
        <f t="shared" si="3"/>
        <v>18</v>
      </c>
      <c r="F36">
        <f t="shared" si="1"/>
        <v>0</v>
      </c>
      <c r="G36">
        <f t="shared" si="2"/>
        <v>0</v>
      </c>
    </row>
    <row r="37" spans="4:7" x14ac:dyDescent="0.3">
      <c r="D37">
        <v>0.19</v>
      </c>
      <c r="E37">
        <f t="shared" si="3"/>
        <v>19</v>
      </c>
      <c r="F37">
        <f t="shared" si="1"/>
        <v>0</v>
      </c>
      <c r="G37">
        <f t="shared" si="2"/>
        <v>0</v>
      </c>
    </row>
    <row r="38" spans="4:7" x14ac:dyDescent="0.3">
      <c r="D38">
        <v>0.2</v>
      </c>
      <c r="E38">
        <f t="shared" si="3"/>
        <v>20</v>
      </c>
      <c r="F38">
        <f t="shared" si="1"/>
        <v>0</v>
      </c>
      <c r="G38">
        <f t="shared" si="2"/>
        <v>0</v>
      </c>
    </row>
    <row r="39" spans="4:7" x14ac:dyDescent="0.3">
      <c r="D39">
        <v>0.21</v>
      </c>
      <c r="E39">
        <f t="shared" si="3"/>
        <v>21</v>
      </c>
      <c r="F39">
        <f t="shared" si="1"/>
        <v>0</v>
      </c>
      <c r="G39">
        <f t="shared" si="2"/>
        <v>0</v>
      </c>
    </row>
    <row r="40" spans="4:7" x14ac:dyDescent="0.3">
      <c r="D40">
        <v>0.22</v>
      </c>
      <c r="E40">
        <f t="shared" si="3"/>
        <v>22</v>
      </c>
      <c r="F40">
        <f t="shared" si="1"/>
        <v>0</v>
      </c>
      <c r="G40">
        <f t="shared" si="2"/>
        <v>0</v>
      </c>
    </row>
    <row r="41" spans="4:7" x14ac:dyDescent="0.3">
      <c r="D41">
        <v>0.23</v>
      </c>
      <c r="E41">
        <f t="shared" si="3"/>
        <v>23</v>
      </c>
      <c r="F41">
        <f t="shared" si="1"/>
        <v>0</v>
      </c>
      <c r="G41">
        <f t="shared" si="2"/>
        <v>0</v>
      </c>
    </row>
    <row r="42" spans="4:7" x14ac:dyDescent="0.3">
      <c r="D42">
        <v>0.24</v>
      </c>
      <c r="E42">
        <f t="shared" si="3"/>
        <v>24</v>
      </c>
      <c r="F42">
        <f t="shared" si="1"/>
        <v>0</v>
      </c>
      <c r="G42">
        <f t="shared" si="2"/>
        <v>0</v>
      </c>
    </row>
    <row r="43" spans="4:7" x14ac:dyDescent="0.3">
      <c r="D43">
        <v>0.25</v>
      </c>
      <c r="E43">
        <f t="shared" si="3"/>
        <v>25</v>
      </c>
      <c r="F43">
        <f t="shared" si="1"/>
        <v>0</v>
      </c>
      <c r="G43">
        <f t="shared" si="2"/>
        <v>0</v>
      </c>
    </row>
    <row r="44" spans="4:7" x14ac:dyDescent="0.3">
      <c r="D44">
        <v>0.26</v>
      </c>
      <c r="E44">
        <f t="shared" si="3"/>
        <v>26</v>
      </c>
      <c r="F44">
        <f t="shared" si="1"/>
        <v>0</v>
      </c>
      <c r="G44">
        <f t="shared" si="2"/>
        <v>0</v>
      </c>
    </row>
    <row r="45" spans="4:7" x14ac:dyDescent="0.3">
      <c r="D45">
        <v>0.27</v>
      </c>
      <c r="E45">
        <f t="shared" si="3"/>
        <v>27</v>
      </c>
      <c r="F45">
        <f t="shared" si="1"/>
        <v>0</v>
      </c>
      <c r="G45">
        <f t="shared" si="2"/>
        <v>0</v>
      </c>
    </row>
    <row r="46" spans="4:7" x14ac:dyDescent="0.3">
      <c r="D46">
        <v>0.28000000000000003</v>
      </c>
      <c r="E46">
        <f t="shared" si="3"/>
        <v>28.000000000000004</v>
      </c>
      <c r="F46">
        <f t="shared" si="1"/>
        <v>0</v>
      </c>
      <c r="G46">
        <f t="shared" si="2"/>
        <v>0</v>
      </c>
    </row>
    <row r="47" spans="4:7" x14ac:dyDescent="0.3">
      <c r="D47">
        <v>0.28999999999999998</v>
      </c>
      <c r="E47">
        <f t="shared" si="3"/>
        <v>28.999999999999996</v>
      </c>
      <c r="F47">
        <f t="shared" si="1"/>
        <v>0</v>
      </c>
      <c r="G47">
        <f t="shared" si="2"/>
        <v>0</v>
      </c>
    </row>
    <row r="48" spans="4:7" x14ac:dyDescent="0.3">
      <c r="D48">
        <v>0.3</v>
      </c>
      <c r="E48">
        <f t="shared" si="3"/>
        <v>30</v>
      </c>
      <c r="F48">
        <f t="shared" si="1"/>
        <v>0</v>
      </c>
      <c r="G48">
        <f t="shared" si="2"/>
        <v>0</v>
      </c>
    </row>
    <row r="49" spans="4:7" x14ac:dyDescent="0.3">
      <c r="D49">
        <v>0.31</v>
      </c>
      <c r="E49">
        <f t="shared" si="3"/>
        <v>31</v>
      </c>
      <c r="F49">
        <f t="shared" si="1"/>
        <v>0</v>
      </c>
      <c r="G49">
        <f t="shared" si="2"/>
        <v>0</v>
      </c>
    </row>
    <row r="50" spans="4:7" x14ac:dyDescent="0.3">
      <c r="D50">
        <v>0.32</v>
      </c>
      <c r="E50">
        <f t="shared" si="3"/>
        <v>32</v>
      </c>
      <c r="F50">
        <f t="shared" si="1"/>
        <v>0</v>
      </c>
      <c r="G50">
        <f t="shared" si="2"/>
        <v>0</v>
      </c>
    </row>
    <row r="51" spans="4:7" x14ac:dyDescent="0.3">
      <c r="D51">
        <v>0.33</v>
      </c>
      <c r="E51">
        <f t="shared" si="3"/>
        <v>33</v>
      </c>
      <c r="F51">
        <f t="shared" si="1"/>
        <v>0</v>
      </c>
      <c r="G51">
        <f t="shared" si="2"/>
        <v>0</v>
      </c>
    </row>
    <row r="52" spans="4:7" x14ac:dyDescent="0.3">
      <c r="D52">
        <v>0.34</v>
      </c>
      <c r="E52">
        <f t="shared" si="3"/>
        <v>34</v>
      </c>
      <c r="F52">
        <f t="shared" si="1"/>
        <v>0</v>
      </c>
      <c r="G52">
        <f t="shared" si="2"/>
        <v>0</v>
      </c>
    </row>
    <row r="53" spans="4:7" x14ac:dyDescent="0.3">
      <c r="D53">
        <v>0.35</v>
      </c>
      <c r="E53">
        <f t="shared" si="3"/>
        <v>35</v>
      </c>
      <c r="F53">
        <f t="shared" si="1"/>
        <v>0</v>
      </c>
      <c r="G53">
        <f t="shared" si="2"/>
        <v>0</v>
      </c>
    </row>
    <row r="54" spans="4:7" x14ac:dyDescent="0.3">
      <c r="D54">
        <v>0.36</v>
      </c>
      <c r="E54">
        <f t="shared" si="3"/>
        <v>36</v>
      </c>
      <c r="F54">
        <f t="shared" si="1"/>
        <v>0</v>
      </c>
      <c r="G54">
        <f t="shared" si="2"/>
        <v>0</v>
      </c>
    </row>
    <row r="55" spans="4:7" x14ac:dyDescent="0.3">
      <c r="D55">
        <v>0.37</v>
      </c>
      <c r="E55">
        <f t="shared" si="3"/>
        <v>37</v>
      </c>
      <c r="F55">
        <f t="shared" si="1"/>
        <v>0</v>
      </c>
      <c r="G55">
        <f t="shared" si="2"/>
        <v>0</v>
      </c>
    </row>
    <row r="56" spans="4:7" x14ac:dyDescent="0.3">
      <c r="D56">
        <v>0.38</v>
      </c>
      <c r="E56">
        <f t="shared" si="3"/>
        <v>38</v>
      </c>
      <c r="F56">
        <f t="shared" si="1"/>
        <v>0</v>
      </c>
      <c r="G56">
        <f t="shared" si="2"/>
        <v>0</v>
      </c>
    </row>
    <row r="57" spans="4:7" x14ac:dyDescent="0.3">
      <c r="D57">
        <v>0.39</v>
      </c>
      <c r="E57">
        <f t="shared" si="3"/>
        <v>39</v>
      </c>
      <c r="F57">
        <f t="shared" si="1"/>
        <v>0</v>
      </c>
      <c r="G57">
        <f t="shared" si="2"/>
        <v>0</v>
      </c>
    </row>
    <row r="58" spans="4:7" x14ac:dyDescent="0.3">
      <c r="D58">
        <v>0.4</v>
      </c>
      <c r="E58">
        <f t="shared" si="3"/>
        <v>40</v>
      </c>
      <c r="F58">
        <f t="shared" si="1"/>
        <v>0</v>
      </c>
      <c r="G58">
        <f t="shared" si="2"/>
        <v>0</v>
      </c>
    </row>
    <row r="59" spans="4:7" x14ac:dyDescent="0.3">
      <c r="D59">
        <v>0.41</v>
      </c>
      <c r="E59">
        <f t="shared" si="3"/>
        <v>41</v>
      </c>
      <c r="F59">
        <f t="shared" si="1"/>
        <v>0</v>
      </c>
      <c r="G59">
        <f t="shared" si="2"/>
        <v>0</v>
      </c>
    </row>
    <row r="60" spans="4:7" x14ac:dyDescent="0.3">
      <c r="D60">
        <v>0.42</v>
      </c>
      <c r="E60">
        <f t="shared" si="3"/>
        <v>42</v>
      </c>
      <c r="F60">
        <f t="shared" si="1"/>
        <v>0</v>
      </c>
      <c r="G60">
        <f t="shared" si="2"/>
        <v>0</v>
      </c>
    </row>
    <row r="61" spans="4:7" x14ac:dyDescent="0.3">
      <c r="D61">
        <v>0.43</v>
      </c>
      <c r="E61">
        <f t="shared" si="3"/>
        <v>43</v>
      </c>
      <c r="F61">
        <f t="shared" si="1"/>
        <v>0</v>
      </c>
      <c r="G61">
        <f t="shared" si="2"/>
        <v>0</v>
      </c>
    </row>
    <row r="62" spans="4:7" x14ac:dyDescent="0.3">
      <c r="D62">
        <v>0.44</v>
      </c>
      <c r="E62">
        <f t="shared" si="3"/>
        <v>44</v>
      </c>
      <c r="F62">
        <f t="shared" si="1"/>
        <v>0</v>
      </c>
      <c r="G62">
        <f t="shared" si="2"/>
        <v>0</v>
      </c>
    </row>
    <row r="63" spans="4:7" x14ac:dyDescent="0.3">
      <c r="D63">
        <v>0.45</v>
      </c>
      <c r="E63">
        <f t="shared" si="3"/>
        <v>45</v>
      </c>
      <c r="F63">
        <f t="shared" si="1"/>
        <v>0</v>
      </c>
      <c r="G63">
        <f t="shared" si="2"/>
        <v>0</v>
      </c>
    </row>
    <row r="64" spans="4:7" x14ac:dyDescent="0.3">
      <c r="D64">
        <v>0.46</v>
      </c>
      <c r="E64">
        <f t="shared" si="3"/>
        <v>46</v>
      </c>
      <c r="F64">
        <f t="shared" si="1"/>
        <v>0</v>
      </c>
      <c r="G64">
        <f t="shared" si="2"/>
        <v>0</v>
      </c>
    </row>
    <row r="65" spans="4:7" x14ac:dyDescent="0.3">
      <c r="D65">
        <v>0.47</v>
      </c>
      <c r="E65">
        <f t="shared" si="3"/>
        <v>47</v>
      </c>
      <c r="F65">
        <f t="shared" si="1"/>
        <v>0</v>
      </c>
      <c r="G65">
        <f t="shared" si="2"/>
        <v>0</v>
      </c>
    </row>
    <row r="66" spans="4:7" x14ac:dyDescent="0.3">
      <c r="D66">
        <v>0.48</v>
      </c>
      <c r="E66">
        <f t="shared" si="3"/>
        <v>48</v>
      </c>
      <c r="F66">
        <f t="shared" si="1"/>
        <v>0</v>
      </c>
      <c r="G66">
        <f t="shared" si="2"/>
        <v>0</v>
      </c>
    </row>
    <row r="67" spans="4:7" x14ac:dyDescent="0.3">
      <c r="D67">
        <v>0.49</v>
      </c>
      <c r="E67">
        <f t="shared" si="3"/>
        <v>49</v>
      </c>
      <c r="F67">
        <f t="shared" si="1"/>
        <v>0</v>
      </c>
      <c r="G67">
        <f t="shared" si="2"/>
        <v>0</v>
      </c>
    </row>
    <row r="68" spans="4:7" x14ac:dyDescent="0.3">
      <c r="D68">
        <v>0.5</v>
      </c>
      <c r="E68">
        <f t="shared" si="3"/>
        <v>50</v>
      </c>
      <c r="F68">
        <f t="shared" si="1"/>
        <v>0</v>
      </c>
      <c r="G68">
        <f t="shared" si="2"/>
        <v>0</v>
      </c>
    </row>
    <row r="69" spans="4:7" x14ac:dyDescent="0.3">
      <c r="D69">
        <v>0.51</v>
      </c>
      <c r="E69">
        <f t="shared" si="3"/>
        <v>51</v>
      </c>
      <c r="F69">
        <f t="shared" si="1"/>
        <v>5.8698306604229922E-2</v>
      </c>
      <c r="G69">
        <f t="shared" si="2"/>
        <v>2</v>
      </c>
    </row>
    <row r="70" spans="4:7" x14ac:dyDescent="0.3">
      <c r="D70">
        <v>0.52</v>
      </c>
      <c r="E70">
        <f t="shared" si="3"/>
        <v>52</v>
      </c>
      <c r="F70">
        <f t="shared" si="1"/>
        <v>0.1161191305494956</v>
      </c>
      <c r="G70">
        <f t="shared" si="2"/>
        <v>4</v>
      </c>
    </row>
    <row r="71" spans="4:7" x14ac:dyDescent="0.3">
      <c r="D71">
        <v>0.53</v>
      </c>
      <c r="E71">
        <f t="shared" si="3"/>
        <v>53</v>
      </c>
      <c r="F71">
        <f t="shared" si="1"/>
        <v>0.17189722089389997</v>
      </c>
      <c r="G71">
        <f t="shared" si="2"/>
        <v>6</v>
      </c>
    </row>
    <row r="72" spans="4:7" x14ac:dyDescent="0.3">
      <c r="D72">
        <v>0.54</v>
      </c>
      <c r="E72">
        <f t="shared" si="3"/>
        <v>54</v>
      </c>
      <c r="F72">
        <f t="shared" si="1"/>
        <v>0.22573394941145769</v>
      </c>
      <c r="G72">
        <f t="shared" si="2"/>
        <v>8</v>
      </c>
    </row>
    <row r="73" spans="4:7" x14ac:dyDescent="0.3">
      <c r="D73">
        <v>0.55000000000000004</v>
      </c>
      <c r="E73">
        <f t="shared" si="3"/>
        <v>55.000000000000007</v>
      </c>
      <c r="F73">
        <f t="shared" si="1"/>
        <v>0.27739607197912097</v>
      </c>
      <c r="G73">
        <f t="shared" si="2"/>
        <v>10.000000000000014</v>
      </c>
    </row>
    <row r="74" spans="4:7" x14ac:dyDescent="0.3">
      <c r="D74">
        <v>0.56000000000000005</v>
      </c>
      <c r="E74">
        <f t="shared" si="3"/>
        <v>56.000000000000007</v>
      </c>
      <c r="F74">
        <f t="shared" si="1"/>
        <v>0.32671217017807658</v>
      </c>
      <c r="G74">
        <f t="shared" si="2"/>
        <v>12.000000000000014</v>
      </c>
    </row>
    <row r="75" spans="4:7" x14ac:dyDescent="0.3">
      <c r="D75">
        <v>0.56999999999999995</v>
      </c>
      <c r="E75">
        <f t="shared" si="3"/>
        <v>56.999999999999993</v>
      </c>
      <c r="F75">
        <f t="shared" si="1"/>
        <v>0.37356741706286695</v>
      </c>
      <c r="G75">
        <f t="shared" si="2"/>
        <v>13.999999999999986</v>
      </c>
    </row>
    <row r="76" spans="4:7" x14ac:dyDescent="0.3">
      <c r="D76">
        <v>0.57999999999999996</v>
      </c>
      <c r="E76">
        <f t="shared" si="3"/>
        <v>57.999999999999993</v>
      </c>
      <c r="F76">
        <f t="shared" si="1"/>
        <v>0.41789727721338249</v>
      </c>
      <c r="G76">
        <f t="shared" si="2"/>
        <v>15.999999999999986</v>
      </c>
    </row>
    <row r="77" spans="4:7" x14ac:dyDescent="0.3">
      <c r="D77">
        <v>0.59</v>
      </c>
      <c r="E77">
        <f t="shared" si="3"/>
        <v>59</v>
      </c>
      <c r="F77">
        <f t="shared" si="1"/>
        <v>0.45968067540490826</v>
      </c>
      <c r="G77">
        <f t="shared" si="2"/>
        <v>18</v>
      </c>
    </row>
    <row r="78" spans="4:7" x14ac:dyDescent="0.3">
      <c r="D78">
        <v>0.6</v>
      </c>
      <c r="E78">
        <f t="shared" si="3"/>
        <v>60</v>
      </c>
      <c r="F78">
        <f t="shared" si="1"/>
        <v>0.49893307000787374</v>
      </c>
      <c r="G78">
        <f t="shared" si="2"/>
        <v>20</v>
      </c>
    </row>
    <row r="79" spans="4:7" x14ac:dyDescent="0.3">
      <c r="D79">
        <v>0.61</v>
      </c>
      <c r="E79">
        <f t="shared" si="3"/>
        <v>61</v>
      </c>
      <c r="F79">
        <f t="shared" si="1"/>
        <v>0.53569976259081542</v>
      </c>
      <c r="G79">
        <f t="shared" si="2"/>
        <v>22</v>
      </c>
    </row>
    <row r="80" spans="4:7" x14ac:dyDescent="0.3">
      <c r="D80">
        <v>0.62</v>
      </c>
      <c r="E80">
        <f t="shared" si="3"/>
        <v>62</v>
      </c>
      <c r="F80">
        <f t="shared" si="1"/>
        <v>0.57004967572358223</v>
      </c>
      <c r="G80">
        <f t="shared" si="2"/>
        <v>24</v>
      </c>
    </row>
    <row r="81" spans="4:7" x14ac:dyDescent="0.3">
      <c r="D81">
        <v>0.63</v>
      </c>
      <c r="E81">
        <f t="shared" si="3"/>
        <v>63</v>
      </c>
      <c r="F81">
        <f t="shared" si="1"/>
        <v>0.60206974384438638</v>
      </c>
      <c r="G81">
        <f t="shared" si="2"/>
        <v>26</v>
      </c>
    </row>
    <row r="82" spans="4:7" x14ac:dyDescent="0.3">
      <c r="D82">
        <v>0.64</v>
      </c>
      <c r="E82">
        <f t="shared" si="3"/>
        <v>64</v>
      </c>
      <c r="F82">
        <f t="shared" si="1"/>
        <v>0.63185999073251875</v>
      </c>
      <c r="G82">
        <f t="shared" si="2"/>
        <v>28</v>
      </c>
    </row>
    <row r="83" spans="4:7" x14ac:dyDescent="0.3">
      <c r="D83">
        <v>0.65</v>
      </c>
      <c r="E83">
        <f t="shared" ref="E83:E137" si="4">D83*$F$16</f>
        <v>65</v>
      </c>
      <c r="F83">
        <f t="shared" ref="F83:F137" si="5">G83 / (G83 + EXP(3.52 - 0.026 * G83))</f>
        <v>0.65952931231781986</v>
      </c>
      <c r="G83">
        <f t="shared" ref="G83:G137" si="6">MAX(200 * E83/$F$16 - 100, 0)</f>
        <v>30</v>
      </c>
    </row>
    <row r="84" spans="4:7" x14ac:dyDescent="0.3">
      <c r="D84">
        <v>0.66</v>
      </c>
      <c r="E84">
        <f t="shared" si="4"/>
        <v>66</v>
      </c>
      <c r="F84">
        <f t="shared" si="5"/>
        <v>0.6851919441374501</v>
      </c>
      <c r="G84">
        <f t="shared" si="6"/>
        <v>32</v>
      </c>
    </row>
    <row r="85" spans="4:7" x14ac:dyDescent="0.3">
      <c r="D85">
        <v>0.67</v>
      </c>
      <c r="E85">
        <f t="shared" si="4"/>
        <v>67</v>
      </c>
      <c r="F85">
        <f t="shared" si="5"/>
        <v>0.70896456658754603</v>
      </c>
      <c r="G85">
        <f t="shared" si="6"/>
        <v>34</v>
      </c>
    </row>
    <row r="86" spans="4:7" x14ac:dyDescent="0.3">
      <c r="D86">
        <v>0.68</v>
      </c>
      <c r="E86">
        <f t="shared" si="4"/>
        <v>68</v>
      </c>
      <c r="F86">
        <f t="shared" si="5"/>
        <v>0.73096398567734866</v>
      </c>
      <c r="G86">
        <f t="shared" si="6"/>
        <v>36</v>
      </c>
    </row>
    <row r="87" spans="4:7" x14ac:dyDescent="0.3">
      <c r="D87">
        <v>0.69</v>
      </c>
      <c r="E87">
        <f t="shared" si="4"/>
        <v>69</v>
      </c>
      <c r="F87">
        <f t="shared" si="5"/>
        <v>0.75130531975018533</v>
      </c>
      <c r="G87">
        <f t="shared" si="6"/>
        <v>38</v>
      </c>
    </row>
    <row r="88" spans="4:7" x14ac:dyDescent="0.3">
      <c r="D88">
        <v>0.7</v>
      </c>
      <c r="E88">
        <f t="shared" si="4"/>
        <v>70</v>
      </c>
      <c r="F88">
        <f t="shared" si="5"/>
        <v>0.77010062131360812</v>
      </c>
      <c r="G88">
        <f t="shared" si="6"/>
        <v>40</v>
      </c>
    </row>
    <row r="89" spans="4:7" x14ac:dyDescent="0.3">
      <c r="D89">
        <v>0.71</v>
      </c>
      <c r="E89">
        <f t="shared" si="4"/>
        <v>71</v>
      </c>
      <c r="F89">
        <f t="shared" si="5"/>
        <v>0.78745786580989041</v>
      </c>
      <c r="G89">
        <f t="shared" si="6"/>
        <v>42</v>
      </c>
    </row>
    <row r="90" spans="4:7" x14ac:dyDescent="0.3">
      <c r="D90">
        <v>0.72</v>
      </c>
      <c r="E90">
        <f t="shared" si="4"/>
        <v>72</v>
      </c>
      <c r="F90">
        <f t="shared" si="5"/>
        <v>0.80348024434244214</v>
      </c>
      <c r="G90">
        <f t="shared" si="6"/>
        <v>44</v>
      </c>
    </row>
    <row r="91" spans="4:7" x14ac:dyDescent="0.3">
      <c r="D91">
        <v>0.73</v>
      </c>
      <c r="E91">
        <f t="shared" si="4"/>
        <v>73</v>
      </c>
      <c r="F91">
        <f t="shared" si="5"/>
        <v>0.81826570390965248</v>
      </c>
      <c r="G91">
        <f t="shared" si="6"/>
        <v>46</v>
      </c>
    </row>
    <row r="92" spans="4:7" x14ac:dyDescent="0.3">
      <c r="D92">
        <v>0.74</v>
      </c>
      <c r="E92">
        <f t="shared" si="4"/>
        <v>74</v>
      </c>
      <c r="F92">
        <f t="shared" si="5"/>
        <v>0.83190668576313542</v>
      </c>
      <c r="G92">
        <f t="shared" si="6"/>
        <v>48</v>
      </c>
    </row>
    <row r="93" spans="4:7" x14ac:dyDescent="0.3">
      <c r="D93">
        <v>0.75</v>
      </c>
      <c r="E93">
        <f t="shared" si="4"/>
        <v>75</v>
      </c>
      <c r="F93">
        <f t="shared" si="5"/>
        <v>0.84449001954269987</v>
      </c>
      <c r="G93">
        <f t="shared" si="6"/>
        <v>50</v>
      </c>
    </row>
    <row r="94" spans="4:7" x14ac:dyDescent="0.3">
      <c r="D94">
        <v>0.76</v>
      </c>
      <c r="E94">
        <f t="shared" si="4"/>
        <v>76</v>
      </c>
      <c r="F94">
        <f t="shared" si="5"/>
        <v>0.85609693748960625</v>
      </c>
      <c r="G94">
        <f t="shared" si="6"/>
        <v>52</v>
      </c>
    </row>
    <row r="95" spans="4:7" x14ac:dyDescent="0.3">
      <c r="D95">
        <v>0.77</v>
      </c>
      <c r="E95">
        <f t="shared" si="4"/>
        <v>77</v>
      </c>
      <c r="F95">
        <f t="shared" si="5"/>
        <v>0.8668031790982782</v>
      </c>
      <c r="G95">
        <f t="shared" si="6"/>
        <v>54</v>
      </c>
    </row>
    <row r="96" spans="4:7" x14ac:dyDescent="0.3">
      <c r="D96">
        <v>0.78</v>
      </c>
      <c r="E96">
        <f t="shared" si="4"/>
        <v>78</v>
      </c>
      <c r="F96">
        <f t="shared" si="5"/>
        <v>0.87667916193785367</v>
      </c>
      <c r="G96">
        <f t="shared" si="6"/>
        <v>56</v>
      </c>
    </row>
    <row r="97" spans="4:7" x14ac:dyDescent="0.3">
      <c r="D97">
        <v>0.79</v>
      </c>
      <c r="E97">
        <f t="shared" si="4"/>
        <v>79</v>
      </c>
      <c r="F97">
        <f t="shared" si="5"/>
        <v>0.88579019903536615</v>
      </c>
      <c r="G97">
        <f t="shared" si="6"/>
        <v>58</v>
      </c>
    </row>
    <row r="98" spans="4:7" x14ac:dyDescent="0.3">
      <c r="D98">
        <v>0.8</v>
      </c>
      <c r="E98">
        <f t="shared" si="4"/>
        <v>80</v>
      </c>
      <c r="F98">
        <f t="shared" si="5"/>
        <v>0.89419674718551434</v>
      </c>
      <c r="G98">
        <f t="shared" si="6"/>
        <v>60</v>
      </c>
    </row>
    <row r="99" spans="4:7" x14ac:dyDescent="0.3">
      <c r="D99">
        <v>0.81</v>
      </c>
      <c r="E99">
        <f t="shared" si="4"/>
        <v>81</v>
      </c>
      <c r="F99">
        <f t="shared" si="5"/>
        <v>0.9019546738893861</v>
      </c>
      <c r="G99">
        <f t="shared" si="6"/>
        <v>62</v>
      </c>
    </row>
    <row r="100" spans="4:7" x14ac:dyDescent="0.3">
      <c r="D100">
        <v>0.82</v>
      </c>
      <c r="E100">
        <f t="shared" si="4"/>
        <v>82</v>
      </c>
      <c r="F100">
        <f t="shared" si="5"/>
        <v>0.90911553339184215</v>
      </c>
      <c r="G100">
        <f t="shared" si="6"/>
        <v>64</v>
      </c>
    </row>
    <row r="101" spans="4:7" x14ac:dyDescent="0.3">
      <c r="D101">
        <v>0.83</v>
      </c>
      <c r="E101">
        <f t="shared" si="4"/>
        <v>83</v>
      </c>
      <c r="F101">
        <f t="shared" si="5"/>
        <v>0.9157268445554535</v>
      </c>
      <c r="G101">
        <f t="shared" si="6"/>
        <v>66</v>
      </c>
    </row>
    <row r="102" spans="4:7" x14ac:dyDescent="0.3">
      <c r="D102">
        <v>0.84</v>
      </c>
      <c r="E102">
        <f t="shared" si="4"/>
        <v>84</v>
      </c>
      <c r="F102">
        <f t="shared" si="5"/>
        <v>0.92183236514801947</v>
      </c>
      <c r="G102">
        <f t="shared" si="6"/>
        <v>68</v>
      </c>
    </row>
    <row r="103" spans="4:7" x14ac:dyDescent="0.3">
      <c r="D103">
        <v>0.85</v>
      </c>
      <c r="E103">
        <f t="shared" si="4"/>
        <v>85</v>
      </c>
      <c r="F103">
        <f t="shared" si="5"/>
        <v>0.92747235859658772</v>
      </c>
      <c r="G103">
        <f t="shared" si="6"/>
        <v>70</v>
      </c>
    </row>
    <row r="104" spans="4:7" x14ac:dyDescent="0.3">
      <c r="D104">
        <v>0.86</v>
      </c>
      <c r="E104">
        <f t="shared" si="4"/>
        <v>86</v>
      </c>
      <c r="F104">
        <f t="shared" si="5"/>
        <v>0.93268385043315138</v>
      </c>
      <c r="G104">
        <f t="shared" si="6"/>
        <v>72</v>
      </c>
    </row>
    <row r="105" spans="4:7" x14ac:dyDescent="0.3">
      <c r="D105">
        <v>0.87</v>
      </c>
      <c r="E105">
        <f t="shared" si="4"/>
        <v>87</v>
      </c>
      <c r="F105">
        <f t="shared" si="5"/>
        <v>0.93750087257841397</v>
      </c>
      <c r="G105">
        <f t="shared" si="6"/>
        <v>74</v>
      </c>
    </row>
    <row r="106" spans="4:7" x14ac:dyDescent="0.3">
      <c r="D106">
        <v>0.88</v>
      </c>
      <c r="E106">
        <f t="shared" si="4"/>
        <v>88</v>
      </c>
      <c r="F106">
        <f t="shared" si="5"/>
        <v>0.9419546943256506</v>
      </c>
      <c r="G106">
        <f t="shared" si="6"/>
        <v>76</v>
      </c>
    </row>
    <row r="107" spans="4:7" x14ac:dyDescent="0.3">
      <c r="D107">
        <v>0.89</v>
      </c>
      <c r="E107">
        <f t="shared" si="4"/>
        <v>89</v>
      </c>
      <c r="F107">
        <f t="shared" si="5"/>
        <v>0.94607403943552837</v>
      </c>
      <c r="G107">
        <f t="shared" si="6"/>
        <v>78</v>
      </c>
    </row>
    <row r="108" spans="4:7" x14ac:dyDescent="0.3">
      <c r="D108">
        <v>0.9</v>
      </c>
      <c r="E108">
        <f t="shared" si="4"/>
        <v>90</v>
      </c>
      <c r="F108">
        <f t="shared" si="5"/>
        <v>0.94988528916731207</v>
      </c>
      <c r="G108">
        <f t="shared" si="6"/>
        <v>80</v>
      </c>
    </row>
    <row r="109" spans="4:7" x14ac:dyDescent="0.3">
      <c r="D109">
        <v>0.91</v>
      </c>
      <c r="E109">
        <f t="shared" si="4"/>
        <v>91</v>
      </c>
      <c r="F109">
        <f t="shared" si="5"/>
        <v>0.95341267137926122</v>
      </c>
      <c r="G109">
        <f t="shared" si="6"/>
        <v>82</v>
      </c>
    </row>
    <row r="110" spans="4:7" x14ac:dyDescent="0.3">
      <c r="D110">
        <v>0.92</v>
      </c>
      <c r="E110">
        <f t="shared" si="4"/>
        <v>92</v>
      </c>
      <c r="F110">
        <f t="shared" si="5"/>
        <v>0.9566784360535433</v>
      </c>
      <c r="G110">
        <f t="shared" si="6"/>
        <v>84</v>
      </c>
    </row>
    <row r="111" spans="4:7" x14ac:dyDescent="0.3">
      <c r="D111">
        <v>0.93</v>
      </c>
      <c r="E111">
        <f t="shared" si="4"/>
        <v>93</v>
      </c>
      <c r="F111">
        <f t="shared" si="5"/>
        <v>0.95970301775686351</v>
      </c>
      <c r="G111">
        <f t="shared" si="6"/>
        <v>86</v>
      </c>
    </row>
    <row r="112" spans="4:7" x14ac:dyDescent="0.3">
      <c r="D112">
        <v>0.94</v>
      </c>
      <c r="E112">
        <f t="shared" si="4"/>
        <v>94</v>
      </c>
      <c r="F112">
        <f t="shared" si="5"/>
        <v>0.96250518565204701</v>
      </c>
      <c r="G112">
        <f t="shared" si="6"/>
        <v>88</v>
      </c>
    </row>
    <row r="113" spans="4:7" x14ac:dyDescent="0.3">
      <c r="D113">
        <v>0.95</v>
      </c>
      <c r="E113">
        <f t="shared" si="4"/>
        <v>95</v>
      </c>
      <c r="F113">
        <f t="shared" si="5"/>
        <v>0.9651021817399229</v>
      </c>
      <c r="G113">
        <f t="shared" si="6"/>
        <v>90</v>
      </c>
    </row>
    <row r="114" spans="4:7" x14ac:dyDescent="0.3">
      <c r="D114">
        <v>0.96</v>
      </c>
      <c r="E114">
        <f t="shared" si="4"/>
        <v>96</v>
      </c>
      <c r="F114">
        <f t="shared" si="5"/>
        <v>0.96750984804457973</v>
      </c>
      <c r="G114">
        <f t="shared" si="6"/>
        <v>92</v>
      </c>
    </row>
    <row r="115" spans="4:7" x14ac:dyDescent="0.3">
      <c r="D115">
        <v>0.97</v>
      </c>
      <c r="E115">
        <f t="shared" si="4"/>
        <v>97</v>
      </c>
      <c r="F115">
        <f t="shared" si="5"/>
        <v>0.96974274346599476</v>
      </c>
      <c r="G115">
        <f t="shared" si="6"/>
        <v>94</v>
      </c>
    </row>
    <row r="116" spans="4:7" x14ac:dyDescent="0.3">
      <c r="D116">
        <v>0.98</v>
      </c>
      <c r="E116">
        <f t="shared" si="4"/>
        <v>98</v>
      </c>
      <c r="F116">
        <f t="shared" si="5"/>
        <v>0.97181425101816021</v>
      </c>
      <c r="G116">
        <f t="shared" si="6"/>
        <v>96</v>
      </c>
    </row>
    <row r="117" spans="4:7" x14ac:dyDescent="0.3">
      <c r="D117">
        <v>0.99</v>
      </c>
      <c r="E117">
        <f t="shared" si="4"/>
        <v>99</v>
      </c>
      <c r="F117">
        <f t="shared" si="5"/>
        <v>0.97373667615285775</v>
      </c>
      <c r="G117">
        <f t="shared" si="6"/>
        <v>98</v>
      </c>
    </row>
    <row r="118" spans="4:7" x14ac:dyDescent="0.3">
      <c r="D118">
        <v>1</v>
      </c>
      <c r="E118">
        <f t="shared" si="4"/>
        <v>100</v>
      </c>
      <c r="F118">
        <f t="shared" si="5"/>
        <v>0.97552133684282494</v>
      </c>
      <c r="G118">
        <f t="shared" si="6"/>
        <v>100</v>
      </c>
    </row>
    <row r="119" spans="4:7" x14ac:dyDescent="0.3">
      <c r="D119">
        <v>1.01</v>
      </c>
      <c r="E119">
        <f t="shared" si="4"/>
        <v>101</v>
      </c>
      <c r="F119">
        <f t="shared" si="5"/>
        <v>0.97717864606604687</v>
      </c>
      <c r="G119">
        <f t="shared" si="6"/>
        <v>102</v>
      </c>
    </row>
    <row r="120" spans="4:7" x14ac:dyDescent="0.3">
      <c r="D120">
        <v>1.02</v>
      </c>
      <c r="E120">
        <f t="shared" si="4"/>
        <v>102</v>
      </c>
      <c r="F120">
        <f t="shared" si="5"/>
        <v>0.97871818729745952</v>
      </c>
      <c r="G120">
        <f t="shared" si="6"/>
        <v>104</v>
      </c>
    </row>
    <row r="121" spans="4:7" x14ac:dyDescent="0.3">
      <c r="D121">
        <v>1.03</v>
      </c>
      <c r="E121">
        <f t="shared" si="4"/>
        <v>103</v>
      </c>
      <c r="F121">
        <f t="shared" si="5"/>
        <v>0.98014878357711066</v>
      </c>
      <c r="G121">
        <f t="shared" si="6"/>
        <v>106</v>
      </c>
    </row>
    <row r="122" spans="4:7" x14ac:dyDescent="0.3">
      <c r="D122">
        <v>1.04</v>
      </c>
      <c r="E122">
        <f t="shared" si="4"/>
        <v>104</v>
      </c>
      <c r="F122">
        <f t="shared" si="5"/>
        <v>0.98147856068600725</v>
      </c>
      <c r="G122">
        <f t="shared" si="6"/>
        <v>108</v>
      </c>
    </row>
    <row r="123" spans="4:7" x14ac:dyDescent="0.3">
      <c r="D123">
        <v>1.05</v>
      </c>
      <c r="E123">
        <f t="shared" si="4"/>
        <v>105</v>
      </c>
      <c r="F123">
        <f t="shared" si="5"/>
        <v>0.98271500492338526</v>
      </c>
      <c r="G123">
        <f t="shared" si="6"/>
        <v>110</v>
      </c>
    </row>
    <row r="124" spans="4:7" x14ac:dyDescent="0.3">
      <c r="D124">
        <v>1.06</v>
      </c>
      <c r="E124">
        <f t="shared" si="4"/>
        <v>106</v>
      </c>
      <c r="F124">
        <f t="shared" si="5"/>
        <v>0.98386501594261078</v>
      </c>
      <c r="G124">
        <f t="shared" si="6"/>
        <v>112</v>
      </c>
    </row>
    <row r="125" spans="4:7" x14ac:dyDescent="0.3">
      <c r="D125">
        <v>1.07</v>
      </c>
      <c r="E125">
        <f t="shared" si="4"/>
        <v>107</v>
      </c>
      <c r="F125">
        <f t="shared" si="5"/>
        <v>0.98493495506780615</v>
      </c>
      <c r="G125">
        <f t="shared" si="6"/>
        <v>114</v>
      </c>
    </row>
    <row r="126" spans="4:7" x14ac:dyDescent="0.3">
      <c r="D126">
        <v>1.08</v>
      </c>
      <c r="E126">
        <f t="shared" si="4"/>
        <v>108</v>
      </c>
      <c r="F126">
        <f t="shared" si="5"/>
        <v>0.98593068947988172</v>
      </c>
      <c r="G126">
        <f t="shared" si="6"/>
        <v>116</v>
      </c>
    </row>
    <row r="127" spans="4:7" x14ac:dyDescent="0.3">
      <c r="D127">
        <v>1.0900000000000001</v>
      </c>
      <c r="E127">
        <f t="shared" si="4"/>
        <v>109.00000000000001</v>
      </c>
      <c r="F127">
        <f t="shared" si="5"/>
        <v>0.98685763262912074</v>
      </c>
      <c r="G127">
        <f t="shared" si="6"/>
        <v>118.00000000000003</v>
      </c>
    </row>
    <row r="128" spans="4:7" x14ac:dyDescent="0.3">
      <c r="D128">
        <v>1.1000000000000001</v>
      </c>
      <c r="E128">
        <f t="shared" si="4"/>
        <v>110.00000000000001</v>
      </c>
      <c r="F128">
        <f t="shared" si="5"/>
        <v>0.9877207812019122</v>
      </c>
      <c r="G128">
        <f t="shared" si="6"/>
        <v>120.00000000000003</v>
      </c>
    </row>
    <row r="129" spans="4:7" x14ac:dyDescent="0.3">
      <c r="D129">
        <v>1.1100000000000001</v>
      </c>
      <c r="E129">
        <f t="shared" si="4"/>
        <v>111.00000000000001</v>
      </c>
      <c r="F129">
        <f t="shared" si="5"/>
        <v>0.9885247489416612</v>
      </c>
      <c r="G129">
        <f t="shared" si="6"/>
        <v>122.00000000000003</v>
      </c>
    </row>
    <row r="130" spans="4:7" x14ac:dyDescent="0.3">
      <c r="D130">
        <v>1.1200000000000001</v>
      </c>
      <c r="E130">
        <f t="shared" si="4"/>
        <v>112.00000000000001</v>
      </c>
      <c r="F130">
        <f t="shared" si="5"/>
        <v>0.98927379759833178</v>
      </c>
      <c r="G130">
        <f t="shared" si="6"/>
        <v>124.00000000000003</v>
      </c>
    </row>
    <row r="131" spans="4:7" x14ac:dyDescent="0.3">
      <c r="D131">
        <v>1.1299999999999999</v>
      </c>
      <c r="E131">
        <f t="shared" si="4"/>
        <v>112.99999999999999</v>
      </c>
      <c r="F131">
        <f t="shared" si="5"/>
        <v>0.98997186525741765</v>
      </c>
      <c r="G131">
        <f t="shared" si="6"/>
        <v>125.99999999999997</v>
      </c>
    </row>
    <row r="132" spans="4:7" x14ac:dyDescent="0.3">
      <c r="D132">
        <v>1.1399999999999999</v>
      </c>
      <c r="E132">
        <f t="shared" si="4"/>
        <v>113.99999999999999</v>
      </c>
      <c r="F132">
        <f t="shared" si="5"/>
        <v>0.99062259227732974</v>
      </c>
      <c r="G132">
        <f t="shared" si="6"/>
        <v>127.99999999999997</v>
      </c>
    </row>
    <row r="133" spans="4:7" x14ac:dyDescent="0.3">
      <c r="D133">
        <v>1.1499999999999999</v>
      </c>
      <c r="E133">
        <f t="shared" si="4"/>
        <v>114.99999999999999</v>
      </c>
      <c r="F133">
        <f t="shared" si="5"/>
        <v>0.99122934504413329</v>
      </c>
      <c r="G133">
        <f t="shared" si="6"/>
        <v>129.99999999999997</v>
      </c>
    </row>
    <row r="134" spans="4:7" x14ac:dyDescent="0.3">
      <c r="D134">
        <v>1.1599999999999999</v>
      </c>
      <c r="E134">
        <f t="shared" si="4"/>
        <v>115.99999999999999</v>
      </c>
      <c r="F134">
        <f t="shared" si="5"/>
        <v>0.99179523773416789</v>
      </c>
      <c r="G134">
        <f t="shared" si="6"/>
        <v>131.99999999999997</v>
      </c>
    </row>
    <row r="135" spans="4:7" x14ac:dyDescent="0.3">
      <c r="D135">
        <v>1.17</v>
      </c>
      <c r="E135">
        <f t="shared" si="4"/>
        <v>117</v>
      </c>
      <c r="F135">
        <f t="shared" si="5"/>
        <v>0.99232315225823275</v>
      </c>
      <c r="G135">
        <f t="shared" si="6"/>
        <v>134</v>
      </c>
    </row>
    <row r="136" spans="4:7" x14ac:dyDescent="0.3">
      <c r="D136">
        <v>1.18</v>
      </c>
      <c r="E136">
        <f t="shared" si="4"/>
        <v>118</v>
      </c>
      <c r="F136">
        <f t="shared" si="5"/>
        <v>0.99281575654560383</v>
      </c>
      <c r="G136">
        <f t="shared" si="6"/>
        <v>136</v>
      </c>
    </row>
    <row r="137" spans="4:7" x14ac:dyDescent="0.3">
      <c r="D137">
        <v>1.19</v>
      </c>
      <c r="E137">
        <f t="shared" si="4"/>
        <v>119</v>
      </c>
      <c r="F137">
        <f t="shared" si="5"/>
        <v>0.99327552131207486</v>
      </c>
      <c r="G137">
        <f t="shared" si="6"/>
        <v>138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mechanics</vt:lpstr>
      <vt:lpstr>Sheet2</vt:lpstr>
      <vt:lpstr>pea N content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2013-05-31T14:24:10Z</dcterms:created>
  <dcterms:modified xsi:type="dcterms:W3CDTF">2013-12-04T09:20:38Z</dcterms:modified>
</cp:coreProperties>
</file>